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130" activeTab="0"/>
  </bookViews>
  <sheets>
    <sheet name="Pieces" sheetId="1" r:id="rId1"/>
    <sheet name="Bundles" sheetId="2" r:id="rId2"/>
    <sheet name="Containers" sheetId="3" r:id="rId3"/>
    <sheet name="C2004-1" sheetId="4" r:id="rId4"/>
    <sheet name="FY2005_BD" sheetId="5" r:id="rId5"/>
  </sheets>
  <externalReferences>
    <externalReference r:id="rId8"/>
    <externalReference r:id="rId9"/>
    <externalReference r:id="rId10"/>
  </externalReferences>
  <definedNames>
    <definedName name="Barcode">#REF!</definedName>
    <definedName name="Container_Flows_Between_Facility_Types">#REF!</definedName>
    <definedName name="deff">'[1]Table 1'!$J$11:$N$41</definedName>
    <definedName name="_xlnm.Print_Area" localSheetId="2">'Containers'!$C$5:$K$16</definedName>
    <definedName name="_xlnm.Print_Area" localSheetId="4">'FY2005_BD'!$A$1:$D$220</definedName>
    <definedName name="Rat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<sst xmlns="http://schemas.openxmlformats.org/spreadsheetml/2006/main" count="1799" uniqueCount="355">
  <si>
    <t>MADC</t>
  </si>
  <si>
    <t>ADC</t>
  </si>
  <si>
    <t>3D</t>
  </si>
  <si>
    <t>5D</t>
  </si>
  <si>
    <t>CR</t>
  </si>
  <si>
    <t>Total</t>
  </si>
  <si>
    <t>Pallets</t>
  </si>
  <si>
    <t>Firm</t>
  </si>
  <si>
    <t>SCF</t>
  </si>
  <si>
    <t>Sacks</t>
  </si>
  <si>
    <t>Bundle</t>
  </si>
  <si>
    <t>Presort</t>
  </si>
  <si>
    <t>SCF/3-D</t>
  </si>
  <si>
    <t>5-Digit</t>
  </si>
  <si>
    <t>5-D CR</t>
  </si>
  <si>
    <t>3D-SCF</t>
  </si>
  <si>
    <t>Bundles</t>
  </si>
  <si>
    <t>3-D</t>
  </si>
  <si>
    <t>5-D</t>
  </si>
  <si>
    <t xml:space="preserve">CR  </t>
  </si>
  <si>
    <t>Piece</t>
  </si>
  <si>
    <t>Level</t>
  </si>
  <si>
    <t>Type</t>
  </si>
  <si>
    <t>NBC/NM</t>
  </si>
  <si>
    <t>NBC/M</t>
  </si>
  <si>
    <t>BC/NM</t>
  </si>
  <si>
    <t>BC/M</t>
  </si>
  <si>
    <t>3d</t>
  </si>
  <si>
    <t>5d</t>
  </si>
  <si>
    <t>NM</t>
  </si>
  <si>
    <t>M</t>
  </si>
  <si>
    <t>Total Pieces:</t>
  </si>
  <si>
    <t>Sacked:</t>
  </si>
  <si>
    <t>Palletized:</t>
  </si>
  <si>
    <t>NBC</t>
  </si>
  <si>
    <t>BC</t>
  </si>
  <si>
    <t>Pieces</t>
  </si>
  <si>
    <t>3-D/SCF</t>
  </si>
  <si>
    <t>Sacks:</t>
  </si>
  <si>
    <t>Pallets:</t>
  </si>
  <si>
    <t>Total Sacks</t>
  </si>
  <si>
    <t>Container</t>
  </si>
  <si>
    <t>Entry Point</t>
  </si>
  <si>
    <t>DDU</t>
  </si>
  <si>
    <t>DSCF</t>
  </si>
  <si>
    <t>DADC</t>
  </si>
  <si>
    <t>DBMC</t>
  </si>
  <si>
    <t>OBMC</t>
  </si>
  <si>
    <t>OADC</t>
  </si>
  <si>
    <t>5-d</t>
  </si>
  <si>
    <t>5-d CR</t>
  </si>
  <si>
    <t>3D/SCF</t>
  </si>
  <si>
    <t>Pallet</t>
  </si>
  <si>
    <t>Total:</t>
  </si>
  <si>
    <t>CRTS</t>
  </si>
  <si>
    <t xml:space="preserve">5 Digit </t>
  </si>
  <si>
    <t>Sack</t>
  </si>
  <si>
    <t>Transfers of</t>
  </si>
  <si>
    <t>From</t>
  </si>
  <si>
    <t>To</t>
  </si>
  <si>
    <t>CR/5DCR</t>
  </si>
  <si>
    <t>Base Year Outside County Flats, Per Table 9 in Loetscher  Interrogatory Answers</t>
  </si>
  <si>
    <t>Piece Type</t>
  </si>
  <si>
    <t>Test Year distribution of CR bundles in sacks:</t>
  </si>
  <si>
    <t>Total TY08:</t>
  </si>
  <si>
    <t>Table A2: Estimated TY08 BR Counts Of Bundles By Bundle &amp; Container Presort Level</t>
  </si>
  <si>
    <t>Table A1: Outside County Sack &amp; Pallet Counts By Entry Point &amp; Container Presort (TY08 BR)</t>
  </si>
  <si>
    <t>OSCF/OAO</t>
  </si>
  <si>
    <t>Total Pallets</t>
  </si>
  <si>
    <t>Regular</t>
  </si>
  <si>
    <t>Nonprofit</t>
  </si>
  <si>
    <t>Classroom</t>
  </si>
  <si>
    <t>Basic NonAuto</t>
  </si>
  <si>
    <t>Basic Auto</t>
  </si>
  <si>
    <t>3-D Non-auto</t>
  </si>
  <si>
    <t>3-D Auto</t>
  </si>
  <si>
    <t>5-D NonAuto</t>
  </si>
  <si>
    <t>5-D Auto</t>
  </si>
  <si>
    <t>Carrier Rt.</t>
  </si>
  <si>
    <t>Flats Mail Processing categories (FY2005 BD)</t>
  </si>
  <si>
    <t>Base Year Nonprofit Flats</t>
  </si>
  <si>
    <t>Base Year Classroom Flats</t>
  </si>
  <si>
    <t>BD minus Auto Ltrs:</t>
  </si>
  <si>
    <t>Adjust</t>
  </si>
  <si>
    <t>Factors:</t>
  </si>
  <si>
    <t>Estimated Non- Auto Letters:</t>
  </si>
  <si>
    <t>Basic:</t>
  </si>
  <si>
    <t>BY to TY BR factor:</t>
  </si>
  <si>
    <t>Table A3V1Reg:  TY08 BR Piece Counts By Bundle &amp; Container Presort Level And Piece Characteristics</t>
  </si>
  <si>
    <t>Table A3V1Class:  TY08 BR Piece Counts By Bundle &amp; Container Presort Level And Piece Characteristics</t>
  </si>
  <si>
    <t>Table A3V1Nonprofit:  TY08 BR Piece Counts By Bundle &amp; Container Presort Level And Piece Characteristics</t>
  </si>
  <si>
    <t>Table A3Reg:  TY08 BR Piece Counts By Bundle &amp; Container Presort Level And Piece Characteristics</t>
  </si>
  <si>
    <t>Table A3Class:  TY08 BR Piece Counts By Bundle &amp; Container Presort Level And Piece Characteristics</t>
  </si>
  <si>
    <t>Table A3Nonprofit:  TY08 BR Piece Counts By Bundle &amp; Container Presort Level And Piece Characteristics</t>
  </si>
  <si>
    <t>OC total</t>
  </si>
  <si>
    <t>Reg</t>
  </si>
  <si>
    <t>NP</t>
  </si>
  <si>
    <t>% Pallet</t>
  </si>
  <si>
    <t>Actual:</t>
  </si>
  <si>
    <t>Distribution of</t>
  </si>
  <si>
    <t>Loetscher data</t>
  </si>
  <si>
    <t>Regular Rate TYBR Pieces Per Package &amp; Container Presort Level</t>
  </si>
  <si>
    <t>Unadjusted Counts of Regular Rate Packages Per Package &amp; Container Presort Level</t>
  </si>
  <si>
    <t>Nonprofit TYBR Pieces Per Package &amp; Container Presort Level</t>
  </si>
  <si>
    <t>Unadjusted Counts of Nonprofit Packages Per Package &amp; Container Presort Level</t>
  </si>
  <si>
    <t>Classroom TYBR Pieces Per Package &amp; Container Presort Level</t>
  </si>
  <si>
    <t>Unadjusted Counts of Classroom Packages Per Package &amp; Container Presort Level</t>
  </si>
  <si>
    <t>Sum of unadjusted estimates of TY08 BR Counts Of Bundles By Bundle &amp; Container Presort Level</t>
  </si>
  <si>
    <t>Adjusted TYBR Counts of Regular Rate Packages Per Package &amp; Container Presort Level</t>
  </si>
  <si>
    <t>Adjusted TYBR Counts of Nonprofit Packages Per Package &amp; Container Presort Level</t>
  </si>
  <si>
    <t>Adjusted TYBR Counts of Classroom Packages Per Package &amp; Container Presort Level</t>
  </si>
  <si>
    <t>Estimated TY03 After Rates Outside County Container Counts</t>
  </si>
  <si>
    <t>Regular Rate</t>
  </si>
  <si>
    <t>CRS</t>
  </si>
  <si>
    <t>Total All Containers</t>
  </si>
  <si>
    <t>Classroom:</t>
  </si>
  <si>
    <t>TY03 Pieces:</t>
  </si>
  <si>
    <t>NonProfit</t>
  </si>
  <si>
    <t>Regular Rate:</t>
  </si>
  <si>
    <t>TY08 BR Pieces:</t>
  </si>
  <si>
    <t>Unadjusted Projections of TY08 Containers</t>
  </si>
  <si>
    <t>Adjusted Projections of TY08 Containers</t>
  </si>
  <si>
    <t>% Dest Pallet:</t>
  </si>
  <si>
    <t>% of pallets dropshipped:</t>
  </si>
  <si>
    <t>% dropshipped in sacks</t>
  </si>
  <si>
    <t>% sacks total</t>
  </si>
  <si>
    <t>% of sacked dropshipped:</t>
  </si>
  <si>
    <t>% dropshipped:</t>
  </si>
  <si>
    <t>Dropshipped:</t>
  </si>
  <si>
    <t>% dropped NP &amp; Reg:</t>
  </si>
  <si>
    <t>Class</t>
  </si>
  <si>
    <t>Not Dropshipped:</t>
  </si>
  <si>
    <t>Initial estimate 5-D drosphipped</t>
  </si>
  <si>
    <t>Initial estimate 5-D not dropshipped</t>
  </si>
  <si>
    <t>Correction to 5-D estimate:</t>
  </si>
  <si>
    <t>CR:</t>
  </si>
  <si>
    <t>% wo CR:</t>
  </si>
  <si>
    <t>CRS:</t>
  </si>
  <si>
    <t>Not dropshipped:</t>
  </si>
  <si>
    <t>Table A1C: Classroom Sack &amp; Pallet Counts By Entry Point &amp; Container Presort (TY08 BR)</t>
  </si>
  <si>
    <t>Table POIR18-1: Estimated Number of Test Year Containers By Subclass</t>
  </si>
  <si>
    <t>Estimated Counts of Regular Rate Packages Per Package &amp; Container Presort Level</t>
  </si>
  <si>
    <t>Regular Rate Periodicals Pieces Per bundle &amp; container presort level and piece characteristics:</t>
  </si>
  <si>
    <t>Total TY03:</t>
  </si>
  <si>
    <t>From VolumesTY03AR.xls, TW LR-1, Docket No C2004-1:</t>
  </si>
  <si>
    <t>Estimated Regular Rate Pieces per package</t>
  </si>
  <si>
    <t>Nonprofit Periodicals Pieces Per bundle &amp; container presort level and piece characteristics:</t>
  </si>
  <si>
    <t>Estimated nonprofit Pieces per package</t>
  </si>
  <si>
    <t>Estimated Counts of Nonprofit Packages Per Package &amp; Container Presort Level</t>
  </si>
  <si>
    <t>Estimated Classroomt Pieces per package</t>
  </si>
  <si>
    <t>Classroom Periodicals Pieces Per bundle &amp; container presort level and piece characteristics:</t>
  </si>
  <si>
    <t>Estimated Counts of Classroom Packages Per Package &amp; Container Presort Level</t>
  </si>
  <si>
    <t>FY 2005 BILLING DETERMINANTS</t>
  </si>
  <si>
    <t>PERIODICALS</t>
  </si>
  <si>
    <t>REGULAR RATE &amp; SCIENCE OF AGRICULTURE</t>
  </si>
  <si>
    <t xml:space="preserve"> </t>
  </si>
  <si>
    <t>GOV. FISCAL YEAR</t>
  </si>
  <si>
    <t>CATEGORY</t>
  </si>
  <si>
    <t>TYPE</t>
  </si>
  <si>
    <t>UNITS</t>
  </si>
  <si>
    <t>POSTAGE</t>
  </si>
  <si>
    <t>Delivery Unit</t>
  </si>
  <si>
    <t>POUNDS</t>
  </si>
  <si>
    <t>Zones 1&amp;2</t>
  </si>
  <si>
    <t>Zone 3</t>
  </si>
  <si>
    <t>Zone 4</t>
  </si>
  <si>
    <t>Zone 5</t>
  </si>
  <si>
    <t>Zone 6</t>
  </si>
  <si>
    <t>Zone 7</t>
  </si>
  <si>
    <t>Zone 8</t>
  </si>
  <si>
    <t>Nonadvertising</t>
  </si>
  <si>
    <t>SCI. OF AGRICULTURE. DDU</t>
  </si>
  <si>
    <t>SCI. OF AGRICULTURE SCF</t>
  </si>
  <si>
    <t>SCI. OF AGRICULTURE ADC</t>
  </si>
  <si>
    <t>SCI. OF AGRICULTURE ZONES 1&amp;2</t>
  </si>
  <si>
    <t>SCI. OF AGRICULTURE ZONE 3</t>
  </si>
  <si>
    <t>SCI. OF AGRICULTURE ZONE 4</t>
  </si>
  <si>
    <t>SCI. OF AGRICULTURE ZONE 5</t>
  </si>
  <si>
    <t>SCI. OF AGRICULTURE ZONE 6</t>
  </si>
  <si>
    <t>SCI. OF AGRICULTURE ZONE 7</t>
  </si>
  <si>
    <t>SCI. OF AGRICULTURE ZONE 8</t>
  </si>
  <si>
    <t>SCI. OF AGRICULTURE - NONADVERTISING</t>
  </si>
  <si>
    <t>SCI OF AGI. COMMNGLD NONSBSCRBR  DDU</t>
  </si>
  <si>
    <t>SCI OF AGI. COMMNGLD NONSBSCRBR  SCF</t>
  </si>
  <si>
    <t>SCI OF AGI. COMMNGLD NONSBSCRBR  ADC</t>
  </si>
  <si>
    <t>SCI OF AGI. COMMNGLD NONSBSCRBR  ZONES 1&amp;2</t>
  </si>
  <si>
    <t>SCI OF AGI. COMMNGLD NONSBSCRBR  ZONE 3</t>
  </si>
  <si>
    <t>Flats Mail Processing categories:</t>
  </si>
  <si>
    <t>SCI OF AGI. COMMNGLD NONSBSCRBR  NONADVERTISING</t>
  </si>
  <si>
    <t>BASIC NON-AUTOMATION</t>
  </si>
  <si>
    <t>PIECES</t>
  </si>
  <si>
    <t>BASIC AUTOMATION LETTER</t>
  </si>
  <si>
    <t>BASIC AUTOMATION FLAT</t>
  </si>
  <si>
    <t>3-Digit NON-AUTOMATION</t>
  </si>
  <si>
    <t>3-Digit AUTOMATION LETTER</t>
  </si>
  <si>
    <t>3-Digit AUTOMATION FLAT</t>
  </si>
  <si>
    <t>5-Digit NON-AUTOMATION</t>
  </si>
  <si>
    <t>5-Digit AUTOMATION LETTER</t>
  </si>
  <si>
    <t>5-Digit AUTOMATION FLAT</t>
  </si>
  <si>
    <t>CARRIER ROUTE BASIC</t>
  </si>
  <si>
    <t>CARRIER ROUTE HIGH DENSITY</t>
  </si>
  <si>
    <t>CARRIER ROUTE SATURATION</t>
  </si>
  <si>
    <t>PERCENTAGE EDITORIAL DISCOUNT</t>
  </si>
  <si>
    <t>Disc. Pcs.</t>
  </si>
  <si>
    <t>Editorial</t>
  </si>
  <si>
    <t xml:space="preserve">WKSHARING DISCNT DELIVERY UNIT ENTRY  </t>
  </si>
  <si>
    <t xml:space="preserve">WKSHARING DISCNT SCF ENTRY </t>
  </si>
  <si>
    <t>Minus auto letters:</t>
  </si>
  <si>
    <t>WKSHARING DISCNT ADC ENTRY</t>
  </si>
  <si>
    <t>Destination Entry Pallet</t>
  </si>
  <si>
    <t>Pallet (Other than Destination Entry)</t>
  </si>
  <si>
    <t>COPAL I DSCF DISCNT</t>
  </si>
  <si>
    <t>COPAL I DADC DISCNT</t>
  </si>
  <si>
    <t>Auto Letters:</t>
  </si>
  <si>
    <t>SCI. OF AGRICULTURE - Basic Nonautomation</t>
  </si>
  <si>
    <t xml:space="preserve">SCI. OF AGRICULTURE - Basic Automation Letter </t>
  </si>
  <si>
    <t>SCI. OF AGRICULTURE - Basic Automation Flat</t>
  </si>
  <si>
    <t>SCI. OF AGRICULTURE - 3-Digit Nonautomation</t>
  </si>
  <si>
    <t xml:space="preserve">SCI. OF AGRICULTURE - 3-Digit Automation Letter </t>
  </si>
  <si>
    <t>SCI. OF AGRICULTURE - 3-Digit Automation Flat</t>
  </si>
  <si>
    <t>SCI. OF AGRICULTURE - 5-Digit Nonautomation</t>
  </si>
  <si>
    <t xml:space="preserve">SCI. OF AGRICULTURE - 5-Digit Automation Letter </t>
  </si>
  <si>
    <t>SCI. OF AGRICULTURE - 5-Digit Automation Flat</t>
  </si>
  <si>
    <t>SCI. OF AGRICULTURE - Carrier Route</t>
  </si>
  <si>
    <t>SCI. OF AGRICULTURE - High Density</t>
  </si>
  <si>
    <t>SCI. OF AGRICULTURE - Saturation</t>
  </si>
  <si>
    <t>SCI.OF AGRICULTURE - Editorial Discount</t>
  </si>
  <si>
    <t>SCI. OF AGRICULTURE - Pc. Disc. Delivery Unit</t>
  </si>
  <si>
    <t>SCI. OF AGRICULTURE - Pc. Disc. SCF</t>
  </si>
  <si>
    <t>SCI. OF AGRICULTURE - Pc. Disc. ADC</t>
  </si>
  <si>
    <t>SOA Destination Entry Pallet</t>
  </si>
  <si>
    <t>SOA Pallet (Other than Destination Entry)</t>
  </si>
  <si>
    <t>SCI OF AGI. COMMNGLD NONSBSCRBR  PRESORT LEVEL A</t>
  </si>
  <si>
    <t>SCI OF AGI. COMMNGLD NONSBSCRBR  EDITORIAL DISCOUNT</t>
  </si>
  <si>
    <t>SCI OF AGI. COMMNGLD NONSBSCRBR  SCF DISCOUNT</t>
  </si>
  <si>
    <t>Pieces or Calculated Total Revenue</t>
  </si>
  <si>
    <t>Pounds or Calculated Pound Revenue</t>
  </si>
  <si>
    <t>Ride-Along Piece &amp; Revenue</t>
  </si>
  <si>
    <t>Calculated Total Revenue + Ride-Along</t>
  </si>
  <si>
    <t>NA</t>
  </si>
  <si>
    <t>RPW Revenue</t>
  </si>
  <si>
    <t>Revenue Adjustment Factor</t>
  </si>
  <si>
    <t>Revenue % from Pound Rates</t>
  </si>
  <si>
    <t>Discount Pieces (Regular Rate, SOA, &amp; Commingled)</t>
  </si>
  <si>
    <t>DDU Entry</t>
  </si>
  <si>
    <t>SCF Entry</t>
  </si>
  <si>
    <t>ADC Entry</t>
  </si>
  <si>
    <t>DESTINATION ENTRY PALLET DISCNT</t>
  </si>
  <si>
    <t>PALLET DISCNT (OTHER THAN DESTINATION ENTRY)</t>
  </si>
  <si>
    <t>COPAL 1 DSCF DISCNT</t>
  </si>
  <si>
    <t>COPAL 1 DADC DISCNT</t>
  </si>
  <si>
    <t>Editorial Content</t>
  </si>
  <si>
    <t>Editorial Percentage</t>
  </si>
  <si>
    <t>Revenue per Piece w/o Fees and R/A</t>
  </si>
  <si>
    <t>NONPROFIT</t>
  </si>
  <si>
    <t>Advertising - DDU</t>
  </si>
  <si>
    <t>Advertising - SCF</t>
  </si>
  <si>
    <t>Advertising - ADC</t>
  </si>
  <si>
    <t>Advertising - Zone 1&amp;2</t>
  </si>
  <si>
    <t>Advertising - Zone 3</t>
  </si>
  <si>
    <t>Advertising - Zone 4</t>
  </si>
  <si>
    <t>Advertising - Zone 5</t>
  </si>
  <si>
    <t>Advertising - Zone 6</t>
  </si>
  <si>
    <t>Advertising - Zone 7</t>
  </si>
  <si>
    <t>Advertising - Zone 8</t>
  </si>
  <si>
    <t>Commg. Advertising - Delivery Unit</t>
  </si>
  <si>
    <t>Commg. Advertising - SCF</t>
  </si>
  <si>
    <t>Commg. Advertising - ADC</t>
  </si>
  <si>
    <t>Commg. Zone 1&amp;2</t>
  </si>
  <si>
    <t>Commg. Zone 3</t>
  </si>
  <si>
    <t>Commg. Zone 4</t>
  </si>
  <si>
    <t>Commg. Zone 5</t>
  </si>
  <si>
    <t>Commg. Zone 6</t>
  </si>
  <si>
    <t>Commg. Zone 7</t>
  </si>
  <si>
    <t>Commg. Zone 8</t>
  </si>
  <si>
    <t>Commg. Nonadvertising</t>
  </si>
  <si>
    <t>Level Basic Nonautomation</t>
  </si>
  <si>
    <t>Level Basic Automation Letter-Size</t>
  </si>
  <si>
    <t>Level Basic Automation Flat-Size</t>
  </si>
  <si>
    <t>Level 3-Digit Nonautomation</t>
  </si>
  <si>
    <t>Level 3-Digit Automation Letter-Size</t>
  </si>
  <si>
    <t>Level 3-Digit Automation Flat-Size</t>
  </si>
  <si>
    <t>Level 5-Digit Nonautomation</t>
  </si>
  <si>
    <t>Level 5-Digit Automation Letter-Size</t>
  </si>
  <si>
    <t>Level 5-Digit Automation Flat-Size</t>
  </si>
  <si>
    <t>Carrier Route</t>
  </si>
  <si>
    <t>High Density</t>
  </si>
  <si>
    <t>Saturation</t>
  </si>
  <si>
    <t>Commg. Level Basic Nonautomation</t>
  </si>
  <si>
    <t>Commg. Level Basic Automation Letter-Size</t>
  </si>
  <si>
    <t>Commg. Basic Automation Flat-Size</t>
  </si>
  <si>
    <t>Commg. Level 3-Digit Nonautomation</t>
  </si>
  <si>
    <t>Commg. Level 3-Digit Automation Letter-Size</t>
  </si>
  <si>
    <t>Commg. Level 3-Digit Automation Flat-Size</t>
  </si>
  <si>
    <t>Commg. Level 5-Digit Nonautomation</t>
  </si>
  <si>
    <t>Commg. Level 5-Digit Automation Letter-Size</t>
  </si>
  <si>
    <t>Commg. Level 5-Digit Automation Flat-Size</t>
  </si>
  <si>
    <t>Commg.  Carrier Route</t>
  </si>
  <si>
    <t>Commg.  High Density</t>
  </si>
  <si>
    <t>Commg.  Saturation</t>
  </si>
  <si>
    <t>Nonadvertising Adjustment</t>
  </si>
  <si>
    <t>PCDSCNT</t>
  </si>
  <si>
    <t>DDU Entry Discount</t>
  </si>
  <si>
    <t xml:space="preserve">SCF Entry Discount </t>
  </si>
  <si>
    <t xml:space="preserve">ADC Entry Discount </t>
  </si>
  <si>
    <t>Commg. Nonadvertising Adjustment</t>
  </si>
  <si>
    <t>Commg. Delivery Unit Entry Discount</t>
  </si>
  <si>
    <t>Commg. SCF Entry Discount</t>
  </si>
  <si>
    <t>Commg. ADC Entry Discount</t>
  </si>
  <si>
    <t>Commg. DESTINATION ENTRY PALLET DISCNT</t>
  </si>
  <si>
    <t>Commg. PALLET DISCNT (OTHER THAN DESTINATION ENTRY)</t>
  </si>
  <si>
    <t>Pref Rate Discounts</t>
  </si>
  <si>
    <t>Calculated Revenue</t>
  </si>
  <si>
    <t>Ride Along Pieces &amp; Revenue</t>
  </si>
  <si>
    <t>Editoral Percentage</t>
  </si>
  <si>
    <t>Revenue per piece w/o fee or Ride-Along</t>
  </si>
  <si>
    <t>CLASSROOM</t>
  </si>
  <si>
    <t>Comingled Level Basic Nonautomation</t>
  </si>
  <si>
    <t>Delivery Unit Entry Discount</t>
  </si>
  <si>
    <t>ADC Enrty Discount</t>
  </si>
  <si>
    <t>Destination Entry Pallet Discount</t>
  </si>
  <si>
    <t>Peallet Discount (Other Than Destination Entry)</t>
  </si>
  <si>
    <t>Comingled Nonadvertising Adjustment</t>
  </si>
  <si>
    <t>Source: USPS-LR-L-77(FY2005 Billing Determinants)</t>
  </si>
  <si>
    <t>BD Volumes Minus Auto Letters:</t>
  </si>
  <si>
    <t>Piece Related Data Provided To Mitchell:</t>
  </si>
  <si>
    <t>Dest. Pallet</t>
  </si>
  <si>
    <t>Other Pallet</t>
  </si>
  <si>
    <t>Total Pallet</t>
  </si>
  <si>
    <t>% of pallets that are dropshipped</t>
  </si>
  <si>
    <t>% Palletized</t>
  </si>
  <si>
    <t>% Dest. Pallet</t>
  </si>
  <si>
    <t>Total Dropshipped</t>
  </si>
  <si>
    <t>Dropshipped In Sacks:</t>
  </si>
  <si>
    <t>Total In Sacks</t>
  </si>
  <si>
    <t>% of sacked that is dropshipped</t>
  </si>
  <si>
    <t>% sacked &amp; dropshipped</t>
  </si>
  <si>
    <t>% sacked:</t>
  </si>
  <si>
    <t>Outside County</t>
  </si>
  <si>
    <t>FY2005 Billing Determinant Data:</t>
  </si>
  <si>
    <t>Totals</t>
  </si>
  <si>
    <t>Estimate dropshipped and not dropshipped sacks and pallets per subclass and container presort:</t>
  </si>
  <si>
    <t>Total Containers:</t>
  </si>
  <si>
    <t>From VolumesR2006.xls, TW LR-2 in this Docket:</t>
  </si>
  <si>
    <t>Table A1R: Regular Rate Sack &amp; Pallet Counts By Entry Point &amp; Container Presort (TY08 BR)</t>
  </si>
  <si>
    <t>Table A1N: NonProfit Sack &amp; Pallet Counts By Entry Point &amp; Container Presort (TY08 BR)</t>
  </si>
  <si>
    <t>Sack Presort:</t>
  </si>
  <si>
    <t>Pieces transferred between sack presort levels due to skin sack elimination</t>
  </si>
  <si>
    <t>Outsied County:</t>
  </si>
  <si>
    <t>Regular rate:</t>
  </si>
  <si>
    <t>Base Year Regular Rate Flats</t>
  </si>
  <si>
    <t>Cells R33:BB42 contain TYBR bundle count estimatess for regular rate, nonprofit and classroom publications</t>
  </si>
  <si>
    <t>Cells T5:AX16 contain TYBR container count estimatess for regular rate, nonprofit and classroom publications</t>
  </si>
  <si>
    <t>OC Total</t>
  </si>
  <si>
    <t>TYBR Non-Letters by Piece characteristics and former OC subclass: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</si>
</sst>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&quot;$&quot;* #,##0.000_);_(&quot;$&quot;* \(#,##0.000\);_(&quot;$&quot;* &quot;-&quot;??_);_(@_)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_(* #,##0.0000_);_(* \(#,##0.0000\);_(* &quot;-&quot;????_);_(@_)"/>
    <numFmt numFmtId="182" formatCode="&quot;$&quot;#,##0"/>
    <numFmt numFmtId="183" formatCode="#,##0.0000"/>
    <numFmt numFmtId="184" formatCode="#,##0.00000"/>
    <numFmt numFmtId="185" formatCode="&quot;$&quot;#,##0.0000"/>
    <numFmt numFmtId="186" formatCode="0.00000000"/>
    <numFmt numFmtId="187" formatCode="0.0000000"/>
    <numFmt numFmtId="188" formatCode="0.00000000000000%"/>
    <numFmt numFmtId="189" formatCode="_(* #,##0.000000_);_(* \(#,##0.000000\);_(* &quot;-&quot;??_);_(@_)"/>
    <numFmt numFmtId="190" formatCode="_(* #,##0.0_);_(* \(#,##0.0\);_(* &quot;-&quot;?_);_(@_)"/>
    <numFmt numFmtId="191" formatCode="0.0000000000"/>
    <numFmt numFmtId="192" formatCode="0.00000000000"/>
    <numFmt numFmtId="193" formatCode="0.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0000000%"/>
    <numFmt numFmtId="199" formatCode="&quot;$&quot;#,##0.00"/>
    <numFmt numFmtId="200" formatCode="#,##0.00000000"/>
    <numFmt numFmtId="201" formatCode="_(* #,##0.000_);_(* \(#,##0.000\);_(* &quot;-&quot;???_);_(@_)"/>
    <numFmt numFmtId="202" formatCode="_(&quot;$&quot;* #,##0_);_(&quot;$&quot;* \(#,##0\);_(&quot;$&quot;* &quot;-&quot;??_);_(@_)"/>
    <numFmt numFmtId="203" formatCode="#,##0.000_);\(#,##0.000\)"/>
    <numFmt numFmtId="204" formatCode="General_);[Red]\-General_)"/>
    <numFmt numFmtId="205" formatCode="#,##0.0000_);\(#,##0.0000\)"/>
    <numFmt numFmtId="206" formatCode="_(&quot;$&quot;* #,##0.0000_);_(&quot;$&quot;* \(#,##0.0000\);_(&quot;$&quot;* &quot;-&quot;??_);_(@_)"/>
    <numFmt numFmtId="207" formatCode="General_)"/>
    <numFmt numFmtId="208" formatCode="mmmm\ d\,\ yyyy"/>
    <numFmt numFmtId="209" formatCode="#,##0.00000000000000000_);\(#,##0.00000000000000000\)"/>
    <numFmt numFmtId="210" formatCode="_(&quot;$&quot;* #,##0.00000_);_(&quot;$&quot;* \(#,##0.00000\);_(&quot;$&quot;* &quot;-&quot;??_);_(@_)"/>
    <numFmt numFmtId="211" formatCode="_(* #,##0.000000000_);_(* \(#,##0.000000000\);_(* &quot;-&quot;??_);_(@_)"/>
    <numFmt numFmtId="212" formatCode="#,##0.00000000_);\(#,##0.00000000\)"/>
    <numFmt numFmtId="213" formatCode="_(&quot;$&quot;* #,##0.0_);_(&quot;$&quot;* \(#,##0.0\);_(&quot;$&quot;* &quot;-&quot;??_);_(@_)"/>
    <numFmt numFmtId="214" formatCode="#,##0.0_);\(#,##0.0\)"/>
    <numFmt numFmtId="215" formatCode="0.0000000000_);[Red]\-0.0000000000_)"/>
    <numFmt numFmtId="216" formatCode="0.000000000000000%"/>
    <numFmt numFmtId="217" formatCode="#,##0.00000_);\(#,##0.00000\)"/>
    <numFmt numFmtId="218" formatCode="_(&quot;$&quot;* #,##0.000000_);_(&quot;$&quot;* \(#,##0.000000\);_(&quot;$&quot;* &quot;-&quot;??_);_(@_)"/>
    <numFmt numFmtId="219" formatCode="_(&quot;$&quot;* #,##0.0000000_);_(&quot;$&quot;* \(#,##0.0000000\);_(&quot;$&quot;* &quot;-&quot;??_);_(@_)"/>
    <numFmt numFmtId="220" formatCode="0.000000000000"/>
    <numFmt numFmtId="221" formatCode="dd\-mmm\-yy"/>
    <numFmt numFmtId="222" formatCode="0_);\(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0"/>
      <name val="Univers (WN)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" xfId="0" applyNumberFormat="1" applyBorder="1" applyAlignment="1" quotePrefix="1">
      <alignment/>
    </xf>
    <xf numFmtId="3" fontId="0" fillId="0" borderId="16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6" fillId="0" borderId="22" xfId="21" applyFont="1" applyFill="1" applyBorder="1" applyAlignment="1">
      <alignment wrapText="1"/>
      <protection/>
    </xf>
    <xf numFmtId="3" fontId="6" fillId="0" borderId="22" xfId="21" applyNumberFormat="1" applyFont="1" applyFill="1" applyBorder="1" applyAlignment="1">
      <alignment horizontal="right" wrapText="1"/>
      <protection/>
    </xf>
    <xf numFmtId="0" fontId="6" fillId="0" borderId="22" xfId="21" applyFont="1" applyFill="1" applyBorder="1" applyAlignment="1">
      <alignment horizontal="right" wrapText="1"/>
      <protection/>
    </xf>
    <xf numFmtId="0" fontId="7" fillId="0" borderId="23" xfId="21" applyFont="1" applyFill="1" applyBorder="1" applyAlignment="1">
      <alignment wrapText="1"/>
      <protection/>
    </xf>
    <xf numFmtId="0" fontId="7" fillId="0" borderId="24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" fillId="0" borderId="25" xfId="0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0" fontId="0" fillId="0" borderId="0" xfId="0" applyNumberFormat="1" applyFill="1" applyAlignment="1">
      <alignment/>
    </xf>
    <xf numFmtId="0" fontId="7" fillId="0" borderId="0" xfId="21" applyFont="1" applyFill="1" applyBorder="1" applyAlignment="1">
      <alignment wrapText="1"/>
      <protection/>
    </xf>
    <xf numFmtId="3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3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9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6" xfId="0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44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207" fontId="10" fillId="0" borderId="47" xfId="0" applyNumberFormat="1" applyFont="1" applyFill="1" applyBorder="1" applyAlignment="1" applyProtection="1">
      <alignment horizontal="centerContinuous"/>
      <protection/>
    </xf>
    <xf numFmtId="207" fontId="11" fillId="0" borderId="48" xfId="0" applyNumberFormat="1" applyFont="1" applyFill="1" applyBorder="1" applyAlignment="1" applyProtection="1">
      <alignment horizontal="centerContinuous"/>
      <protection/>
    </xf>
    <xf numFmtId="0" fontId="12" fillId="0" borderId="48" xfId="0" applyFont="1" applyFill="1" applyBorder="1" applyAlignment="1">
      <alignment horizontal="centerContinuous"/>
    </xf>
    <xf numFmtId="0" fontId="12" fillId="0" borderId="49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207" fontId="10" fillId="0" borderId="50" xfId="0" applyNumberFormat="1" applyFont="1" applyFill="1" applyBorder="1" applyAlignment="1" applyProtection="1">
      <alignment horizontal="centerContinuous"/>
      <protection/>
    </xf>
    <xf numFmtId="207" fontId="11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 horizontal="centerContinuous"/>
    </xf>
    <xf numFmtId="0" fontId="12" fillId="0" borderId="5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0" fillId="0" borderId="52" xfId="0" applyFill="1" applyBorder="1" applyAlignment="1">
      <alignment/>
    </xf>
    <xf numFmtId="207" fontId="14" fillId="0" borderId="53" xfId="0" applyNumberFormat="1" applyFont="1" applyFill="1" applyBorder="1" applyAlignment="1" applyProtection="1">
      <alignment horizontal="centerContinuous"/>
      <protection/>
    </xf>
    <xf numFmtId="207" fontId="14" fillId="0" borderId="54" xfId="0" applyNumberFormat="1" applyFont="1" applyFill="1" applyBorder="1" applyAlignment="1" applyProtection="1">
      <alignment horizontal="centerContinuous"/>
      <protection/>
    </xf>
    <xf numFmtId="207" fontId="14" fillId="0" borderId="55" xfId="0" applyNumberFormat="1" applyFont="1" applyFill="1" applyBorder="1" applyAlignment="1" applyProtection="1">
      <alignment horizontal="centerContinuous"/>
      <protection/>
    </xf>
    <xf numFmtId="207" fontId="14" fillId="0" borderId="56" xfId="0" applyNumberFormat="1" applyFont="1" applyFill="1" applyBorder="1" applyAlignment="1" applyProtection="1">
      <alignment horizontal="center"/>
      <protection/>
    </xf>
    <xf numFmtId="207" fontId="14" fillId="0" borderId="57" xfId="0" applyNumberFormat="1" applyFont="1" applyFill="1" applyBorder="1" applyAlignment="1" applyProtection="1">
      <alignment horizontal="center"/>
      <protection/>
    </xf>
    <xf numFmtId="207" fontId="14" fillId="0" borderId="58" xfId="0" applyNumberFormat="1" applyFont="1" applyFill="1" applyBorder="1" applyAlignment="1" applyProtection="1">
      <alignment horizontal="center"/>
      <protection/>
    </xf>
    <xf numFmtId="207" fontId="14" fillId="0" borderId="59" xfId="0" applyNumberFormat="1" applyFont="1" applyFill="1" applyBorder="1" applyAlignment="1" applyProtection="1">
      <alignment horizontal="centerContinuous"/>
      <protection/>
    </xf>
    <xf numFmtId="37" fontId="12" fillId="0" borderId="60" xfId="0" applyNumberFormat="1" applyFont="1" applyFill="1" applyBorder="1" applyAlignment="1" applyProtection="1">
      <alignment/>
      <protection/>
    </xf>
    <xf numFmtId="37" fontId="12" fillId="0" borderId="61" xfId="0" applyNumberFormat="1" applyFont="1" applyFill="1" applyBorder="1" applyAlignment="1" applyProtection="1">
      <alignment/>
      <protection/>
    </xf>
    <xf numFmtId="37" fontId="12" fillId="0" borderId="62" xfId="0" applyNumberFormat="1" applyFont="1" applyFill="1" applyBorder="1" applyAlignment="1" applyProtection="1">
      <alignment/>
      <protection/>
    </xf>
    <xf numFmtId="37" fontId="12" fillId="0" borderId="63" xfId="0" applyNumberFormat="1" applyFont="1" applyFill="1" applyBorder="1" applyAlignment="1" applyProtection="1">
      <alignment/>
      <protection/>
    </xf>
    <xf numFmtId="172" fontId="0" fillId="0" borderId="0" xfId="0" applyNumberFormat="1" applyFill="1" applyAlignment="1">
      <alignment/>
    </xf>
    <xf numFmtId="37" fontId="12" fillId="0" borderId="64" xfId="0" applyNumberFormat="1" applyFont="1" applyFill="1" applyBorder="1" applyAlignment="1" applyProtection="1">
      <alignment/>
      <protection/>
    </xf>
    <xf numFmtId="37" fontId="12" fillId="0" borderId="60" xfId="0" applyNumberFormat="1" applyFont="1" applyFill="1" applyBorder="1" applyAlignment="1" applyProtection="1" quotePrefix="1">
      <alignment horizontal="left"/>
      <protection/>
    </xf>
    <xf numFmtId="37" fontId="12" fillId="0" borderId="64" xfId="0" applyNumberFormat="1" applyFont="1" applyFill="1" applyBorder="1" applyAlignment="1" applyProtection="1">
      <alignment/>
      <protection/>
    </xf>
    <xf numFmtId="37" fontId="12" fillId="0" borderId="63" xfId="0" applyNumberFormat="1" applyFont="1" applyFill="1" applyBorder="1" applyAlignment="1" applyProtection="1">
      <alignment/>
      <protection/>
    </xf>
    <xf numFmtId="165" fontId="0" fillId="0" borderId="0" xfId="15" applyNumberFormat="1" applyFill="1" applyAlignment="1">
      <alignment/>
    </xf>
    <xf numFmtId="207" fontId="12" fillId="0" borderId="65" xfId="0" applyNumberFormat="1" applyFont="1" applyFill="1" applyBorder="1" applyAlignment="1" applyProtection="1">
      <alignment horizontal="left"/>
      <protection/>
    </xf>
    <xf numFmtId="37" fontId="12" fillId="0" borderId="31" xfId="0" applyNumberFormat="1" applyFont="1" applyFill="1" applyBorder="1" applyAlignment="1" applyProtection="1">
      <alignment horizontal="left"/>
      <protection/>
    </xf>
    <xf numFmtId="37" fontId="12" fillId="0" borderId="66" xfId="0" applyNumberFormat="1" applyFont="1" applyFill="1" applyBorder="1" applyAlignment="1" applyProtection="1">
      <alignment/>
      <protection/>
    </xf>
    <xf numFmtId="37" fontId="12" fillId="0" borderId="67" xfId="0" applyNumberFormat="1" applyFont="1" applyFill="1" applyBorder="1" applyAlignment="1" applyProtection="1">
      <alignment/>
      <protection/>
    </xf>
    <xf numFmtId="37" fontId="12" fillId="0" borderId="54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68" xfId="0" applyNumberFormat="1" applyFont="1" applyFill="1" applyBorder="1" applyAlignment="1" applyProtection="1">
      <alignment horizontal="left"/>
      <protection/>
    </xf>
    <xf numFmtId="37" fontId="12" fillId="0" borderId="31" xfId="0" applyNumberFormat="1" applyFont="1" applyFill="1" applyBorder="1" applyAlignment="1" applyProtection="1">
      <alignment/>
      <protection/>
    </xf>
    <xf numFmtId="37" fontId="12" fillId="0" borderId="1" xfId="0" applyNumberFormat="1" applyFont="1" applyFill="1" applyBorder="1" applyAlignment="1" applyProtection="1">
      <alignment/>
      <protection/>
    </xf>
    <xf numFmtId="37" fontId="12" fillId="0" borderId="68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37" fontId="12" fillId="0" borderId="1" xfId="0" applyNumberFormat="1" applyFont="1" applyFill="1" applyBorder="1" applyAlignment="1" applyProtection="1">
      <alignment horizontal="right"/>
      <protection/>
    </xf>
    <xf numFmtId="37" fontId="12" fillId="0" borderId="69" xfId="0" applyNumberFormat="1" applyFont="1" applyFill="1" applyBorder="1" applyAlignment="1" applyProtection="1">
      <alignment/>
      <protection/>
    </xf>
    <xf numFmtId="10" fontId="2" fillId="0" borderId="69" xfId="0" applyNumberFormat="1" applyFont="1" applyFill="1" applyBorder="1" applyAlignment="1" applyProtection="1">
      <alignment/>
      <protection/>
    </xf>
    <xf numFmtId="207" fontId="12" fillId="0" borderId="70" xfId="0" applyNumberFormat="1" applyFont="1" applyFill="1" applyBorder="1" applyAlignment="1" applyProtection="1">
      <alignment/>
      <protection/>
    </xf>
    <xf numFmtId="207" fontId="12" fillId="0" borderId="71" xfId="0" applyNumberFormat="1" applyFont="1" applyFill="1" applyBorder="1" applyAlignment="1" applyProtection="1">
      <alignment/>
      <protection/>
    </xf>
    <xf numFmtId="37" fontId="12" fillId="0" borderId="58" xfId="0" applyNumberFormat="1" applyFont="1" applyFill="1" applyBorder="1" applyAlignment="1" applyProtection="1">
      <alignment horizontal="right"/>
      <protection/>
    </xf>
    <xf numFmtId="10" fontId="12" fillId="0" borderId="59" xfId="0" applyNumberFormat="1" applyFont="1" applyFill="1" applyBorder="1" applyAlignment="1" applyProtection="1">
      <alignment/>
      <protection/>
    </xf>
    <xf numFmtId="0" fontId="15" fillId="0" borderId="52" xfId="0" applyFont="1" applyFill="1" applyBorder="1" applyAlignment="1" quotePrefix="1">
      <alignment horizontal="centerContinuous"/>
    </xf>
    <xf numFmtId="0" fontId="15" fillId="0" borderId="72" xfId="0" applyFont="1" applyFill="1" applyBorder="1" applyAlignment="1" quotePrefix="1">
      <alignment horizontal="centerContinuous"/>
    </xf>
    <xf numFmtId="0" fontId="15" fillId="0" borderId="73" xfId="0" applyFont="1" applyFill="1" applyBorder="1" applyAlignment="1" quotePrefix="1">
      <alignment horizontal="centerContinuous"/>
    </xf>
    <xf numFmtId="37" fontId="12" fillId="0" borderId="66" xfId="0" applyNumberFormat="1" applyFont="1" applyFill="1" applyBorder="1" applyAlignment="1" applyProtection="1">
      <alignment/>
      <protection/>
    </xf>
    <xf numFmtId="37" fontId="12" fillId="0" borderId="55" xfId="0" applyNumberFormat="1" applyFont="1" applyFill="1" applyBorder="1" applyAlignment="1" applyProtection="1">
      <alignment/>
      <protection/>
    </xf>
    <xf numFmtId="37" fontId="12" fillId="0" borderId="68" xfId="0" applyNumberFormat="1" applyFont="1" applyFill="1" applyBorder="1" applyAlignment="1" applyProtection="1">
      <alignment/>
      <protection/>
    </xf>
    <xf numFmtId="10" fontId="12" fillId="0" borderId="1" xfId="22" applyNumberFormat="1" applyFont="1" applyFill="1" applyBorder="1" applyAlignment="1" applyProtection="1">
      <alignment/>
      <protection/>
    </xf>
    <xf numFmtId="37" fontId="12" fillId="0" borderId="69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2" fillId="0" borderId="7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175" fontId="2" fillId="0" borderId="59" xfId="17" applyNumberFormat="1" applyFont="1" applyFill="1" applyBorder="1" applyAlignment="1">
      <alignment/>
    </xf>
    <xf numFmtId="0" fontId="17" fillId="0" borderId="72" xfId="0" applyFont="1" applyFill="1" applyBorder="1" applyAlignment="1">
      <alignment horizontal="centerContinuous"/>
    </xf>
    <xf numFmtId="207" fontId="10" fillId="0" borderId="52" xfId="0" applyNumberFormat="1" applyFont="1" applyFill="1" applyBorder="1" applyAlignment="1" applyProtection="1">
      <alignment horizontal="centerContinuous"/>
      <protection/>
    </xf>
    <xf numFmtId="207" fontId="11" fillId="0" borderId="72" xfId="0" applyNumberFormat="1" applyFont="1" applyFill="1" applyBorder="1" applyAlignment="1" applyProtection="1">
      <alignment horizontal="centerContinuous"/>
      <protection/>
    </xf>
    <xf numFmtId="0" fontId="12" fillId="0" borderId="72" xfId="0" applyFont="1" applyFill="1" applyBorder="1" applyAlignment="1">
      <alignment horizontal="centerContinuous"/>
    </xf>
    <xf numFmtId="0" fontId="12" fillId="0" borderId="73" xfId="0" applyFont="1" applyFill="1" applyBorder="1" applyAlignment="1">
      <alignment horizontal="centerContinuous"/>
    </xf>
    <xf numFmtId="207" fontId="10" fillId="0" borderId="74" xfId="0" applyNumberFormat="1" applyFont="1" applyFill="1" applyBorder="1" applyAlignment="1" applyProtection="1">
      <alignment horizontal="centerContinuous"/>
      <protection/>
    </xf>
    <xf numFmtId="0" fontId="12" fillId="0" borderId="75" xfId="0" applyFont="1" applyFill="1" applyBorder="1" applyAlignment="1">
      <alignment horizontal="centerContinuous"/>
    </xf>
    <xf numFmtId="207" fontId="10" fillId="0" borderId="76" xfId="0" applyNumberFormat="1" applyFont="1" applyFill="1" applyBorder="1" applyAlignment="1" applyProtection="1">
      <alignment horizontal="centerContinuous"/>
      <protection/>
    </xf>
    <xf numFmtId="207" fontId="11" fillId="0" borderId="77" xfId="0" applyNumberFormat="1" applyFont="1" applyFill="1" applyBorder="1" applyAlignment="1" applyProtection="1">
      <alignment horizontal="centerContinuous"/>
      <protection/>
    </xf>
    <xf numFmtId="0" fontId="12" fillId="0" borderId="77" xfId="0" applyFont="1" applyFill="1" applyBorder="1" applyAlignment="1">
      <alignment horizontal="centerContinuous"/>
    </xf>
    <xf numFmtId="0" fontId="12" fillId="0" borderId="78" xfId="0" applyFont="1" applyFill="1" applyBorder="1" applyAlignment="1">
      <alignment horizontal="centerContinuous"/>
    </xf>
    <xf numFmtId="207" fontId="14" fillId="0" borderId="79" xfId="0" applyNumberFormat="1" applyFont="1" applyFill="1" applyBorder="1" applyAlignment="1" applyProtection="1">
      <alignment horizontal="centerContinuous"/>
      <protection/>
    </xf>
    <xf numFmtId="207" fontId="14" fillId="0" borderId="57" xfId="0" applyNumberFormat="1" applyFont="1" applyFill="1" applyBorder="1" applyAlignment="1" applyProtection="1" quotePrefix="1">
      <alignment horizontal="left"/>
      <protection/>
    </xf>
    <xf numFmtId="0" fontId="2" fillId="0" borderId="66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7" fontId="12" fillId="0" borderId="1" xfId="0" applyNumberFormat="1" applyFont="1" applyFill="1" applyBorder="1" applyAlignment="1" applyProtection="1">
      <alignment/>
      <protection/>
    </xf>
    <xf numFmtId="0" fontId="2" fillId="0" borderId="8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7" fontId="2" fillId="0" borderId="33" xfId="0" applyNumberFormat="1" applyFont="1" applyFill="1" applyBorder="1" applyAlignment="1">
      <alignment/>
    </xf>
    <xf numFmtId="37" fontId="2" fillId="0" borderId="69" xfId="0" applyNumberFormat="1" applyFont="1" applyFill="1" applyBorder="1" applyAlignment="1">
      <alignment/>
    </xf>
    <xf numFmtId="37" fontId="12" fillId="0" borderId="81" xfId="0" applyNumberFormat="1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82" xfId="0" applyNumberFormat="1" applyFont="1" applyFill="1" applyBorder="1" applyAlignment="1">
      <alignment/>
    </xf>
    <xf numFmtId="37" fontId="12" fillId="0" borderId="70" xfId="0" applyNumberFormat="1" applyFont="1" applyFill="1" applyBorder="1" applyAlignment="1" applyProtection="1">
      <alignment/>
      <protection/>
    </xf>
    <xf numFmtId="0" fontId="2" fillId="0" borderId="58" xfId="0" applyFont="1" applyFill="1" applyBorder="1" applyAlignment="1">
      <alignment/>
    </xf>
    <xf numFmtId="37" fontId="2" fillId="0" borderId="83" xfId="0" applyNumberFormat="1" applyFont="1" applyFill="1" applyBorder="1" applyAlignment="1">
      <alignment/>
    </xf>
    <xf numFmtId="37" fontId="2" fillId="0" borderId="59" xfId="0" applyNumberFormat="1" applyFont="1" applyFill="1" applyBorder="1" applyAlignment="1">
      <alignment/>
    </xf>
    <xf numFmtId="37" fontId="12" fillId="0" borderId="84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7" fontId="12" fillId="0" borderId="31" xfId="0" applyNumberFormat="1" applyFont="1" applyFill="1" applyBorder="1" applyAlignment="1" applyProtection="1">
      <alignment/>
      <protection/>
    </xf>
    <xf numFmtId="165" fontId="12" fillId="0" borderId="84" xfId="0" applyNumberFormat="1" applyFont="1" applyFill="1" applyBorder="1" applyAlignment="1" applyProtection="1">
      <alignment/>
      <protection/>
    </xf>
    <xf numFmtId="37" fontId="12" fillId="0" borderId="85" xfId="0" applyNumberFormat="1" applyFont="1" applyFill="1" applyBorder="1" applyAlignment="1" applyProtection="1">
      <alignment/>
      <protection/>
    </xf>
    <xf numFmtId="179" fontId="12" fillId="0" borderId="68" xfId="22" applyNumberFormat="1" applyFont="1" applyFill="1" applyBorder="1" applyAlignment="1" applyProtection="1">
      <alignment/>
      <protection/>
    </xf>
    <xf numFmtId="179" fontId="12" fillId="0" borderId="1" xfId="22" applyNumberFormat="1" applyFont="1" applyFill="1" applyBorder="1" applyAlignment="1" applyProtection="1">
      <alignment/>
      <protection/>
    </xf>
    <xf numFmtId="10" fontId="2" fillId="0" borderId="69" xfId="22" applyNumberFormat="1" applyFont="1" applyFill="1" applyBorder="1" applyAlignment="1" applyProtection="1">
      <alignment/>
      <protection/>
    </xf>
    <xf numFmtId="179" fontId="12" fillId="0" borderId="31" xfId="22" applyNumberFormat="1" applyFont="1" applyFill="1" applyBorder="1" applyAlignment="1" applyProtection="1">
      <alignment/>
      <protection/>
    </xf>
    <xf numFmtId="177" fontId="12" fillId="0" borderId="69" xfId="22" applyNumberFormat="1" applyFont="1" applyFill="1" applyBorder="1" applyAlignment="1" applyProtection="1">
      <alignment/>
      <protection/>
    </xf>
    <xf numFmtId="207" fontId="12" fillId="0" borderId="68" xfId="0" applyNumberFormat="1" applyFont="1" applyFill="1" applyBorder="1" applyAlignment="1" applyProtection="1">
      <alignment/>
      <protection/>
    </xf>
    <xf numFmtId="207" fontId="12" fillId="0" borderId="1" xfId="0" applyNumberFormat="1" applyFont="1" applyFill="1" applyBorder="1" applyAlignment="1" applyProtection="1">
      <alignment/>
      <protection/>
    </xf>
    <xf numFmtId="10" fontId="12" fillId="0" borderId="69" xfId="22" applyNumberFormat="1" applyFont="1" applyFill="1" applyBorder="1" applyAlignment="1" applyProtection="1">
      <alignment/>
      <protection/>
    </xf>
    <xf numFmtId="207" fontId="12" fillId="0" borderId="70" xfId="0" applyNumberFormat="1" applyFont="1" applyFill="1" applyBorder="1" applyAlignment="1" applyProtection="1">
      <alignment/>
      <protection/>
    </xf>
    <xf numFmtId="175" fontId="2" fillId="0" borderId="86" xfId="17" applyNumberFormat="1" applyFont="1" applyFill="1" applyBorder="1" applyAlignment="1">
      <alignment/>
    </xf>
    <xf numFmtId="207" fontId="14" fillId="0" borderId="57" xfId="0" applyNumberFormat="1" applyFont="1" applyFill="1" applyBorder="1" applyAlignment="1" applyProtection="1" quotePrefix="1">
      <alignment horizontal="center"/>
      <protection/>
    </xf>
    <xf numFmtId="0" fontId="2" fillId="0" borderId="54" xfId="0" applyFont="1" applyFill="1" applyBorder="1" applyAlignment="1">
      <alignment/>
    </xf>
    <xf numFmtId="207" fontId="12" fillId="0" borderId="68" xfId="0" applyNumberFormat="1" applyFont="1" applyFill="1" applyBorder="1" applyAlignment="1" applyProtection="1">
      <alignment horizontal="left"/>
      <protection/>
    </xf>
    <xf numFmtId="207" fontId="12" fillId="0" borderId="1" xfId="0" applyNumberFormat="1" applyFont="1" applyFill="1" applyBorder="1" applyAlignment="1" applyProtection="1">
      <alignment horizontal="left"/>
      <protection/>
    </xf>
    <xf numFmtId="0" fontId="2" fillId="0" borderId="81" xfId="0" applyFont="1" applyFill="1" applyBorder="1" applyAlignment="1">
      <alignment/>
    </xf>
    <xf numFmtId="37" fontId="12" fillId="0" borderId="9" xfId="0" applyNumberFormat="1" applyFont="1" applyFill="1" applyBorder="1" applyAlignment="1" applyProtection="1">
      <alignment/>
      <protection/>
    </xf>
    <xf numFmtId="37" fontId="12" fillId="0" borderId="87" xfId="0" applyNumberFormat="1" applyFont="1" applyFill="1" applyBorder="1" applyAlignment="1" applyProtection="1">
      <alignment/>
      <protection/>
    </xf>
    <xf numFmtId="0" fontId="12" fillId="0" borderId="81" xfId="0" applyFont="1" applyFill="1" applyBorder="1" applyAlignment="1">
      <alignment horizontal="left"/>
    </xf>
    <xf numFmtId="207" fontId="12" fillId="0" borderId="9" xfId="0" applyNumberFormat="1" applyFont="1" applyFill="1" applyBorder="1" applyAlignment="1" applyProtection="1">
      <alignment/>
      <protection/>
    </xf>
    <xf numFmtId="37" fontId="12" fillId="0" borderId="67" xfId="0" applyNumberFormat="1" applyFont="1" applyFill="1" applyBorder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37" fontId="2" fillId="0" borderId="69" xfId="0" applyNumberFormat="1" applyFont="1" applyFill="1" applyBorder="1" applyAlignment="1" applyProtection="1">
      <alignment/>
      <protection/>
    </xf>
    <xf numFmtId="176" fontId="12" fillId="0" borderId="1" xfId="0" applyNumberFormat="1" applyFont="1" applyFill="1" applyBorder="1" applyAlignment="1" applyProtection="1">
      <alignment/>
      <protection/>
    </xf>
    <xf numFmtId="174" fontId="12" fillId="0" borderId="1" xfId="22" applyNumberFormat="1" applyFont="1" applyFill="1" applyBorder="1" applyAlignment="1" applyProtection="1">
      <alignment/>
      <protection/>
    </xf>
    <xf numFmtId="176" fontId="0" fillId="0" borderId="0" xfId="0" applyNumberFormat="1" applyFill="1" applyAlignment="1">
      <alignment/>
    </xf>
    <xf numFmtId="174" fontId="2" fillId="0" borderId="69" xfId="22" applyNumberFormat="1" applyFont="1" applyFill="1" applyBorder="1" applyAlignment="1" applyProtection="1">
      <alignment/>
      <protection/>
    </xf>
    <xf numFmtId="17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13" fillId="0" borderId="72" xfId="0" applyFont="1" applyFill="1" applyBorder="1" applyAlignment="1">
      <alignment/>
    </xf>
    <xf numFmtId="0" fontId="0" fillId="0" borderId="72" xfId="0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11" xfId="0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10" fillId="0" borderId="22" xfId="21" applyFont="1" applyFill="1" applyBorder="1" applyAlignment="1">
      <alignment/>
      <protection/>
    </xf>
    <xf numFmtId="0" fontId="7" fillId="0" borderId="22" xfId="21" applyFont="1" applyFill="1" applyBorder="1" applyAlignment="1">
      <alignment/>
      <protection/>
    </xf>
    <xf numFmtId="0" fontId="0" fillId="0" borderId="20" xfId="0" applyBorder="1" applyAlignment="1">
      <alignment/>
    </xf>
    <xf numFmtId="37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2006Piec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CB\P81\Periodicals\Estimates\Strata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CCASES\R2006-1\Analysis\VolumesTY03ARPOIR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Y2005B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"/>
      <sheetName val="Sheet1"/>
      <sheetName val="Data"/>
      <sheetName val="Table 1"/>
      <sheetName val="Sheet3"/>
    </sheetNames>
    <sheetDataSet>
      <sheetData sheetId="3">
        <row r="11">
          <cell r="J11" t="str">
            <v>Stratum</v>
          </cell>
          <cell r="K11" t="str">
            <v>Size</v>
          </cell>
          <cell r="L11" t="str">
            <v>Density</v>
          </cell>
          <cell r="M11" t="str">
            <v>Drop</v>
          </cell>
          <cell r="N11" t="str">
            <v>Pallet</v>
          </cell>
        </row>
        <row r="12">
          <cell r="J12">
            <v>1</v>
          </cell>
          <cell r="K12" t="str">
            <v>0 - 5K Pieces/Issue</v>
          </cell>
          <cell r="L12" t="str">
            <v>Low</v>
          </cell>
          <cell r="M12" t="str">
            <v>Collapsed</v>
          </cell>
          <cell r="N12" t="str">
            <v>Low</v>
          </cell>
        </row>
        <row r="13">
          <cell r="J13">
            <v>2</v>
          </cell>
          <cell r="K13" t="str">
            <v>0 - 5K Pieces/Issue</v>
          </cell>
          <cell r="L13" t="str">
            <v>Low</v>
          </cell>
          <cell r="M13" t="str">
            <v>Collapsed</v>
          </cell>
          <cell r="N13" t="str">
            <v>High</v>
          </cell>
        </row>
        <row r="14">
          <cell r="J14">
            <v>3</v>
          </cell>
          <cell r="K14" t="str">
            <v>0 - 5K Pieces/Issue</v>
          </cell>
          <cell r="L14" t="str">
            <v>High</v>
          </cell>
          <cell r="M14" t="str">
            <v>High</v>
          </cell>
          <cell r="N14" t="str">
            <v>Low</v>
          </cell>
        </row>
        <row r="15">
          <cell r="J15">
            <v>4</v>
          </cell>
          <cell r="K15" t="str">
            <v>0 - 5K Pieces/Issue</v>
          </cell>
          <cell r="L15" t="str">
            <v>High</v>
          </cell>
          <cell r="M15" t="str">
            <v>High</v>
          </cell>
          <cell r="N15" t="str">
            <v>High</v>
          </cell>
        </row>
        <row r="16">
          <cell r="J16">
            <v>5</v>
          </cell>
          <cell r="K16" t="str">
            <v>0 - 5K Pieces/Issue</v>
          </cell>
          <cell r="L16" t="str">
            <v>High</v>
          </cell>
          <cell r="M16" t="str">
            <v>Low</v>
          </cell>
          <cell r="N16" t="str">
            <v>Low</v>
          </cell>
        </row>
        <row r="17">
          <cell r="J17">
            <v>6</v>
          </cell>
          <cell r="K17" t="str">
            <v>0 - 5K Pieces/Issue</v>
          </cell>
          <cell r="L17" t="str">
            <v>High</v>
          </cell>
          <cell r="M17" t="str">
            <v>Low</v>
          </cell>
          <cell r="N17" t="str">
            <v>High</v>
          </cell>
        </row>
        <row r="18">
          <cell r="J18">
            <v>7</v>
          </cell>
          <cell r="K18" t="str">
            <v>5K - 15K Pieces/Issue</v>
          </cell>
          <cell r="L18" t="str">
            <v>Low</v>
          </cell>
          <cell r="M18" t="str">
            <v>Collapsed</v>
          </cell>
          <cell r="N18" t="str">
            <v>Low</v>
          </cell>
        </row>
        <row r="19">
          <cell r="J19">
            <v>8</v>
          </cell>
          <cell r="K19" t="str">
            <v>5K - 15K Pieces/Issue</v>
          </cell>
          <cell r="L19" t="str">
            <v>Low</v>
          </cell>
          <cell r="M19" t="str">
            <v>Collapsed</v>
          </cell>
          <cell r="N19" t="str">
            <v>High</v>
          </cell>
        </row>
        <row r="20">
          <cell r="J20">
            <v>9</v>
          </cell>
          <cell r="K20" t="str">
            <v>5K - 15K Pieces/Issue</v>
          </cell>
          <cell r="L20" t="str">
            <v>High</v>
          </cell>
          <cell r="M20" t="str">
            <v>High</v>
          </cell>
          <cell r="N20" t="str">
            <v>Low</v>
          </cell>
        </row>
        <row r="21">
          <cell r="J21">
            <v>10</v>
          </cell>
          <cell r="K21" t="str">
            <v>5K - 15K Pieces/Issue</v>
          </cell>
          <cell r="L21" t="str">
            <v>High</v>
          </cell>
          <cell r="M21" t="str">
            <v>High</v>
          </cell>
          <cell r="N21" t="str">
            <v>High</v>
          </cell>
        </row>
        <row r="22">
          <cell r="J22">
            <v>11</v>
          </cell>
          <cell r="K22" t="str">
            <v>5K - 15K Pieces/Issue</v>
          </cell>
          <cell r="L22" t="str">
            <v>High</v>
          </cell>
          <cell r="M22" t="str">
            <v>Low</v>
          </cell>
          <cell r="N22" t="str">
            <v>Low</v>
          </cell>
        </row>
        <row r="23">
          <cell r="J23">
            <v>12</v>
          </cell>
          <cell r="K23" t="str">
            <v>5K - 15K Pieces/Issue</v>
          </cell>
          <cell r="L23" t="str">
            <v>High</v>
          </cell>
          <cell r="M23" t="str">
            <v>Low</v>
          </cell>
          <cell r="N23" t="str">
            <v>High</v>
          </cell>
        </row>
        <row r="24">
          <cell r="J24">
            <v>13</v>
          </cell>
          <cell r="K24" t="str">
            <v>15K - 100K Pieces/Issue</v>
          </cell>
          <cell r="L24" t="str">
            <v>Low</v>
          </cell>
          <cell r="M24" t="str">
            <v>Collapsed</v>
          </cell>
          <cell r="N24" t="str">
            <v>Low</v>
          </cell>
        </row>
        <row r="25">
          <cell r="J25">
            <v>14</v>
          </cell>
          <cell r="K25" t="str">
            <v>15K - 100K Pieces/Issue</v>
          </cell>
          <cell r="L25" t="str">
            <v>Low</v>
          </cell>
          <cell r="M25" t="str">
            <v>Collapsed</v>
          </cell>
          <cell r="N25" t="str">
            <v>High</v>
          </cell>
        </row>
        <row r="26">
          <cell r="J26">
            <v>15</v>
          </cell>
          <cell r="K26" t="str">
            <v>15K - 100K Pieces/Issue</v>
          </cell>
          <cell r="L26" t="str">
            <v>High</v>
          </cell>
          <cell r="M26" t="str">
            <v>High</v>
          </cell>
          <cell r="N26" t="str">
            <v>Low</v>
          </cell>
        </row>
        <row r="27">
          <cell r="J27">
            <v>16</v>
          </cell>
          <cell r="K27" t="str">
            <v>15K - 100K Pieces/Issue</v>
          </cell>
          <cell r="L27" t="str">
            <v>High</v>
          </cell>
          <cell r="M27" t="str">
            <v>High</v>
          </cell>
          <cell r="N27" t="str">
            <v>High</v>
          </cell>
        </row>
        <row r="28">
          <cell r="J28">
            <v>17</v>
          </cell>
          <cell r="K28" t="str">
            <v>15K - 100K Pieces/Issue</v>
          </cell>
          <cell r="L28" t="str">
            <v>High</v>
          </cell>
          <cell r="M28" t="str">
            <v>Low</v>
          </cell>
          <cell r="N28" t="str">
            <v>Low</v>
          </cell>
        </row>
        <row r="29">
          <cell r="J29">
            <v>18</v>
          </cell>
          <cell r="K29" t="str">
            <v>15K - 100K Pieces/Issue</v>
          </cell>
          <cell r="L29" t="str">
            <v>High</v>
          </cell>
          <cell r="M29" t="str">
            <v>Low</v>
          </cell>
          <cell r="N29" t="str">
            <v>High</v>
          </cell>
        </row>
        <row r="30">
          <cell r="J30">
            <v>19</v>
          </cell>
          <cell r="K30" t="str">
            <v>100K - 300K Pieces/Issue</v>
          </cell>
          <cell r="L30" t="str">
            <v>Low</v>
          </cell>
          <cell r="M30" t="str">
            <v>Collapsed</v>
          </cell>
          <cell r="N30" t="str">
            <v>Low</v>
          </cell>
        </row>
        <row r="31">
          <cell r="J31">
            <v>20</v>
          </cell>
          <cell r="K31" t="str">
            <v>100K - 300K Pieces/Issue</v>
          </cell>
          <cell r="L31" t="str">
            <v>Low</v>
          </cell>
          <cell r="M31" t="str">
            <v>Collapsed</v>
          </cell>
          <cell r="N31" t="str">
            <v>High</v>
          </cell>
        </row>
        <row r="32">
          <cell r="J32">
            <v>21</v>
          </cell>
          <cell r="K32" t="str">
            <v>100K - 300K Pieces/Issue</v>
          </cell>
          <cell r="L32" t="str">
            <v>High</v>
          </cell>
          <cell r="M32" t="str">
            <v>High</v>
          </cell>
          <cell r="N32" t="str">
            <v>Low</v>
          </cell>
        </row>
        <row r="33">
          <cell r="J33">
            <v>22</v>
          </cell>
          <cell r="K33" t="str">
            <v>100K - 300K Pieces/Issue</v>
          </cell>
          <cell r="L33" t="str">
            <v>High</v>
          </cell>
          <cell r="M33" t="str">
            <v>High</v>
          </cell>
          <cell r="N33" t="str">
            <v>High</v>
          </cell>
        </row>
        <row r="34">
          <cell r="J34">
            <v>23</v>
          </cell>
          <cell r="K34" t="str">
            <v>100K - 300K Pieces/Issue</v>
          </cell>
          <cell r="L34" t="str">
            <v>High</v>
          </cell>
          <cell r="M34" t="str">
            <v>Low</v>
          </cell>
          <cell r="N34" t="str">
            <v>Low</v>
          </cell>
        </row>
        <row r="35">
          <cell r="J35">
            <v>24</v>
          </cell>
          <cell r="K35" t="str">
            <v>100K - 300K Pieces/Issue</v>
          </cell>
          <cell r="L35" t="str">
            <v>High</v>
          </cell>
          <cell r="M35" t="str">
            <v>Low</v>
          </cell>
          <cell r="N35" t="str">
            <v>High</v>
          </cell>
        </row>
        <row r="36">
          <cell r="J36">
            <v>25</v>
          </cell>
          <cell r="K36" t="str">
            <v>Over 300K Pieces/Issue</v>
          </cell>
          <cell r="L36" t="str">
            <v>Low</v>
          </cell>
          <cell r="M36" t="str">
            <v>Collapsed</v>
          </cell>
          <cell r="N36" t="str">
            <v>Low</v>
          </cell>
        </row>
        <row r="37">
          <cell r="J37">
            <v>26</v>
          </cell>
          <cell r="K37" t="str">
            <v>Over 300K Pieces/Issue</v>
          </cell>
          <cell r="L37" t="str">
            <v>Low</v>
          </cell>
          <cell r="M37" t="str">
            <v>Collapsed</v>
          </cell>
          <cell r="N37" t="str">
            <v>High</v>
          </cell>
        </row>
        <row r="38">
          <cell r="J38">
            <v>27</v>
          </cell>
          <cell r="K38" t="str">
            <v>Over 300K Pieces/Issue</v>
          </cell>
          <cell r="L38" t="str">
            <v>High</v>
          </cell>
          <cell r="M38" t="str">
            <v>High</v>
          </cell>
          <cell r="N38" t="str">
            <v>Low</v>
          </cell>
        </row>
        <row r="39">
          <cell r="J39">
            <v>28</v>
          </cell>
          <cell r="K39" t="str">
            <v>Over 300K Pieces/Issue</v>
          </cell>
          <cell r="L39" t="str">
            <v>High</v>
          </cell>
          <cell r="M39" t="str">
            <v>High</v>
          </cell>
          <cell r="N39" t="str">
            <v>High</v>
          </cell>
        </row>
        <row r="40">
          <cell r="J40">
            <v>29</v>
          </cell>
          <cell r="K40" t="str">
            <v>Over 300K Pieces/Issue</v>
          </cell>
          <cell r="L40" t="str">
            <v>High</v>
          </cell>
          <cell r="M40" t="str">
            <v>Low</v>
          </cell>
          <cell r="N40" t="str">
            <v>Low</v>
          </cell>
        </row>
        <row r="41">
          <cell r="J41">
            <v>30</v>
          </cell>
          <cell r="K41" t="str">
            <v>Over 300K Pieces/Issue</v>
          </cell>
          <cell r="L41" t="str">
            <v>High</v>
          </cell>
          <cell r="M41" t="str">
            <v>Low</v>
          </cell>
          <cell r="N41" t="str">
            <v>High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-OC-Total"/>
      <sheetName val="RegTY"/>
      <sheetName val="NPTY"/>
      <sheetName val="CRoomTY"/>
      <sheetName val="Vols-Per Reg"/>
      <sheetName val="Vols-Per Non"/>
      <sheetName val="Containers"/>
      <sheetName val="Epoints"/>
      <sheetName val="ContFlow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2005B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95"/>
  <sheetViews>
    <sheetView tabSelected="1" workbookViewId="0" topLeftCell="A1">
      <selection activeCell="B7" sqref="B7"/>
    </sheetView>
  </sheetViews>
  <sheetFormatPr defaultColWidth="9.140625" defaultRowHeight="12.75"/>
  <cols>
    <col min="4" max="4" width="13.7109375" style="0" customWidth="1"/>
    <col min="5" max="5" width="13.421875" style="0" customWidth="1"/>
    <col min="6" max="6" width="11.140625" style="0" customWidth="1"/>
    <col min="7" max="7" width="13.8515625" style="0" customWidth="1"/>
    <col min="14" max="14" width="11.421875" style="0" customWidth="1"/>
    <col min="15" max="15" width="13.7109375" style="0" customWidth="1"/>
    <col min="16" max="16" width="12.140625" style="0" customWidth="1"/>
    <col min="17" max="17" width="12.421875" style="0" customWidth="1"/>
    <col min="18" max="18" width="12.28125" style="0" customWidth="1"/>
    <col min="19" max="19" width="11.140625" style="0" customWidth="1"/>
    <col min="20" max="20" width="12.28125" style="0" customWidth="1"/>
    <col min="21" max="21" width="13.57421875" style="0" customWidth="1"/>
    <col min="22" max="22" width="16.00390625" style="0" customWidth="1"/>
    <col min="23" max="23" width="13.140625" style="0" customWidth="1"/>
    <col min="24" max="24" width="14.140625" style="0" customWidth="1"/>
    <col min="26" max="26" width="12.28125" style="0" customWidth="1"/>
    <col min="27" max="27" width="12.7109375" style="0" bestFit="1" customWidth="1"/>
    <col min="29" max="29" width="16.8515625" style="0" customWidth="1"/>
    <col min="30" max="30" width="12.7109375" style="0" bestFit="1" customWidth="1"/>
    <col min="34" max="34" width="12.140625" style="0" customWidth="1"/>
    <col min="35" max="35" width="12.28125" style="0" customWidth="1"/>
    <col min="36" max="36" width="11.140625" style="0" customWidth="1"/>
    <col min="37" max="37" width="11.7109375" style="0" customWidth="1"/>
    <col min="38" max="38" width="11.28125" style="0" customWidth="1"/>
    <col min="39" max="39" width="11.00390625" style="0" customWidth="1"/>
    <col min="40" max="40" width="13.28125" style="0" customWidth="1"/>
    <col min="41" max="41" width="12.57421875" style="0" customWidth="1"/>
    <col min="42" max="42" width="13.57421875" style="0" customWidth="1"/>
    <col min="43" max="44" width="14.57421875" style="0" customWidth="1"/>
    <col min="49" max="49" width="10.8515625" style="0" customWidth="1"/>
    <col min="50" max="50" width="11.421875" style="0" customWidth="1"/>
    <col min="51" max="51" width="11.7109375" style="0" customWidth="1"/>
    <col min="52" max="52" width="10.7109375" style="0" customWidth="1"/>
    <col min="53" max="53" width="10.28125" style="0" customWidth="1"/>
    <col min="54" max="54" width="11.7109375" style="0" customWidth="1"/>
    <col min="55" max="55" width="13.28125" style="0" customWidth="1"/>
    <col min="56" max="56" width="13.7109375" style="0" customWidth="1"/>
    <col min="57" max="57" width="13.00390625" style="0" customWidth="1"/>
    <col min="58" max="58" width="12.57421875" style="0" customWidth="1"/>
    <col min="62" max="62" width="11.7109375" style="0" customWidth="1"/>
    <col min="63" max="63" width="12.7109375" style="0" customWidth="1"/>
    <col min="64" max="65" width="11.28125" style="0" customWidth="1"/>
    <col min="66" max="66" width="11.421875" style="0" customWidth="1"/>
    <col min="67" max="67" width="12.57421875" style="0" customWidth="1"/>
    <col min="70" max="70" width="11.7109375" style="0" customWidth="1"/>
    <col min="71" max="71" width="10.421875" style="0" customWidth="1"/>
    <col min="72" max="72" width="10.7109375" style="0" customWidth="1"/>
    <col min="73" max="73" width="12.7109375" style="0" customWidth="1"/>
    <col min="76" max="76" width="13.00390625" style="0" customWidth="1"/>
    <col min="77" max="77" width="12.57421875" style="0" customWidth="1"/>
    <col min="78" max="78" width="11.7109375" style="0" customWidth="1"/>
    <col min="79" max="79" width="14.8515625" style="0" customWidth="1"/>
  </cols>
  <sheetData>
    <row r="1" ht="12.75">
      <c r="AB1" s="37"/>
    </row>
    <row r="4" spans="13:62" ht="12.75">
      <c r="M4" t="s">
        <v>61</v>
      </c>
      <c r="AF4" s="1" t="s">
        <v>350</v>
      </c>
      <c r="AU4" s="1" t="s">
        <v>80</v>
      </c>
      <c r="BJ4" s="1" t="s">
        <v>81</v>
      </c>
    </row>
    <row r="5" spans="2:72" ht="15.75">
      <c r="B5" s="263" t="s">
        <v>325</v>
      </c>
      <c r="K5" t="s">
        <v>62</v>
      </c>
      <c r="M5" t="s">
        <v>10</v>
      </c>
      <c r="N5" t="s">
        <v>20</v>
      </c>
      <c r="O5" s="44" t="s">
        <v>56</v>
      </c>
      <c r="T5" s="44" t="s">
        <v>52</v>
      </c>
      <c r="W5" t="s">
        <v>5</v>
      </c>
      <c r="AA5" t="s">
        <v>79</v>
      </c>
      <c r="AF5" t="s">
        <v>10</v>
      </c>
      <c r="AG5" t="s">
        <v>20</v>
      </c>
      <c r="AH5" s="44" t="s">
        <v>56</v>
      </c>
      <c r="AM5" s="44" t="s">
        <v>52</v>
      </c>
      <c r="AP5" t="s">
        <v>5</v>
      </c>
      <c r="AU5" t="s">
        <v>10</v>
      </c>
      <c r="AV5" t="s">
        <v>20</v>
      </c>
      <c r="AW5" s="44" t="s">
        <v>56</v>
      </c>
      <c r="BB5" s="44" t="s">
        <v>52</v>
      </c>
      <c r="BE5" t="s">
        <v>5</v>
      </c>
      <c r="BJ5" t="s">
        <v>10</v>
      </c>
      <c r="BK5" t="s">
        <v>20</v>
      </c>
      <c r="BL5" s="44" t="s">
        <v>56</v>
      </c>
      <c r="BQ5" s="44" t="s">
        <v>52</v>
      </c>
      <c r="BT5" t="s">
        <v>5</v>
      </c>
    </row>
    <row r="6" spans="2:73" ht="12.75" customHeight="1">
      <c r="B6" t="s">
        <v>354</v>
      </c>
      <c r="M6" t="s">
        <v>21</v>
      </c>
      <c r="N6" t="s">
        <v>22</v>
      </c>
      <c r="O6" s="44" t="s">
        <v>0</v>
      </c>
      <c r="P6" s="44" t="s">
        <v>1</v>
      </c>
      <c r="Q6" s="44" t="s">
        <v>51</v>
      </c>
      <c r="R6" s="44" t="s">
        <v>55</v>
      </c>
      <c r="S6" s="47" t="s">
        <v>60</v>
      </c>
      <c r="T6" s="44" t="s">
        <v>1</v>
      </c>
      <c r="U6" s="44" t="s">
        <v>51</v>
      </c>
      <c r="V6" s="44" t="s">
        <v>55</v>
      </c>
      <c r="W6" s="48" t="s">
        <v>9</v>
      </c>
      <c r="X6" s="48" t="s">
        <v>6</v>
      </c>
      <c r="AB6" s="63" t="s">
        <v>69</v>
      </c>
      <c r="AC6" s="63" t="s">
        <v>70</v>
      </c>
      <c r="AD6" s="63" t="s">
        <v>71</v>
      </c>
      <c r="AF6" t="s">
        <v>21</v>
      </c>
      <c r="AG6" t="s">
        <v>22</v>
      </c>
      <c r="AH6" s="44" t="s">
        <v>0</v>
      </c>
      <c r="AI6" s="44" t="s">
        <v>1</v>
      </c>
      <c r="AJ6" s="44" t="s">
        <v>51</v>
      </c>
      <c r="AK6" s="44" t="s">
        <v>55</v>
      </c>
      <c r="AL6" s="47" t="s">
        <v>60</v>
      </c>
      <c r="AM6" s="44" t="s">
        <v>1</v>
      </c>
      <c r="AN6" s="44" t="s">
        <v>51</v>
      </c>
      <c r="AO6" s="44" t="s">
        <v>55</v>
      </c>
      <c r="AP6" s="48" t="s">
        <v>9</v>
      </c>
      <c r="AQ6" s="48" t="s">
        <v>6</v>
      </c>
      <c r="AR6" s="73"/>
      <c r="AU6" t="s">
        <v>21</v>
      </c>
      <c r="AV6" t="s">
        <v>22</v>
      </c>
      <c r="AW6" s="44" t="s">
        <v>0</v>
      </c>
      <c r="AX6" s="44" t="s">
        <v>1</v>
      </c>
      <c r="AY6" s="44" t="s">
        <v>51</v>
      </c>
      <c r="AZ6" s="44" t="s">
        <v>55</v>
      </c>
      <c r="BA6" s="47" t="s">
        <v>60</v>
      </c>
      <c r="BB6" s="44" t="s">
        <v>1</v>
      </c>
      <c r="BC6" s="44" t="s">
        <v>51</v>
      </c>
      <c r="BD6" s="44" t="s">
        <v>55</v>
      </c>
      <c r="BE6" s="48" t="s">
        <v>9</v>
      </c>
      <c r="BF6" s="48" t="s">
        <v>6</v>
      </c>
      <c r="BJ6" t="s">
        <v>21</v>
      </c>
      <c r="BK6" t="s">
        <v>22</v>
      </c>
      <c r="BL6" s="44" t="s">
        <v>0</v>
      </c>
      <c r="BM6" s="44" t="s">
        <v>1</v>
      </c>
      <c r="BN6" s="44" t="s">
        <v>51</v>
      </c>
      <c r="BO6" s="44" t="s">
        <v>55</v>
      </c>
      <c r="BP6" s="47" t="s">
        <v>60</v>
      </c>
      <c r="BQ6" s="44" t="s">
        <v>1</v>
      </c>
      <c r="BR6" s="44" t="s">
        <v>51</v>
      </c>
      <c r="BS6" s="44" t="s">
        <v>55</v>
      </c>
      <c r="BT6" s="48" t="s">
        <v>9</v>
      </c>
      <c r="BU6" s="48" t="s">
        <v>6</v>
      </c>
    </row>
    <row r="7" spans="2:73" ht="12.75" customHeight="1">
      <c r="B7" s="10"/>
      <c r="C7" s="11"/>
      <c r="D7" s="62" t="s">
        <v>69</v>
      </c>
      <c r="E7" s="62" t="s">
        <v>70</v>
      </c>
      <c r="F7" s="62" t="s">
        <v>71</v>
      </c>
      <c r="G7" s="85" t="s">
        <v>94</v>
      </c>
      <c r="K7" s="44" t="s">
        <v>34</v>
      </c>
      <c r="L7" s="44" t="s">
        <v>29</v>
      </c>
      <c r="M7" s="44" t="s">
        <v>0</v>
      </c>
      <c r="N7" t="str">
        <f aca="true" t="shared" si="0" ref="N7:N26">K7&amp;"/"&amp;L7</f>
        <v>NBC/NM</v>
      </c>
      <c r="O7" s="45">
        <v>1975635.467</v>
      </c>
      <c r="W7" s="2">
        <f>SUM(O7:S7)</f>
        <v>1975635.467</v>
      </c>
      <c r="X7" s="2">
        <f>SUM(T7:V7)</f>
        <v>0</v>
      </c>
      <c r="AA7" t="s">
        <v>72</v>
      </c>
      <c r="AB7" s="37">
        <f>'FY2005_BD'!N34</f>
        <v>0.8454065669143261</v>
      </c>
      <c r="AC7" s="37">
        <f>'FY2005_BD'!O34</f>
        <v>0.13801462700904676</v>
      </c>
      <c r="AD7" s="37">
        <f>'FY2005_BD'!P34</f>
        <v>0.016578806076627005</v>
      </c>
      <c r="AF7" s="44" t="s">
        <v>0</v>
      </c>
      <c r="AG7" t="str">
        <f>$N7</f>
        <v>NBC/NM</v>
      </c>
      <c r="AH7" s="45">
        <f>$O7*$AB$7*$AD$19</f>
        <v>1647683.606687483</v>
      </c>
      <c r="AP7" s="2">
        <f>SUM(AH7:AL7)</f>
        <v>1647683.606687483</v>
      </c>
      <c r="AQ7" s="2">
        <f>SUM(AM7:AO7)</f>
        <v>0</v>
      </c>
      <c r="AR7" s="2"/>
      <c r="AU7" s="44" t="s">
        <v>0</v>
      </c>
      <c r="AV7" t="str">
        <f>$N7</f>
        <v>NBC/NM</v>
      </c>
      <c r="AW7" s="45">
        <f>$O7*$AC$7*$AD$19</f>
        <v>268988.2564266136</v>
      </c>
      <c r="BE7" s="2">
        <f>SUM(AW7:BA7)</f>
        <v>268988.2564266136</v>
      </c>
      <c r="BF7" s="2">
        <f>SUM(BB7:BD7)</f>
        <v>0</v>
      </c>
      <c r="BJ7" s="44" t="s">
        <v>0</v>
      </c>
      <c r="BK7" t="str">
        <f>$N7</f>
        <v>NBC/NM</v>
      </c>
      <c r="BL7" s="45">
        <f>$O7*$AD$7*$AD$19</f>
        <v>32311.82257149112</v>
      </c>
      <c r="BT7" s="2">
        <f>SUM(BL7:BP7)</f>
        <v>32311.82257149112</v>
      </c>
      <c r="BU7" s="2">
        <f>SUM(BQ7:BS7)</f>
        <v>0</v>
      </c>
    </row>
    <row r="8" spans="2:73" ht="12.75" customHeight="1">
      <c r="B8" s="10" t="s">
        <v>0</v>
      </c>
      <c r="C8" s="11" t="s">
        <v>23</v>
      </c>
      <c r="D8" s="30">
        <f>SUM(AH69:AP69)</f>
        <v>1663501.3693116829</v>
      </c>
      <c r="E8" s="30">
        <f>SUM(AW69:BE69)</f>
        <v>263608.49129808135</v>
      </c>
      <c r="F8" s="30">
        <f>SUM(BL69:BT69)</f>
        <v>31672.048484575596</v>
      </c>
      <c r="G8" s="31">
        <f>SUM(D8:F8)</f>
        <v>1958781.90909434</v>
      </c>
      <c r="K8" s="44" t="s">
        <v>34</v>
      </c>
      <c r="L8" s="44" t="s">
        <v>30</v>
      </c>
      <c r="M8" s="44" t="s">
        <v>0</v>
      </c>
      <c r="N8" t="str">
        <f t="shared" si="0"/>
        <v>NBC/M</v>
      </c>
      <c r="O8" s="45">
        <v>16958529.626000002</v>
      </c>
      <c r="W8" s="2">
        <f aca="true" t="shared" si="1" ref="W8:W26">SUM(O8:S8)</f>
        <v>16958529.626000002</v>
      </c>
      <c r="X8" s="2">
        <f aca="true" t="shared" si="2" ref="X8:X26">SUM(T8:V8)</f>
        <v>0</v>
      </c>
      <c r="AA8" t="s">
        <v>73</v>
      </c>
      <c r="AB8" s="37">
        <f>'FY2005_BD'!N35</f>
        <v>0.8412198964603748</v>
      </c>
      <c r="AC8" s="37">
        <f>'FY2005_BD'!O35</f>
        <v>0.15081539211820305</v>
      </c>
      <c r="AD8" s="37">
        <f>'FY2005_BD'!P35</f>
        <v>0.00796471142142221</v>
      </c>
      <c r="AF8" s="44" t="s">
        <v>0</v>
      </c>
      <c r="AG8" t="str">
        <f aca="true" t="shared" si="3" ref="AG8:AG26">$N8</f>
        <v>NBC/M</v>
      </c>
      <c r="AH8" s="45">
        <f>$O8*$AB$7*$AD$19</f>
        <v>14143444.843453104</v>
      </c>
      <c r="AP8" s="2">
        <f aca="true" t="shared" si="4" ref="AP8:AP26">SUM(AH8:AL8)</f>
        <v>14143444.843453104</v>
      </c>
      <c r="AQ8" s="2">
        <f aca="true" t="shared" si="5" ref="AQ8:AQ26">SUM(AM8:AO8)</f>
        <v>0</v>
      </c>
      <c r="AR8" s="2"/>
      <c r="AU8" s="44" t="s">
        <v>0</v>
      </c>
      <c r="AV8" t="str">
        <f aca="true" t="shared" si="6" ref="AV8:AV26">$N8</f>
        <v>NBC/M</v>
      </c>
      <c r="AW8" s="45">
        <f>$O8*$AC$7*$AD$19</f>
        <v>2308950.9131882847</v>
      </c>
      <c r="BE8" s="2">
        <f aca="true" t="shared" si="7" ref="BE8:BE26">SUM(AW8:BA8)</f>
        <v>2308950.9131882847</v>
      </c>
      <c r="BF8" s="2">
        <f aca="true" t="shared" si="8" ref="BF8:BF26">SUM(BB8:BD8)</f>
        <v>0</v>
      </c>
      <c r="BJ8" s="44" t="s">
        <v>0</v>
      </c>
      <c r="BK8" t="str">
        <f aca="true" t="shared" si="9" ref="BK8:BK26">$N8</f>
        <v>NBC/M</v>
      </c>
      <c r="BL8" s="45">
        <f>$O8*$AD$7*$AD$19</f>
        <v>277359.36588583613</v>
      </c>
      <c r="BT8" s="2">
        <f aca="true" t="shared" si="10" ref="BT8:BT26">SUM(BL8:BP8)</f>
        <v>277359.36588583613</v>
      </c>
      <c r="BU8" s="2">
        <f aca="true" t="shared" si="11" ref="BU8:BU26">SUM(BQ8:BS8)</f>
        <v>0</v>
      </c>
    </row>
    <row r="9" spans="2:73" ht="12.75" customHeight="1">
      <c r="B9" s="4"/>
      <c r="C9" s="17" t="s">
        <v>24</v>
      </c>
      <c r="D9" s="5">
        <f>SUM(AH70:AP70)</f>
        <v>14279221.913950255</v>
      </c>
      <c r="E9" s="5">
        <f>SUM(AW70:BE70)</f>
        <v>2262771.894924519</v>
      </c>
      <c r="F9" s="5">
        <f>SUM(BL70:BT70)</f>
        <v>271867.6504412966</v>
      </c>
      <c r="G9" s="6">
        <f aca="true" t="shared" si="12" ref="G9:G27">SUM(D9:F9)</f>
        <v>16813861.45931607</v>
      </c>
      <c r="K9" s="44" t="s">
        <v>35</v>
      </c>
      <c r="L9" s="44" t="s">
        <v>29</v>
      </c>
      <c r="M9" s="44" t="s">
        <v>0</v>
      </c>
      <c r="N9" t="str">
        <f t="shared" si="0"/>
        <v>BC/NM</v>
      </c>
      <c r="O9" s="45">
        <v>2906529.851</v>
      </c>
      <c r="W9" s="2">
        <f t="shared" si="1"/>
        <v>2906529.851</v>
      </c>
      <c r="X9" s="2">
        <f t="shared" si="2"/>
        <v>0</v>
      </c>
      <c r="AA9" t="s">
        <v>74</v>
      </c>
      <c r="AB9" s="37">
        <f>'FY2005_BD'!N36</f>
        <v>0.8421123176880763</v>
      </c>
      <c r="AC9" s="37">
        <f>'FY2005_BD'!O36</f>
        <v>0.12889410802371382</v>
      </c>
      <c r="AD9" s="37">
        <f>'FY2005_BD'!P36</f>
        <v>0.028993574288209804</v>
      </c>
      <c r="AF9" s="44" t="s">
        <v>0</v>
      </c>
      <c r="AG9" t="str">
        <f t="shared" si="3"/>
        <v>BC/NM</v>
      </c>
      <c r="AH9" s="45">
        <f>$O9*$AB$8*$AD$20</f>
        <v>2548805.5238122707</v>
      </c>
      <c r="AP9" s="2">
        <f t="shared" si="4"/>
        <v>2548805.5238122707</v>
      </c>
      <c r="AQ9" s="2">
        <f t="shared" si="5"/>
        <v>0</v>
      </c>
      <c r="AR9" s="2"/>
      <c r="AU9" s="44" t="s">
        <v>0</v>
      </c>
      <c r="AV9" t="str">
        <f t="shared" si="6"/>
        <v>BC/NM</v>
      </c>
      <c r="AW9" s="45">
        <f>$O9*$AC$8*$AD$20</f>
        <v>456954.366063186</v>
      </c>
      <c r="BE9" s="2">
        <f t="shared" si="7"/>
        <v>456954.366063186</v>
      </c>
      <c r="BF9" s="2">
        <f t="shared" si="8"/>
        <v>0</v>
      </c>
      <c r="BJ9" s="44" t="s">
        <v>0</v>
      </c>
      <c r="BK9" t="str">
        <f t="shared" si="9"/>
        <v>BC/NM</v>
      </c>
      <c r="BL9" s="45">
        <f>$O9*$AD$8*$AD$20</f>
        <v>24132.21626344148</v>
      </c>
      <c r="BT9" s="2">
        <f t="shared" si="10"/>
        <v>24132.21626344148</v>
      </c>
      <c r="BU9" s="2">
        <f t="shared" si="11"/>
        <v>0</v>
      </c>
    </row>
    <row r="10" spans="2:73" ht="12.75" customHeight="1">
      <c r="B10" s="4"/>
      <c r="C10" s="17" t="s">
        <v>25</v>
      </c>
      <c r="D10" s="5">
        <f>SUM(AH71:AP71)</f>
        <v>2573274.0568408687</v>
      </c>
      <c r="E10" s="5">
        <f>SUM(AW71:BE71)</f>
        <v>447815.2787419223</v>
      </c>
      <c r="F10" s="5">
        <f>SUM(BL71:BT71)</f>
        <v>23654.39838142534</v>
      </c>
      <c r="G10" s="6">
        <f t="shared" si="12"/>
        <v>3044743.7339642164</v>
      </c>
      <c r="K10" s="44" t="s">
        <v>35</v>
      </c>
      <c r="L10" s="44" t="s">
        <v>30</v>
      </c>
      <c r="M10" s="44" t="s">
        <v>0</v>
      </c>
      <c r="N10" t="str">
        <f t="shared" si="0"/>
        <v>BC/M</v>
      </c>
      <c r="O10" s="45">
        <v>9105499.306</v>
      </c>
      <c r="W10" s="2">
        <f t="shared" si="1"/>
        <v>9105499.306</v>
      </c>
      <c r="X10" s="2">
        <f t="shared" si="2"/>
        <v>0</v>
      </c>
      <c r="AA10" t="s">
        <v>75</v>
      </c>
      <c r="AB10" s="37">
        <f>'FY2005_BD'!N37</f>
        <v>0.8459457207124482</v>
      </c>
      <c r="AC10" s="37">
        <f>'FY2005_BD'!O37</f>
        <v>0.14398594161696215</v>
      </c>
      <c r="AD10" s="37">
        <f>'FY2005_BD'!P37</f>
        <v>0.010068337670589579</v>
      </c>
      <c r="AF10" s="44" t="s">
        <v>0</v>
      </c>
      <c r="AG10" t="str">
        <f t="shared" si="3"/>
        <v>BC/M</v>
      </c>
      <c r="AH10" s="45">
        <f>$O10*$AB$8*$AD$20</f>
        <v>7984830.061255614</v>
      </c>
      <c r="AP10" s="2">
        <f t="shared" si="4"/>
        <v>7984830.061255614</v>
      </c>
      <c r="AQ10" s="2">
        <f t="shared" si="5"/>
        <v>0</v>
      </c>
      <c r="AR10" s="2"/>
      <c r="AU10" s="44" t="s">
        <v>0</v>
      </c>
      <c r="AV10" t="str">
        <f t="shared" si="6"/>
        <v>BC/M</v>
      </c>
      <c r="AW10" s="45">
        <f>$O10*$AC$8*$AD$20</f>
        <v>1431534.4676850562</v>
      </c>
      <c r="BE10" s="2">
        <f t="shared" si="7"/>
        <v>1431534.4676850562</v>
      </c>
      <c r="BF10" s="2">
        <f t="shared" si="8"/>
        <v>0</v>
      </c>
      <c r="BJ10" s="44" t="s">
        <v>0</v>
      </c>
      <c r="BK10" t="str">
        <f t="shared" si="9"/>
        <v>BC/M</v>
      </c>
      <c r="BL10" s="45">
        <f>$O10*$AD$8*$AD$20</f>
        <v>75600.76438348209</v>
      </c>
      <c r="BT10" s="2">
        <f t="shared" si="10"/>
        <v>75600.76438348209</v>
      </c>
      <c r="BU10" s="2">
        <f t="shared" si="11"/>
        <v>0</v>
      </c>
    </row>
    <row r="11" spans="2:73" ht="12.75" customHeight="1">
      <c r="B11" s="4"/>
      <c r="C11" s="17" t="s">
        <v>26</v>
      </c>
      <c r="D11" s="5">
        <f>SUM(AH72:AP72)</f>
        <v>8061484.429843669</v>
      </c>
      <c r="E11" s="5">
        <f>SUM(AW72:BE72)</f>
        <v>1402903.778331355</v>
      </c>
      <c r="F11" s="5">
        <f>SUM(BL72:BT72)</f>
        <v>74103.86924868914</v>
      </c>
      <c r="G11" s="6">
        <f t="shared" si="12"/>
        <v>9538492.077423712</v>
      </c>
      <c r="K11" s="44" t="s">
        <v>34</v>
      </c>
      <c r="L11" s="44" t="s">
        <v>29</v>
      </c>
      <c r="M11" s="44" t="s">
        <v>1</v>
      </c>
      <c r="N11" t="str">
        <f t="shared" si="0"/>
        <v>NBC/NM</v>
      </c>
      <c r="O11" s="45">
        <v>5194056.075999999</v>
      </c>
      <c r="P11" s="45">
        <v>4911237.2129999995</v>
      </c>
      <c r="Q11" s="46"/>
      <c r="R11" s="44"/>
      <c r="S11" s="44"/>
      <c r="T11" s="45">
        <v>789557.3310000001</v>
      </c>
      <c r="V11" s="46"/>
      <c r="W11" s="2">
        <f t="shared" si="1"/>
        <v>10105293.288999999</v>
      </c>
      <c r="X11" s="2">
        <f t="shared" si="2"/>
        <v>789557.3310000001</v>
      </c>
      <c r="Y11" s="44"/>
      <c r="AA11" t="s">
        <v>76</v>
      </c>
      <c r="AB11" s="37">
        <f>'FY2005_BD'!N38</f>
        <v>0.7913253057687215</v>
      </c>
      <c r="AC11" s="37">
        <f>'FY2005_BD'!O38</f>
        <v>0.19775081951437648</v>
      </c>
      <c r="AD11" s="37">
        <f>'FY2005_BD'!P38</f>
        <v>0.010923874716901925</v>
      </c>
      <c r="AF11" s="44" t="s">
        <v>1</v>
      </c>
      <c r="AG11" t="str">
        <f t="shared" si="3"/>
        <v>NBC/NM</v>
      </c>
      <c r="AH11" s="45">
        <f>$O11*$AB$7*$AD$19</f>
        <v>4331852.303520482</v>
      </c>
      <c r="AI11" s="45">
        <f>$P11*$AB$7*$AD$19</f>
        <v>4095980.852531243</v>
      </c>
      <c r="AJ11" s="46"/>
      <c r="AK11" s="44"/>
      <c r="AL11" s="44"/>
      <c r="AM11" s="45">
        <f>$T11*$AB$7*$AD$19</f>
        <v>658492.2636583862</v>
      </c>
      <c r="AO11" s="46"/>
      <c r="AP11" s="2">
        <f t="shared" si="4"/>
        <v>8427833.156051725</v>
      </c>
      <c r="AQ11" s="2">
        <f t="shared" si="5"/>
        <v>658492.2636583862</v>
      </c>
      <c r="AR11" s="2"/>
      <c r="AU11" s="44" t="s">
        <v>1</v>
      </c>
      <c r="AV11" t="str">
        <f t="shared" si="6"/>
        <v>NBC/NM</v>
      </c>
      <c r="AW11" s="45">
        <f>$O11*$AC$7*$AD$19</f>
        <v>707185.161940251</v>
      </c>
      <c r="AX11" s="45">
        <f>$P11*$AC$7*$AD$19</f>
        <v>668678.5881751794</v>
      </c>
      <c r="AY11" s="46"/>
      <c r="AZ11" s="44"/>
      <c r="BA11" s="44"/>
      <c r="BB11" s="45">
        <f>$T11*$AC$7*$AD$19</f>
        <v>107500.42371786428</v>
      </c>
      <c r="BD11" s="46"/>
      <c r="BE11" s="2">
        <f t="shared" si="7"/>
        <v>1375863.7501154304</v>
      </c>
      <c r="BF11" s="2">
        <f t="shared" si="8"/>
        <v>107500.42371786428</v>
      </c>
      <c r="BJ11" s="44" t="s">
        <v>1</v>
      </c>
      <c r="BK11" t="str">
        <f t="shared" si="9"/>
        <v>NBC/NM</v>
      </c>
      <c r="BL11" s="45">
        <f>$O11*$AD$7*$AD$19</f>
        <v>84949.58769338968</v>
      </c>
      <c r="BM11" s="45">
        <f>$P11*$AD$7*$AD$19</f>
        <v>80324.04159757905</v>
      </c>
      <c r="BN11" s="46"/>
      <c r="BO11" s="44"/>
      <c r="BP11" s="44"/>
      <c r="BQ11" s="45">
        <f>$T11*$AD$7*$AD$19</f>
        <v>12913.33184457965</v>
      </c>
      <c r="BS11" s="46"/>
      <c r="BT11" s="2">
        <f t="shared" si="10"/>
        <v>165273.62929096873</v>
      </c>
      <c r="BU11" s="2">
        <f t="shared" si="11"/>
        <v>12913.33184457965</v>
      </c>
    </row>
    <row r="12" spans="2:73" ht="12.75" customHeight="1">
      <c r="B12" s="4" t="s">
        <v>1</v>
      </c>
      <c r="C12" s="17" t="s">
        <v>23</v>
      </c>
      <c r="D12" s="5">
        <f>SUM(AH73:AP73)</f>
        <v>9173554.143739328</v>
      </c>
      <c r="E12" s="5">
        <f>SUM(AW73:BE73)</f>
        <v>1453696.8903566287</v>
      </c>
      <c r="F12" s="5">
        <f>SUM(BL73:BT73)</f>
        <v>174658.8593050645</v>
      </c>
      <c r="G12" s="6">
        <f t="shared" si="12"/>
        <v>10801909.893401021</v>
      </c>
      <c r="K12" s="44" t="s">
        <v>34</v>
      </c>
      <c r="L12" s="44" t="s">
        <v>30</v>
      </c>
      <c r="M12" s="44" t="s">
        <v>1</v>
      </c>
      <c r="N12" t="str">
        <f t="shared" si="0"/>
        <v>NBC/M</v>
      </c>
      <c r="O12" s="45">
        <v>22697930.926</v>
      </c>
      <c r="P12" s="45">
        <v>22992739.19700001</v>
      </c>
      <c r="Q12" s="46"/>
      <c r="R12" s="44"/>
      <c r="S12" s="44"/>
      <c r="T12" s="45">
        <v>566108.4120000001</v>
      </c>
      <c r="U12" s="44"/>
      <c r="V12" s="46"/>
      <c r="W12" s="2">
        <f t="shared" si="1"/>
        <v>45690670.12300001</v>
      </c>
      <c r="X12" s="2">
        <f t="shared" si="2"/>
        <v>566108.4120000001</v>
      </c>
      <c r="Y12" s="44"/>
      <c r="AA12" t="s">
        <v>77</v>
      </c>
      <c r="AB12" s="37">
        <f>'FY2005_BD'!N39</f>
        <v>0.8216664263560798</v>
      </c>
      <c r="AC12" s="37">
        <f>'FY2005_BD'!O39</f>
        <v>0.17139818348219557</v>
      </c>
      <c r="AD12" s="37">
        <f>'FY2005_BD'!P39</f>
        <v>0.006935390161724754</v>
      </c>
      <c r="AF12" s="44" t="s">
        <v>1</v>
      </c>
      <c r="AG12" t="str">
        <f t="shared" si="3"/>
        <v>NBC/M</v>
      </c>
      <c r="AH12" s="45">
        <f>$O12*$AB$7*$AD$19</f>
        <v>18930116.065027617</v>
      </c>
      <c r="AI12" s="45">
        <f>$P12*$AB$7*$AD$19</f>
        <v>19175986.704301074</v>
      </c>
      <c r="AJ12" s="46"/>
      <c r="AK12" s="44"/>
      <c r="AL12" s="44"/>
      <c r="AM12" s="45">
        <f>$T12*$AB$7*$AD$19</f>
        <v>472135.45496664423</v>
      </c>
      <c r="AN12" s="44"/>
      <c r="AO12" s="46"/>
      <c r="AP12" s="2">
        <f t="shared" si="4"/>
        <v>38106102.76932869</v>
      </c>
      <c r="AQ12" s="2">
        <f t="shared" si="5"/>
        <v>472135.45496664423</v>
      </c>
      <c r="AR12" s="2"/>
      <c r="AU12" s="44" t="s">
        <v>1</v>
      </c>
      <c r="AV12" t="str">
        <f t="shared" si="6"/>
        <v>NBC/M</v>
      </c>
      <c r="AW12" s="45">
        <f>$O12*$AC$7*$AD$19</f>
        <v>3090386.3421462113</v>
      </c>
      <c r="AX12" s="45">
        <f>$P12*$AC$7*$AD$19</f>
        <v>3130525.307112686</v>
      </c>
      <c r="AY12" s="46"/>
      <c r="AZ12" s="44"/>
      <c r="BA12" s="44"/>
      <c r="BB12" s="45">
        <f>$T12*$AC$7*$AD$19</f>
        <v>77077.23273643735</v>
      </c>
      <c r="BC12" s="44"/>
      <c r="BD12" s="46"/>
      <c r="BE12" s="2">
        <f t="shared" si="7"/>
        <v>6220911.649258897</v>
      </c>
      <c r="BF12" s="2">
        <f t="shared" si="8"/>
        <v>77077.23273643735</v>
      </c>
      <c r="BJ12" s="44" t="s">
        <v>1</v>
      </c>
      <c r="BK12" t="str">
        <f t="shared" si="9"/>
        <v>NBC/M</v>
      </c>
      <c r="BL12" s="45">
        <f>$O12*$AD$7*$AD$19</f>
        <v>371228.15877291246</v>
      </c>
      <c r="BM12" s="45">
        <f>$P12*$AD$7*$AD$19</f>
        <v>376049.7934845151</v>
      </c>
      <c r="BN12" s="46"/>
      <c r="BO12" s="44"/>
      <c r="BP12" s="44"/>
      <c r="BQ12" s="45">
        <f>$T12*$AD$7*$AD$19</f>
        <v>9258.790333699046</v>
      </c>
      <c r="BR12" s="44"/>
      <c r="BS12" s="46"/>
      <c r="BT12" s="2">
        <f t="shared" si="10"/>
        <v>747277.9522574276</v>
      </c>
      <c r="BU12" s="2">
        <f t="shared" si="11"/>
        <v>9258.790333699046</v>
      </c>
    </row>
    <row r="13" spans="2:73" ht="12.75" customHeight="1">
      <c r="B13" s="4"/>
      <c r="C13" s="17" t="s">
        <v>24</v>
      </c>
      <c r="D13" s="5">
        <f>SUM(AH74:AP74)</f>
        <v>38948589.31124857</v>
      </c>
      <c r="E13" s="5">
        <f>SUM(AW74:BE74)</f>
        <v>6172029.104355427</v>
      </c>
      <c r="F13" s="5">
        <f>SUM(BL74:BT74)</f>
        <v>741557.3150878223</v>
      </c>
      <c r="G13" s="6">
        <f t="shared" si="12"/>
        <v>45862175.73069182</v>
      </c>
      <c r="K13" s="44" t="s">
        <v>35</v>
      </c>
      <c r="L13" s="44" t="s">
        <v>29</v>
      </c>
      <c r="M13" s="44" t="s">
        <v>1</v>
      </c>
      <c r="N13" t="str">
        <f t="shared" si="0"/>
        <v>BC/NM</v>
      </c>
      <c r="O13" s="45">
        <v>13224969.567</v>
      </c>
      <c r="P13" s="45">
        <v>9924763.473000001</v>
      </c>
      <c r="Q13" s="46"/>
      <c r="R13" s="44"/>
      <c r="S13" s="44"/>
      <c r="T13" s="45">
        <v>606614.4460000001</v>
      </c>
      <c r="U13" s="44"/>
      <c r="V13" s="46"/>
      <c r="W13" s="2">
        <f t="shared" si="1"/>
        <v>23149733.04</v>
      </c>
      <c r="X13" s="2">
        <f t="shared" si="2"/>
        <v>606614.4460000001</v>
      </c>
      <c r="Y13" s="44"/>
      <c r="AA13" t="s">
        <v>78</v>
      </c>
      <c r="AB13" s="37">
        <f>'FY2005_BD'!N40</f>
        <v>0.723129085772422</v>
      </c>
      <c r="AC13" s="37">
        <f>'FY2005_BD'!O40</f>
        <v>0.27122931330962796</v>
      </c>
      <c r="AD13" s="37">
        <f>'FY2005_BD'!P40</f>
        <v>0.005641600917950081</v>
      </c>
      <c r="AF13" s="44" t="s">
        <v>1</v>
      </c>
      <c r="AG13" t="str">
        <f t="shared" si="3"/>
        <v>BC/NM</v>
      </c>
      <c r="AH13" s="45">
        <f>$O13*$AB$8*$AD$20</f>
        <v>11597292.03297929</v>
      </c>
      <c r="AI13" s="45">
        <f>$P13*$AB$8*$AD$20</f>
        <v>8703262.398564184</v>
      </c>
      <c r="AJ13" s="46"/>
      <c r="AK13" s="44"/>
      <c r="AL13" s="44"/>
      <c r="AM13" s="45">
        <f>$T13*$AB$8*$AD$20</f>
        <v>531954.7123375203</v>
      </c>
      <c r="AN13" s="44"/>
      <c r="AO13" s="46"/>
      <c r="AP13" s="2">
        <f t="shared" si="4"/>
        <v>20300554.431543473</v>
      </c>
      <c r="AQ13" s="2">
        <f t="shared" si="5"/>
        <v>531954.7123375203</v>
      </c>
      <c r="AR13" s="2"/>
      <c r="AU13" s="44" t="s">
        <v>1</v>
      </c>
      <c r="AV13" t="str">
        <f t="shared" si="6"/>
        <v>BC/NM</v>
      </c>
      <c r="AW13" s="45">
        <f>$O13*$AC$8*$AD$20</f>
        <v>2079183.0445554275</v>
      </c>
      <c r="AX13" s="45">
        <f>$P13*$AC$8*$AD$20</f>
        <v>1560336.2888467994</v>
      </c>
      <c r="AY13" s="46"/>
      <c r="AZ13" s="44"/>
      <c r="BA13" s="44"/>
      <c r="BB13" s="45">
        <f>$T13*$AC$8*$AD$20</f>
        <v>95369.78246458783</v>
      </c>
      <c r="BC13" s="44"/>
      <c r="BD13" s="46"/>
      <c r="BE13" s="2">
        <f t="shared" si="7"/>
        <v>3639519.3334022267</v>
      </c>
      <c r="BF13" s="2">
        <f t="shared" si="8"/>
        <v>95369.78246458783</v>
      </c>
      <c r="BJ13" s="44" t="s">
        <v>1</v>
      </c>
      <c r="BK13" t="str">
        <f t="shared" si="9"/>
        <v>BC/NM</v>
      </c>
      <c r="BL13" s="45">
        <f>$O13*$AD$8*$AD$20</f>
        <v>109803.73229556625</v>
      </c>
      <c r="BM13" s="45">
        <f>$P13*$AD$8*$AD$20</f>
        <v>82402.91714586646</v>
      </c>
      <c r="BN13" s="46"/>
      <c r="BO13" s="44"/>
      <c r="BP13" s="44"/>
      <c r="BQ13" s="45">
        <f>$T13*$AD$8*$AD$20</f>
        <v>5036.573422551699</v>
      </c>
      <c r="BR13" s="44"/>
      <c r="BS13" s="46"/>
      <c r="BT13" s="2">
        <f t="shared" si="10"/>
        <v>192206.64944143273</v>
      </c>
      <c r="BU13" s="2">
        <f t="shared" si="11"/>
        <v>5036.573422551699</v>
      </c>
    </row>
    <row r="14" spans="2:73" ht="12.75" customHeight="1">
      <c r="B14" s="4"/>
      <c r="C14" s="17" t="s">
        <v>25</v>
      </c>
      <c r="D14" s="5">
        <f>SUM(AH75:AP75)</f>
        <v>21032501.231662255</v>
      </c>
      <c r="E14" s="5">
        <f>SUM(AW75:BE75)</f>
        <v>3660191.3335494786</v>
      </c>
      <c r="F14" s="5">
        <f>SUM(BL75:BT75)</f>
        <v>193337.80705127752</v>
      </c>
      <c r="G14" s="6">
        <f t="shared" si="12"/>
        <v>24886030.37226301</v>
      </c>
      <c r="K14" s="44" t="s">
        <v>35</v>
      </c>
      <c r="L14" s="44" t="s">
        <v>30</v>
      </c>
      <c r="M14" s="44" t="s">
        <v>1</v>
      </c>
      <c r="N14" t="str">
        <f t="shared" si="0"/>
        <v>BC/M</v>
      </c>
      <c r="O14" s="45">
        <v>48260411.33600002</v>
      </c>
      <c r="P14" s="45">
        <v>65523394.896</v>
      </c>
      <c r="Q14" s="46"/>
      <c r="R14" s="44"/>
      <c r="S14" s="44"/>
      <c r="T14" s="45">
        <v>1815577.235</v>
      </c>
      <c r="U14" s="44"/>
      <c r="V14" s="46"/>
      <c r="W14" s="2">
        <f t="shared" si="1"/>
        <v>113783806.23200002</v>
      </c>
      <c r="X14" s="2">
        <f t="shared" si="2"/>
        <v>1815577.235</v>
      </c>
      <c r="Y14" s="44"/>
      <c r="AF14" s="44" t="s">
        <v>1</v>
      </c>
      <c r="AG14" t="str">
        <f t="shared" si="3"/>
        <v>BC/M</v>
      </c>
      <c r="AH14" s="45">
        <f>$O14*$AB$8*$AD$20</f>
        <v>42320708.64585426</v>
      </c>
      <c r="AI14" s="45">
        <f>$P14*$AB$8*$AD$20</f>
        <v>57459031.701463014</v>
      </c>
      <c r="AJ14" s="46"/>
      <c r="AK14" s="44"/>
      <c r="AL14" s="44"/>
      <c r="AM14" s="45">
        <f>$T14*$AB$8*$AD$20</f>
        <v>1592123.0892859013</v>
      </c>
      <c r="AN14" s="44"/>
      <c r="AO14" s="46"/>
      <c r="AP14" s="2">
        <f t="shared" si="4"/>
        <v>99779740.34731728</v>
      </c>
      <c r="AQ14" s="2">
        <f t="shared" si="5"/>
        <v>1592123.0892859013</v>
      </c>
      <c r="AR14" s="2"/>
      <c r="AU14" s="44" t="s">
        <v>1</v>
      </c>
      <c r="AV14" t="str">
        <f t="shared" si="6"/>
        <v>BC/M</v>
      </c>
      <c r="AW14" s="45">
        <f>$O14*$AC$8*$AD$20</f>
        <v>7587331.559799104</v>
      </c>
      <c r="AX14" s="45">
        <f>$P14*$AC$8*$AD$20</f>
        <v>10301356.91422819</v>
      </c>
      <c r="AY14" s="46"/>
      <c r="AZ14" s="44"/>
      <c r="BA14" s="44"/>
      <c r="BB14" s="45">
        <f>$T14*$AC$8*$AD$20</f>
        <v>285438.6457351328</v>
      </c>
      <c r="BC14" s="44"/>
      <c r="BD14" s="46"/>
      <c r="BE14" s="2">
        <f t="shared" si="7"/>
        <v>17888688.474027295</v>
      </c>
      <c r="BF14" s="2">
        <f t="shared" si="8"/>
        <v>285438.6457351328</v>
      </c>
      <c r="BJ14" s="44" t="s">
        <v>1</v>
      </c>
      <c r="BK14" t="str">
        <f t="shared" si="9"/>
        <v>BC/M</v>
      </c>
      <c r="BL14" s="45">
        <f>$O14*$AD$8*$AD$20</f>
        <v>400694.55434022145</v>
      </c>
      <c r="BM14" s="45">
        <f>$P14*$AD$8*$AD$20</f>
        <v>544024.9428028839</v>
      </c>
      <c r="BN14" s="46"/>
      <c r="BO14" s="44"/>
      <c r="BP14" s="44"/>
      <c r="BQ14" s="45">
        <f>$T14*$AD$8*$AD$20</f>
        <v>15074.299843480645</v>
      </c>
      <c r="BR14" s="44"/>
      <c r="BS14" s="46"/>
      <c r="BT14" s="2">
        <f t="shared" si="10"/>
        <v>944719.4971431054</v>
      </c>
      <c r="BU14" s="2">
        <f t="shared" si="11"/>
        <v>15074.299843480645</v>
      </c>
    </row>
    <row r="15" spans="2:73" ht="12.75" customHeight="1">
      <c r="B15" s="4"/>
      <c r="C15" s="17" t="s">
        <v>26</v>
      </c>
      <c r="D15" s="5">
        <f>SUM(AH76:AP76)</f>
        <v>102345033.32559457</v>
      </c>
      <c r="E15" s="5">
        <f>SUM(AW76:BE76)</f>
        <v>17810644.577367175</v>
      </c>
      <c r="F15" s="5">
        <f>SUM(BL76:BT76)</f>
        <v>940789.8798062515</v>
      </c>
      <c r="G15" s="6">
        <f t="shared" si="12"/>
        <v>121096467.782768</v>
      </c>
      <c r="K15" s="44" t="s">
        <v>34</v>
      </c>
      <c r="L15" s="44" t="s">
        <v>29</v>
      </c>
      <c r="M15" s="44" t="s">
        <v>2</v>
      </c>
      <c r="N15" t="str">
        <f t="shared" si="0"/>
        <v>NBC/NM</v>
      </c>
      <c r="O15" s="45">
        <v>3652202.609</v>
      </c>
      <c r="P15" s="45">
        <v>7574814.019</v>
      </c>
      <c r="Q15" s="45">
        <v>39492090.29300002</v>
      </c>
      <c r="R15" s="46"/>
      <c r="S15" s="44"/>
      <c r="T15" s="45">
        <v>9580335.912</v>
      </c>
      <c r="U15" s="45">
        <v>8245884.851</v>
      </c>
      <c r="V15" s="46"/>
      <c r="W15" s="2">
        <f t="shared" si="1"/>
        <v>50719106.92100002</v>
      </c>
      <c r="X15" s="2">
        <f t="shared" si="2"/>
        <v>17826220.763</v>
      </c>
      <c r="Y15" s="44"/>
      <c r="AF15" s="44" t="s">
        <v>2</v>
      </c>
      <c r="AG15" t="str">
        <f t="shared" si="3"/>
        <v>NBC/NM</v>
      </c>
      <c r="AH15" s="45">
        <f>$O15*$AB$7*$AD$19</f>
        <v>3045943.681244185</v>
      </c>
      <c r="AI15" s="45">
        <f>$P15*$AB$7*$AD$19</f>
        <v>6317408.798985095</v>
      </c>
      <c r="AJ15" s="45">
        <f>$Q15*$AB$9*$AD$21</f>
        <v>32808134.058690153</v>
      </c>
      <c r="AK15" s="46"/>
      <c r="AL15" s="44"/>
      <c r="AM15" s="45">
        <f>$T15*$AB$9*$AD$21</f>
        <v>7958883.477583146</v>
      </c>
      <c r="AN15" s="45">
        <f>$U15*$AB$9*$AD$21</f>
        <v>6850285.553815877</v>
      </c>
      <c r="AO15" s="46"/>
      <c r="AP15" s="2">
        <f t="shared" si="4"/>
        <v>42171486.538919434</v>
      </c>
      <c r="AQ15" s="2">
        <f t="shared" si="5"/>
        <v>14809169.031399023</v>
      </c>
      <c r="AR15" s="2"/>
      <c r="AU15" s="44" t="s">
        <v>2</v>
      </c>
      <c r="AV15" t="str">
        <f t="shared" si="6"/>
        <v>NBC/NM</v>
      </c>
      <c r="AW15" s="45">
        <f>$O15*$AC$7*$AD$19</f>
        <v>497257.52970177843</v>
      </c>
      <c r="AX15" s="45">
        <f>$P15*$AC$7*$AD$19</f>
        <v>1031331.9687567039</v>
      </c>
      <c r="AY15" s="45">
        <f>$Q15*$AC$9*$AD$21</f>
        <v>5021628.453348023</v>
      </c>
      <c r="AZ15" s="46"/>
      <c r="BA15" s="44"/>
      <c r="BB15" s="45">
        <f>$T15*$AC$9*$AD$21</f>
        <v>1218190.4541238826</v>
      </c>
      <c r="BC15" s="45">
        <f>$U15*$AC$9*$AD$21</f>
        <v>1048507.9337052095</v>
      </c>
      <c r="BD15" s="46"/>
      <c r="BE15" s="2">
        <f t="shared" si="7"/>
        <v>6550217.951806505</v>
      </c>
      <c r="BF15" s="2">
        <f t="shared" si="8"/>
        <v>2266698.3878290923</v>
      </c>
      <c r="BJ15" s="44" t="s">
        <v>2</v>
      </c>
      <c r="BK15" t="str">
        <f t="shared" si="9"/>
        <v>NBC/NM</v>
      </c>
      <c r="BL15" s="45">
        <f>$O15*$AD$7*$AD$19</f>
        <v>59732.33659159904</v>
      </c>
      <c r="BM15" s="45">
        <f>$P15*$AD$7*$AD$19</f>
        <v>123887.25080221066</v>
      </c>
      <c r="BN15" s="45">
        <f>$Q15*$AD$9*$AD$21</f>
        <v>1129570.3104066446</v>
      </c>
      <c r="BO15" s="46"/>
      <c r="BP15" s="44"/>
      <c r="BQ15" s="45">
        <f>$T15*$AD$9*$AD$21</f>
        <v>274021.023694355</v>
      </c>
      <c r="BR15" s="45">
        <f>$U15*$AD$9*$AD$21</f>
        <v>235852.4616351462</v>
      </c>
      <c r="BS15" s="46"/>
      <c r="BT15" s="2">
        <f t="shared" si="10"/>
        <v>1313189.8978004544</v>
      </c>
      <c r="BU15" s="2">
        <f t="shared" si="11"/>
        <v>509873.4853295012</v>
      </c>
    </row>
    <row r="16" spans="2:73" ht="12.75" customHeight="1">
      <c r="B16" s="4" t="s">
        <v>27</v>
      </c>
      <c r="C16" s="17" t="s">
        <v>23</v>
      </c>
      <c r="D16" s="5">
        <f>SUM(AH77:AP77)</f>
        <v>57527669.863793515</v>
      </c>
      <c r="E16" s="5">
        <f>SUM(AW77:BE77)</f>
        <v>8640578.012842886</v>
      </c>
      <c r="F16" s="5">
        <f>SUM(BL77:BT77)</f>
        <v>1786966.7281439821</v>
      </c>
      <c r="G16" s="6">
        <f t="shared" si="12"/>
        <v>67955214.60478038</v>
      </c>
      <c r="K16" s="44" t="s">
        <v>34</v>
      </c>
      <c r="L16" s="44" t="s">
        <v>30</v>
      </c>
      <c r="M16" s="44" t="s">
        <v>2</v>
      </c>
      <c r="N16" t="str">
        <f t="shared" si="0"/>
        <v>NBC/M</v>
      </c>
      <c r="O16" s="45">
        <v>14589483.836</v>
      </c>
      <c r="P16" s="45">
        <v>24691347.415</v>
      </c>
      <c r="Q16" s="45">
        <v>83297301.33799997</v>
      </c>
      <c r="R16" s="46"/>
      <c r="S16" s="44"/>
      <c r="T16" s="45">
        <v>12587879.083</v>
      </c>
      <c r="U16" s="45">
        <v>14140550.612000003</v>
      </c>
      <c r="V16" s="46"/>
      <c r="W16" s="2">
        <f t="shared" si="1"/>
        <v>122578132.58899997</v>
      </c>
      <c r="X16" s="2">
        <f t="shared" si="2"/>
        <v>26728429.695000004</v>
      </c>
      <c r="Y16" s="44"/>
      <c r="Z16" t="s">
        <v>348</v>
      </c>
      <c r="AF16" s="44" t="s">
        <v>2</v>
      </c>
      <c r="AG16" t="str">
        <f t="shared" si="3"/>
        <v>NBC/M</v>
      </c>
      <c r="AH16" s="45">
        <f>$O16*$AB$7*$AD$19</f>
        <v>12167656.305093663</v>
      </c>
      <c r="AI16" s="45">
        <f>$P16*$AB$7*$AD$19</f>
        <v>20592629.07670854</v>
      </c>
      <c r="AJ16" s="45">
        <f>$Q16*$AB$9*$AD$21</f>
        <v>69199401.92450659</v>
      </c>
      <c r="AK16" s="46"/>
      <c r="AL16" s="44"/>
      <c r="AM16" s="45">
        <f>$T16*$AB$9*$AD$21</f>
        <v>10457406.0629768</v>
      </c>
      <c r="AN16" s="45">
        <f>$U16*$AB$9*$AD$21</f>
        <v>11747291.082853114</v>
      </c>
      <c r="AO16" s="46"/>
      <c r="AP16" s="2">
        <f t="shared" si="4"/>
        <v>101959687.30630879</v>
      </c>
      <c r="AQ16" s="2">
        <f t="shared" si="5"/>
        <v>22204697.145829916</v>
      </c>
      <c r="AR16" s="2"/>
      <c r="AU16" s="44" t="s">
        <v>2</v>
      </c>
      <c r="AV16" t="str">
        <f t="shared" si="6"/>
        <v>NBC/M</v>
      </c>
      <c r="AW16" s="45">
        <f>$O16*$AC$7*$AD$19</f>
        <v>1986398.7485348696</v>
      </c>
      <c r="AX16" s="45">
        <f>$P16*$AC$7*$AD$19</f>
        <v>3361795.5341073168</v>
      </c>
      <c r="AY16" s="45">
        <f>$Q16*$AC$9*$AD$21</f>
        <v>10591693.0550558</v>
      </c>
      <c r="AZ16" s="46"/>
      <c r="BA16" s="44"/>
      <c r="BB16" s="45">
        <f>$T16*$AC$9*$AD$21</f>
        <v>1600615.497977363</v>
      </c>
      <c r="BC16" s="45">
        <f>$U16*$AC$9*$AD$21</f>
        <v>1798045.906722068</v>
      </c>
      <c r="BD16" s="46"/>
      <c r="BE16" s="2">
        <f t="shared" si="7"/>
        <v>15939887.337697987</v>
      </c>
      <c r="BF16" s="2">
        <f t="shared" si="8"/>
        <v>3398661.404699431</v>
      </c>
      <c r="BJ16" s="44" t="s">
        <v>2</v>
      </c>
      <c r="BK16" t="str">
        <f t="shared" si="9"/>
        <v>NBC/M</v>
      </c>
      <c r="BL16" s="45">
        <f>$O16*$AD$7*$AD$19</f>
        <v>238613.25684454804</v>
      </c>
      <c r="BM16" s="45">
        <f>$P16*$AD$7*$AD$19</f>
        <v>403830.79269983864</v>
      </c>
      <c r="BN16" s="45">
        <f>$Q16*$AD$9*$AD$21</f>
        <v>2382506.4166096556</v>
      </c>
      <c r="BO16" s="46"/>
      <c r="BP16" s="44"/>
      <c r="BQ16" s="45">
        <f>$T16*$AD$9*$AD$21</f>
        <v>360044.10953314166</v>
      </c>
      <c r="BR16" s="45">
        <f>$U16*$AD$9*$AD$21</f>
        <v>404454.3103596844</v>
      </c>
      <c r="BS16" s="46"/>
      <c r="BT16" s="2">
        <f t="shared" si="10"/>
        <v>3024950.466154042</v>
      </c>
      <c r="BU16" s="2">
        <f t="shared" si="11"/>
        <v>764498.4198928261</v>
      </c>
    </row>
    <row r="17" spans="2:73" ht="12.75" customHeight="1">
      <c r="B17" s="4"/>
      <c r="C17" s="17" t="s">
        <v>24</v>
      </c>
      <c r="D17" s="5">
        <f>SUM(AH78:AP78)</f>
        <v>125356362.54287924</v>
      </c>
      <c r="E17" s="5">
        <f>SUM(AW78:BE78)</f>
        <v>18951777.767549466</v>
      </c>
      <c r="F17" s="5">
        <f>SUM(BL78:BT78)</f>
        <v>3714417.7981031397</v>
      </c>
      <c r="G17" s="6">
        <f t="shared" si="12"/>
        <v>148022558.10853186</v>
      </c>
      <c r="K17" s="44" t="s">
        <v>35</v>
      </c>
      <c r="L17" s="44" t="s">
        <v>29</v>
      </c>
      <c r="M17" s="44" t="s">
        <v>2</v>
      </c>
      <c r="N17" t="str">
        <f t="shared" si="0"/>
        <v>BC/NM</v>
      </c>
      <c r="O17" s="45">
        <v>5571732.384000001</v>
      </c>
      <c r="P17" s="45">
        <v>19344705.791999996</v>
      </c>
      <c r="Q17" s="45">
        <v>94993854.15900001</v>
      </c>
      <c r="R17" s="46"/>
      <c r="S17" s="44"/>
      <c r="T17" s="45">
        <v>43049316.258999996</v>
      </c>
      <c r="U17" s="45">
        <v>32285711.342000004</v>
      </c>
      <c r="V17" s="46"/>
      <c r="W17" s="2">
        <f t="shared" si="1"/>
        <v>119910292.33500001</v>
      </c>
      <c r="X17" s="2">
        <f t="shared" si="2"/>
        <v>75335027.601</v>
      </c>
      <c r="Y17" s="44"/>
      <c r="AA17" t="s">
        <v>99</v>
      </c>
      <c r="AD17" t="s">
        <v>83</v>
      </c>
      <c r="AF17" s="44" t="s">
        <v>2</v>
      </c>
      <c r="AG17" t="str">
        <f t="shared" si="3"/>
        <v>BC/NM</v>
      </c>
      <c r="AH17" s="45">
        <f>$O17*$AB$10*$AD$22</f>
        <v>4790635.099879465</v>
      </c>
      <c r="AI17" s="45">
        <f>$P17*$AB$10*$AD$22</f>
        <v>16632784.953943823</v>
      </c>
      <c r="AJ17" s="45">
        <f>$Q17*$AB$10*$AD$22</f>
        <v>81676731.87494862</v>
      </c>
      <c r="AK17" s="46"/>
      <c r="AL17" s="44"/>
      <c r="AM17" s="45">
        <f>$T17*$AB$10*$AD$22</f>
        <v>37014262.581671245</v>
      </c>
      <c r="AN17" s="45">
        <f>$U17*$AB$10*$AD$22</f>
        <v>27759599.94484217</v>
      </c>
      <c r="AO17" s="46"/>
      <c r="AP17" s="2">
        <f t="shared" si="4"/>
        <v>103100151.92877191</v>
      </c>
      <c r="AQ17" s="2">
        <f t="shared" si="5"/>
        <v>64773862.52651341</v>
      </c>
      <c r="AR17" s="2"/>
      <c r="AU17" s="44" t="s">
        <v>2</v>
      </c>
      <c r="AV17" t="str">
        <f t="shared" si="6"/>
        <v>BC/NM</v>
      </c>
      <c r="AW17" s="45">
        <f>$O17*$AC$10*$AD$22</f>
        <v>815399.9587804334</v>
      </c>
      <c r="AX17" s="45">
        <f>$P17*$AC$10*$AD$22</f>
        <v>2831017.5755592077</v>
      </c>
      <c r="AY17" s="45">
        <f>$Q17*$AC$10*$AD$22</f>
        <v>13901957.134207381</v>
      </c>
      <c r="AZ17" s="46"/>
      <c r="BA17" s="44"/>
      <c r="BB17" s="45">
        <f>$T17*$AC$10*$AD$22</f>
        <v>6300089.14353386</v>
      </c>
      <c r="BC17" s="45">
        <f>$U17*$AC$10*$AD$22</f>
        <v>4724880.141957616</v>
      </c>
      <c r="BD17" s="46"/>
      <c r="BE17" s="2">
        <f t="shared" si="7"/>
        <v>17548374.668547023</v>
      </c>
      <c r="BF17" s="2">
        <f t="shared" si="8"/>
        <v>11024969.285491478</v>
      </c>
      <c r="BJ17" s="44" t="s">
        <v>2</v>
      </c>
      <c r="BK17" t="str">
        <f t="shared" si="9"/>
        <v>BC/NM</v>
      </c>
      <c r="BL17" s="45">
        <f>$O17*$AD$10*$AD$22</f>
        <v>57017.525665290974</v>
      </c>
      <c r="BM17" s="45">
        <f>$P17*$AD$10*$AD$22</f>
        <v>197961.2772053164</v>
      </c>
      <c r="BN17" s="45">
        <f>$Q17*$AD$10*$AD$22</f>
        <v>972106.0065823308</v>
      </c>
      <c r="BO17" s="46"/>
      <c r="BP17" s="44"/>
      <c r="BQ17" s="45">
        <f>$T17*$AD$10*$AD$22</f>
        <v>440539.0147092104</v>
      </c>
      <c r="BR17" s="45">
        <f>$U17*$AD$10*$AD$22</f>
        <v>330391.204780567</v>
      </c>
      <c r="BS17" s="46"/>
      <c r="BT17" s="2">
        <f t="shared" si="10"/>
        <v>1227084.8094529381</v>
      </c>
      <c r="BU17" s="2">
        <f t="shared" si="11"/>
        <v>770930.2194897773</v>
      </c>
    </row>
    <row r="18" spans="2:73" ht="12.75" customHeight="1">
      <c r="B18" s="4"/>
      <c r="C18" s="17" t="s">
        <v>25</v>
      </c>
      <c r="D18" s="5">
        <f>SUM(AH79:AP79)</f>
        <v>169485604.99405608</v>
      </c>
      <c r="E18" s="5">
        <f>SUM(AW79:BE79)</f>
        <v>28001877.07495773</v>
      </c>
      <c r="F18" s="5">
        <f>SUM(BL79:BT79)</f>
        <v>1958454.3313696496</v>
      </c>
      <c r="G18" s="6">
        <f t="shared" si="12"/>
        <v>199445936.40038344</v>
      </c>
      <c r="K18" s="44" t="s">
        <v>35</v>
      </c>
      <c r="L18" s="44" t="s">
        <v>30</v>
      </c>
      <c r="M18" s="44" t="s">
        <v>2</v>
      </c>
      <c r="N18" t="str">
        <f t="shared" si="0"/>
        <v>BC/M</v>
      </c>
      <c r="O18" s="45">
        <v>32068824.180000003</v>
      </c>
      <c r="P18" s="45">
        <v>117031759.566</v>
      </c>
      <c r="Q18" s="45">
        <v>415699813.8320001</v>
      </c>
      <c r="T18" s="45">
        <v>159637694.993</v>
      </c>
      <c r="U18" s="45">
        <v>118338250.975</v>
      </c>
      <c r="V18" s="46"/>
      <c r="W18" s="2">
        <f t="shared" si="1"/>
        <v>564800397.5780001</v>
      </c>
      <c r="X18" s="2">
        <f t="shared" si="2"/>
        <v>277975945.968</v>
      </c>
      <c r="Y18" s="44"/>
      <c r="AA18" t="s">
        <v>100</v>
      </c>
      <c r="AC18" t="s">
        <v>82</v>
      </c>
      <c r="AD18" t="s">
        <v>84</v>
      </c>
      <c r="AF18" s="44" t="s">
        <v>2</v>
      </c>
      <c r="AG18" t="str">
        <f t="shared" si="3"/>
        <v>BC/M</v>
      </c>
      <c r="AH18" s="45">
        <f>$O18*$AB$10*$AD$22</f>
        <v>27573118.04309575</v>
      </c>
      <c r="AI18" s="45">
        <f>$P18*$AB$10*$AD$22</f>
        <v>100625158.66475146</v>
      </c>
      <c r="AJ18" s="45">
        <f>$Q18*$AB$10*$AD$22</f>
        <v>357423146.3226247</v>
      </c>
      <c r="AM18" s="45">
        <f>$T18*$AB$10*$AD$22</f>
        <v>137258197.66459873</v>
      </c>
      <c r="AN18" s="45">
        <f>$U18*$AB$10*$AD$22</f>
        <v>101748493.95264497</v>
      </c>
      <c r="AO18" s="46"/>
      <c r="AP18" s="2">
        <f t="shared" si="4"/>
        <v>485621423.0304719</v>
      </c>
      <c r="AQ18" s="2">
        <f t="shared" si="5"/>
        <v>239006691.6172437</v>
      </c>
      <c r="AR18" s="2"/>
      <c r="AU18" s="44" t="s">
        <v>2</v>
      </c>
      <c r="AV18" t="str">
        <f t="shared" si="6"/>
        <v>BC/M</v>
      </c>
      <c r="AW18" s="45">
        <f>$O18*$AC$10*$AD$22</f>
        <v>4693139.60404832</v>
      </c>
      <c r="AX18" s="45">
        <f>$P18*$AC$10*$AD$22</f>
        <v>17127113.31939628</v>
      </c>
      <c r="AY18" s="45">
        <f>$Q18*$AC$10*$AD$22</f>
        <v>60835946.11202466</v>
      </c>
      <c r="BB18" s="45">
        <f>$T18*$AC$10*$AD$22</f>
        <v>23362315.514451593</v>
      </c>
      <c r="BC18" s="45">
        <f>$U18*$AC$10*$AD$22</f>
        <v>17318312.926201656</v>
      </c>
      <c r="BD18" s="46"/>
      <c r="BE18" s="2">
        <f t="shared" si="7"/>
        <v>82656199.03546926</v>
      </c>
      <c r="BF18" s="2">
        <f t="shared" si="8"/>
        <v>40680628.44065325</v>
      </c>
      <c r="BJ18" s="44" t="s">
        <v>2</v>
      </c>
      <c r="BK18" t="str">
        <f t="shared" si="9"/>
        <v>BC/M</v>
      </c>
      <c r="BL18" s="45">
        <f>$O18*$AD$10*$AD$22</f>
        <v>328171.7210592528</v>
      </c>
      <c r="BM18" s="45">
        <f>$P18*$AD$10*$AD$22</f>
        <v>1197627.7564713284</v>
      </c>
      <c r="BN18" s="45">
        <f>$Q18*$AD$10*$AD$22</f>
        <v>4254004.530491596</v>
      </c>
      <c r="BQ18" s="45">
        <f>$T18*$AD$10*$AD$22</f>
        <v>1633629.4969136242</v>
      </c>
      <c r="BR18" s="45">
        <f>$U18*$AD$10*$AD$22</f>
        <v>1210997.5492593052</v>
      </c>
      <c r="BS18" s="46"/>
      <c r="BT18" s="2">
        <f t="shared" si="10"/>
        <v>5779804.008022177</v>
      </c>
      <c r="BU18" s="2">
        <f t="shared" si="11"/>
        <v>2844627.0461729295</v>
      </c>
    </row>
    <row r="19" spans="2:73" ht="12.75" customHeight="1">
      <c r="B19" s="4"/>
      <c r="C19" s="17" t="s">
        <v>26</v>
      </c>
      <c r="D19" s="5">
        <f>SUM(AH80:AP80)</f>
        <v>731584544.5483338</v>
      </c>
      <c r="E19" s="5">
        <f>SUM(AW80:BE80)</f>
        <v>120870090.92660005</v>
      </c>
      <c r="F19" s="5">
        <f>SUM(BL80:BT80)</f>
        <v>8453667.319322044</v>
      </c>
      <c r="G19" s="6">
        <f t="shared" si="12"/>
        <v>860908302.7942559</v>
      </c>
      <c r="K19" s="44" t="s">
        <v>34</v>
      </c>
      <c r="L19" s="44" t="s">
        <v>29</v>
      </c>
      <c r="M19" s="44" t="s">
        <v>3</v>
      </c>
      <c r="N19" t="str">
        <f t="shared" si="0"/>
        <v>NBC/NM</v>
      </c>
      <c r="O19" s="45">
        <v>249636.695</v>
      </c>
      <c r="P19" s="45">
        <v>1049395.5089999998</v>
      </c>
      <c r="Q19" s="45">
        <v>6599129.763000001</v>
      </c>
      <c r="R19" s="45">
        <v>34655310.229</v>
      </c>
      <c r="S19" s="46"/>
      <c r="T19" s="45">
        <v>11617700.412000002</v>
      </c>
      <c r="U19" s="45">
        <v>37626487.02000001</v>
      </c>
      <c r="V19" s="45">
        <v>755962.2580000001</v>
      </c>
      <c r="W19" s="2">
        <f t="shared" si="1"/>
        <v>42553472.196</v>
      </c>
      <c r="X19" s="2">
        <f t="shared" si="2"/>
        <v>50000149.69000001</v>
      </c>
      <c r="Y19" s="44"/>
      <c r="Z19" t="s">
        <v>72</v>
      </c>
      <c r="AA19" s="2">
        <f>SUM(O7:P8,O11:P12,O15:P16,O19:P20,O25:V26,T11:T12)</f>
        <v>155590581.431</v>
      </c>
      <c r="AB19" s="37">
        <f aca="true" t="shared" si="13" ref="AB19:AB25">AA19/$X$30</f>
        <v>0.018957533238081897</v>
      </c>
      <c r="AC19" s="64">
        <f>'FY2005_BD'!J58</f>
        <v>168951368.21467224</v>
      </c>
      <c r="AD19" s="41">
        <f>AD23</f>
        <v>0.9865097677382342</v>
      </c>
      <c r="AF19" s="44" t="s">
        <v>3</v>
      </c>
      <c r="AG19" t="str">
        <f t="shared" si="3"/>
        <v>NBC/NM</v>
      </c>
      <c r="AH19" s="45">
        <f>$O19*$AB$7*$AD$19</f>
        <v>208197.46195574</v>
      </c>
      <c r="AI19" s="45">
        <f>$P19*$AB$7*$AD$19</f>
        <v>875197.7811657533</v>
      </c>
      <c r="AJ19" s="45">
        <f>$Q19*$AB$9*$AD$21</f>
        <v>5482240.426599343</v>
      </c>
      <c r="AK19" s="45">
        <f>$R19*$AB$11*$AD$23</f>
        <v>27053672.906746745</v>
      </c>
      <c r="AL19" s="46"/>
      <c r="AM19" s="45">
        <f>$T19*$AB$11*$AD$23</f>
        <v>9069359.494921317</v>
      </c>
      <c r="AN19" s="45">
        <f>$U19*$AB$11*$AD$23</f>
        <v>29373122.495299775</v>
      </c>
      <c r="AO19" s="45">
        <f>$V19*$AB$11*$AD$23</f>
        <v>590142.0452633426</v>
      </c>
      <c r="AP19" s="2">
        <f t="shared" si="4"/>
        <v>33619308.57646758</v>
      </c>
      <c r="AQ19" s="2">
        <f t="shared" si="5"/>
        <v>39032624.03548443</v>
      </c>
      <c r="AR19" s="2"/>
      <c r="AU19" s="44" t="s">
        <v>3</v>
      </c>
      <c r="AV19" t="str">
        <f t="shared" si="6"/>
        <v>NBC/NM</v>
      </c>
      <c r="AW19" s="45">
        <f>$O19*$AC$7*$AD$19</f>
        <v>33988.72942391469</v>
      </c>
      <c r="AX19" s="45">
        <f>$P19*$AC$7*$AD$19</f>
        <v>142878.11338822695</v>
      </c>
      <c r="AY19" s="45">
        <f>$Q19*$AC$9*$AD$21</f>
        <v>839114.3021135648</v>
      </c>
      <c r="AZ19" s="45">
        <f>$R19*$AC$11*$AD$23</f>
        <v>6760665.871775683</v>
      </c>
      <c r="BA19" s="46"/>
      <c r="BB19" s="45">
        <f>$T19*$AC$11*$AD$23</f>
        <v>2266417.1858486673</v>
      </c>
      <c r="BC19" s="45">
        <f>$U19*$AC$11*$AD$23</f>
        <v>7340292.295466348</v>
      </c>
      <c r="BD19" s="45">
        <f>$V19*$AC$11*$AD$23</f>
        <v>147475.4721351274</v>
      </c>
      <c r="BE19" s="2">
        <f t="shared" si="7"/>
        <v>7776647.016701389</v>
      </c>
      <c r="BF19" s="2">
        <f t="shared" si="8"/>
        <v>9754184.953450141</v>
      </c>
      <c r="BJ19" s="44" t="s">
        <v>3</v>
      </c>
      <c r="BK19" t="str">
        <f t="shared" si="9"/>
        <v>NBC/NM</v>
      </c>
      <c r="BL19" s="45">
        <f>$O19*$AD$7*$AD$19</f>
        <v>4082.846623735696</v>
      </c>
      <c r="BM19" s="45">
        <f>$P19*$AD$7*$AD$19</f>
        <v>17163.02529515563</v>
      </c>
      <c r="BN19" s="45">
        <f>$Q19*$AD$9*$AD$21</f>
        <v>188751.241058691</v>
      </c>
      <c r="BO19" s="45">
        <f>$R19*$AD$11*$AD$23</f>
        <v>373463.26638481015</v>
      </c>
      <c r="BP19" s="46"/>
      <c r="BQ19" s="45">
        <f>$T19*$AD$11*$AD$23</f>
        <v>125198.25432452561</v>
      </c>
      <c r="BR19" s="45">
        <f>$U19*$AD$11*$AD$23</f>
        <v>405482.1801397663</v>
      </c>
      <c r="BS19" s="45">
        <f>$V19*$AD$11*$AD$23</f>
        <v>8146.634159981181</v>
      </c>
      <c r="BT19" s="2">
        <f t="shared" si="10"/>
        <v>583460.3793623925</v>
      </c>
      <c r="BU19" s="2">
        <f t="shared" si="11"/>
        <v>538827.0686242731</v>
      </c>
    </row>
    <row r="20" spans="2:73" ht="12.75" customHeight="1">
      <c r="B20" s="4" t="s">
        <v>28</v>
      </c>
      <c r="C20" s="17" t="s">
        <v>23</v>
      </c>
      <c r="D20" s="5">
        <f>SUM(AH81:AP81)</f>
        <v>73349391.16502677</v>
      </c>
      <c r="E20" s="5">
        <f>SUM(AW81:BE81)</f>
        <v>17180215.330748502</v>
      </c>
      <c r="F20" s="5">
        <f>SUM(BL81:BT81)</f>
        <v>1100066.1565165296</v>
      </c>
      <c r="G20" s="6">
        <f t="shared" si="12"/>
        <v>91629672.6522918</v>
      </c>
      <c r="K20" s="44" t="s">
        <v>34</v>
      </c>
      <c r="L20" s="44" t="s">
        <v>30</v>
      </c>
      <c r="M20" s="44" t="s">
        <v>3</v>
      </c>
      <c r="N20" t="str">
        <f t="shared" si="0"/>
        <v>NBC/M</v>
      </c>
      <c r="O20" s="45">
        <v>2464574.148</v>
      </c>
      <c r="P20" s="45">
        <v>4977337.7870000005</v>
      </c>
      <c r="Q20" s="45">
        <v>10951266.533000002</v>
      </c>
      <c r="R20" s="45">
        <v>38215912.095</v>
      </c>
      <c r="S20" s="46"/>
      <c r="T20" s="45">
        <v>18195318.398</v>
      </c>
      <c r="U20" s="45">
        <v>80419357.11400001</v>
      </c>
      <c r="V20" s="45">
        <v>2100700.6130000004</v>
      </c>
      <c r="W20" s="2">
        <f t="shared" si="1"/>
        <v>56609090.563</v>
      </c>
      <c r="X20" s="2">
        <f t="shared" si="2"/>
        <v>100715376.12500001</v>
      </c>
      <c r="Y20" s="44"/>
      <c r="Z20" t="s">
        <v>73</v>
      </c>
      <c r="AA20" s="2">
        <f>SUM(O13:V14)+O9+O10</f>
        <v>151367760.11</v>
      </c>
      <c r="AB20" s="37">
        <f t="shared" si="13"/>
        <v>0.01844301446184839</v>
      </c>
      <c r="AC20" s="64">
        <f>'FY2005_BD'!J59</f>
        <v>157792283.23542702</v>
      </c>
      <c r="AD20">
        <f>AC20/AA20</f>
        <v>1.042443140605095</v>
      </c>
      <c r="AF20" s="44" t="s">
        <v>3</v>
      </c>
      <c r="AG20" t="str">
        <f t="shared" si="3"/>
        <v>NBC/M</v>
      </c>
      <c r="AH20" s="45">
        <f>$O20*$AB$7*$AD$19</f>
        <v>2055459.3643187366</v>
      </c>
      <c r="AI20" s="45">
        <f>$P20*$AB$7*$AD$19</f>
        <v>4151108.852605983</v>
      </c>
      <c r="AJ20" s="45">
        <f>$Q20*$AB$9*$AD$21</f>
        <v>9097786.869762</v>
      </c>
      <c r="AK20" s="45">
        <f>$R20*$AB$11*$AD$23</f>
        <v>29833257.26473954</v>
      </c>
      <c r="AL20" s="46"/>
      <c r="AM20" s="45">
        <f>$T20*$AB$11*$AD$23</f>
        <v>14204177.920233477</v>
      </c>
      <c r="AN20" s="45">
        <f>$U20*$AB$11*$AD$23</f>
        <v>62779382.67920658</v>
      </c>
      <c r="AO20" s="45">
        <f>$V20*$AB$11*$AD$23</f>
        <v>1639912.235197564</v>
      </c>
      <c r="AP20" s="2">
        <f t="shared" si="4"/>
        <v>45137612.35142626</v>
      </c>
      <c r="AQ20" s="2">
        <f t="shared" si="5"/>
        <v>78623472.83463761</v>
      </c>
      <c r="AR20" s="2"/>
      <c r="AU20" s="44" t="s">
        <v>3</v>
      </c>
      <c r="AV20" t="str">
        <f t="shared" si="6"/>
        <v>NBC/M</v>
      </c>
      <c r="AW20" s="45">
        <f>$O20*$AC$7*$AD$19</f>
        <v>335558.61593804177</v>
      </c>
      <c r="AX20" s="45">
        <f>$P20*$AC$7*$AD$19</f>
        <v>677678.3649285588</v>
      </c>
      <c r="AY20" s="45">
        <f>$Q20*$AC$9*$AD$21</f>
        <v>1392511.5438130738</v>
      </c>
      <c r="AZ20" s="45">
        <f>$R20*$AC$11*$AD$23</f>
        <v>7455279.175173649</v>
      </c>
      <c r="BA20" s="46"/>
      <c r="BB20" s="45">
        <f>$T20*$AC$11*$AD$23</f>
        <v>3549599.392029462</v>
      </c>
      <c r="BC20" s="45">
        <f>$U20*$AC$11*$AD$23</f>
        <v>15688458.694442606</v>
      </c>
      <c r="BD20" s="45">
        <f>$V20*$AC$11*$AD$23</f>
        <v>409811.2193277333</v>
      </c>
      <c r="BE20" s="2">
        <f t="shared" si="7"/>
        <v>9861027.699853323</v>
      </c>
      <c r="BF20" s="2">
        <f t="shared" si="8"/>
        <v>19647869.3057998</v>
      </c>
      <c r="BJ20" s="44" t="s">
        <v>3</v>
      </c>
      <c r="BK20" t="str">
        <f t="shared" si="9"/>
        <v>NBC/M</v>
      </c>
      <c r="BL20" s="45">
        <f>$O20*$AD$7*$AD$19</f>
        <v>40308.49006035783</v>
      </c>
      <c r="BM20" s="45">
        <f>$P20*$AD$7*$AD$19</f>
        <v>81405.12667356477</v>
      </c>
      <c r="BN20" s="45">
        <f>$Q20*$AD$9*$AD$21</f>
        <v>313232.9903342527</v>
      </c>
      <c r="BO20" s="45">
        <f>$R20*$AD$11*$AD$23</f>
        <v>411834.12483003206</v>
      </c>
      <c r="BP20" s="46"/>
      <c r="BQ20" s="45">
        <f>$T20*$AD$11*$AD$23</f>
        <v>196082.01447125792</v>
      </c>
      <c r="BR20" s="45">
        <f>$U20*$AD$11*$AD$23</f>
        <v>866639.9345410679</v>
      </c>
      <c r="BS20" s="45">
        <f>$V20*$AD$11*$AD$23</f>
        <v>22638.21929289915</v>
      </c>
      <c r="BT20" s="2">
        <f t="shared" si="10"/>
        <v>846780.7318982075</v>
      </c>
      <c r="BU20" s="2">
        <f t="shared" si="11"/>
        <v>1085360.168305225</v>
      </c>
    </row>
    <row r="21" spans="2:73" ht="12.75" customHeight="1">
      <c r="B21" s="4"/>
      <c r="C21" s="17" t="s">
        <v>24</v>
      </c>
      <c r="D21" s="5">
        <f>SUM(AH82:AP82)</f>
        <v>124949191.6038501</v>
      </c>
      <c r="E21" s="5">
        <f>SUM(AW82:BE82)</f>
        <v>28918719.065540064</v>
      </c>
      <c r="F21" s="5">
        <f>SUM(BL82:BT82)</f>
        <v>1893884.5103794045</v>
      </c>
      <c r="G21" s="6">
        <f t="shared" si="12"/>
        <v>155761795.17976958</v>
      </c>
      <c r="K21" s="44" t="s">
        <v>35</v>
      </c>
      <c r="L21" s="44" t="s">
        <v>29</v>
      </c>
      <c r="M21" s="44" t="s">
        <v>3</v>
      </c>
      <c r="N21" t="str">
        <f t="shared" si="0"/>
        <v>BC/NM</v>
      </c>
      <c r="O21" s="45">
        <v>1191237.0270000002</v>
      </c>
      <c r="P21" s="45">
        <v>2502149.3860000004</v>
      </c>
      <c r="Q21" s="45">
        <v>65616951.21300001</v>
      </c>
      <c r="R21" s="45">
        <v>29266244.758</v>
      </c>
      <c r="S21" s="46"/>
      <c r="T21" s="45">
        <v>74408616.419</v>
      </c>
      <c r="U21" s="45">
        <v>243524871.66099998</v>
      </c>
      <c r="V21" s="45">
        <v>2706359.911</v>
      </c>
      <c r="W21" s="2">
        <f t="shared" si="1"/>
        <v>98576582.384</v>
      </c>
      <c r="X21" s="2">
        <f t="shared" si="2"/>
        <v>320639847.991</v>
      </c>
      <c r="Y21" s="44"/>
      <c r="Z21" t="s">
        <v>74</v>
      </c>
      <c r="AA21" s="2">
        <f>SUM(Q15:V16)+Q19+Q20</f>
        <v>184894438.385</v>
      </c>
      <c r="AB21" s="37">
        <f t="shared" si="13"/>
        <v>0.022527986135038345</v>
      </c>
      <c r="AC21" s="64">
        <f>'FY2005_BD'!J60</f>
        <v>187667027.1606867</v>
      </c>
      <c r="AD21" s="41">
        <f>AD23</f>
        <v>0.9865097677382342</v>
      </c>
      <c r="AF21" s="44" t="s">
        <v>3</v>
      </c>
      <c r="AG21" t="str">
        <f t="shared" si="3"/>
        <v>BC/NM</v>
      </c>
      <c r="AH21" s="45">
        <f>$O21*$AB$12*$AD$24</f>
        <v>975213.4042532361</v>
      </c>
      <c r="AI21" s="45">
        <f>$P21*$AB$12*$AD$24</f>
        <v>2048399.7435979673</v>
      </c>
      <c r="AJ21" s="45">
        <f>$Q21*$AB$12*$AD$24</f>
        <v>53717714.37486407</v>
      </c>
      <c r="AK21" s="45">
        <f>$R21*$AB$12*$AD$24</f>
        <v>23958988.457599048</v>
      </c>
      <c r="AL21" s="46"/>
      <c r="AM21" s="45">
        <f>$T21*$AB$12*$AD$24</f>
        <v>60915064.32308557</v>
      </c>
      <c r="AN21" s="45">
        <f>$U21*$AB$12*$AD$24</f>
        <v>199363110.55654937</v>
      </c>
      <c r="AO21" s="45">
        <f>$V21*$AB$12*$AD$24</f>
        <v>2215577.926239859</v>
      </c>
      <c r="AP21" s="2">
        <f t="shared" si="4"/>
        <v>80700315.98031433</v>
      </c>
      <c r="AQ21" s="2">
        <f t="shared" si="5"/>
        <v>262493752.8058748</v>
      </c>
      <c r="AR21" s="2"/>
      <c r="AU21" s="44" t="s">
        <v>3</v>
      </c>
      <c r="AV21" t="str">
        <f t="shared" si="6"/>
        <v>BC/NM</v>
      </c>
      <c r="AW21" s="45">
        <f>$O21*$AC$12*$AD$24</f>
        <v>203427.81527263744</v>
      </c>
      <c r="AX21" s="45">
        <f>$P21*$AC$12*$AD$24</f>
        <v>427292.61393228266</v>
      </c>
      <c r="AY21" s="45">
        <f>$Q21*$AC$12*$AD$24</f>
        <v>11205421.53036335</v>
      </c>
      <c r="AZ21" s="45">
        <f>$R21*$AC$12*$AD$24</f>
        <v>4997803.205754632</v>
      </c>
      <c r="BA21" s="46"/>
      <c r="BB21" s="45">
        <f>$T21*$AC$12*$AD$24</f>
        <v>12706776.176775828</v>
      </c>
      <c r="BC21" s="45">
        <f>$U21*$AC$12*$AD$24</f>
        <v>41586797.15598416</v>
      </c>
      <c r="BD21" s="45">
        <f>$V21*$AC$12*$AD$24</f>
        <v>462165.6912585033</v>
      </c>
      <c r="BE21" s="2">
        <f t="shared" si="7"/>
        <v>16833945.1653229</v>
      </c>
      <c r="BF21" s="2">
        <f t="shared" si="8"/>
        <v>54755739.0240185</v>
      </c>
      <c r="BJ21" s="44" t="s">
        <v>3</v>
      </c>
      <c r="BK21" t="str">
        <f t="shared" si="9"/>
        <v>BC/NM</v>
      </c>
      <c r="BL21" s="45">
        <f>$O21*$AD$12*$AD$24</f>
        <v>8231.42486110167</v>
      </c>
      <c r="BM21" s="45">
        <f>$P21*$AD$12*$AD$24</f>
        <v>17289.803956127933</v>
      </c>
      <c r="BN21" s="45">
        <f>$Q21*$AD$12*$AD$24</f>
        <v>453411.8662216361</v>
      </c>
      <c r="BO21" s="45">
        <f>$R21*$AD$12*$AD$24</f>
        <v>202229.18632639816</v>
      </c>
      <c r="BP21" s="46"/>
      <c r="BQ21" s="45">
        <f>$T21*$AD$12*$AD$24</f>
        <v>514162.10308205476</v>
      </c>
      <c r="BR21" s="45">
        <f>$U21*$AD$12*$AD$24</f>
        <v>1682752.1622083934</v>
      </c>
      <c r="BS21" s="45">
        <f>$V21*$AD$12*$AD$24</f>
        <v>18700.89474182731</v>
      </c>
      <c r="BT21" s="2">
        <f t="shared" si="10"/>
        <v>681162.281365264</v>
      </c>
      <c r="BU21" s="2">
        <f t="shared" si="11"/>
        <v>2215615.1600322756</v>
      </c>
    </row>
    <row r="22" spans="2:73" ht="12.75" customHeight="1">
      <c r="B22" s="4"/>
      <c r="C22" s="17" t="s">
        <v>25</v>
      </c>
      <c r="D22" s="5">
        <f>SUM(AH83:AP83)</f>
        <v>346488731.8465365</v>
      </c>
      <c r="E22" s="5">
        <f>SUM(AW83:BE83)</f>
        <v>70157890.50555456</v>
      </c>
      <c r="F22" s="5">
        <f>SUM(BL83:BT83)</f>
        <v>2839421.2480578683</v>
      </c>
      <c r="G22" s="6">
        <f t="shared" si="12"/>
        <v>419486043.6001489</v>
      </c>
      <c r="K22" s="44" t="s">
        <v>35</v>
      </c>
      <c r="L22" s="44" t="s">
        <v>30</v>
      </c>
      <c r="M22" s="44" t="s">
        <v>3</v>
      </c>
      <c r="N22" t="str">
        <f t="shared" si="0"/>
        <v>BC/M</v>
      </c>
      <c r="O22" s="45">
        <v>6756510.494</v>
      </c>
      <c r="P22" s="45">
        <v>20307098.302</v>
      </c>
      <c r="Q22" s="45">
        <v>249825802.559</v>
      </c>
      <c r="R22" s="45">
        <v>153573386.778</v>
      </c>
      <c r="S22" s="46"/>
      <c r="T22" s="45">
        <v>362767651.2079999</v>
      </c>
      <c r="U22" s="45">
        <v>1289794258.539</v>
      </c>
      <c r="V22" s="45">
        <v>9644197.168999998</v>
      </c>
      <c r="W22" s="2">
        <f t="shared" si="1"/>
        <v>430462798.13299996</v>
      </c>
      <c r="X22" s="2">
        <f t="shared" si="2"/>
        <v>1662206106.916</v>
      </c>
      <c r="Y22" s="44"/>
      <c r="Z22" t="s">
        <v>75</v>
      </c>
      <c r="AA22" s="2">
        <f>SUM(O17:V18)</f>
        <v>1038021663.4820002</v>
      </c>
      <c r="AB22" s="37">
        <f t="shared" si="13"/>
        <v>0.12647507327450833</v>
      </c>
      <c r="AC22" s="64">
        <f>'FY2005_BD'!J61</f>
        <v>1055034746.6162999</v>
      </c>
      <c r="AD22">
        <f>AC22/AA22</f>
        <v>1.016389911437137</v>
      </c>
      <c r="AF22" s="44" t="s">
        <v>3</v>
      </c>
      <c r="AG22" t="str">
        <f t="shared" si="3"/>
        <v>BC/M</v>
      </c>
      <c r="AH22" s="45">
        <f>$O22*$AB$12*$AD$24</f>
        <v>5531258.221816886</v>
      </c>
      <c r="AI22" s="45">
        <f>$P22*$AB$12*$AD$24</f>
        <v>16624528.970084246</v>
      </c>
      <c r="AJ22" s="45">
        <f>$Q22*$AB$12*$AD$24</f>
        <v>204521405.78388786</v>
      </c>
      <c r="AK22" s="45">
        <f>$R22*$AB$12*$AD$24</f>
        <v>125723782.8643084</v>
      </c>
      <c r="AL22" s="46"/>
      <c r="AM22" s="45">
        <f>$T22*$AB$12*$AD$24</f>
        <v>296981933.96359575</v>
      </c>
      <c r="AN22" s="45">
        <f>$U22*$AB$12*$AD$24</f>
        <v>1055897878.5471355</v>
      </c>
      <c r="AO22" s="45">
        <f>$V22*$AB$12*$AD$24</f>
        <v>7895280.401210958</v>
      </c>
      <c r="AP22" s="2">
        <f t="shared" si="4"/>
        <v>352400975.8400974</v>
      </c>
      <c r="AQ22" s="2">
        <f t="shared" si="5"/>
        <v>1360775092.9119422</v>
      </c>
      <c r="AR22" s="2"/>
      <c r="AU22" s="44" t="s">
        <v>3</v>
      </c>
      <c r="AV22" t="str">
        <f t="shared" si="6"/>
        <v>BC/M</v>
      </c>
      <c r="AW22" s="45">
        <f>$O22*$AC$12*$AD$24</f>
        <v>1153810.8180892433</v>
      </c>
      <c r="AX22" s="45">
        <f>$P22*$AC$12*$AD$24</f>
        <v>3467847.748576191</v>
      </c>
      <c r="AY22" s="45">
        <f>$Q22*$AC$12*$AD$24</f>
        <v>42662808.54390419</v>
      </c>
      <c r="AZ22" s="45">
        <f>$R22*$AC$12*$AD$24</f>
        <v>26225761.832593102</v>
      </c>
      <c r="BA22" s="46"/>
      <c r="BB22" s="45">
        <f>$T22*$AC$12*$AD$24</f>
        <v>61949913.463216715</v>
      </c>
      <c r="BC22" s="45">
        <f>$U22*$AC$12*$AD$24</f>
        <v>220258455.88980335</v>
      </c>
      <c r="BD22" s="45">
        <f>$V22*$AC$12*$AD$24</f>
        <v>1646941.7216563937</v>
      </c>
      <c r="BE22" s="2">
        <f t="shared" si="7"/>
        <v>73510228.94316272</v>
      </c>
      <c r="BF22" s="2">
        <f t="shared" si="8"/>
        <v>283855311.07467645</v>
      </c>
      <c r="BJ22" s="44" t="s">
        <v>3</v>
      </c>
      <c r="BK22" t="str">
        <f t="shared" si="9"/>
        <v>BC/M</v>
      </c>
      <c r="BL22" s="45">
        <f>$O22*$AD$12*$AD$24</f>
        <v>46687.35708683266</v>
      </c>
      <c r="BM22" s="45">
        <f>$P22*$AD$12*$AD$24</f>
        <v>140321.6572615135</v>
      </c>
      <c r="BN22" s="45">
        <f>$Q22*$AD$12*$AD$24</f>
        <v>1726291.473081309</v>
      </c>
      <c r="BO22" s="45">
        <f>$R22*$AD$12*$AD$24</f>
        <v>1061189.1380773974</v>
      </c>
      <c r="BP22" s="46"/>
      <c r="BQ22" s="45">
        <f>$T22*$AD$12*$AD$24</f>
        <v>2506717.4670326873</v>
      </c>
      <c r="BR22" s="45">
        <f>$U22*$AD$12*$AD$24</f>
        <v>8912453.428501528</v>
      </c>
      <c r="BS22" s="45">
        <f>$V22*$AD$12*$AD$24</f>
        <v>66641.21626759417</v>
      </c>
      <c r="BT22" s="2">
        <f t="shared" si="10"/>
        <v>2974489.6255070525</v>
      </c>
      <c r="BU22" s="2">
        <f t="shared" si="11"/>
        <v>11485812.11180181</v>
      </c>
    </row>
    <row r="23" spans="2:73" ht="12.75" customHeight="1">
      <c r="B23" s="4"/>
      <c r="C23" s="17" t="s">
        <v>26</v>
      </c>
      <c r="D23" s="5">
        <f>SUM(AH84:AP84)</f>
        <v>1729622559.0120595</v>
      </c>
      <c r="E23" s="5">
        <f>SUM(AW84:BE84)</f>
        <v>350218229.2174824</v>
      </c>
      <c r="F23" s="5">
        <f>SUM(BL84:BT84)</f>
        <v>14173987.762910144</v>
      </c>
      <c r="G23" s="6">
        <f t="shared" si="12"/>
        <v>2094014775.992452</v>
      </c>
      <c r="K23" s="44" t="s">
        <v>34</v>
      </c>
      <c r="L23" s="44" t="s">
        <v>29</v>
      </c>
      <c r="M23" s="48" t="s">
        <v>4</v>
      </c>
      <c r="N23" t="str">
        <f t="shared" si="0"/>
        <v>NBC/NM</v>
      </c>
      <c r="S23" s="45">
        <v>45842427.46399999</v>
      </c>
      <c r="T23" s="45">
        <v>21287225.356</v>
      </c>
      <c r="U23" s="45">
        <v>339697782.12200004</v>
      </c>
      <c r="V23" s="45">
        <v>76730568.4</v>
      </c>
      <c r="W23" s="2">
        <f t="shared" si="1"/>
        <v>45842427.46399999</v>
      </c>
      <c r="X23" s="2">
        <f t="shared" si="2"/>
        <v>437715575.878</v>
      </c>
      <c r="Y23" s="44"/>
      <c r="Z23" t="s">
        <v>76</v>
      </c>
      <c r="AA23" s="2">
        <f>SUM(R19:V20)</f>
        <v>223586748.13900003</v>
      </c>
      <c r="AB23" s="37">
        <f t="shared" si="13"/>
        <v>0.027242350857332974</v>
      </c>
      <c r="AC23" s="64">
        <f>'FY2005_BD'!J62</f>
        <v>229435803.3324138</v>
      </c>
      <c r="AD23" s="41">
        <f>(AA27-AC20-AC22-AC24-AC25)/(AA27-AA20-AA22-AA24-AA25)</f>
        <v>0.9865097677382342</v>
      </c>
      <c r="AF23" s="48" t="s">
        <v>4</v>
      </c>
      <c r="AG23" t="str">
        <f t="shared" si="3"/>
        <v>NBC/NM</v>
      </c>
      <c r="AL23" s="45">
        <f>$S23*$AB$13*$AD$25</f>
        <v>33094277.68543377</v>
      </c>
      <c r="AM23" s="45">
        <f>$T23*$AB$13*$AD$25</f>
        <v>15367540.203605106</v>
      </c>
      <c r="AN23" s="45">
        <f>$U23*$AB$13*$AD$25</f>
        <v>245232492.09479192</v>
      </c>
      <c r="AO23" s="45">
        <f>$V23*$AB$13*$AD$25</f>
        <v>55392850.6422334</v>
      </c>
      <c r="AP23" s="2">
        <f t="shared" si="4"/>
        <v>33094277.68543377</v>
      </c>
      <c r="AQ23" s="2">
        <f t="shared" si="5"/>
        <v>315992882.94063044</v>
      </c>
      <c r="AR23" s="2"/>
      <c r="AU23" s="48" t="s">
        <v>4</v>
      </c>
      <c r="AV23" t="str">
        <f t="shared" si="6"/>
        <v>NBC/NM</v>
      </c>
      <c r="BA23" s="45">
        <f>$S23*$AC$13*$AD$25</f>
        <v>12412912.69802865</v>
      </c>
      <c r="BB23" s="45">
        <f>$T23*$AC$13*$AD$25</f>
        <v>5764015.662887714</v>
      </c>
      <c r="BC23" s="45">
        <f>$U23*$AC$13*$AD$25</f>
        <v>91981143.81062536</v>
      </c>
      <c r="BD23" s="45">
        <f>$V23*$AC$13*$AD$25</f>
        <v>20776601.491430048</v>
      </c>
      <c r="BE23" s="2">
        <f t="shared" si="7"/>
        <v>12412912.69802865</v>
      </c>
      <c r="BF23" s="2">
        <f t="shared" si="8"/>
        <v>118521760.96494311</v>
      </c>
      <c r="BJ23" s="48" t="s">
        <v>4</v>
      </c>
      <c r="BK23" t="str">
        <f t="shared" si="9"/>
        <v>NBC/NM</v>
      </c>
      <c r="BP23" s="45">
        <f>$S23*$AD$13*$AD$25</f>
        <v>258190.01204965555</v>
      </c>
      <c r="BQ23" s="45">
        <f>$T23*$AD$13*$AD$25</f>
        <v>119892.18885682903</v>
      </c>
      <c r="BR23" s="45">
        <f>$U23*$AD$13*$AD$25</f>
        <v>1913218.3723952302</v>
      </c>
      <c r="BS23" s="45">
        <f>$V23*$AD$13*$AD$25</f>
        <v>432155.70107692335</v>
      </c>
      <c r="BT23" s="2">
        <f t="shared" si="10"/>
        <v>258190.01204965555</v>
      </c>
      <c r="BU23" s="2">
        <f t="shared" si="11"/>
        <v>2465266.2623289824</v>
      </c>
    </row>
    <row r="24" spans="2:73" ht="12.75" customHeight="1">
      <c r="B24" s="4" t="s">
        <v>4</v>
      </c>
      <c r="C24" s="17" t="s">
        <v>29</v>
      </c>
      <c r="D24" s="5">
        <f>SUM(AH85:AP85)</f>
        <v>352438397.3680744</v>
      </c>
      <c r="E24" s="5">
        <f>SUM(AW85:BE85)</f>
        <v>128315980.18971233</v>
      </c>
      <c r="F24" s="5">
        <f>SUM(BL85:BT85)</f>
        <v>2669531.840145941</v>
      </c>
      <c r="G24" s="6">
        <f t="shared" si="12"/>
        <v>483423909.3979327</v>
      </c>
      <c r="K24" s="44" t="s">
        <v>34</v>
      </c>
      <c r="L24" s="44" t="s">
        <v>30</v>
      </c>
      <c r="M24" s="48" t="s">
        <v>4</v>
      </c>
      <c r="N24" t="str">
        <f t="shared" si="0"/>
        <v>NBC/M</v>
      </c>
      <c r="S24" s="45">
        <v>162731406.64400002</v>
      </c>
      <c r="T24" s="45">
        <v>104759617.482</v>
      </c>
      <c r="U24" s="45">
        <v>2527011417.243</v>
      </c>
      <c r="V24" s="45">
        <v>663915124.3410001</v>
      </c>
      <c r="W24" s="2">
        <f t="shared" si="1"/>
        <v>162731406.64400002</v>
      </c>
      <c r="X24" s="2">
        <f t="shared" si="2"/>
        <v>3295686159.066</v>
      </c>
      <c r="Y24" s="44"/>
      <c r="Z24" t="s">
        <v>77</v>
      </c>
      <c r="AA24" s="2">
        <f>SUM(O21:V22)</f>
        <v>2511885335.4240003</v>
      </c>
      <c r="AB24" s="37">
        <f t="shared" si="13"/>
        <v>0.3060541923462682</v>
      </c>
      <c r="AC24" s="64">
        <f>'FY2005_BD'!J63</f>
        <v>2502682440.9241157</v>
      </c>
      <c r="AD24">
        <f>AC24/AA24</f>
        <v>0.9963362601110408</v>
      </c>
      <c r="AF24" s="48" t="s">
        <v>4</v>
      </c>
      <c r="AG24" t="str">
        <f t="shared" si="3"/>
        <v>NBC/M</v>
      </c>
      <c r="AL24" s="45">
        <f>$S24*$AB$13*$AD$25</f>
        <v>117478036.34192342</v>
      </c>
      <c r="AM24" s="45">
        <f>$T24*$AB$13*$AD$25</f>
        <v>75627405.94161855</v>
      </c>
      <c r="AN24" s="45">
        <f>$U24*$AB$13*$AD$25</f>
        <v>1824284231.5053155</v>
      </c>
      <c r="AO24" s="45">
        <f>$V24*$AB$13*$AD$25</f>
        <v>479289442.1167983</v>
      </c>
      <c r="AP24" s="2">
        <f t="shared" si="4"/>
        <v>117478036.34192342</v>
      </c>
      <c r="AQ24" s="2">
        <f t="shared" si="5"/>
        <v>2379201079.563732</v>
      </c>
      <c r="AR24" s="2"/>
      <c r="AU24" s="48" t="s">
        <v>4</v>
      </c>
      <c r="AV24" t="str">
        <f t="shared" si="6"/>
        <v>NBC/M</v>
      </c>
      <c r="BA24" s="45">
        <f>$S24*$AC$13*$AD$25</f>
        <v>44063346.023411445</v>
      </c>
      <c r="BB24" s="45">
        <f>$T24*$AC$13*$AD$25</f>
        <v>28366124.091140736</v>
      </c>
      <c r="BC24" s="45">
        <f>$U24*$AC$13*$AD$25</f>
        <v>684247624.8403716</v>
      </c>
      <c r="BD24" s="45">
        <f>$V24*$AC$13*$AD$25</f>
        <v>179770595.34679773</v>
      </c>
      <c r="BE24" s="2">
        <f t="shared" si="7"/>
        <v>44063346.023411445</v>
      </c>
      <c r="BF24" s="2">
        <f t="shared" si="8"/>
        <v>892384344.2783101</v>
      </c>
      <c r="BJ24" s="48" t="s">
        <v>4</v>
      </c>
      <c r="BK24" t="str">
        <f t="shared" si="9"/>
        <v>NBC/M</v>
      </c>
      <c r="BP24" s="45">
        <f>$S24*$AD$13*$AD$25</f>
        <v>916522.666153894</v>
      </c>
      <c r="BQ24" s="45">
        <f>$T24*$AD$13*$AD$25</f>
        <v>590018.6442185149</v>
      </c>
      <c r="BR24" s="45">
        <f>$U24*$AD$13*$AD$25</f>
        <v>14232429.309725253</v>
      </c>
      <c r="BS24" s="45">
        <f>$V24*$AD$13*$AD$25</f>
        <v>3739249.0632867203</v>
      </c>
      <c r="BT24" s="2">
        <f t="shared" si="10"/>
        <v>916522.666153894</v>
      </c>
      <c r="BU24" s="2">
        <f t="shared" si="11"/>
        <v>18561697.01723049</v>
      </c>
    </row>
    <row r="25" spans="2:73" ht="12.75" customHeight="1">
      <c r="B25" s="4"/>
      <c r="C25" s="17" t="s">
        <v>30</v>
      </c>
      <c r="D25" s="5">
        <f>SUM(AH86:AP86)</f>
        <v>2520647235.41835</v>
      </c>
      <c r="E25" s="5">
        <f>SUM(AW86:BE86)</f>
        <v>917718736.495687</v>
      </c>
      <c r="F25" s="5">
        <f>SUM(BL86:BT86)</f>
        <v>19092550.93365337</v>
      </c>
      <c r="G25" s="6">
        <f t="shared" si="12"/>
        <v>3457458522.8476906</v>
      </c>
      <c r="K25" s="44" t="s">
        <v>34</v>
      </c>
      <c r="L25" s="44" t="s">
        <v>29</v>
      </c>
      <c r="M25" s="44" t="s">
        <v>7</v>
      </c>
      <c r="N25" t="str">
        <f t="shared" si="0"/>
        <v>NBC/NM</v>
      </c>
      <c r="O25" s="45">
        <v>2210840.668</v>
      </c>
      <c r="P25" s="45">
        <v>497523.02100000007</v>
      </c>
      <c r="Q25" s="45">
        <v>1797755.218</v>
      </c>
      <c r="T25" s="45">
        <v>308198.285</v>
      </c>
      <c r="U25" s="45">
        <v>176019.32300000003</v>
      </c>
      <c r="V25" s="45">
        <v>2062.302</v>
      </c>
      <c r="W25" s="2">
        <f t="shared" si="1"/>
        <v>4506118.907000001</v>
      </c>
      <c r="X25" s="2">
        <f t="shared" si="2"/>
        <v>486279.91000000003</v>
      </c>
      <c r="Y25" s="44"/>
      <c r="Z25" t="s">
        <v>4</v>
      </c>
      <c r="AA25" s="2">
        <f>SUM(O23:V24)</f>
        <v>3941975569.052</v>
      </c>
      <c r="AB25" s="37">
        <f t="shared" si="13"/>
        <v>0.48029984968692196</v>
      </c>
      <c r="AC25" s="64">
        <f>'FY2005_BD'!J64</f>
        <v>3935350316.454176</v>
      </c>
      <c r="AD25">
        <f>AC25/AA25</f>
        <v>0.9983193065299952</v>
      </c>
      <c r="AF25" s="44" t="s">
        <v>7</v>
      </c>
      <c r="AG25" t="str">
        <f t="shared" si="3"/>
        <v>NBC/NM</v>
      </c>
      <c r="AH25" s="45">
        <f>$O25*$AB$7*$AD$19</f>
        <v>1843845.176151418</v>
      </c>
      <c r="AI25" s="45">
        <f>$P25*$AB$7*$AD$19</f>
        <v>414935.11295185325</v>
      </c>
      <c r="AJ25" s="45">
        <f>$Q25*$AB$7*$AD$19</f>
        <v>1499331.152438499</v>
      </c>
      <c r="AM25" s="45">
        <f>$T25*$AB$7*$AD$19</f>
        <v>257037.93553312268</v>
      </c>
      <c r="AN25" s="45">
        <f>$U25*$AB$7*$AD$19</f>
        <v>146800.43854837774</v>
      </c>
      <c r="AO25" s="45">
        <f>$V25*$AB$7*$AD$19</f>
        <v>1719.963654326727</v>
      </c>
      <c r="AP25" s="2">
        <f t="shared" si="4"/>
        <v>3758111.44154177</v>
      </c>
      <c r="AQ25" s="2">
        <f t="shared" si="5"/>
        <v>405558.3377358272</v>
      </c>
      <c r="AR25" s="2"/>
      <c r="AU25" s="44" t="s">
        <v>7</v>
      </c>
      <c r="AV25" t="str">
        <f t="shared" si="6"/>
        <v>NBC/NM</v>
      </c>
      <c r="AW25" s="45">
        <f>$O25*$AC$7*$AD$19</f>
        <v>301012.097857003</v>
      </c>
      <c r="AX25" s="45">
        <f>$P25*$AC$7*$AD$19</f>
        <v>67739.14124659287</v>
      </c>
      <c r="AY25" s="45">
        <f>$Q25*$AC$7*$AD$19</f>
        <v>244769.36643882733</v>
      </c>
      <c r="BB25" s="45">
        <f>$T25*$AC$7*$AD$19</f>
        <v>41962.0525651469</v>
      </c>
      <c r="BC25" s="45">
        <f>$U25*$AC$7*$AD$19</f>
        <v>23965.519743912828</v>
      </c>
      <c r="BD25" s="45">
        <f>$V25*$AC$7*$AD$19</f>
        <v>280.7881456225741</v>
      </c>
      <c r="BE25" s="2">
        <f t="shared" si="7"/>
        <v>613520.6055424232</v>
      </c>
      <c r="BF25" s="2">
        <f t="shared" si="8"/>
        <v>66208.3604546823</v>
      </c>
      <c r="BJ25" s="44" t="s">
        <v>7</v>
      </c>
      <c r="BK25" t="str">
        <f t="shared" si="9"/>
        <v>NBC/NM</v>
      </c>
      <c r="BL25" s="45">
        <f>$O25*$AD$7*$AD$19</f>
        <v>36158.63988650135</v>
      </c>
      <c r="BM25" s="45">
        <f>$P25*$AD$7*$AD$19</f>
        <v>8137.065692688464</v>
      </c>
      <c r="BN25" s="45">
        <f>$Q25*$AD$7*$AD$19</f>
        <v>29402.563682052154</v>
      </c>
      <c r="BQ25" s="45">
        <f>$T25*$AD$7*$AD$19</f>
        <v>5040.630454402473</v>
      </c>
      <c r="BR25" s="45">
        <f>$U25*$AD$7*$AD$19</f>
        <v>2878.823157880667</v>
      </c>
      <c r="BS25" s="45">
        <f>$V25*$AD$7*$AD$19</f>
        <v>33.72926707679483</v>
      </c>
      <c r="BT25" s="2">
        <f t="shared" si="10"/>
        <v>73698.26926124196</v>
      </c>
      <c r="BU25" s="2">
        <f t="shared" si="11"/>
        <v>7953.182879359935</v>
      </c>
    </row>
    <row r="26" spans="2:73" ht="12.75" customHeight="1">
      <c r="B26" s="4" t="s">
        <v>7</v>
      </c>
      <c r="C26" s="17" t="s">
        <v>29</v>
      </c>
      <c r="D26" s="5">
        <f>SUM(AH87:AP87)</f>
        <v>4203641.0091586625</v>
      </c>
      <c r="E26" s="5">
        <f>SUM(AW87:BE87)</f>
        <v>666134.3866771634</v>
      </c>
      <c r="F26" s="5">
        <f>SUM(BL87:BT87)</f>
        <v>80034.75338821799</v>
      </c>
      <c r="G26" s="6">
        <f t="shared" si="12"/>
        <v>4949810.149224044</v>
      </c>
      <c r="K26" s="44" t="s">
        <v>34</v>
      </c>
      <c r="L26" s="44" t="s">
        <v>30</v>
      </c>
      <c r="M26" s="44" t="s">
        <v>7</v>
      </c>
      <c r="N26" t="str">
        <f t="shared" si="0"/>
        <v>NBC/M</v>
      </c>
      <c r="O26" s="45">
        <v>4398555.334000001</v>
      </c>
      <c r="P26" s="45">
        <v>5560513.075</v>
      </c>
      <c r="Q26" s="45">
        <v>2631853.222</v>
      </c>
      <c r="R26" s="45">
        <v>740691.3570000001</v>
      </c>
      <c r="S26" s="45">
        <v>1294574.282</v>
      </c>
      <c r="T26" s="45">
        <v>616153.75</v>
      </c>
      <c r="U26" s="45">
        <v>21255.327999999998</v>
      </c>
      <c r="V26" s="46"/>
      <c r="W26" s="2">
        <f t="shared" si="1"/>
        <v>14626187.270000001</v>
      </c>
      <c r="X26" s="2">
        <f t="shared" si="2"/>
        <v>637409.078</v>
      </c>
      <c r="Y26" s="44"/>
      <c r="AC26" s="64"/>
      <c r="AF26" s="44" t="s">
        <v>7</v>
      </c>
      <c r="AG26" t="str">
        <f t="shared" si="3"/>
        <v>NBC/M</v>
      </c>
      <c r="AH26" s="45">
        <f>$O26*$AB$7*$AD$19</f>
        <v>3668403.224176167</v>
      </c>
      <c r="AI26" s="45">
        <f>$P26*$AB$7*$AD$19</f>
        <v>4637478.113490917</v>
      </c>
      <c r="AJ26" s="45">
        <f>$Q26*$AB$7*$AD$19</f>
        <v>2194970.4191542706</v>
      </c>
      <c r="AK26" s="45">
        <f>$R26*$AB$7*$AD$19</f>
        <v>617737.9516258736</v>
      </c>
      <c r="AL26" s="45">
        <f>$S26*$AB$7*$AD$19</f>
        <v>1079677.3279888777</v>
      </c>
      <c r="AM26" s="45">
        <f>$T26*$AB$7*$AD$19</f>
        <v>513873.3587404349</v>
      </c>
      <c r="AN26" s="45">
        <f>$U26*$AB$7*$AD$19</f>
        <v>17726.982576166436</v>
      </c>
      <c r="AO26" s="46"/>
      <c r="AP26" s="2">
        <f t="shared" si="4"/>
        <v>12198267.036436105</v>
      </c>
      <c r="AQ26" s="2">
        <f t="shared" si="5"/>
        <v>531600.3413166014</v>
      </c>
      <c r="AR26" s="2"/>
      <c r="AU26" s="44" t="s">
        <v>7</v>
      </c>
      <c r="AV26" t="str">
        <f t="shared" si="6"/>
        <v>NBC/M</v>
      </c>
      <c r="AW26" s="45">
        <f>$O26*$AC$7*$AD$19</f>
        <v>598875.5263061095</v>
      </c>
      <c r="AX26" s="45">
        <f>$P26*$AC$7*$AD$19</f>
        <v>757079.3002379512</v>
      </c>
      <c r="AY26" s="45">
        <f>$Q26*$AC$7*$AD$19</f>
        <v>358334.1265033816</v>
      </c>
      <c r="AZ26" s="45">
        <f>$R26*$AC$7*$AD$19</f>
        <v>100847.1856259161</v>
      </c>
      <c r="BA26" s="45">
        <f>$S26*$AC$7*$AD$19</f>
        <v>176259.88434936068</v>
      </c>
      <c r="BB26" s="45">
        <f>$T26*$AC$7*$AD$19</f>
        <v>83891.04451282843</v>
      </c>
      <c r="BC26" s="45">
        <f>$U26*$AC$7*$AD$19</f>
        <v>2893.971946746682</v>
      </c>
      <c r="BD26" s="46"/>
      <c r="BE26" s="2">
        <f t="shared" si="7"/>
        <v>1991396.0230227192</v>
      </c>
      <c r="BF26" s="2">
        <f t="shared" si="8"/>
        <v>86785.01645957511</v>
      </c>
      <c r="BJ26" s="44" t="s">
        <v>7</v>
      </c>
      <c r="BK26" t="str">
        <f t="shared" si="9"/>
        <v>NBC/M</v>
      </c>
      <c r="BL26" s="45">
        <f>$O26*$AD$7*$AD$19</f>
        <v>71939.05044583505</v>
      </c>
      <c r="BM26" s="45">
        <f>$P26*$AD$7*$AD$19</f>
        <v>90943.04839479606</v>
      </c>
      <c r="BN26" s="45">
        <f>$Q26*$AD$7*$AD$19</f>
        <v>43044.365098691174</v>
      </c>
      <c r="BO26" s="45">
        <f>$R26*$AD$7*$AD$19</f>
        <v>12114.121307997853</v>
      </c>
      <c r="BP26" s="45">
        <f>$S26*$AD$7*$AD$19</f>
        <v>21172.96191747276</v>
      </c>
      <c r="BQ26" s="45">
        <f>$T26*$AD$7*$AD$19</f>
        <v>10077.289550278609</v>
      </c>
      <c r="BR26" s="45">
        <f>$U26*$AD$7*$AD$19</f>
        <v>347.6341655668642</v>
      </c>
      <c r="BS26" s="46"/>
      <c r="BT26" s="2">
        <f t="shared" si="10"/>
        <v>239213.5471647929</v>
      </c>
      <c r="BU26" s="2">
        <f t="shared" si="11"/>
        <v>10424.923715845473</v>
      </c>
    </row>
    <row r="27" spans="2:73" ht="12.75" customHeight="1">
      <c r="B27" s="12"/>
      <c r="C27" s="260" t="s">
        <v>30</v>
      </c>
      <c r="D27" s="35">
        <f>SUM(AH88:AP88)</f>
        <v>12852074.104579132</v>
      </c>
      <c r="E27" s="35">
        <f>SUM(AW88:BE88)</f>
        <v>2036617.4186926484</v>
      </c>
      <c r="F27" s="35">
        <f>SUM(BL88:BT88)</f>
        <v>244695.62915720174</v>
      </c>
      <c r="G27" s="36">
        <f t="shared" si="12"/>
        <v>15133387.152428983</v>
      </c>
      <c r="W27" s="2"/>
      <c r="X27" s="2"/>
      <c r="AA27" s="2">
        <f>SUM(AA19:AA25)</f>
        <v>8207322096.023001</v>
      </c>
      <c r="AC27" s="2">
        <f>SUM(AC19:AC25)</f>
        <v>8236913985.937792</v>
      </c>
      <c r="AP27" s="2"/>
      <c r="AQ27" s="2"/>
      <c r="AR27" s="2"/>
      <c r="AW27" s="2">
        <f aca="true" t="shared" si="14" ref="AW27:BD27">SUM(AW7:AW26)</f>
        <v>28549383.55575648</v>
      </c>
      <c r="AX27" s="2">
        <f t="shared" si="14"/>
        <v>45552670.778492175</v>
      </c>
      <c r="AY27" s="2">
        <f t="shared" si="14"/>
        <v>147054184.16777226</v>
      </c>
      <c r="AZ27" s="2">
        <f t="shared" si="14"/>
        <v>45540357.27092298</v>
      </c>
      <c r="BA27" s="2">
        <f t="shared" si="14"/>
        <v>56652518.60578945</v>
      </c>
      <c r="BB27" s="2">
        <f t="shared" si="14"/>
        <v>147775295.76371783</v>
      </c>
      <c r="BC27" s="2">
        <f t="shared" si="14"/>
        <v>1086019379.0869706</v>
      </c>
      <c r="BD27" s="2">
        <f t="shared" si="14"/>
        <v>203213871.7307512</v>
      </c>
      <c r="BE27" s="2">
        <f>SUM(BE7:BE26)</f>
        <v>323349114.37873334</v>
      </c>
      <c r="BF27" s="2">
        <f>SUM(BF7:BF26)</f>
        <v>1437008546.5814397</v>
      </c>
      <c r="BL27" s="2">
        <f aca="true" t="shared" si="15" ref="BL27:BS27">SUM(BL7:BL26)</f>
        <v>2267022.8513313956</v>
      </c>
      <c r="BM27" s="2">
        <f t="shared" si="15"/>
        <v>3361368.4994833847</v>
      </c>
      <c r="BN27" s="2">
        <f t="shared" si="15"/>
        <v>11492321.763566857</v>
      </c>
      <c r="BO27" s="2">
        <f t="shared" si="15"/>
        <v>2060829.8369266358</v>
      </c>
      <c r="BP27" s="2">
        <f t="shared" si="15"/>
        <v>1195885.6401210225</v>
      </c>
      <c r="BQ27" s="2">
        <f t="shared" si="15"/>
        <v>6817705.232285192</v>
      </c>
      <c r="BR27" s="2">
        <f t="shared" si="15"/>
        <v>30197897.370869387</v>
      </c>
      <c r="BS27" s="2">
        <f t="shared" si="15"/>
        <v>4287565.458093022</v>
      </c>
      <c r="BT27" s="2">
        <f>SUM(BT7:BT26)</f>
        <v>20377428.591429297</v>
      </c>
      <c r="BU27" s="2">
        <f>SUM(BU7:BU26)</f>
        <v>41303168.0612476</v>
      </c>
    </row>
    <row r="28" spans="13:64" ht="12.75" customHeight="1">
      <c r="M28" t="s">
        <v>87</v>
      </c>
      <c r="O28">
        <v>1.003</v>
      </c>
      <c r="W28" s="2">
        <f>SUM(W7:W26)</f>
        <v>1937591709.9180002</v>
      </c>
      <c r="X28" s="2">
        <f>SUM(X7:X26)</f>
        <v>6269730386.105</v>
      </c>
      <c r="AF28" t="s">
        <v>87</v>
      </c>
      <c r="AH28">
        <v>1.0096</v>
      </c>
      <c r="AP28" s="2">
        <f>SUM(AP7:AP26)</f>
        <v>1604178648.7975624</v>
      </c>
      <c r="AQ28" s="2">
        <f>SUM(AQ7:AQ26)</f>
        <v>4781105189.612589</v>
      </c>
      <c r="AR28" s="2"/>
      <c r="AU28" t="s">
        <v>87</v>
      </c>
      <c r="AW28">
        <v>0.98</v>
      </c>
      <c r="BJ28" t="s">
        <v>87</v>
      </c>
      <c r="BL28">
        <v>0.9802</v>
      </c>
    </row>
    <row r="29" spans="4:26" ht="12.75" customHeight="1">
      <c r="D29" s="2">
        <f>SUM(D8:D27)</f>
        <v>6446582563.258889</v>
      </c>
      <c r="E29" s="2">
        <f>SUM(E8:E27)</f>
        <v>1725150507.7409694</v>
      </c>
      <c r="F29" s="2">
        <f>SUM(F8:F27)</f>
        <v>60459320.83895389</v>
      </c>
      <c r="G29" s="2">
        <f>SUM(G8:G27)</f>
        <v>8232192391.838812</v>
      </c>
      <c r="Z29" t="s">
        <v>85</v>
      </c>
    </row>
    <row r="30" spans="24:73" ht="12.75" customHeight="1">
      <c r="X30" s="2">
        <f>W28+X28</f>
        <v>8207322096.023</v>
      </c>
      <c r="Z30" t="s">
        <v>86</v>
      </c>
      <c r="AA30" s="2">
        <f>AC19-AD19*AA19</f>
        <v>15459739.864919633</v>
      </c>
      <c r="AQ30" s="2">
        <f>AP28+AQ28</f>
        <v>6385283838.4101515</v>
      </c>
      <c r="AR30" s="2"/>
      <c r="BF30" s="2">
        <f>BE27+BF27</f>
        <v>1760357660.9601731</v>
      </c>
      <c r="BU30" s="2">
        <f>BT27+BU27</f>
        <v>61680596.652676895</v>
      </c>
    </row>
    <row r="31" spans="13:27" ht="12.75" customHeight="1">
      <c r="M31" s="264" t="s">
        <v>343</v>
      </c>
      <c r="X31" s="2"/>
      <c r="Z31" t="s">
        <v>17</v>
      </c>
      <c r="AA31" s="2">
        <f>AC21-AD21*AA21</f>
        <v>5266857.693409115</v>
      </c>
    </row>
    <row r="32" spans="13:73" ht="12.75" customHeight="1">
      <c r="M32" s="1" t="s">
        <v>63</v>
      </c>
      <c r="Q32" s="2">
        <v>5681189.575371113</v>
      </c>
      <c r="S32" s="2">
        <v>8677515.999828931</v>
      </c>
      <c r="T32" s="2">
        <v>3545107.9147999585</v>
      </c>
      <c r="X32" s="37">
        <f>X28/X30</f>
        <v>0.7639191337626564</v>
      </c>
      <c r="Z32" t="s">
        <v>18</v>
      </c>
      <c r="AA32" s="2">
        <f>AC23-AD23*AA23</f>
        <v>8865292.356461823</v>
      </c>
      <c r="BU32" s="2">
        <f>AQ30+BF30+BU30</f>
        <v>8207322096.023002</v>
      </c>
    </row>
    <row r="33" spans="3:27" ht="12.75" customHeight="1">
      <c r="C33" s="263" t="s">
        <v>85</v>
      </c>
      <c r="M33" s="265"/>
      <c r="Q33" s="37">
        <f>Q32/($Q32+$S32+$T32)</f>
        <v>0.3173172898915801</v>
      </c>
      <c r="S33" s="37">
        <f>S32/($Q32+$S32+$T32)</f>
        <v>0.484674173168508</v>
      </c>
      <c r="T33" s="37">
        <f>T32/($Q32+$S32+$T32)</f>
        <v>0.1980085369399119</v>
      </c>
      <c r="X33" s="2"/>
      <c r="Z33" t="s">
        <v>53</v>
      </c>
      <c r="AA33" s="2">
        <f>SUM(AA30:AA32)</f>
        <v>29591889.91479057</v>
      </c>
    </row>
    <row r="34" spans="4:78" ht="12.75" customHeight="1">
      <c r="D34" s="34" t="s">
        <v>69</v>
      </c>
      <c r="E34" s="34" t="s">
        <v>70</v>
      </c>
      <c r="F34" s="267" t="s">
        <v>71</v>
      </c>
      <c r="G34" s="34" t="s">
        <v>353</v>
      </c>
      <c r="X34" s="2"/>
      <c r="AA34" s="2"/>
      <c r="BZ34" s="64"/>
    </row>
    <row r="35" spans="3:78" ht="12.75" customHeight="1" thickBot="1">
      <c r="C35" t="s">
        <v>86</v>
      </c>
      <c r="D35" s="2">
        <f>AC38-AD38*AA38</f>
        <v>13069765.604590058</v>
      </c>
      <c r="E35" s="2">
        <f>AC52-AD52*AA52</f>
        <v>2133670.231113799</v>
      </c>
      <c r="F35" s="2">
        <f>AC66-AD66*AA66</f>
        <v>256304.02921560267</v>
      </c>
      <c r="G35" s="2">
        <f>SUM(D35:F35)</f>
        <v>15459739.86491946</v>
      </c>
      <c r="X35" s="2"/>
      <c r="Z35" t="s">
        <v>349</v>
      </c>
      <c r="BZ35" s="74"/>
    </row>
    <row r="36" spans="3:72" ht="15" customHeight="1" thickTop="1">
      <c r="C36" t="s">
        <v>17</v>
      </c>
      <c r="D36" s="2">
        <f>AC40-AD40*AA40</f>
        <v>4435285.7391298115</v>
      </c>
      <c r="E36" s="2">
        <f>AC54-AD54*AA54</f>
        <v>678866.924479831</v>
      </c>
      <c r="F36" s="2">
        <f>AC68-AD68*AA68</f>
        <v>152705.02979928534</v>
      </c>
      <c r="G36" s="2">
        <f>SUM(D36:F36)</f>
        <v>5266857.693408928</v>
      </c>
      <c r="AA36" t="s">
        <v>99</v>
      </c>
      <c r="AD36" t="s">
        <v>83</v>
      </c>
      <c r="AF36" s="117" t="s">
        <v>88</v>
      </c>
      <c r="AG36" s="118"/>
      <c r="AH36" s="118"/>
      <c r="AI36" s="118"/>
      <c r="AJ36" s="118"/>
      <c r="AK36" s="118"/>
      <c r="AL36" s="118"/>
      <c r="AM36" s="118"/>
      <c r="AN36" s="118"/>
      <c r="AO36" s="118"/>
      <c r="AP36" s="119"/>
      <c r="AU36" s="117" t="s">
        <v>90</v>
      </c>
      <c r="AV36" s="118"/>
      <c r="AW36" s="118"/>
      <c r="AX36" s="118"/>
      <c r="AY36" s="118"/>
      <c r="AZ36" s="118"/>
      <c r="BA36" s="118"/>
      <c r="BB36" s="118"/>
      <c r="BC36" s="118"/>
      <c r="BD36" s="118"/>
      <c r="BE36" s="119"/>
      <c r="BJ36" s="117" t="s">
        <v>89</v>
      </c>
      <c r="BK36" s="118"/>
      <c r="BL36" s="118"/>
      <c r="BM36" s="118"/>
      <c r="BN36" s="118"/>
      <c r="BO36" s="118"/>
      <c r="BP36" s="118"/>
      <c r="BQ36" s="118"/>
      <c r="BR36" s="118"/>
      <c r="BS36" s="118"/>
      <c r="BT36" s="119"/>
    </row>
    <row r="37" spans="3:78" ht="12.75" customHeight="1">
      <c r="C37" t="s">
        <v>18</v>
      </c>
      <c r="D37" s="2">
        <f>AC42-AD42*AA42</f>
        <v>7015330.184706032</v>
      </c>
      <c r="E37" s="2">
        <f>AC56-AD56*AA56</f>
        <v>1753118.8287249207</v>
      </c>
      <c r="F37" s="2">
        <f>AC70-AD70*AA70</f>
        <v>96843.34303069673</v>
      </c>
      <c r="G37" s="2">
        <f>SUM(D37:F37)</f>
        <v>8865292.35646165</v>
      </c>
      <c r="AA37" t="s">
        <v>100</v>
      </c>
      <c r="AC37" t="s">
        <v>82</v>
      </c>
      <c r="AD37" t="s">
        <v>84</v>
      </c>
      <c r="AF37" s="10" t="s">
        <v>10</v>
      </c>
      <c r="AG37" s="11" t="s">
        <v>20</v>
      </c>
      <c r="AH37" s="110" t="s">
        <v>9</v>
      </c>
      <c r="AI37" s="110"/>
      <c r="AJ37" s="110"/>
      <c r="AK37" s="110"/>
      <c r="AL37" s="110"/>
      <c r="AM37" s="110"/>
      <c r="AN37" s="111" t="s">
        <v>6</v>
      </c>
      <c r="AO37" s="111"/>
      <c r="AP37" s="112"/>
      <c r="AU37" s="10" t="s">
        <v>10</v>
      </c>
      <c r="AV37" s="11" t="s">
        <v>20</v>
      </c>
      <c r="AW37" s="110" t="s">
        <v>9</v>
      </c>
      <c r="AX37" s="110"/>
      <c r="AY37" s="110"/>
      <c r="AZ37" s="110"/>
      <c r="BA37" s="110"/>
      <c r="BB37" s="110"/>
      <c r="BC37" s="111" t="s">
        <v>6</v>
      </c>
      <c r="BD37" s="111"/>
      <c r="BE37" s="112"/>
      <c r="BJ37" s="10" t="s">
        <v>10</v>
      </c>
      <c r="BK37" s="11" t="s">
        <v>20</v>
      </c>
      <c r="BL37" s="110" t="s">
        <v>9</v>
      </c>
      <c r="BM37" s="110"/>
      <c r="BN37" s="110"/>
      <c r="BO37" s="110"/>
      <c r="BP37" s="110"/>
      <c r="BQ37" s="110"/>
      <c r="BR37" s="111" t="s">
        <v>6</v>
      </c>
      <c r="BS37" s="111"/>
      <c r="BT37" s="112"/>
      <c r="BZ37" s="74"/>
    </row>
    <row r="38" spans="3:78" ht="12.75" customHeight="1">
      <c r="C38" t="s">
        <v>53</v>
      </c>
      <c r="D38" s="2">
        <f>SUM(D35:D37)</f>
        <v>24520381.528425902</v>
      </c>
      <c r="E38" s="2">
        <f>SUM(E35:E37)</f>
        <v>4565655.984318551</v>
      </c>
      <c r="F38" s="2">
        <f>SUM(F35:F37)</f>
        <v>505852.40204558475</v>
      </c>
      <c r="G38" s="2">
        <f>SUM(D38:F38)</f>
        <v>29591889.914790038</v>
      </c>
      <c r="Z38" t="s">
        <v>72</v>
      </c>
      <c r="AA38" s="2">
        <f>SUM(AH7:AI8,AH11:AI12,AH15:AI16,AH19:AI20,AH25:AO26,AM11:AM12)</f>
        <v>129762830.57325405</v>
      </c>
      <c r="AB38" s="37">
        <f>AA38/AQ$30</f>
        <v>0.02032217108230591</v>
      </c>
      <c r="AC38" s="64">
        <f>'FY2005_BD'!G58</f>
        <v>142832596.17784426</v>
      </c>
      <c r="AD38" s="41">
        <f>AD42</f>
        <v>1.000000000000001</v>
      </c>
      <c r="AF38" s="12" t="s">
        <v>21</v>
      </c>
      <c r="AG38" s="13" t="s">
        <v>22</v>
      </c>
      <c r="AH38" s="14" t="s">
        <v>0</v>
      </c>
      <c r="AI38" s="15" t="s">
        <v>1</v>
      </c>
      <c r="AJ38" s="15" t="s">
        <v>17</v>
      </c>
      <c r="AK38" s="15" t="s">
        <v>18</v>
      </c>
      <c r="AL38" s="15" t="s">
        <v>14</v>
      </c>
      <c r="AM38" s="15" t="s">
        <v>4</v>
      </c>
      <c r="AN38" s="15" t="s">
        <v>1</v>
      </c>
      <c r="AO38" s="15" t="s">
        <v>17</v>
      </c>
      <c r="AP38" s="16" t="s">
        <v>18</v>
      </c>
      <c r="AU38" s="12" t="s">
        <v>21</v>
      </c>
      <c r="AV38" s="13" t="s">
        <v>22</v>
      </c>
      <c r="AW38" s="14" t="s">
        <v>0</v>
      </c>
      <c r="AX38" s="15" t="s">
        <v>1</v>
      </c>
      <c r="AY38" s="15" t="s">
        <v>17</v>
      </c>
      <c r="AZ38" s="15" t="s">
        <v>18</v>
      </c>
      <c r="BA38" s="15" t="s">
        <v>14</v>
      </c>
      <c r="BB38" s="15" t="s">
        <v>4</v>
      </c>
      <c r="BC38" s="15" t="s">
        <v>1</v>
      </c>
      <c r="BD38" s="15" t="s">
        <v>17</v>
      </c>
      <c r="BE38" s="16" t="s">
        <v>18</v>
      </c>
      <c r="BJ38" s="12" t="s">
        <v>21</v>
      </c>
      <c r="BK38" s="13" t="s">
        <v>22</v>
      </c>
      <c r="BL38" s="14" t="s">
        <v>0</v>
      </c>
      <c r="BM38" s="15" t="s">
        <v>1</v>
      </c>
      <c r="BN38" s="15" t="s">
        <v>17</v>
      </c>
      <c r="BO38" s="15" t="s">
        <v>18</v>
      </c>
      <c r="BP38" s="15" t="s">
        <v>14</v>
      </c>
      <c r="BQ38" s="15" t="s">
        <v>4</v>
      </c>
      <c r="BR38" s="15" t="s">
        <v>1</v>
      </c>
      <c r="BS38" s="15" t="s">
        <v>17</v>
      </c>
      <c r="BT38" s="16" t="s">
        <v>18</v>
      </c>
      <c r="BZ38" s="74"/>
    </row>
    <row r="39" spans="6:78" ht="12.75" customHeight="1">
      <c r="F39" s="74"/>
      <c r="M39" s="264" t="s">
        <v>343</v>
      </c>
      <c r="Z39" t="s">
        <v>73</v>
      </c>
      <c r="AA39" s="2">
        <f>SUM(AH13:AO14)+AH9+AH10</f>
        <v>132738008.16555205</v>
      </c>
      <c r="AB39" s="37">
        <f>AA39/AQ$30</f>
        <v>0.02078811397029486</v>
      </c>
      <c r="AC39" s="64">
        <f>'FY2005_BD'!G59</f>
        <v>132738008.16555205</v>
      </c>
      <c r="AD39">
        <f>AC39/AA39</f>
        <v>1</v>
      </c>
      <c r="AF39" s="4" t="s">
        <v>0</v>
      </c>
      <c r="AG39" s="17" t="s">
        <v>23</v>
      </c>
      <c r="AH39" s="5">
        <f aca="true" t="shared" si="16" ref="AH39:AH54">$AH$28*AH7</f>
        <v>1663501.3693116829</v>
      </c>
      <c r="AI39" s="5"/>
      <c r="AJ39" s="5"/>
      <c r="AK39" s="5"/>
      <c r="AL39" s="5"/>
      <c r="AM39" s="5"/>
      <c r="AN39" s="5"/>
      <c r="AO39" s="5"/>
      <c r="AP39" s="6"/>
      <c r="AU39" s="4" t="s">
        <v>0</v>
      </c>
      <c r="AV39" s="17" t="s">
        <v>23</v>
      </c>
      <c r="AW39" s="5">
        <f aca="true" t="shared" si="17" ref="AW39:AW54">$AW$28*AW7</f>
        <v>263608.49129808135</v>
      </c>
      <c r="AX39" s="5"/>
      <c r="AY39" s="5"/>
      <c r="AZ39" s="5"/>
      <c r="BA39" s="5"/>
      <c r="BB39" s="5"/>
      <c r="BC39" s="5"/>
      <c r="BD39" s="5"/>
      <c r="BE39" s="6"/>
      <c r="BJ39" s="4" t="s">
        <v>0</v>
      </c>
      <c r="BK39" s="17" t="s">
        <v>23</v>
      </c>
      <c r="BL39" s="5">
        <f aca="true" t="shared" si="18" ref="BL39:BL54">$BL$28*BL7</f>
        <v>31672.048484575596</v>
      </c>
      <c r="BM39" s="5"/>
      <c r="BN39" s="5"/>
      <c r="BO39" s="5"/>
      <c r="BP39" s="5"/>
      <c r="BQ39" s="5"/>
      <c r="BR39" s="5"/>
      <c r="BS39" s="5"/>
      <c r="BT39" s="6"/>
      <c r="BZ39" s="74"/>
    </row>
    <row r="40" spans="13:72" ht="12.75" customHeight="1">
      <c r="M40" s="1" t="s">
        <v>347</v>
      </c>
      <c r="Z40" t="s">
        <v>74</v>
      </c>
      <c r="AA40" s="2">
        <f>SUM(AJ15:AO16)+AJ19+AJ20</f>
        <v>153601429.45678705</v>
      </c>
      <c r="AB40" s="37">
        <f>AA40/AQ$30</f>
        <v>0.024055536659593774</v>
      </c>
      <c r="AC40" s="64">
        <f>'FY2005_BD'!G60</f>
        <v>158036715.19591704</v>
      </c>
      <c r="AD40" s="41">
        <f>AD42</f>
        <v>1.000000000000001</v>
      </c>
      <c r="AF40" s="4"/>
      <c r="AG40" s="17" t="s">
        <v>24</v>
      </c>
      <c r="AH40" s="5">
        <f t="shared" si="16"/>
        <v>14279221.913950255</v>
      </c>
      <c r="AI40" s="5"/>
      <c r="AJ40" s="5"/>
      <c r="AK40" s="5"/>
      <c r="AL40" s="5"/>
      <c r="AM40" s="5"/>
      <c r="AN40" s="5"/>
      <c r="AO40" s="5"/>
      <c r="AP40" s="6"/>
      <c r="AU40" s="4"/>
      <c r="AV40" s="17" t="s">
        <v>24</v>
      </c>
      <c r="AW40" s="5">
        <f t="shared" si="17"/>
        <v>2262771.894924519</v>
      </c>
      <c r="AX40" s="5"/>
      <c r="AY40" s="5"/>
      <c r="AZ40" s="5"/>
      <c r="BA40" s="5"/>
      <c r="BB40" s="5"/>
      <c r="BC40" s="5"/>
      <c r="BD40" s="5"/>
      <c r="BE40" s="6"/>
      <c r="BJ40" s="4"/>
      <c r="BK40" s="17" t="s">
        <v>24</v>
      </c>
      <c r="BL40" s="5">
        <f t="shared" si="18"/>
        <v>271867.6504412966</v>
      </c>
      <c r="BM40" s="5"/>
      <c r="BN40" s="5"/>
      <c r="BO40" s="5"/>
      <c r="BP40" s="5"/>
      <c r="BQ40" s="5"/>
      <c r="BR40" s="5"/>
      <c r="BS40" s="5"/>
      <c r="BT40" s="6"/>
    </row>
    <row r="41" spans="13:72" ht="12.75" customHeight="1">
      <c r="M41" t="s">
        <v>346</v>
      </c>
      <c r="N41" s="120" t="s">
        <v>57</v>
      </c>
      <c r="O41" s="120"/>
      <c r="P41" s="120"/>
      <c r="S41" s="120"/>
      <c r="T41" s="120"/>
      <c r="Z41" t="s">
        <v>75</v>
      </c>
      <c r="AA41" s="2">
        <f>SUM(AH17:AO18)</f>
        <v>892502129.1030008</v>
      </c>
      <c r="AB41" s="37">
        <f>AA41/AQ$30</f>
        <v>0.13977485601097753</v>
      </c>
      <c r="AC41" s="64">
        <f>'FY2005_BD'!G61</f>
        <v>892502129.103001</v>
      </c>
      <c r="AD41">
        <f>AC41/AA41</f>
        <v>1.0000000000000002</v>
      </c>
      <c r="AF41" s="4"/>
      <c r="AG41" s="17" t="s">
        <v>25</v>
      </c>
      <c r="AH41" s="5">
        <f t="shared" si="16"/>
        <v>2573274.0568408687</v>
      </c>
      <c r="AI41" s="5"/>
      <c r="AJ41" s="5"/>
      <c r="AK41" s="5"/>
      <c r="AL41" s="5"/>
      <c r="AM41" s="5"/>
      <c r="AN41" s="5"/>
      <c r="AO41" s="5"/>
      <c r="AP41" s="6"/>
      <c r="AU41" s="4"/>
      <c r="AV41" s="17" t="s">
        <v>25</v>
      </c>
      <c r="AW41" s="5">
        <f t="shared" si="17"/>
        <v>447815.2787419223</v>
      </c>
      <c r="AX41" s="5"/>
      <c r="AY41" s="5"/>
      <c r="AZ41" s="5"/>
      <c r="BA41" s="5"/>
      <c r="BB41" s="5"/>
      <c r="BC41" s="5"/>
      <c r="BD41" s="5"/>
      <c r="BE41" s="6"/>
      <c r="BJ41" s="4"/>
      <c r="BK41" s="17" t="s">
        <v>25</v>
      </c>
      <c r="BL41" s="5">
        <f t="shared" si="18"/>
        <v>23654.39838142534</v>
      </c>
      <c r="BM41" s="5"/>
      <c r="BN41" s="5"/>
      <c r="BO41" s="5"/>
      <c r="BP41" s="5"/>
      <c r="BQ41" s="5"/>
      <c r="BR41" s="5"/>
      <c r="BS41" s="5"/>
      <c r="BT41" s="6"/>
    </row>
    <row r="42" spans="13:72" ht="12.75" customHeight="1">
      <c r="M42" t="s">
        <v>58</v>
      </c>
      <c r="N42" t="s">
        <v>59</v>
      </c>
      <c r="O42" s="34" t="s">
        <v>36</v>
      </c>
      <c r="Z42" t="s">
        <v>76</v>
      </c>
      <c r="AA42" s="2">
        <f>SUM(AK19:AO20)</f>
        <v>174543027.04160836</v>
      </c>
      <c r="AB42" s="37">
        <f>AA42/AQ$30</f>
        <v>0.02733520254677781</v>
      </c>
      <c r="AC42" s="64">
        <f>'FY2005_BD'!G62</f>
        <v>181558357.2263146</v>
      </c>
      <c r="AD42" s="41">
        <f>(AA46-AC39-AC41-AC43-AC44)/(AA46-AA39-AA41-AA43-AA44)</f>
        <v>1.000000000000001</v>
      </c>
      <c r="AF42" s="4"/>
      <c r="AG42" s="17" t="s">
        <v>26</v>
      </c>
      <c r="AH42" s="5">
        <f t="shared" si="16"/>
        <v>8061484.429843669</v>
      </c>
      <c r="AI42" s="5"/>
      <c r="AJ42" s="5"/>
      <c r="AK42" s="5"/>
      <c r="AL42" s="5"/>
      <c r="AM42" s="5"/>
      <c r="AN42" s="5"/>
      <c r="AO42" s="5"/>
      <c r="AP42" s="6"/>
      <c r="AU42" s="4"/>
      <c r="AV42" s="17" t="s">
        <v>26</v>
      </c>
      <c r="AW42" s="5">
        <f t="shared" si="17"/>
        <v>1402903.778331355</v>
      </c>
      <c r="AX42" s="5"/>
      <c r="AY42" s="5"/>
      <c r="AZ42" s="5"/>
      <c r="BA42" s="5"/>
      <c r="BB42" s="5"/>
      <c r="BC42" s="5"/>
      <c r="BD42" s="5"/>
      <c r="BE42" s="6"/>
      <c r="BJ42" s="4"/>
      <c r="BK42" s="17" t="s">
        <v>26</v>
      </c>
      <c r="BL42" s="5">
        <f t="shared" si="18"/>
        <v>74103.86924868914</v>
      </c>
      <c r="BM42" s="5"/>
      <c r="BN42" s="5"/>
      <c r="BO42" s="5"/>
      <c r="BP42" s="5"/>
      <c r="BQ42" s="5"/>
      <c r="BR42" s="5"/>
      <c r="BS42" s="5"/>
      <c r="BT42" s="6"/>
    </row>
    <row r="43" spans="13:72" ht="12.75" customHeight="1">
      <c r="M43" t="s">
        <v>4</v>
      </c>
      <c r="N43" t="s">
        <v>54</v>
      </c>
      <c r="O43" s="2">
        <v>8542549.573671542</v>
      </c>
      <c r="P43" s="2"/>
      <c r="U43" s="40"/>
      <c r="Z43" t="s">
        <v>77</v>
      </c>
      <c r="AA43" s="2">
        <f>SUM(AH21:AO22)</f>
        <v>2056370137.5382288</v>
      </c>
      <c r="AB43" s="37">
        <f>AA43/AQ$30</f>
        <v>0.3220483520510557</v>
      </c>
      <c r="AC43" s="64">
        <f>'FY2005_BD'!G63</f>
        <v>2056370137.5382288</v>
      </c>
      <c r="AD43">
        <f>AC43/AA43</f>
        <v>1</v>
      </c>
      <c r="AF43" s="4" t="s">
        <v>1</v>
      </c>
      <c r="AG43" s="17" t="s">
        <v>23</v>
      </c>
      <c r="AH43" s="5">
        <f t="shared" si="16"/>
        <v>4373438.085634279</v>
      </c>
      <c r="AI43" s="5">
        <f aca="true" t="shared" si="19" ref="AI43:AI54">$AH$28*AI11</f>
        <v>4135302.268715543</v>
      </c>
      <c r="AJ43" s="5"/>
      <c r="AK43" s="5"/>
      <c r="AL43" s="5"/>
      <c r="AM43" s="5"/>
      <c r="AN43" s="5">
        <f aca="true" t="shared" si="20" ref="AN43:AN58">$AH$28*AM11</f>
        <v>664813.7893895067</v>
      </c>
      <c r="AO43" s="5"/>
      <c r="AP43" s="6"/>
      <c r="AU43" s="4" t="s">
        <v>1</v>
      </c>
      <c r="AV43" s="17" t="s">
        <v>23</v>
      </c>
      <c r="AW43" s="5">
        <f t="shared" si="17"/>
        <v>693041.458701446</v>
      </c>
      <c r="AX43" s="5">
        <f aca="true" t="shared" si="21" ref="AX43:AX54">$AW$28*AX11</f>
        <v>655305.0164116758</v>
      </c>
      <c r="AY43" s="5"/>
      <c r="AZ43" s="5"/>
      <c r="BA43" s="5"/>
      <c r="BB43" s="5"/>
      <c r="BC43" s="5">
        <f aca="true" t="shared" si="22" ref="BC43:BC58">$AW$28*BB11</f>
        <v>105350.415243507</v>
      </c>
      <c r="BD43" s="5"/>
      <c r="BE43" s="6"/>
      <c r="BJ43" s="4" t="s">
        <v>1</v>
      </c>
      <c r="BK43" s="17" t="s">
        <v>23</v>
      </c>
      <c r="BL43" s="5">
        <f t="shared" si="18"/>
        <v>83267.58585706056</v>
      </c>
      <c r="BM43" s="5">
        <f aca="true" t="shared" si="23" ref="BM43:BM54">$BL$28*BM11</f>
        <v>78733.62557394698</v>
      </c>
      <c r="BN43" s="5"/>
      <c r="BO43" s="5"/>
      <c r="BP43" s="5"/>
      <c r="BQ43" s="5"/>
      <c r="BR43" s="5">
        <f aca="true" t="shared" si="24" ref="BR43:BR58">$BL$28*BQ11</f>
        <v>12657.647874056973</v>
      </c>
      <c r="BS43" s="5"/>
      <c r="BT43" s="6"/>
    </row>
    <row r="44" spans="13:72" ht="12.75" customHeight="1">
      <c r="M44" t="s">
        <v>54</v>
      </c>
      <c r="N44" t="s">
        <v>17</v>
      </c>
      <c r="O44" s="2">
        <v>61684654.19775955</v>
      </c>
      <c r="P44" s="2"/>
      <c r="U44" s="40"/>
      <c r="Z44" t="s">
        <v>4</v>
      </c>
      <c r="AA44" s="2">
        <f>SUM(AH23:AO24)</f>
        <v>2845766276.53172</v>
      </c>
      <c r="AB44" s="37">
        <f>AA44/AQ$30</f>
        <v>0.44567576767899436</v>
      </c>
      <c r="AC44" s="64">
        <f>'FY2005_BD'!G64</f>
        <v>2845766276.5317197</v>
      </c>
      <c r="AD44">
        <f>AC44/AA44</f>
        <v>0.9999999999999998</v>
      </c>
      <c r="AF44" s="4"/>
      <c r="AG44" s="17" t="s">
        <v>24</v>
      </c>
      <c r="AH44" s="5">
        <f t="shared" si="16"/>
        <v>19111845.179251883</v>
      </c>
      <c r="AI44" s="5">
        <f t="shared" si="19"/>
        <v>19360076.176662367</v>
      </c>
      <c r="AJ44" s="5"/>
      <c r="AK44" s="5"/>
      <c r="AL44" s="5"/>
      <c r="AM44" s="5"/>
      <c r="AN44" s="5">
        <f t="shared" si="20"/>
        <v>476667.95533432404</v>
      </c>
      <c r="AO44" s="5"/>
      <c r="AP44" s="6"/>
      <c r="AU44" s="4"/>
      <c r="AV44" s="17" t="s">
        <v>24</v>
      </c>
      <c r="AW44" s="5">
        <f t="shared" si="17"/>
        <v>3028578.615303287</v>
      </c>
      <c r="AX44" s="5">
        <f t="shared" si="21"/>
        <v>3067914.800970432</v>
      </c>
      <c r="AY44" s="5"/>
      <c r="AZ44" s="5"/>
      <c r="BA44" s="5"/>
      <c r="BB44" s="5"/>
      <c r="BC44" s="5">
        <f t="shared" si="22"/>
        <v>75535.6880817086</v>
      </c>
      <c r="BD44" s="5"/>
      <c r="BE44" s="6"/>
      <c r="BJ44" s="4"/>
      <c r="BK44" s="17" t="s">
        <v>24</v>
      </c>
      <c r="BL44" s="5">
        <f t="shared" si="18"/>
        <v>363877.8412292088</v>
      </c>
      <c r="BM44" s="5">
        <f t="shared" si="23"/>
        <v>368604.0075735217</v>
      </c>
      <c r="BN44" s="5"/>
      <c r="BO44" s="5"/>
      <c r="BP44" s="5"/>
      <c r="BQ44" s="5"/>
      <c r="BR44" s="5">
        <f t="shared" si="24"/>
        <v>9075.466285091805</v>
      </c>
      <c r="BS44" s="5"/>
      <c r="BT44" s="6"/>
    </row>
    <row r="45" spans="5:72" ht="12.75" customHeight="1">
      <c r="E45" s="2"/>
      <c r="F45" s="74"/>
      <c r="M45" t="s">
        <v>3</v>
      </c>
      <c r="N45" t="s">
        <v>2</v>
      </c>
      <c r="O45" s="2">
        <v>106434239.11500946</v>
      </c>
      <c r="P45" s="2"/>
      <c r="U45" s="40"/>
      <c r="AC45" s="64"/>
      <c r="AF45" s="4"/>
      <c r="AG45" s="17" t="s">
        <v>25</v>
      </c>
      <c r="AH45" s="5">
        <f t="shared" si="16"/>
        <v>11708626.03649589</v>
      </c>
      <c r="AI45" s="5">
        <f t="shared" si="19"/>
        <v>8786813.717590401</v>
      </c>
      <c r="AJ45" s="5"/>
      <c r="AK45" s="5"/>
      <c r="AL45" s="5"/>
      <c r="AM45" s="5"/>
      <c r="AN45" s="5">
        <f t="shared" si="20"/>
        <v>537061.4775759606</v>
      </c>
      <c r="AO45" s="5"/>
      <c r="AP45" s="6"/>
      <c r="AU45" s="4"/>
      <c r="AV45" s="17" t="s">
        <v>25</v>
      </c>
      <c r="AW45" s="5">
        <f t="shared" si="17"/>
        <v>2037599.3836643188</v>
      </c>
      <c r="AX45" s="5">
        <f t="shared" si="21"/>
        <v>1529129.5630698635</v>
      </c>
      <c r="AY45" s="5"/>
      <c r="AZ45" s="5"/>
      <c r="BA45" s="5"/>
      <c r="BB45" s="5"/>
      <c r="BC45" s="5">
        <f t="shared" si="22"/>
        <v>93462.38681529606</v>
      </c>
      <c r="BD45" s="5"/>
      <c r="BE45" s="6"/>
      <c r="BJ45" s="4"/>
      <c r="BK45" s="17" t="s">
        <v>25</v>
      </c>
      <c r="BL45" s="5">
        <f t="shared" si="18"/>
        <v>107629.61839611403</v>
      </c>
      <c r="BM45" s="5">
        <f t="shared" si="23"/>
        <v>80771.3393863783</v>
      </c>
      <c r="BN45" s="5"/>
      <c r="BO45" s="5"/>
      <c r="BP45" s="5"/>
      <c r="BQ45" s="5"/>
      <c r="BR45" s="5">
        <f t="shared" si="24"/>
        <v>4936.849268785175</v>
      </c>
      <c r="BS45" s="5"/>
      <c r="BT45" s="6"/>
    </row>
    <row r="46" spans="5:72" ht="12.75" customHeight="1">
      <c r="E46" s="2"/>
      <c r="F46" s="74"/>
      <c r="M46" t="s">
        <v>2</v>
      </c>
      <c r="N46" t="s">
        <v>8</v>
      </c>
      <c r="O46" s="2">
        <v>13439079.365868073</v>
      </c>
      <c r="P46" s="2"/>
      <c r="U46" s="40"/>
      <c r="AA46" s="2">
        <f>SUM(AA38:AA44)</f>
        <v>6385283838.4101515</v>
      </c>
      <c r="AC46" s="2">
        <f>SUM(AC38:AC44)</f>
        <v>6409804219.938578</v>
      </c>
      <c r="AF46" s="4"/>
      <c r="AG46" s="17" t="s">
        <v>26</v>
      </c>
      <c r="AH46" s="5">
        <f t="shared" si="16"/>
        <v>42726987.44885446</v>
      </c>
      <c r="AI46" s="5">
        <f t="shared" si="19"/>
        <v>58010638.405797064</v>
      </c>
      <c r="AJ46" s="5"/>
      <c r="AK46" s="5"/>
      <c r="AL46" s="5"/>
      <c r="AM46" s="5"/>
      <c r="AN46" s="5">
        <f t="shared" si="20"/>
        <v>1607407.470943046</v>
      </c>
      <c r="AO46" s="5"/>
      <c r="AP46" s="6"/>
      <c r="AU46" s="4"/>
      <c r="AV46" s="17" t="s">
        <v>26</v>
      </c>
      <c r="AW46" s="5">
        <f t="shared" si="17"/>
        <v>7435584.928603122</v>
      </c>
      <c r="AX46" s="5">
        <f t="shared" si="21"/>
        <v>10095329.775943626</v>
      </c>
      <c r="AY46" s="5"/>
      <c r="AZ46" s="5"/>
      <c r="BA46" s="5"/>
      <c r="BB46" s="5"/>
      <c r="BC46" s="5">
        <f t="shared" si="22"/>
        <v>279729.87282043014</v>
      </c>
      <c r="BD46" s="5"/>
      <c r="BE46" s="6"/>
      <c r="BJ46" s="4"/>
      <c r="BK46" s="17" t="s">
        <v>26</v>
      </c>
      <c r="BL46" s="5">
        <f t="shared" si="18"/>
        <v>392760.80216428504</v>
      </c>
      <c r="BM46" s="5">
        <f t="shared" si="23"/>
        <v>533253.2489353868</v>
      </c>
      <c r="BN46" s="5"/>
      <c r="BO46" s="5"/>
      <c r="BP46" s="5"/>
      <c r="BQ46" s="5"/>
      <c r="BR46" s="5">
        <f t="shared" si="24"/>
        <v>14775.828706579729</v>
      </c>
      <c r="BS46" s="5"/>
      <c r="BT46" s="6"/>
    </row>
    <row r="47" spans="5:72" ht="12.75" customHeight="1">
      <c r="E47" s="2"/>
      <c r="F47" s="74"/>
      <c r="M47" t="s">
        <v>2</v>
      </c>
      <c r="N47" t="s">
        <v>1</v>
      </c>
      <c r="O47" s="2">
        <v>73683292.1025035</v>
      </c>
      <c r="P47" s="2"/>
      <c r="U47" s="40"/>
      <c r="AF47" s="4" t="s">
        <v>27</v>
      </c>
      <c r="AG47" s="17" t="s">
        <v>23</v>
      </c>
      <c r="AH47" s="5">
        <f t="shared" si="16"/>
        <v>3075184.7405841295</v>
      </c>
      <c r="AI47" s="5">
        <f t="shared" si="19"/>
        <v>6378055.923455352</v>
      </c>
      <c r="AJ47" s="5">
        <f aca="true" t="shared" si="25" ref="AJ47:AJ54">$AH$28*AJ15</f>
        <v>33123092.14565358</v>
      </c>
      <c r="AK47" s="5"/>
      <c r="AL47" s="5"/>
      <c r="AM47" s="5"/>
      <c r="AN47" s="5">
        <f t="shared" si="20"/>
        <v>8035288.758967944</v>
      </c>
      <c r="AO47" s="5">
        <f aca="true" t="shared" si="26" ref="AO47:AO58">$AH$28*AN15</f>
        <v>6916048.295132509</v>
      </c>
      <c r="AP47" s="6"/>
      <c r="AU47" s="4" t="s">
        <v>27</v>
      </c>
      <c r="AV47" s="17" t="s">
        <v>23</v>
      </c>
      <c r="AW47" s="5">
        <f t="shared" si="17"/>
        <v>487312.37910774286</v>
      </c>
      <c r="AX47" s="5">
        <f t="shared" si="21"/>
        <v>1010705.3293815698</v>
      </c>
      <c r="AY47" s="5">
        <f aca="true" t="shared" si="27" ref="AY47:AY54">$AW$28*AY15</f>
        <v>4921195.8842810625</v>
      </c>
      <c r="AZ47" s="5"/>
      <c r="BA47" s="5"/>
      <c r="BB47" s="5"/>
      <c r="BC47" s="5">
        <f t="shared" si="22"/>
        <v>1193826.645041405</v>
      </c>
      <c r="BD47" s="5">
        <f aca="true" t="shared" si="28" ref="BD47:BD58">$AW$28*BC15</f>
        <v>1027537.7750311053</v>
      </c>
      <c r="BE47" s="6"/>
      <c r="BJ47" s="4" t="s">
        <v>27</v>
      </c>
      <c r="BK47" s="17" t="s">
        <v>23</v>
      </c>
      <c r="BL47" s="5">
        <f t="shared" si="18"/>
        <v>58549.63632708538</v>
      </c>
      <c r="BM47" s="5">
        <f t="shared" si="23"/>
        <v>121434.28323632688</v>
      </c>
      <c r="BN47" s="5">
        <f aca="true" t="shared" si="29" ref="BN47:BN54">$BL$28*BN15</f>
        <v>1107204.8182605929</v>
      </c>
      <c r="BO47" s="5"/>
      <c r="BP47" s="5"/>
      <c r="BQ47" s="5"/>
      <c r="BR47" s="5">
        <f t="shared" si="24"/>
        <v>268595.40742520674</v>
      </c>
      <c r="BS47" s="5">
        <f aca="true" t="shared" si="30" ref="BS47:BS58">$BL$28*BR15</f>
        <v>231182.5828947703</v>
      </c>
      <c r="BT47" s="6"/>
    </row>
    <row r="48" spans="5:72" ht="12.75" customHeight="1">
      <c r="E48" s="2"/>
      <c r="F48" s="2"/>
      <c r="M48" t="s">
        <v>8</v>
      </c>
      <c r="N48" t="s">
        <v>1</v>
      </c>
      <c r="O48" s="2">
        <v>11197427.147564476</v>
      </c>
      <c r="P48" s="2"/>
      <c r="U48" s="40"/>
      <c r="AF48" s="4"/>
      <c r="AG48" s="17" t="s">
        <v>24</v>
      </c>
      <c r="AH48" s="5">
        <f t="shared" si="16"/>
        <v>12284465.805622563</v>
      </c>
      <c r="AI48" s="5">
        <f t="shared" si="19"/>
        <v>20790318.315844942</v>
      </c>
      <c r="AJ48" s="5">
        <f t="shared" si="25"/>
        <v>69863716.18298186</v>
      </c>
      <c r="AK48" s="5"/>
      <c r="AL48" s="5"/>
      <c r="AM48" s="5"/>
      <c r="AN48" s="5">
        <f t="shared" si="20"/>
        <v>10557797.161181377</v>
      </c>
      <c r="AO48" s="5">
        <f t="shared" si="26"/>
        <v>11860065.077248504</v>
      </c>
      <c r="AP48" s="6"/>
      <c r="AU48" s="4"/>
      <c r="AV48" s="17" t="s">
        <v>24</v>
      </c>
      <c r="AW48" s="5">
        <f t="shared" si="17"/>
        <v>1946670.7735641722</v>
      </c>
      <c r="AX48" s="5">
        <f t="shared" si="21"/>
        <v>3294559.6234251703</v>
      </c>
      <c r="AY48" s="5">
        <f t="shared" si="27"/>
        <v>10379859.193954684</v>
      </c>
      <c r="AZ48" s="5"/>
      <c r="BA48" s="5"/>
      <c r="BB48" s="5"/>
      <c r="BC48" s="5">
        <f t="shared" si="22"/>
        <v>1568603.1880178156</v>
      </c>
      <c r="BD48" s="5">
        <f t="shared" si="28"/>
        <v>1762084.9885876267</v>
      </c>
      <c r="BE48" s="6"/>
      <c r="BJ48" s="4"/>
      <c r="BK48" s="17" t="s">
        <v>24</v>
      </c>
      <c r="BL48" s="5">
        <f t="shared" si="18"/>
        <v>233888.714359026</v>
      </c>
      <c r="BM48" s="5">
        <f t="shared" si="23"/>
        <v>395834.94300438184</v>
      </c>
      <c r="BN48" s="5">
        <f t="shared" si="29"/>
        <v>2335332.789560784</v>
      </c>
      <c r="BO48" s="5"/>
      <c r="BP48" s="5"/>
      <c r="BQ48" s="5"/>
      <c r="BR48" s="5">
        <f t="shared" si="24"/>
        <v>352915.23616438545</v>
      </c>
      <c r="BS48" s="5">
        <f t="shared" si="30"/>
        <v>396446.1150145626</v>
      </c>
      <c r="BT48" s="6"/>
    </row>
    <row r="49" spans="13:72" ht="12.75" customHeight="1">
      <c r="M49" t="s">
        <v>1</v>
      </c>
      <c r="N49" t="s">
        <v>0</v>
      </c>
      <c r="O49" s="2">
        <v>19953433.966748625</v>
      </c>
      <c r="P49" s="2"/>
      <c r="U49" s="40"/>
      <c r="Z49" t="s">
        <v>117</v>
      </c>
      <c r="AF49" s="4"/>
      <c r="AG49" s="17" t="s">
        <v>25</v>
      </c>
      <c r="AH49" s="5">
        <f t="shared" si="16"/>
        <v>4836625.196838308</v>
      </c>
      <c r="AI49" s="5">
        <f t="shared" si="19"/>
        <v>16792459.689501684</v>
      </c>
      <c r="AJ49" s="5">
        <f t="shared" si="25"/>
        <v>82460828.50094813</v>
      </c>
      <c r="AK49" s="5"/>
      <c r="AL49" s="5"/>
      <c r="AM49" s="5"/>
      <c r="AN49" s="5">
        <f t="shared" si="20"/>
        <v>37369599.502455294</v>
      </c>
      <c r="AO49" s="5">
        <f t="shared" si="26"/>
        <v>28026092.10431266</v>
      </c>
      <c r="AP49" s="6"/>
      <c r="AU49" s="4"/>
      <c r="AV49" s="17" t="s">
        <v>25</v>
      </c>
      <c r="AW49" s="5">
        <f t="shared" si="17"/>
        <v>799091.9596048247</v>
      </c>
      <c r="AX49" s="5">
        <f t="shared" si="21"/>
        <v>2774397.2240480236</v>
      </c>
      <c r="AY49" s="5">
        <f t="shared" si="27"/>
        <v>13623917.991523232</v>
      </c>
      <c r="AZ49" s="5"/>
      <c r="BA49" s="5"/>
      <c r="BB49" s="5"/>
      <c r="BC49" s="5">
        <f t="shared" si="22"/>
        <v>6174087.360663183</v>
      </c>
      <c r="BD49" s="5">
        <f t="shared" si="28"/>
        <v>4630382.539118464</v>
      </c>
      <c r="BE49" s="6"/>
      <c r="BJ49" s="4"/>
      <c r="BK49" s="17" t="s">
        <v>25</v>
      </c>
      <c r="BL49" s="5">
        <f t="shared" si="18"/>
        <v>55888.57865711821</v>
      </c>
      <c r="BM49" s="5">
        <f t="shared" si="23"/>
        <v>194041.64391665114</v>
      </c>
      <c r="BN49" s="5">
        <f t="shared" si="29"/>
        <v>952858.3076520006</v>
      </c>
      <c r="BO49" s="5"/>
      <c r="BP49" s="5"/>
      <c r="BQ49" s="5"/>
      <c r="BR49" s="5">
        <f t="shared" si="24"/>
        <v>431816.34221796796</v>
      </c>
      <c r="BS49" s="5">
        <f t="shared" si="30"/>
        <v>323849.45892591175</v>
      </c>
      <c r="BT49" s="6"/>
    </row>
    <row r="50" spans="13:72" ht="12.75" customHeight="1">
      <c r="M50" t="s">
        <v>0</v>
      </c>
      <c r="N50" t="s">
        <v>0</v>
      </c>
      <c r="AA50" t="s">
        <v>99</v>
      </c>
      <c r="AD50" t="s">
        <v>83</v>
      </c>
      <c r="AF50" s="4"/>
      <c r="AG50" s="17" t="s">
        <v>26</v>
      </c>
      <c r="AH50" s="5">
        <f t="shared" si="16"/>
        <v>27837819.97630947</v>
      </c>
      <c r="AI50" s="5">
        <f t="shared" si="19"/>
        <v>101591160.18793307</v>
      </c>
      <c r="AJ50" s="5">
        <f t="shared" si="25"/>
        <v>360854408.5273219</v>
      </c>
      <c r="AK50" s="5"/>
      <c r="AL50" s="5"/>
      <c r="AM50" s="5"/>
      <c r="AN50" s="5">
        <f t="shared" si="20"/>
        <v>138575876.3621789</v>
      </c>
      <c r="AO50" s="5">
        <f t="shared" si="26"/>
        <v>102725279.49459037</v>
      </c>
      <c r="AP50" s="6"/>
      <c r="AU50" s="4"/>
      <c r="AV50" s="17" t="s">
        <v>26</v>
      </c>
      <c r="AW50" s="5">
        <f t="shared" si="17"/>
        <v>4599276.811967353</v>
      </c>
      <c r="AX50" s="5">
        <f t="shared" si="21"/>
        <v>16784571.053008355</v>
      </c>
      <c r="AY50" s="5">
        <f t="shared" si="27"/>
        <v>59619227.18978416</v>
      </c>
      <c r="AZ50" s="5"/>
      <c r="BA50" s="5"/>
      <c r="BB50" s="5"/>
      <c r="BC50" s="5">
        <f t="shared" si="22"/>
        <v>22895069.20416256</v>
      </c>
      <c r="BD50" s="5">
        <f t="shared" si="28"/>
        <v>16971946.667677622</v>
      </c>
      <c r="BE50" s="6"/>
      <c r="BJ50" s="4"/>
      <c r="BK50" s="17" t="s">
        <v>26</v>
      </c>
      <c r="BL50" s="5">
        <f t="shared" si="18"/>
        <v>321673.9209822796</v>
      </c>
      <c r="BM50" s="5">
        <f t="shared" si="23"/>
        <v>1173914.726893196</v>
      </c>
      <c r="BN50" s="5">
        <f t="shared" si="29"/>
        <v>4169775.2407878623</v>
      </c>
      <c r="BO50" s="5"/>
      <c r="BP50" s="5"/>
      <c r="BQ50" s="5"/>
      <c r="BR50" s="5">
        <f t="shared" si="24"/>
        <v>1601283.6328747345</v>
      </c>
      <c r="BS50" s="5">
        <f t="shared" si="30"/>
        <v>1187019.7977839708</v>
      </c>
      <c r="BT50" s="6"/>
    </row>
    <row r="51" spans="13:72" ht="12.75" customHeight="1">
      <c r="M51" t="s">
        <v>53</v>
      </c>
      <c r="O51" s="2">
        <f>SUM(O43:O49)</f>
        <v>294934675.46912515</v>
      </c>
      <c r="P51" s="2"/>
      <c r="AA51" t="s">
        <v>100</v>
      </c>
      <c r="AC51" t="s">
        <v>82</v>
      </c>
      <c r="AD51" t="s">
        <v>84</v>
      </c>
      <c r="AF51" s="4" t="s">
        <v>28</v>
      </c>
      <c r="AG51" s="17" t="s">
        <v>23</v>
      </c>
      <c r="AH51" s="5">
        <f t="shared" si="16"/>
        <v>210196.15759051513</v>
      </c>
      <c r="AI51" s="5">
        <f t="shared" si="19"/>
        <v>883599.6798649445</v>
      </c>
      <c r="AJ51" s="5">
        <f t="shared" si="25"/>
        <v>5534869.934694697</v>
      </c>
      <c r="AK51" s="5">
        <f>$AH$28*AK19</f>
        <v>27313388.166651517</v>
      </c>
      <c r="AL51" s="5"/>
      <c r="AM51" s="5"/>
      <c r="AN51" s="5">
        <f t="shared" si="20"/>
        <v>9156425.346072562</v>
      </c>
      <c r="AO51" s="5">
        <f t="shared" si="26"/>
        <v>29655104.471254654</v>
      </c>
      <c r="AP51" s="6">
        <f aca="true" t="shared" si="31" ref="AP51:AP58">$AH$28*AO19</f>
        <v>595807.4088978707</v>
      </c>
      <c r="AU51" s="4" t="s">
        <v>28</v>
      </c>
      <c r="AV51" s="17" t="s">
        <v>23</v>
      </c>
      <c r="AW51" s="5">
        <f t="shared" si="17"/>
        <v>33308.954835436394</v>
      </c>
      <c r="AX51" s="5">
        <f t="shared" si="21"/>
        <v>140020.55112046242</v>
      </c>
      <c r="AY51" s="5">
        <f t="shared" si="27"/>
        <v>822332.0160712935</v>
      </c>
      <c r="AZ51" s="5">
        <f>$AW$28*AZ19</f>
        <v>6625452.554340169</v>
      </c>
      <c r="BA51" s="5"/>
      <c r="BB51" s="5"/>
      <c r="BC51" s="5">
        <f t="shared" si="22"/>
        <v>2221088.842131694</v>
      </c>
      <c r="BD51" s="5">
        <f t="shared" si="28"/>
        <v>7193486.44955702</v>
      </c>
      <c r="BE51" s="6">
        <f aca="true" t="shared" si="32" ref="BE51:BE58">$AW$28*BD19</f>
        <v>144525.96269242486</v>
      </c>
      <c r="BJ51" s="4" t="s">
        <v>28</v>
      </c>
      <c r="BK51" s="17" t="s">
        <v>23</v>
      </c>
      <c r="BL51" s="5">
        <f t="shared" si="18"/>
        <v>4002.0062605857293</v>
      </c>
      <c r="BM51" s="5">
        <f t="shared" si="23"/>
        <v>16823.197394311548</v>
      </c>
      <c r="BN51" s="5">
        <f t="shared" si="29"/>
        <v>185013.96648572892</v>
      </c>
      <c r="BO51" s="5">
        <f>$BL$28*BO19</f>
        <v>366068.6937103909</v>
      </c>
      <c r="BP51" s="5"/>
      <c r="BQ51" s="5"/>
      <c r="BR51" s="5">
        <f t="shared" si="24"/>
        <v>122719.3288889</v>
      </c>
      <c r="BS51" s="5">
        <f t="shared" si="30"/>
        <v>397453.6329729989</v>
      </c>
      <c r="BT51" s="6">
        <f aca="true" t="shared" si="33" ref="BT51:BT58">$BL$28*BS19</f>
        <v>7985.330803613553</v>
      </c>
    </row>
    <row r="52" spans="26:72" ht="12.75" customHeight="1">
      <c r="Z52" t="s">
        <v>72</v>
      </c>
      <c r="AA52" s="2">
        <f>SUM(AW7:AX8,AW11:AX12,AW15:AX16,AW19:AX20,AW25:BD26,BB11:BB12)</f>
        <v>21184089.835702337</v>
      </c>
      <c r="AB52" s="37">
        <f>AA52/BF$30</f>
        <v>0.012033969178824514</v>
      </c>
      <c r="AC52" s="64">
        <f>'FY2005_BD'!H58</f>
        <v>23317760.066816106</v>
      </c>
      <c r="AD52" s="41">
        <f>AD56</f>
        <v>0.9999999999999987</v>
      </c>
      <c r="AF52" s="4"/>
      <c r="AG52" s="17" t="s">
        <v>24</v>
      </c>
      <c r="AH52" s="5">
        <f t="shared" si="16"/>
        <v>2075191.7742161965</v>
      </c>
      <c r="AI52" s="5">
        <f t="shared" si="19"/>
        <v>4190959.497591001</v>
      </c>
      <c r="AJ52" s="5">
        <f t="shared" si="25"/>
        <v>9185125.623711715</v>
      </c>
      <c r="AK52" s="5">
        <f>$AH$28*AK20</f>
        <v>30119656.53448104</v>
      </c>
      <c r="AL52" s="5"/>
      <c r="AM52" s="5"/>
      <c r="AN52" s="5">
        <f t="shared" si="20"/>
        <v>14340538.028267719</v>
      </c>
      <c r="AO52" s="5">
        <f t="shared" si="26"/>
        <v>63382064.75292697</v>
      </c>
      <c r="AP52" s="6">
        <f t="shared" si="31"/>
        <v>1655655.3926554606</v>
      </c>
      <c r="AU52" s="4"/>
      <c r="AV52" s="17" t="s">
        <v>24</v>
      </c>
      <c r="AW52" s="5">
        <f t="shared" si="17"/>
        <v>328847.44361928094</v>
      </c>
      <c r="AX52" s="5">
        <f t="shared" si="21"/>
        <v>664124.7976299876</v>
      </c>
      <c r="AY52" s="5">
        <f t="shared" si="27"/>
        <v>1364661.3129368122</v>
      </c>
      <c r="AZ52" s="5">
        <f>$AW$28*AZ20</f>
        <v>7306173.591670175</v>
      </c>
      <c r="BA52" s="5"/>
      <c r="BB52" s="5"/>
      <c r="BC52" s="5">
        <f t="shared" si="22"/>
        <v>3478607.404188873</v>
      </c>
      <c r="BD52" s="5">
        <f t="shared" si="28"/>
        <v>15374689.520553753</v>
      </c>
      <c r="BE52" s="6">
        <f t="shared" si="32"/>
        <v>401614.99494117865</v>
      </c>
      <c r="BJ52" s="4"/>
      <c r="BK52" s="17" t="s">
        <v>24</v>
      </c>
      <c r="BL52" s="5">
        <f t="shared" si="18"/>
        <v>39510.38195716274</v>
      </c>
      <c r="BM52" s="5">
        <f t="shared" si="23"/>
        <v>79793.30516542817</v>
      </c>
      <c r="BN52" s="5">
        <f t="shared" si="29"/>
        <v>307030.9771256345</v>
      </c>
      <c r="BO52" s="5">
        <f>$BL$28*BO20</f>
        <v>403679.80915839743</v>
      </c>
      <c r="BP52" s="5"/>
      <c r="BQ52" s="5"/>
      <c r="BR52" s="5">
        <f t="shared" si="24"/>
        <v>192199.590584727</v>
      </c>
      <c r="BS52" s="5">
        <f t="shared" si="30"/>
        <v>849480.4638371548</v>
      </c>
      <c r="BT52" s="6">
        <f t="shared" si="33"/>
        <v>22189.982550899746</v>
      </c>
    </row>
    <row r="53" spans="26:72" ht="12.75" customHeight="1">
      <c r="Z53" t="s">
        <v>73</v>
      </c>
      <c r="AA53" s="2">
        <f>SUM(AW13:BD14)+AW9+AW10</f>
        <v>23797505.069377482</v>
      </c>
      <c r="AB53" s="37">
        <f>AA53/BF$30</f>
        <v>0.013518562504165955</v>
      </c>
      <c r="AC53" s="64">
        <f>'FY2005_BD'!H59</f>
        <v>23797505.069377486</v>
      </c>
      <c r="AD53">
        <f>AC53/AA53</f>
        <v>1.0000000000000002</v>
      </c>
      <c r="AF53" s="4"/>
      <c r="AG53" s="17" t="s">
        <v>25</v>
      </c>
      <c r="AH53" s="5">
        <f t="shared" si="16"/>
        <v>984575.4529340672</v>
      </c>
      <c r="AI53" s="5">
        <f t="shared" si="19"/>
        <v>2068064.381136508</v>
      </c>
      <c r="AJ53" s="5">
        <f t="shared" si="25"/>
        <v>54233404.432862766</v>
      </c>
      <c r="AK53" s="5">
        <f>$AH$28*AK21</f>
        <v>24188994.746792</v>
      </c>
      <c r="AL53" s="5"/>
      <c r="AM53" s="5"/>
      <c r="AN53" s="5">
        <f t="shared" si="20"/>
        <v>61499848.94058719</v>
      </c>
      <c r="AO53" s="5">
        <f t="shared" si="26"/>
        <v>201276996.41789225</v>
      </c>
      <c r="AP53" s="6">
        <f t="shared" si="31"/>
        <v>2236847.4743317617</v>
      </c>
      <c r="AU53" s="4"/>
      <c r="AV53" s="17" t="s">
        <v>25</v>
      </c>
      <c r="AW53" s="5">
        <f t="shared" si="17"/>
        <v>199359.2589671847</v>
      </c>
      <c r="AX53" s="5">
        <f t="shared" si="21"/>
        <v>418746.761653637</v>
      </c>
      <c r="AY53" s="5">
        <f t="shared" si="27"/>
        <v>10981313.099756083</v>
      </c>
      <c r="AZ53" s="5">
        <f>$AW$28*AZ21</f>
        <v>4897847.141639539</v>
      </c>
      <c r="BA53" s="5"/>
      <c r="BB53" s="5"/>
      <c r="BC53" s="5">
        <f t="shared" si="22"/>
        <v>12452640.653240312</v>
      </c>
      <c r="BD53" s="5">
        <f t="shared" si="28"/>
        <v>40755061.21286448</v>
      </c>
      <c r="BE53" s="6">
        <f t="shared" si="32"/>
        <v>452922.3774333332</v>
      </c>
      <c r="BJ53" s="4"/>
      <c r="BK53" s="17" t="s">
        <v>25</v>
      </c>
      <c r="BL53" s="5">
        <f t="shared" si="18"/>
        <v>8068.442648851857</v>
      </c>
      <c r="BM53" s="5">
        <f t="shared" si="23"/>
        <v>16947.4658377966</v>
      </c>
      <c r="BN53" s="5">
        <f t="shared" si="29"/>
        <v>444434.31127044774</v>
      </c>
      <c r="BO53" s="5">
        <f>$BL$28*BO21</f>
        <v>198225.04843713547</v>
      </c>
      <c r="BP53" s="5"/>
      <c r="BQ53" s="5"/>
      <c r="BR53" s="5">
        <f t="shared" si="24"/>
        <v>503981.69344103005</v>
      </c>
      <c r="BS53" s="5">
        <f t="shared" si="30"/>
        <v>1649433.6693966673</v>
      </c>
      <c r="BT53" s="6">
        <f t="shared" si="33"/>
        <v>18330.61702593913</v>
      </c>
    </row>
    <row r="54" spans="26:72" ht="12.75" customHeight="1">
      <c r="Z54" t="s">
        <v>74</v>
      </c>
      <c r="AA54" s="2">
        <f>SUM(AY15:BD16)+AY19+AY20</f>
        <v>23510307.146858986</v>
      </c>
      <c r="AB54" s="37">
        <f>AA54/BF$30</f>
        <v>0.013355415020624544</v>
      </c>
      <c r="AC54" s="64">
        <f>'FY2005_BD'!H60</f>
        <v>24189174.071338788</v>
      </c>
      <c r="AD54" s="41">
        <f>AD56</f>
        <v>0.9999999999999987</v>
      </c>
      <c r="AF54" s="4"/>
      <c r="AG54" s="17" t="s">
        <v>26</v>
      </c>
      <c r="AH54" s="5">
        <f t="shared" si="16"/>
        <v>5584358.300746328</v>
      </c>
      <c r="AI54" s="5">
        <f t="shared" si="19"/>
        <v>16784124.448197056</v>
      </c>
      <c r="AJ54" s="5">
        <f t="shared" si="25"/>
        <v>206484811.2794132</v>
      </c>
      <c r="AK54" s="5">
        <f>$AH$28*AK22</f>
        <v>126930731.17980577</v>
      </c>
      <c r="AL54" s="5"/>
      <c r="AM54" s="5"/>
      <c r="AN54" s="5">
        <f t="shared" si="20"/>
        <v>299832960.5296463</v>
      </c>
      <c r="AO54" s="5">
        <f t="shared" si="26"/>
        <v>1066034498.181188</v>
      </c>
      <c r="AP54" s="6">
        <f t="shared" si="31"/>
        <v>7971075.093062583</v>
      </c>
      <c r="AU54" s="4"/>
      <c r="AV54" s="17" t="s">
        <v>26</v>
      </c>
      <c r="AW54" s="5">
        <f t="shared" si="17"/>
        <v>1130734.6017274584</v>
      </c>
      <c r="AX54" s="5">
        <f t="shared" si="21"/>
        <v>3398490.793604667</v>
      </c>
      <c r="AY54" s="5">
        <f t="shared" si="27"/>
        <v>41809552.37302611</v>
      </c>
      <c r="AZ54" s="5">
        <f>$AW$28*AZ22</f>
        <v>25701246.595941238</v>
      </c>
      <c r="BA54" s="5"/>
      <c r="BB54" s="5"/>
      <c r="BC54" s="5">
        <f t="shared" si="22"/>
        <v>60710915.19395238</v>
      </c>
      <c r="BD54" s="5">
        <f t="shared" si="28"/>
        <v>215853286.7720073</v>
      </c>
      <c r="BE54" s="6">
        <f t="shared" si="32"/>
        <v>1614002.8872232658</v>
      </c>
      <c r="BJ54" s="4"/>
      <c r="BK54" s="17" t="s">
        <v>26</v>
      </c>
      <c r="BL54" s="5">
        <f t="shared" si="18"/>
        <v>45762.947416513365</v>
      </c>
      <c r="BM54" s="5">
        <f t="shared" si="23"/>
        <v>137543.2884477355</v>
      </c>
      <c r="BN54" s="5">
        <f t="shared" si="29"/>
        <v>1692110.9019142992</v>
      </c>
      <c r="BO54" s="5">
        <f>$BL$28*BO22</f>
        <v>1040177.5931434649</v>
      </c>
      <c r="BP54" s="5"/>
      <c r="BQ54" s="5"/>
      <c r="BR54" s="5">
        <f t="shared" si="24"/>
        <v>2457084.46118544</v>
      </c>
      <c r="BS54" s="5">
        <f t="shared" si="30"/>
        <v>8735986.850617196</v>
      </c>
      <c r="BT54" s="6">
        <f t="shared" si="33"/>
        <v>65321.7201854958</v>
      </c>
    </row>
    <row r="55" spans="26:72" ht="12.75" customHeight="1">
      <c r="Z55" t="s">
        <v>75</v>
      </c>
      <c r="AA55" s="2">
        <f>SUM(AW17:BD18)</f>
        <v>151910171.430161</v>
      </c>
      <c r="AB55" s="37">
        <f>AA55/BF$30</f>
        <v>0.086295060827186</v>
      </c>
      <c r="AC55" s="64">
        <f>'FY2005_BD'!H61</f>
        <v>151910171.430161</v>
      </c>
      <c r="AD55">
        <f>AC55/AA55</f>
        <v>1</v>
      </c>
      <c r="AF55" s="4" t="s">
        <v>4</v>
      </c>
      <c r="AG55" s="17" t="s">
        <v>29</v>
      </c>
      <c r="AH55" s="17"/>
      <c r="AI55" s="5"/>
      <c r="AJ55" s="5">
        <f>$AH$28*$AL23*Q$33</f>
        <v>10602199.816519426</v>
      </c>
      <c r="AK55" s="5"/>
      <c r="AL55" s="5">
        <f>$AH$28*$AL23*S$33</f>
        <v>16193925.113865068</v>
      </c>
      <c r="AM55" s="5">
        <f>$AH$28*$AL23*T$33</f>
        <v>6615857.820829445</v>
      </c>
      <c r="AN55" s="5">
        <f t="shared" si="20"/>
        <v>15515068.589559715</v>
      </c>
      <c r="AO55" s="5">
        <f t="shared" si="26"/>
        <v>247586724.01890194</v>
      </c>
      <c r="AP55" s="6">
        <f t="shared" si="31"/>
        <v>55924622.008398846</v>
      </c>
      <c r="AU55" s="4" t="s">
        <v>4</v>
      </c>
      <c r="AV55" s="17" t="s">
        <v>29</v>
      </c>
      <c r="AW55" s="17"/>
      <c r="AX55" s="5"/>
      <c r="AY55" s="5">
        <f>$AW$28*$BA23*Q$33</f>
        <v>3860055.1806592476</v>
      </c>
      <c r="AZ55" s="5"/>
      <c r="BA55" s="5">
        <f>$AW$28*$BA23*S$33</f>
        <v>5895893.834559311</v>
      </c>
      <c r="BB55" s="5">
        <f>$AW$28*$BA23*T$33</f>
        <v>2408705.4288495174</v>
      </c>
      <c r="BC55" s="5">
        <f t="shared" si="22"/>
        <v>5648735.349629959</v>
      </c>
      <c r="BD55" s="5">
        <f t="shared" si="28"/>
        <v>90141520.93441285</v>
      </c>
      <c r="BE55" s="6">
        <f t="shared" si="32"/>
        <v>20361069.461601447</v>
      </c>
      <c r="BJ55" s="4" t="s">
        <v>4</v>
      </c>
      <c r="BK55" s="17" t="s">
        <v>29</v>
      </c>
      <c r="BL55" s="17"/>
      <c r="BM55" s="5"/>
      <c r="BN55" s="5">
        <f>$BL$28*$BP23*Q$33</f>
        <v>80305.97743363782</v>
      </c>
      <c r="BO55" s="5"/>
      <c r="BP55" s="5">
        <f>$BL$28*$BP23*S$33</f>
        <v>122660.29760444534</v>
      </c>
      <c r="BQ55" s="5">
        <f>$BL$28*$BP23*T$33</f>
        <v>50111.574772989195</v>
      </c>
      <c r="BR55" s="5">
        <f t="shared" si="24"/>
        <v>117518.32351746381</v>
      </c>
      <c r="BS55" s="5">
        <f t="shared" si="30"/>
        <v>1875336.6486218045</v>
      </c>
      <c r="BT55" s="6">
        <f t="shared" si="33"/>
        <v>423599.01819560025</v>
      </c>
    </row>
    <row r="56" spans="26:72" ht="12.75" customHeight="1">
      <c r="Z56" t="s">
        <v>76</v>
      </c>
      <c r="AA56" s="2">
        <f>SUM(AZ19:BD20)</f>
        <v>43617999.306199275</v>
      </c>
      <c r="AB56" s="37">
        <f>AA56/BF$30</f>
        <v>0.02477791887042329</v>
      </c>
      <c r="AC56" s="64">
        <f>'FY2005_BD'!H62</f>
        <v>45371118.134924136</v>
      </c>
      <c r="AD56" s="41">
        <f>(AA60-AC53-AC55-AC57-AC58)/(AA60-AA53-AA55-AA57-AA58)</f>
        <v>0.9999999999999987</v>
      </c>
      <c r="AF56" s="4"/>
      <c r="AG56" s="17" t="s">
        <v>30</v>
      </c>
      <c r="AH56" s="17"/>
      <c r="AI56" s="5"/>
      <c r="AJ56" s="5">
        <f>$AH$28*$AL24*Q$33</f>
        <v>37635679.11009621</v>
      </c>
      <c r="AK56" s="5"/>
      <c r="AL56" s="5">
        <f>$AH$28*$AL24*S$33</f>
        <v>57485180.40272469</v>
      </c>
      <c r="AM56" s="5">
        <f>$AH$28*$AL24*T$33</f>
        <v>23484965.977984983</v>
      </c>
      <c r="AN56" s="5">
        <f t="shared" si="20"/>
        <v>76353429.03865808</v>
      </c>
      <c r="AO56" s="5">
        <f t="shared" si="26"/>
        <v>1841797360.1277666</v>
      </c>
      <c r="AP56" s="6">
        <f t="shared" si="31"/>
        <v>483890620.76111954</v>
      </c>
      <c r="AU56" s="4"/>
      <c r="AV56" s="17" t="s">
        <v>30</v>
      </c>
      <c r="AW56" s="17"/>
      <c r="AX56" s="5"/>
      <c r="AY56" s="5">
        <f>$AW$28*$BA24*Q$33</f>
        <v>13702420.312829776</v>
      </c>
      <c r="AZ56" s="5"/>
      <c r="BA56" s="5">
        <f>$AW$28*$BA24*S$33</f>
        <v>20929238.484916113</v>
      </c>
      <c r="BB56" s="5">
        <f>$AW$28*$BA24*T$33</f>
        <v>8550420.30519733</v>
      </c>
      <c r="BC56" s="5">
        <f t="shared" si="22"/>
        <v>27798801.60931792</v>
      </c>
      <c r="BD56" s="5">
        <f t="shared" si="28"/>
        <v>670562672.3435642</v>
      </c>
      <c r="BE56" s="6">
        <f t="shared" si="32"/>
        <v>176175183.43986177</v>
      </c>
      <c r="BJ56" s="4"/>
      <c r="BK56" s="17" t="s">
        <v>30</v>
      </c>
      <c r="BL56" s="17"/>
      <c r="BM56" s="5"/>
      <c r="BN56" s="5">
        <f>$BL$28*$BP24*Q$33</f>
        <v>285070.0844749055</v>
      </c>
      <c r="BO56" s="5"/>
      <c r="BP56" s="5">
        <f>$BL$28*$BP24*S$33</f>
        <v>435419.41107325006</v>
      </c>
      <c r="BQ56" s="5">
        <f>$BL$28*$BP24*T$33</f>
        <v>177886.02181589135</v>
      </c>
      <c r="BR56" s="5">
        <f t="shared" si="24"/>
        <v>578336.2750629883</v>
      </c>
      <c r="BS56" s="5">
        <f t="shared" si="30"/>
        <v>13950627.209392693</v>
      </c>
      <c r="BT56" s="6">
        <f t="shared" si="33"/>
        <v>3665211.931833643</v>
      </c>
    </row>
    <row r="57" spans="26:72" ht="12.75" customHeight="1">
      <c r="Z57" t="s">
        <v>77</v>
      </c>
      <c r="AA57" s="2">
        <f>SUM(AW21:BD22)</f>
        <v>428955224.20718056</v>
      </c>
      <c r="AB57" s="37">
        <f>AA57/BF$30</f>
        <v>0.24367504043082377</v>
      </c>
      <c r="AC57" s="64">
        <f>'FY2005_BD'!H63</f>
        <v>428955224.2071806</v>
      </c>
      <c r="AD57">
        <f>AC57/AA57</f>
        <v>1.0000000000000002</v>
      </c>
      <c r="AF57" s="4" t="s">
        <v>7</v>
      </c>
      <c r="AG57" s="17" t="s">
        <v>29</v>
      </c>
      <c r="AH57" s="5">
        <f aca="true" t="shared" si="34" ref="AH57:AL58">$AH$28*AH25</f>
        <v>1861546.0898424715</v>
      </c>
      <c r="AI57" s="5">
        <f t="shared" si="34"/>
        <v>418918.49003619107</v>
      </c>
      <c r="AJ57" s="5">
        <f t="shared" si="34"/>
        <v>1513724.7315019087</v>
      </c>
      <c r="AK57" s="5">
        <f t="shared" si="34"/>
        <v>0</v>
      </c>
      <c r="AL57" s="5">
        <f t="shared" si="34"/>
        <v>0</v>
      </c>
      <c r="AM57" s="5"/>
      <c r="AN57" s="5">
        <f t="shared" si="20"/>
        <v>259505.49971424066</v>
      </c>
      <c r="AO57" s="5">
        <f t="shared" si="26"/>
        <v>148209.7227584422</v>
      </c>
      <c r="AP57" s="6">
        <f t="shared" si="31"/>
        <v>1736.4753054082637</v>
      </c>
      <c r="AU57" s="4" t="s">
        <v>7</v>
      </c>
      <c r="AV57" s="17" t="s">
        <v>29</v>
      </c>
      <c r="AW57" s="5">
        <f aca="true" t="shared" si="35" ref="AW57:BA58">$AW$28*AW25</f>
        <v>294991.85589986295</v>
      </c>
      <c r="AX57" s="5">
        <f t="shared" si="35"/>
        <v>66384.35842166102</v>
      </c>
      <c r="AY57" s="5">
        <f t="shared" si="35"/>
        <v>239873.97911005077</v>
      </c>
      <c r="AZ57" s="5">
        <f t="shared" si="35"/>
        <v>0</v>
      </c>
      <c r="BA57" s="5">
        <f t="shared" si="35"/>
        <v>0</v>
      </c>
      <c r="BB57" s="5"/>
      <c r="BC57" s="5">
        <f t="shared" si="22"/>
        <v>41122.81151384396</v>
      </c>
      <c r="BD57" s="5">
        <f t="shared" si="28"/>
        <v>23486.209349034572</v>
      </c>
      <c r="BE57" s="6">
        <f t="shared" si="32"/>
        <v>275.17238271012263</v>
      </c>
      <c r="BJ57" s="4" t="s">
        <v>7</v>
      </c>
      <c r="BK57" s="17" t="s">
        <v>29</v>
      </c>
      <c r="BL57" s="5">
        <f aca="true" t="shared" si="36" ref="BL57:BP58">$BL$28*BL25</f>
        <v>35442.69881674862</v>
      </c>
      <c r="BM57" s="5">
        <f t="shared" si="36"/>
        <v>7975.9517919732325</v>
      </c>
      <c r="BN57" s="5">
        <f t="shared" si="36"/>
        <v>28820.39292114752</v>
      </c>
      <c r="BO57" s="5">
        <f t="shared" si="36"/>
        <v>0</v>
      </c>
      <c r="BP57" s="5">
        <f t="shared" si="36"/>
        <v>0</v>
      </c>
      <c r="BQ57" s="5"/>
      <c r="BR57" s="5">
        <f t="shared" si="24"/>
        <v>4940.825971405304</v>
      </c>
      <c r="BS57" s="5">
        <f t="shared" si="30"/>
        <v>2821.8224593546297</v>
      </c>
      <c r="BT57" s="6">
        <f t="shared" si="33"/>
        <v>33.061427588674285</v>
      </c>
    </row>
    <row r="58" spans="26:72" ht="12.75" customHeight="1">
      <c r="Z58" t="s">
        <v>4</v>
      </c>
      <c r="AA58" s="2">
        <f>SUM(AW23:BD24)</f>
        <v>1067382363.9646933</v>
      </c>
      <c r="AB58" s="37">
        <f>AA58/BF$30</f>
        <v>0.6063440331679518</v>
      </c>
      <c r="AC58" s="64">
        <f>'FY2005_BD'!H64</f>
        <v>1067382363.9646932</v>
      </c>
      <c r="AD58">
        <f>AC58/AA58</f>
        <v>0.9999999999999999</v>
      </c>
      <c r="AF58" s="4"/>
      <c r="AG58" s="18" t="s">
        <v>30</v>
      </c>
      <c r="AH58" s="5">
        <f t="shared" si="34"/>
        <v>3703619.8951282585</v>
      </c>
      <c r="AI58" s="5">
        <f t="shared" si="34"/>
        <v>4681997.903380429</v>
      </c>
      <c r="AJ58" s="5">
        <f t="shared" si="34"/>
        <v>2216042.1351781515</v>
      </c>
      <c r="AK58" s="5">
        <f t="shared" si="34"/>
        <v>623668.2359614819</v>
      </c>
      <c r="AL58" s="5">
        <f t="shared" si="34"/>
        <v>1090042.230337571</v>
      </c>
      <c r="AM58" s="5">
        <v>0</v>
      </c>
      <c r="AN58" s="5">
        <f t="shared" si="20"/>
        <v>518806.54298434313</v>
      </c>
      <c r="AO58" s="5">
        <f t="shared" si="26"/>
        <v>17897.161608897633</v>
      </c>
      <c r="AP58" s="36">
        <f t="shared" si="31"/>
        <v>0</v>
      </c>
      <c r="AU58" s="4"/>
      <c r="AV58" s="18" t="s">
        <v>30</v>
      </c>
      <c r="AW58" s="5">
        <f t="shared" si="35"/>
        <v>586898.0157799873</v>
      </c>
      <c r="AX58" s="5">
        <f t="shared" si="35"/>
        <v>741937.7142331921</v>
      </c>
      <c r="AY58" s="5">
        <f t="shared" si="35"/>
        <v>351167.44397331396</v>
      </c>
      <c r="AZ58" s="5">
        <f t="shared" si="35"/>
        <v>98830.24191339778</v>
      </c>
      <c r="BA58" s="5">
        <f t="shared" si="35"/>
        <v>172734.68666237345</v>
      </c>
      <c r="BB58" s="5">
        <v>0</v>
      </c>
      <c r="BC58" s="5">
        <f t="shared" si="22"/>
        <v>82213.22362257187</v>
      </c>
      <c r="BD58" s="5">
        <f t="shared" si="28"/>
        <v>2836.0925078117484</v>
      </c>
      <c r="BE58" s="36">
        <f t="shared" si="32"/>
        <v>0</v>
      </c>
      <c r="BJ58" s="4"/>
      <c r="BK58" s="18" t="s">
        <v>30</v>
      </c>
      <c r="BL58" s="5">
        <f t="shared" si="36"/>
        <v>70514.6572470075</v>
      </c>
      <c r="BM58" s="5">
        <f t="shared" si="36"/>
        <v>89142.3760365791</v>
      </c>
      <c r="BN58" s="5">
        <f t="shared" si="36"/>
        <v>42192.08666973709</v>
      </c>
      <c r="BO58" s="5">
        <f t="shared" si="36"/>
        <v>11874.261706099496</v>
      </c>
      <c r="BP58" s="5">
        <f t="shared" si="36"/>
        <v>20753.737271506798</v>
      </c>
      <c r="BQ58" s="5">
        <v>0</v>
      </c>
      <c r="BR58" s="5">
        <f t="shared" si="24"/>
        <v>9877.759217183091</v>
      </c>
      <c r="BS58" s="5">
        <f t="shared" si="30"/>
        <v>340.7510090886403</v>
      </c>
      <c r="BT58" s="36">
        <f t="shared" si="33"/>
        <v>0</v>
      </c>
    </row>
    <row r="59" spans="29:72" ht="12.75" customHeight="1">
      <c r="AC59" s="64"/>
      <c r="AF59" s="113" t="s">
        <v>31</v>
      </c>
      <c r="AG59" s="96"/>
      <c r="AH59" s="19">
        <f aca="true" t="shared" si="37" ref="AH59:AP59">SUM(AH39:AH58)</f>
        <v>166951961.9099953</v>
      </c>
      <c r="AI59" s="19">
        <f t="shared" si="37"/>
        <v>264872489.08570656</v>
      </c>
      <c r="AJ59" s="19">
        <f t="shared" si="37"/>
        <v>873707902.4208835</v>
      </c>
      <c r="AK59" s="19">
        <f t="shared" si="37"/>
        <v>209176438.8636918</v>
      </c>
      <c r="AL59" s="19">
        <f t="shared" si="37"/>
        <v>74769147.74692734</v>
      </c>
      <c r="AM59" s="19">
        <f t="shared" si="37"/>
        <v>30100823.798814427</v>
      </c>
      <c r="AN59" s="19">
        <f t="shared" si="37"/>
        <v>675301094.9935164</v>
      </c>
      <c r="AO59" s="19">
        <f t="shared" si="37"/>
        <v>3599426339.8255816</v>
      </c>
      <c r="AP59" s="20">
        <f t="shared" si="37"/>
        <v>552276364.6137716</v>
      </c>
      <c r="AU59" s="113" t="s">
        <v>31</v>
      </c>
      <c r="AV59" s="96"/>
      <c r="AW59" s="19">
        <f aca="true" t="shared" si="38" ref="AW59:BE59">SUM(AW39:AW58)</f>
        <v>27978395.884641357</v>
      </c>
      <c r="AX59" s="19">
        <f t="shared" si="38"/>
        <v>44641617.36292232</v>
      </c>
      <c r="AY59" s="19">
        <f t="shared" si="38"/>
        <v>161675575.97790578</v>
      </c>
      <c r="AZ59" s="19">
        <f t="shared" si="38"/>
        <v>44629550.125504516</v>
      </c>
      <c r="BA59" s="19">
        <f t="shared" si="38"/>
        <v>26997867.006137796</v>
      </c>
      <c r="BB59" s="19">
        <f t="shared" si="38"/>
        <v>10959125.734046847</v>
      </c>
      <c r="BC59" s="19">
        <f t="shared" si="38"/>
        <v>144819789.84844345</v>
      </c>
      <c r="BD59" s="19">
        <f t="shared" si="38"/>
        <v>1064298991.5052313</v>
      </c>
      <c r="BE59" s="20">
        <f t="shared" si="38"/>
        <v>199149594.29613614</v>
      </c>
      <c r="BJ59" s="113" t="s">
        <v>31</v>
      </c>
      <c r="BK59" s="96"/>
      <c r="BL59" s="19">
        <f aca="true" t="shared" si="39" ref="BL59:BT59">SUM(BL39:BL58)</f>
        <v>2222135.798875034</v>
      </c>
      <c r="BM59" s="19">
        <f t="shared" si="39"/>
        <v>3294813.403193614</v>
      </c>
      <c r="BN59" s="19">
        <f t="shared" si="39"/>
        <v>11630149.85455678</v>
      </c>
      <c r="BO59" s="19">
        <f t="shared" si="39"/>
        <v>2020025.406155488</v>
      </c>
      <c r="BP59" s="19">
        <f t="shared" si="39"/>
        <v>578833.4459492022</v>
      </c>
      <c r="BQ59" s="19">
        <f t="shared" si="39"/>
        <v>227997.59658888055</v>
      </c>
      <c r="BR59" s="19">
        <f t="shared" si="39"/>
        <v>6682714.668685946</v>
      </c>
      <c r="BS59" s="19">
        <f t="shared" si="39"/>
        <v>29599979.002926175</v>
      </c>
      <c r="BT59" s="20">
        <f t="shared" si="39"/>
        <v>4202671.66202278</v>
      </c>
    </row>
    <row r="60" spans="27:72" ht="12.75" customHeight="1">
      <c r="AA60" s="2">
        <f>SUM(AA52:AA58)</f>
        <v>1760357660.960173</v>
      </c>
      <c r="AC60" s="2">
        <f>SUM(AC52:AC58)</f>
        <v>1764923316.9444914</v>
      </c>
      <c r="AF60" s="4"/>
      <c r="AG60" s="17"/>
      <c r="AH60" s="17"/>
      <c r="AI60" s="5"/>
      <c r="AJ60" s="5"/>
      <c r="AK60" s="51" t="s">
        <v>32</v>
      </c>
      <c r="AL60" s="114">
        <f>SUM(AH59:AM59)</f>
        <v>1619578763.826019</v>
      </c>
      <c r="AM60" s="115"/>
      <c r="AN60" s="51" t="s">
        <v>33</v>
      </c>
      <c r="AO60" s="114">
        <f>SUM(AN59:AP59)</f>
        <v>4827003799.43287</v>
      </c>
      <c r="AP60" s="116"/>
      <c r="AU60" s="4"/>
      <c r="AV60" s="17"/>
      <c r="AW60" s="17"/>
      <c r="AX60" s="5"/>
      <c r="AY60" s="5"/>
      <c r="AZ60" s="51" t="s">
        <v>32</v>
      </c>
      <c r="BA60" s="114">
        <f>SUM(AW59:BB59)</f>
        <v>316882132.0911586</v>
      </c>
      <c r="BB60" s="115"/>
      <c r="BC60" s="51" t="s">
        <v>33</v>
      </c>
      <c r="BD60" s="114">
        <f>SUM(BC59:BE59)</f>
        <v>1408268375.6498108</v>
      </c>
      <c r="BE60" s="116"/>
      <c r="BJ60" s="4"/>
      <c r="BK60" s="17"/>
      <c r="BL60" s="17"/>
      <c r="BM60" s="5"/>
      <c r="BN60" s="5"/>
      <c r="BO60" s="51" t="s">
        <v>32</v>
      </c>
      <c r="BP60" s="114">
        <f>SUM(BL59:BQ59)</f>
        <v>19973955.505318996</v>
      </c>
      <c r="BQ60" s="115"/>
      <c r="BR60" s="51" t="s">
        <v>33</v>
      </c>
      <c r="BS60" s="114">
        <f>SUM(BR59:BT59)</f>
        <v>40485365.3336349</v>
      </c>
      <c r="BT60" s="116"/>
    </row>
    <row r="61" spans="32:72" ht="12.75" customHeight="1" thickBot="1">
      <c r="AF61" s="21"/>
      <c r="AG61" s="22"/>
      <c r="AH61" s="22"/>
      <c r="AI61" s="23"/>
      <c r="AJ61" s="23"/>
      <c r="AK61" s="52"/>
      <c r="AL61" s="53"/>
      <c r="AM61" s="24"/>
      <c r="AN61" s="52" t="s">
        <v>64</v>
      </c>
      <c r="AO61" s="108">
        <f>AL60+AO60</f>
        <v>6446582563.258889</v>
      </c>
      <c r="AP61" s="109"/>
      <c r="AU61" s="21"/>
      <c r="AV61" s="22"/>
      <c r="AW61" s="22"/>
      <c r="AX61" s="23"/>
      <c r="AY61" s="23"/>
      <c r="AZ61" s="52"/>
      <c r="BA61" s="53"/>
      <c r="BB61" s="24"/>
      <c r="BC61" s="52" t="s">
        <v>64</v>
      </c>
      <c r="BD61" s="108">
        <f>BA60+BD60</f>
        <v>1725150507.7409694</v>
      </c>
      <c r="BE61" s="109"/>
      <c r="BJ61" s="21"/>
      <c r="BK61" s="22"/>
      <c r="BL61" s="22"/>
      <c r="BM61" s="23"/>
      <c r="BN61" s="23"/>
      <c r="BO61" s="52"/>
      <c r="BP61" s="53"/>
      <c r="BQ61" s="24"/>
      <c r="BR61" s="52" t="s">
        <v>64</v>
      </c>
      <c r="BS61" s="108">
        <f>BP60+BS60</f>
        <v>60459320.8389539</v>
      </c>
      <c r="BT61" s="109"/>
    </row>
    <row r="62" ht="12.75" customHeight="1" thickTop="1"/>
    <row r="63" spans="26:29" ht="12.75" customHeight="1">
      <c r="Z63" t="s">
        <v>115</v>
      </c>
      <c r="AC63" s="75"/>
    </row>
    <row r="64" spans="27:30" ht="12.75" customHeight="1">
      <c r="AA64" t="s">
        <v>99</v>
      </c>
      <c r="AD64" t="s">
        <v>83</v>
      </c>
    </row>
    <row r="65" spans="27:30" ht="12.75" customHeight="1" thickBot="1">
      <c r="AA65" t="s">
        <v>100</v>
      </c>
      <c r="AC65" t="s">
        <v>82</v>
      </c>
      <c r="AD65" t="s">
        <v>84</v>
      </c>
    </row>
    <row r="66" spans="26:72" ht="12.75" customHeight="1" thickTop="1">
      <c r="Z66" t="s">
        <v>72</v>
      </c>
      <c r="AA66" s="2">
        <f>SUM(BL7:BM8,BL11:BM12,BL15:BM16,BL19:BM20,BL25:BS26,BQ11:BQ12)</f>
        <v>2544707.940796252</v>
      </c>
      <c r="AB66" s="37">
        <f>AA66/BU$30</f>
        <v>0.04125621474003386</v>
      </c>
      <c r="AC66" s="64">
        <f>'FY2005_BD'!I58</f>
        <v>2801011.9700118545</v>
      </c>
      <c r="AD66" s="41">
        <f>AD70</f>
        <v>1</v>
      </c>
      <c r="AF66" s="117" t="s">
        <v>91</v>
      </c>
      <c r="AG66" s="118"/>
      <c r="AH66" s="118"/>
      <c r="AI66" s="118"/>
      <c r="AJ66" s="118"/>
      <c r="AK66" s="118"/>
      <c r="AL66" s="118"/>
      <c r="AM66" s="118"/>
      <c r="AN66" s="118"/>
      <c r="AO66" s="118"/>
      <c r="AP66" s="119"/>
      <c r="AU66" s="117" t="s">
        <v>93</v>
      </c>
      <c r="AV66" s="118"/>
      <c r="AW66" s="118"/>
      <c r="AX66" s="118"/>
      <c r="AY66" s="118"/>
      <c r="AZ66" s="118"/>
      <c r="BA66" s="118"/>
      <c r="BB66" s="118"/>
      <c r="BC66" s="118"/>
      <c r="BD66" s="118"/>
      <c r="BE66" s="119"/>
      <c r="BJ66" s="117" t="s">
        <v>92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9"/>
    </row>
    <row r="67" spans="26:72" ht="12.75" customHeight="1">
      <c r="Z67" t="s">
        <v>73</v>
      </c>
      <c r="AA67" s="2">
        <f>SUM(BL13:BS14)+BL9+BL10</f>
        <v>1256770.000497494</v>
      </c>
      <c r="AB67" s="37">
        <f>AA67/BU$30</f>
        <v>0.020375451417475075</v>
      </c>
      <c r="AC67" s="64">
        <f>'FY2005_BD'!I59</f>
        <v>1256770.0004974941</v>
      </c>
      <c r="AD67">
        <f>AC67/AA67</f>
        <v>1.0000000000000002</v>
      </c>
      <c r="AF67" s="10" t="s">
        <v>10</v>
      </c>
      <c r="AG67" s="11" t="s">
        <v>20</v>
      </c>
      <c r="AH67" s="110" t="s">
        <v>9</v>
      </c>
      <c r="AI67" s="110"/>
      <c r="AJ67" s="110"/>
      <c r="AK67" s="110"/>
      <c r="AL67" s="110"/>
      <c r="AM67" s="110"/>
      <c r="AN67" s="111" t="s">
        <v>6</v>
      </c>
      <c r="AO67" s="111"/>
      <c r="AP67" s="112"/>
      <c r="AU67" s="10" t="s">
        <v>10</v>
      </c>
      <c r="AV67" s="11" t="s">
        <v>20</v>
      </c>
      <c r="AW67" s="110" t="s">
        <v>9</v>
      </c>
      <c r="AX67" s="110"/>
      <c r="AY67" s="110"/>
      <c r="AZ67" s="110"/>
      <c r="BA67" s="110"/>
      <c r="BB67" s="110"/>
      <c r="BC67" s="111" t="s">
        <v>6</v>
      </c>
      <c r="BD67" s="111"/>
      <c r="BE67" s="112"/>
      <c r="BJ67" s="10" t="s">
        <v>10</v>
      </c>
      <c r="BK67" s="11" t="s">
        <v>20</v>
      </c>
      <c r="BL67" s="110" t="s">
        <v>9</v>
      </c>
      <c r="BM67" s="110"/>
      <c r="BN67" s="110"/>
      <c r="BO67" s="110"/>
      <c r="BP67" s="110"/>
      <c r="BQ67" s="110"/>
      <c r="BR67" s="111" t="s">
        <v>6</v>
      </c>
      <c r="BS67" s="111"/>
      <c r="BT67" s="112"/>
    </row>
    <row r="68" spans="26:72" ht="12.75" customHeight="1">
      <c r="Z68" t="s">
        <v>74</v>
      </c>
      <c r="AA68" s="2">
        <f>SUM(BN15:BS16)+BN19+BN20</f>
        <v>5288432.863631572</v>
      </c>
      <c r="AB68" s="37">
        <f>AA68/BU$30</f>
        <v>0.0857390030354393</v>
      </c>
      <c r="AC68" s="64">
        <f>'FY2005_BD'!I60</f>
        <v>5441137.893430857</v>
      </c>
      <c r="AD68" s="41">
        <f>AD70</f>
        <v>1</v>
      </c>
      <c r="AF68" s="12" t="s">
        <v>21</v>
      </c>
      <c r="AG68" s="13" t="s">
        <v>22</v>
      </c>
      <c r="AH68" s="14" t="s">
        <v>0</v>
      </c>
      <c r="AI68" s="15" t="s">
        <v>1</v>
      </c>
      <c r="AJ68" s="15" t="s">
        <v>17</v>
      </c>
      <c r="AK68" s="15" t="s">
        <v>18</v>
      </c>
      <c r="AL68" s="15" t="s">
        <v>14</v>
      </c>
      <c r="AM68" s="15" t="s">
        <v>4</v>
      </c>
      <c r="AN68" s="15" t="s">
        <v>1</v>
      </c>
      <c r="AO68" s="15" t="s">
        <v>17</v>
      </c>
      <c r="AP68" s="16" t="s">
        <v>18</v>
      </c>
      <c r="AU68" s="12" t="s">
        <v>21</v>
      </c>
      <c r="AV68" s="13" t="s">
        <v>22</v>
      </c>
      <c r="AW68" s="14" t="s">
        <v>0</v>
      </c>
      <c r="AX68" s="15" t="s">
        <v>1</v>
      </c>
      <c r="AY68" s="15" t="s">
        <v>17</v>
      </c>
      <c r="AZ68" s="15" t="s">
        <v>18</v>
      </c>
      <c r="BA68" s="15" t="s">
        <v>14</v>
      </c>
      <c r="BB68" s="15" t="s">
        <v>4</v>
      </c>
      <c r="BC68" s="15" t="s">
        <v>1</v>
      </c>
      <c r="BD68" s="15" t="s">
        <v>17</v>
      </c>
      <c r="BE68" s="16" t="s">
        <v>18</v>
      </c>
      <c r="BJ68" s="12" t="s">
        <v>21</v>
      </c>
      <c r="BK68" s="13" t="s">
        <v>22</v>
      </c>
      <c r="BL68" s="14" t="s">
        <v>0</v>
      </c>
      <c r="BM68" s="15" t="s">
        <v>1</v>
      </c>
      <c r="BN68" s="15" t="s">
        <v>17</v>
      </c>
      <c r="BO68" s="15" t="s">
        <v>18</v>
      </c>
      <c r="BP68" s="15" t="s">
        <v>14</v>
      </c>
      <c r="BQ68" s="15" t="s">
        <v>4</v>
      </c>
      <c r="BR68" s="15" t="s">
        <v>1</v>
      </c>
      <c r="BS68" s="15" t="s">
        <v>17</v>
      </c>
      <c r="BT68" s="16" t="s">
        <v>18</v>
      </c>
    </row>
    <row r="69" spans="26:72" ht="12.75" customHeight="1">
      <c r="Z69" t="s">
        <v>75</v>
      </c>
      <c r="AA69" s="2">
        <f>SUM(BL17:BS18)</f>
        <v>10622446.083137823</v>
      </c>
      <c r="AB69" s="37">
        <f>AA69/BU$30</f>
        <v>0.1722169800488922</v>
      </c>
      <c r="AC69" s="64">
        <f>'FY2005_BD'!I61</f>
        <v>10622446.083137823</v>
      </c>
      <c r="AD69">
        <f>AC69/AA69</f>
        <v>1</v>
      </c>
      <c r="AF69" s="4" t="s">
        <v>0</v>
      </c>
      <c r="AG69" s="17" t="s">
        <v>23</v>
      </c>
      <c r="AH69" s="5">
        <f>AH39</f>
        <v>1663501.3693116829</v>
      </c>
      <c r="AI69" s="5"/>
      <c r="AJ69" s="5"/>
      <c r="AK69" s="5"/>
      <c r="AL69" s="5"/>
      <c r="AM69" s="5"/>
      <c r="AN69" s="5"/>
      <c r="AO69" s="5"/>
      <c r="AP69" s="6"/>
      <c r="AU69" s="4" t="s">
        <v>0</v>
      </c>
      <c r="AV69" s="17" t="s">
        <v>23</v>
      </c>
      <c r="AW69" s="5">
        <f>AW39</f>
        <v>263608.49129808135</v>
      </c>
      <c r="AX69" s="5"/>
      <c r="AY69" s="5"/>
      <c r="AZ69" s="5"/>
      <c r="BA69" s="5"/>
      <c r="BB69" s="5"/>
      <c r="BC69" s="5"/>
      <c r="BD69" s="5"/>
      <c r="BE69" s="6"/>
      <c r="BJ69" s="4" t="s">
        <v>0</v>
      </c>
      <c r="BK69" s="17" t="s">
        <v>23</v>
      </c>
      <c r="BL69" s="5">
        <f>BL39</f>
        <v>31672.048484575596</v>
      </c>
      <c r="BM69" s="5"/>
      <c r="BN69" s="5"/>
      <c r="BO69" s="5"/>
      <c r="BP69" s="5"/>
      <c r="BQ69" s="5"/>
      <c r="BR69" s="5"/>
      <c r="BS69" s="5"/>
      <c r="BT69" s="6"/>
    </row>
    <row r="70" spans="26:72" ht="12.75" customHeight="1">
      <c r="Z70" t="s">
        <v>76</v>
      </c>
      <c r="AA70" s="2">
        <f>SUM(BO19:BS20)</f>
        <v>2409484.6281443406</v>
      </c>
      <c r="AB70" s="37">
        <f>AA70/BU$30</f>
        <v>0.03906389949033949</v>
      </c>
      <c r="AC70" s="64">
        <f>'FY2005_BD'!I62</f>
        <v>2506327.9711750373</v>
      </c>
      <c r="AD70" s="41">
        <f>(AA74-AC67-AC69-AC71-AC72)/(AA74-AA67-AA69-AA71-AA72)</f>
        <v>1</v>
      </c>
      <c r="AF70" s="4"/>
      <c r="AG70" s="17" t="s">
        <v>24</v>
      </c>
      <c r="AH70" s="5">
        <f>AH40</f>
        <v>14279221.913950255</v>
      </c>
      <c r="AI70" s="5"/>
      <c r="AJ70" s="5"/>
      <c r="AK70" s="5"/>
      <c r="AL70" s="5"/>
      <c r="AM70" s="5"/>
      <c r="AN70" s="5"/>
      <c r="AO70" s="5"/>
      <c r="AP70" s="6"/>
      <c r="AU70" s="4"/>
      <c r="AV70" s="17" t="s">
        <v>24</v>
      </c>
      <c r="AW70" s="5">
        <f>AW40</f>
        <v>2262771.894924519</v>
      </c>
      <c r="AX70" s="5"/>
      <c r="AY70" s="5"/>
      <c r="AZ70" s="5"/>
      <c r="BA70" s="5"/>
      <c r="BB70" s="5"/>
      <c r="BC70" s="5"/>
      <c r="BD70" s="5"/>
      <c r="BE70" s="6"/>
      <c r="BJ70" s="4"/>
      <c r="BK70" s="17" t="s">
        <v>24</v>
      </c>
      <c r="BL70" s="5">
        <f>BL40</f>
        <v>271867.6504412966</v>
      </c>
      <c r="BM70" s="5"/>
      <c r="BN70" s="5"/>
      <c r="BO70" s="5"/>
      <c r="BP70" s="5"/>
      <c r="BQ70" s="5"/>
      <c r="BR70" s="5"/>
      <c r="BS70" s="5"/>
      <c r="BT70" s="6"/>
    </row>
    <row r="71" spans="26:72" ht="12.75" customHeight="1">
      <c r="Z71" t="s">
        <v>77</v>
      </c>
      <c r="AA71" s="2">
        <f>SUM(BL21:BS22)</f>
        <v>17357079.1787064</v>
      </c>
      <c r="AB71" s="37">
        <f>AA71/BU$30</f>
        <v>0.2814025823460175</v>
      </c>
      <c r="AC71" s="64">
        <f>'FY2005_BD'!I63</f>
        <v>17357079.178706404</v>
      </c>
      <c r="AD71">
        <f>AC71/AA71</f>
        <v>1.0000000000000002</v>
      </c>
      <c r="AF71" s="4"/>
      <c r="AG71" s="17" t="s">
        <v>25</v>
      </c>
      <c r="AH71" s="5">
        <f>AH41</f>
        <v>2573274.0568408687</v>
      </c>
      <c r="AI71" s="5"/>
      <c r="AJ71" s="5"/>
      <c r="AK71" s="5"/>
      <c r="AL71" s="5"/>
      <c r="AM71" s="5"/>
      <c r="AN71" s="5"/>
      <c r="AO71" s="5"/>
      <c r="AP71" s="6"/>
      <c r="AU71" s="4"/>
      <c r="AV71" s="17" t="s">
        <v>25</v>
      </c>
      <c r="AW71" s="5">
        <f>AW41</f>
        <v>447815.2787419223</v>
      </c>
      <c r="AX71" s="5"/>
      <c r="AY71" s="5"/>
      <c r="AZ71" s="5"/>
      <c r="BA71" s="5"/>
      <c r="BB71" s="5"/>
      <c r="BC71" s="5"/>
      <c r="BD71" s="5"/>
      <c r="BE71" s="6"/>
      <c r="BJ71" s="4"/>
      <c r="BK71" s="17" t="s">
        <v>25</v>
      </c>
      <c r="BL71" s="5">
        <f>BL41</f>
        <v>23654.39838142534</v>
      </c>
      <c r="BM71" s="5"/>
      <c r="BN71" s="5"/>
      <c r="BO71" s="5"/>
      <c r="BP71" s="5"/>
      <c r="BQ71" s="5"/>
      <c r="BR71" s="5"/>
      <c r="BS71" s="5"/>
      <c r="BT71" s="6"/>
    </row>
    <row r="72" spans="26:72" ht="12.75" customHeight="1">
      <c r="Z72" t="s">
        <v>4</v>
      </c>
      <c r="AA72" s="2">
        <f>SUM(BL23:BS24)</f>
        <v>22201675.957763024</v>
      </c>
      <c r="AB72" s="37">
        <f>AA72/BU$30</f>
        <v>0.35994586892180275</v>
      </c>
      <c r="AC72" s="64">
        <f>'FY2005_BD'!I64</f>
        <v>22201675.95776302</v>
      </c>
      <c r="AD72">
        <f>AC72/AA72</f>
        <v>0.9999999999999998</v>
      </c>
      <c r="AF72" s="4"/>
      <c r="AG72" s="17" t="s">
        <v>26</v>
      </c>
      <c r="AH72" s="5">
        <f>AH42</f>
        <v>8061484.429843669</v>
      </c>
      <c r="AI72" s="5"/>
      <c r="AJ72" s="5"/>
      <c r="AK72" s="5"/>
      <c r="AL72" s="5"/>
      <c r="AM72" s="5"/>
      <c r="AN72" s="5"/>
      <c r="AO72" s="5"/>
      <c r="AP72" s="6"/>
      <c r="AU72" s="4"/>
      <c r="AV72" s="17" t="s">
        <v>26</v>
      </c>
      <c r="AW72" s="5">
        <f>AW42</f>
        <v>1402903.778331355</v>
      </c>
      <c r="AX72" s="5"/>
      <c r="AY72" s="5"/>
      <c r="AZ72" s="5"/>
      <c r="BA72" s="5"/>
      <c r="BB72" s="5"/>
      <c r="BC72" s="5"/>
      <c r="BD72" s="5"/>
      <c r="BE72" s="6"/>
      <c r="BJ72" s="4"/>
      <c r="BK72" s="17" t="s">
        <v>26</v>
      </c>
      <c r="BL72" s="5">
        <f>BL42</f>
        <v>74103.86924868914</v>
      </c>
      <c r="BM72" s="5"/>
      <c r="BN72" s="5"/>
      <c r="BO72" s="5"/>
      <c r="BP72" s="5"/>
      <c r="BQ72" s="5"/>
      <c r="BR72" s="5"/>
      <c r="BS72" s="5"/>
      <c r="BT72" s="6"/>
    </row>
    <row r="73" spans="29:72" ht="12.75" customHeight="1">
      <c r="AC73" s="64"/>
      <c r="AF73" s="4" t="s">
        <v>1</v>
      </c>
      <c r="AG73" s="17" t="s">
        <v>23</v>
      </c>
      <c r="AH73" s="5">
        <f>AH43+$O$28*$O$49*AI43/(AI$59+AX$59+BM$59)</f>
        <v>4638011.810810721</v>
      </c>
      <c r="AI73" s="5">
        <f>AI43-$O$28*$O$49*AI43/(AI$59+AX$59+BM$59)</f>
        <v>3870728.543539102</v>
      </c>
      <c r="AJ73" s="5"/>
      <c r="AK73" s="5"/>
      <c r="AL73" s="5"/>
      <c r="AM73" s="5"/>
      <c r="AN73" s="5">
        <f aca="true" t="shared" si="40" ref="AN73:AN88">AN43</f>
        <v>664813.7893895067</v>
      </c>
      <c r="AO73" s="5"/>
      <c r="AP73" s="6"/>
      <c r="AU73" s="4" t="s">
        <v>1</v>
      </c>
      <c r="AV73" s="17" t="s">
        <v>23</v>
      </c>
      <c r="AW73" s="5">
        <f>AW43+$O$28*$O$49*AX43/(AI$59+AX$59+BM$59)</f>
        <v>734967.4118852015</v>
      </c>
      <c r="AX73" s="5">
        <f>AX43-$O$28*$O$49*AX43/(AI$59+AX$59+BM$59)</f>
        <v>613379.0632279203</v>
      </c>
      <c r="AY73" s="5"/>
      <c r="AZ73" s="5"/>
      <c r="BA73" s="5"/>
      <c r="BB73" s="5"/>
      <c r="BC73" s="5">
        <f aca="true" t="shared" si="41" ref="BC73:BC88">BC43</f>
        <v>105350.415243507</v>
      </c>
      <c r="BD73" s="5"/>
      <c r="BE73" s="6"/>
      <c r="BJ73" s="4" t="s">
        <v>1</v>
      </c>
      <c r="BK73" s="17" t="s">
        <v>23</v>
      </c>
      <c r="BL73" s="5">
        <f>BL43+$O$28*$O$49*BM43/(AI$59+AX$59+BM$59)</f>
        <v>88304.90774096156</v>
      </c>
      <c r="BM73" s="5">
        <f>BM43-$O$28*$O$49*BM43/(AI$59+AX$59+BM$59)</f>
        <v>73696.30369004598</v>
      </c>
      <c r="BN73" s="5"/>
      <c r="BO73" s="5"/>
      <c r="BP73" s="5"/>
      <c r="BQ73" s="5"/>
      <c r="BR73" s="5">
        <f aca="true" t="shared" si="42" ref="BR73:BR88">BR43</f>
        <v>12657.647874056973</v>
      </c>
      <c r="BS73" s="5"/>
      <c r="BT73" s="6"/>
    </row>
    <row r="74" spans="27:72" ht="12.75" customHeight="1">
      <c r="AA74" s="2">
        <f>SUM(AA66:AA72)</f>
        <v>61680596.6526769</v>
      </c>
      <c r="AC74" s="2">
        <f>SUM(AC66:AC72)</f>
        <v>62186449.05472249</v>
      </c>
      <c r="AF74" s="4"/>
      <c r="AG74" s="17" t="s">
        <v>24</v>
      </c>
      <c r="AH74" s="5">
        <f>AH44+$O$28*$O$49*AI44/(AI$59+AX$59+BM$59)</f>
        <v>20350489.210792102</v>
      </c>
      <c r="AI74" s="5">
        <f>AI44-$O$28*$O$49*AI44/(AI$59+AX$59+BM$59)</f>
        <v>18121432.145122148</v>
      </c>
      <c r="AJ74" s="5"/>
      <c r="AK74" s="5"/>
      <c r="AL74" s="5"/>
      <c r="AM74" s="5"/>
      <c r="AN74" s="5">
        <f t="shared" si="40"/>
        <v>476667.95533432404</v>
      </c>
      <c r="AO74" s="5"/>
      <c r="AP74" s="6"/>
      <c r="AU74" s="4"/>
      <c r="AV74" s="17" t="s">
        <v>24</v>
      </c>
      <c r="AW74" s="5">
        <f>AW44+$O$28*$O$49*AX44/(AI$59+AX$59+BM$59)</f>
        <v>3224861.6424370697</v>
      </c>
      <c r="AX74" s="5">
        <f>AX44-$O$28*$O$49*AX44/(AI$59+AX$59+BM$59)</f>
        <v>2871631.773836649</v>
      </c>
      <c r="AY74" s="5"/>
      <c r="AZ74" s="5"/>
      <c r="BA74" s="5"/>
      <c r="BB74" s="5"/>
      <c r="BC74" s="5">
        <f t="shared" si="41"/>
        <v>75535.6880817086</v>
      </c>
      <c r="BD74" s="5"/>
      <c r="BE74" s="6"/>
      <c r="BJ74" s="4"/>
      <c r="BK74" s="17" t="s">
        <v>24</v>
      </c>
      <c r="BL74" s="5">
        <f>BL44+$O$28*$O$49*BM44/(AI$59+AX$59+BM$59)</f>
        <v>387460.865893808</v>
      </c>
      <c r="BM74" s="5">
        <f>BM44-$O$28*$O$49*BM44/(AI$59+AX$59+BM$59)</f>
        <v>345020.9829089225</v>
      </c>
      <c r="BN74" s="5"/>
      <c r="BO74" s="5"/>
      <c r="BP74" s="5"/>
      <c r="BQ74" s="5"/>
      <c r="BR74" s="5">
        <f t="shared" si="42"/>
        <v>9075.466285091805</v>
      </c>
      <c r="BS74" s="5"/>
      <c r="BT74" s="6"/>
    </row>
    <row r="75" spans="32:72" ht="12.75" customHeight="1">
      <c r="AF75" s="4"/>
      <c r="AG75" s="17" t="s">
        <v>25</v>
      </c>
      <c r="AH75" s="5">
        <f>AH45+$O$28*$O$49*AI45/(AI$59+AX$59+BM$59)</f>
        <v>12270800.186444169</v>
      </c>
      <c r="AI75" s="5">
        <f>AI45-$O$28*$O$49*AI45/(AI$59+AX$59+BM$59)</f>
        <v>8224639.567642123</v>
      </c>
      <c r="AJ75" s="5"/>
      <c r="AK75" s="5"/>
      <c r="AL75" s="5"/>
      <c r="AM75" s="5"/>
      <c r="AN75" s="5">
        <f t="shared" si="40"/>
        <v>537061.4775759606</v>
      </c>
      <c r="AO75" s="5"/>
      <c r="AP75" s="6"/>
      <c r="AU75" s="4"/>
      <c r="AV75" s="17" t="s">
        <v>25</v>
      </c>
      <c r="AW75" s="5">
        <f>AW45+$O$28*$O$49*AX45/(AI$59+AX$59+BM$59)</f>
        <v>2135432.0155953527</v>
      </c>
      <c r="AX75" s="5">
        <f>AX45-$O$28*$O$49*AX45/(AI$59+AX$59+BM$59)</f>
        <v>1431296.9311388296</v>
      </c>
      <c r="AY75" s="5"/>
      <c r="AZ75" s="5"/>
      <c r="BA75" s="5"/>
      <c r="BB75" s="5"/>
      <c r="BC75" s="5">
        <f t="shared" si="41"/>
        <v>93462.38681529606</v>
      </c>
      <c r="BD75" s="5"/>
      <c r="BE75" s="6"/>
      <c r="BJ75" s="4"/>
      <c r="BK75" s="17" t="s">
        <v>25</v>
      </c>
      <c r="BL75" s="5">
        <f>BL45+$O$28*$O$49*BM45/(AI$59+AX$59+BM$59)</f>
        <v>112797.31177384198</v>
      </c>
      <c r="BM75" s="5">
        <f>BM45-$O$28*$O$49*BM45/(AI$59+AX$59+BM$59)</f>
        <v>75603.64600865035</v>
      </c>
      <c r="BN75" s="5"/>
      <c r="BO75" s="5"/>
      <c r="BP75" s="5"/>
      <c r="BQ75" s="5"/>
      <c r="BR75" s="5">
        <f t="shared" si="42"/>
        <v>4936.849268785175</v>
      </c>
      <c r="BS75" s="5"/>
      <c r="BT75" s="6"/>
    </row>
    <row r="76" spans="32:72" ht="12.75" customHeight="1">
      <c r="AF76" s="4"/>
      <c r="AG76" s="17" t="s">
        <v>26</v>
      </c>
      <c r="AH76" s="5">
        <f>AH46+$O$28*$O$49*AI46/(AI$59+AX$59+BM$59)</f>
        <v>46438467.216366716</v>
      </c>
      <c r="AI76" s="5">
        <f>AI46-$O$28*$O$49*AI46/(AI$59+AX$59+BM$59)</f>
        <v>54299158.63828481</v>
      </c>
      <c r="AJ76" s="5"/>
      <c r="AK76" s="5"/>
      <c r="AL76" s="5"/>
      <c r="AM76" s="5"/>
      <c r="AN76" s="5">
        <f t="shared" si="40"/>
        <v>1607407.470943046</v>
      </c>
      <c r="AO76" s="5"/>
      <c r="AP76" s="6"/>
      <c r="AU76" s="4"/>
      <c r="AV76" s="17" t="s">
        <v>26</v>
      </c>
      <c r="AW76" s="5">
        <f>AW46+$O$28*$O$49*AX46/(AI$59+AX$59+BM$59)</f>
        <v>8081477.013907849</v>
      </c>
      <c r="AX76" s="5">
        <f>AX46-$O$28*$O$49*AX46/(AI$59+AX$59+BM$59)</f>
        <v>9449437.690638898</v>
      </c>
      <c r="AY76" s="5"/>
      <c r="AZ76" s="5"/>
      <c r="BA76" s="5"/>
      <c r="BB76" s="5"/>
      <c r="BC76" s="5">
        <f t="shared" si="41"/>
        <v>279729.87282043014</v>
      </c>
      <c r="BD76" s="5"/>
      <c r="BE76" s="6"/>
      <c r="BJ76" s="4"/>
      <c r="BK76" s="17" t="s">
        <v>26</v>
      </c>
      <c r="BL76" s="5">
        <f>BL46+$O$28*$O$49*BM46/(AI$59+AX$59+BM$59)</f>
        <v>426877.9692697255</v>
      </c>
      <c r="BM76" s="5">
        <f>BM46-$O$28*$O$49*BM46/(AI$59+AX$59+BM$59)</f>
        <v>499136.0818299463</v>
      </c>
      <c r="BN76" s="5"/>
      <c r="BO76" s="5"/>
      <c r="BP76" s="5"/>
      <c r="BQ76" s="5"/>
      <c r="BR76" s="5">
        <f t="shared" si="42"/>
        <v>14775.828706579729</v>
      </c>
      <c r="BS76" s="5"/>
      <c r="BT76" s="6"/>
    </row>
    <row r="77" spans="32:72" ht="12.75" customHeight="1">
      <c r="AF77" s="4" t="s">
        <v>27</v>
      </c>
      <c r="AG77" s="17" t="s">
        <v>23</v>
      </c>
      <c r="AH77" s="5">
        <f>AH47+$O$28*$O$49*AI47/(AI$59+AX$59+BM$59)</f>
        <v>3483248.2642153506</v>
      </c>
      <c r="AI77" s="5">
        <f>AI47+$O$28*($O$47+$O$48)*AJ47/(AJ$59+AY$59+BN$59)-$O$28*$O$49*AI47/(AI$59+AX$59+BM$59)</f>
        <v>8663315.910301244</v>
      </c>
      <c r="AJ77" s="5">
        <f>AJ47-$O$28*($O$47+$O$48)*AJ47/(AJ$59+AY$59+BN$59)</f>
        <v>30429768.635176465</v>
      </c>
      <c r="AK77" s="5"/>
      <c r="AL77" s="5"/>
      <c r="AM77" s="5"/>
      <c r="AN77" s="5">
        <f t="shared" si="40"/>
        <v>8035288.758967944</v>
      </c>
      <c r="AO77" s="5">
        <f aca="true" t="shared" si="43" ref="AO77:AO88">AO47</f>
        <v>6916048.295132509</v>
      </c>
      <c r="AP77" s="6"/>
      <c r="AU77" s="4" t="s">
        <v>27</v>
      </c>
      <c r="AV77" s="17" t="s">
        <v>23</v>
      </c>
      <c r="AW77" s="5">
        <f>AW47+$O$28*$O$49*AX47/(AI$59+AX$59+BM$59)</f>
        <v>551976.5938794534</v>
      </c>
      <c r="AX77" s="5">
        <f>AX47+$O$28*($O$47+$O$48)*AY47/(AJ$59+AY$59+BN$59)-$O$28*$O$49*AX47/(AI$59+AX$59+BM$59)</f>
        <v>1346196.1640392232</v>
      </c>
      <c r="AY77" s="5">
        <f>AY47-$O$28*($O$47+$O$48)*AY47/(AJ$59+AY$59+BN$59)</f>
        <v>4521040.834851699</v>
      </c>
      <c r="AZ77" s="5"/>
      <c r="BA77" s="5"/>
      <c r="BB77" s="5"/>
      <c r="BC77" s="5">
        <f t="shared" si="41"/>
        <v>1193826.645041405</v>
      </c>
      <c r="BD77" s="5">
        <f aca="true" t="shared" si="44" ref="BD77:BD88">BD47</f>
        <v>1027537.7750311053</v>
      </c>
      <c r="BE77" s="6"/>
      <c r="BJ77" s="4" t="s">
        <v>27</v>
      </c>
      <c r="BK77" s="17" t="s">
        <v>23</v>
      </c>
      <c r="BL77" s="5">
        <f>BL47+$O$28*$O$49*BM47/(AI$59+AX$59+BM$59)</f>
        <v>66318.91619884319</v>
      </c>
      <c r="BM77" s="5">
        <f>BM47+$O$28*($O$47+$O$48)*BN47/(AJ$59+AY$59+BN$59)-$O$28*$O$49*BM47/(AI$59+AX$59+BM$59)</f>
        <v>203694.6646903188</v>
      </c>
      <c r="BN77" s="5">
        <f>BN47-$O$28*($O$47+$O$48)*BN47/(AJ$59+AY$59+BN$59)</f>
        <v>1017175.1569348432</v>
      </c>
      <c r="BO77" s="5"/>
      <c r="BP77" s="5"/>
      <c r="BQ77" s="5"/>
      <c r="BR77" s="5">
        <f t="shared" si="42"/>
        <v>268595.40742520674</v>
      </c>
      <c r="BS77" s="5">
        <f aca="true" t="shared" si="45" ref="BS77:BS88">BS47</f>
        <v>231182.5828947703</v>
      </c>
      <c r="BT77" s="6"/>
    </row>
    <row r="78" spans="32:72" ht="12.75" customHeight="1">
      <c r="AF78" s="4"/>
      <c r="AG78" s="17" t="s">
        <v>24</v>
      </c>
      <c r="AH78" s="5">
        <f>AH48+$O$28*$O$49*AI48/(AI$59+AX$59+BM$59)</f>
        <v>13614615.721395371</v>
      </c>
      <c r="AI78" s="5">
        <f>AI48+$O$28*($O$47+$O$48)*AJ48/(AJ$59+AY$59+BN$59)-$O$28*$O$49*AI48/(AI$59+AX$59+BM$59)</f>
        <v>25140966.21017684</v>
      </c>
      <c r="AJ78" s="5">
        <f>AJ48-$O$28*($O$47+$O$48)*AJ48/(AJ$59+AY$59+BN$59)</f>
        <v>64182918.37287715</v>
      </c>
      <c r="AK78" s="5"/>
      <c r="AL78" s="5"/>
      <c r="AM78" s="5"/>
      <c r="AN78" s="5">
        <f t="shared" si="40"/>
        <v>10557797.161181377</v>
      </c>
      <c r="AO78" s="5">
        <f t="shared" si="43"/>
        <v>11860065.077248504</v>
      </c>
      <c r="AP78" s="6"/>
      <c r="AU78" s="4"/>
      <c r="AV78" s="17" t="s">
        <v>24</v>
      </c>
      <c r="AW78" s="5">
        <f>AW48+$O$28*$O$49*AX48/(AI$59+AX$59+BM$59)</f>
        <v>2157454.376731404</v>
      </c>
      <c r="AX78" s="5">
        <f>AX48+$O$28*($O$47+$O$48)*AY48/(AJ$59+AY$59+BN$59)-$O$28*$O$49*AX48/(AI$59+AX$59+BM$59)</f>
        <v>3927788.972900966</v>
      </c>
      <c r="AY78" s="5">
        <f>AY48-$O$28*($O$47+$O$48)*AY48/(AJ$59+AY$59+BN$59)</f>
        <v>9535846.241311656</v>
      </c>
      <c r="AZ78" s="5"/>
      <c r="BA78" s="5"/>
      <c r="BB78" s="5"/>
      <c r="BC78" s="5">
        <f t="shared" si="41"/>
        <v>1568603.1880178156</v>
      </c>
      <c r="BD78" s="5">
        <f t="shared" si="44"/>
        <v>1762084.9885876267</v>
      </c>
      <c r="BE78" s="6"/>
      <c r="BJ78" s="4"/>
      <c r="BK78" s="17" t="s">
        <v>24</v>
      </c>
      <c r="BL78" s="5">
        <f>BL48+$O$28*$O$49*BM48/(AI$59+AX$59+BM$59)</f>
        <v>259213.95508398095</v>
      </c>
      <c r="BM78" s="5">
        <f>BM48+$O$28*($O$47+$O$48)*BN48/(AJ$59+AY$59+BN$59)-$O$28*$O$49*BM48/(AI$59+AX$59+BM$59)</f>
        <v>560401.5964073581</v>
      </c>
      <c r="BN78" s="5">
        <f>BN48-$O$28*($O$47+$O$48)*BN48/(AJ$59+AY$59+BN$59)</f>
        <v>2145440.895432853</v>
      </c>
      <c r="BO78" s="5"/>
      <c r="BP78" s="5"/>
      <c r="BQ78" s="5"/>
      <c r="BR78" s="5">
        <f t="shared" si="42"/>
        <v>352915.23616438545</v>
      </c>
      <c r="BS78" s="5">
        <f t="shared" si="45"/>
        <v>396446.1150145626</v>
      </c>
      <c r="BT78" s="6"/>
    </row>
    <row r="79" spans="32:72" ht="12.75" customHeight="1">
      <c r="AF79" s="4"/>
      <c r="AG79" s="17" t="s">
        <v>25</v>
      </c>
      <c r="AH79" s="5">
        <f>AH49+$O$28*$O$49*AI49/(AI$59+AX$59+BM$59)</f>
        <v>5910994.934822822</v>
      </c>
      <c r="AI79" s="5">
        <f>AI49+$O$28*($O$47+$O$48)*AJ49/(AJ$59+AY$59+BN$59)-$O$28*$O$49*AI49/(AI$59+AX$59+BM$59)</f>
        <v>22423191.248171564</v>
      </c>
      <c r="AJ79" s="5">
        <f>AJ49-$O$28*($O$47+$O$48)*AJ49/(AJ$59+AY$59+BN$59)</f>
        <v>75755727.20429374</v>
      </c>
      <c r="AK79" s="5"/>
      <c r="AL79" s="5"/>
      <c r="AM79" s="5"/>
      <c r="AN79" s="5">
        <f t="shared" si="40"/>
        <v>37369599.502455294</v>
      </c>
      <c r="AO79" s="5">
        <f t="shared" si="43"/>
        <v>28026092.10431266</v>
      </c>
      <c r="AP79" s="6"/>
      <c r="AU79" s="4"/>
      <c r="AV79" s="17" t="s">
        <v>25</v>
      </c>
      <c r="AW79" s="5">
        <f>AW49+$O$28*$O$49*AX49/(AI$59+AX$59+BM$59)</f>
        <v>976595.9389967734</v>
      </c>
      <c r="AX79" s="5">
        <f>AX49+$O$28*($O$47+$O$48)*AY49/(AJ$59+AY$59+BN$59)-$O$28*$O$49*AX49/(AI$59+AX$59+BM$59)</f>
        <v>3704688.9320281125</v>
      </c>
      <c r="AY79" s="5">
        <f>AY49-$O$28*($O$47+$O$48)*AY49/(AJ$59+AY$59+BN$59)</f>
        <v>12516122.304151194</v>
      </c>
      <c r="AZ79" s="5"/>
      <c r="BA79" s="5"/>
      <c r="BB79" s="5"/>
      <c r="BC79" s="5">
        <f t="shared" si="41"/>
        <v>6174087.360663183</v>
      </c>
      <c r="BD79" s="5">
        <f t="shared" si="44"/>
        <v>4630382.539118464</v>
      </c>
      <c r="BE79" s="6"/>
      <c r="BJ79" s="4"/>
      <c r="BK79" s="17" t="s">
        <v>25</v>
      </c>
      <c r="BL79" s="5">
        <f>BL49+$O$28*$O$49*BM49/(AI$59+AX$59+BM$59)</f>
        <v>68303.2263018078</v>
      </c>
      <c r="BM79" s="5">
        <f>BM49+$O$28*($O$47+$O$48)*BN49/(AJ$59+AY$59+BN$59)-$O$28*$O$49*BM49/(AI$59+AX$59+BM$59)</f>
        <v>259106.34725970819</v>
      </c>
      <c r="BN79" s="5">
        <f>BN49-$O$28*($O$47+$O$48)*BN49/(AJ$59+AY$59+BN$59)</f>
        <v>875378.956664254</v>
      </c>
      <c r="BO79" s="5"/>
      <c r="BP79" s="5"/>
      <c r="BQ79" s="5"/>
      <c r="BR79" s="5">
        <f t="shared" si="42"/>
        <v>431816.34221796796</v>
      </c>
      <c r="BS79" s="5">
        <f t="shared" si="45"/>
        <v>323849.45892591175</v>
      </c>
      <c r="BT79" s="6"/>
    </row>
    <row r="80" spans="32:72" ht="12.75" customHeight="1">
      <c r="AF80" s="4"/>
      <c r="AG80" s="17" t="s">
        <v>26</v>
      </c>
      <c r="AH80" s="5">
        <f>AH50+$O$28*$O$49*AI50/(AI$59+AX$59+BM$59)</f>
        <v>34337550.81805677</v>
      </c>
      <c r="AI80" s="5">
        <f>AI50+$O$28*($O$47+$O$48)*AJ50/(AJ$59+AY$59+BN$59)-$O$28*$O$49*AI50/(AI$59+AX$59+BM$59)</f>
        <v>124433426.10398187</v>
      </c>
      <c r="AJ80" s="5">
        <f>AJ50-$O$28*($O$47+$O$48)*AJ50/(AJ$59+AY$59+BN$59)</f>
        <v>331512411.76952577</v>
      </c>
      <c r="AK80" s="5"/>
      <c r="AL80" s="5"/>
      <c r="AM80" s="5"/>
      <c r="AN80" s="5">
        <f t="shared" si="40"/>
        <v>138575876.3621789</v>
      </c>
      <c r="AO80" s="5">
        <f t="shared" si="43"/>
        <v>102725279.49459037</v>
      </c>
      <c r="AP80" s="6"/>
      <c r="AU80" s="4"/>
      <c r="AV80" s="17" t="s">
        <v>26</v>
      </c>
      <c r="AW80" s="5">
        <f>AW50+$O$28*$O$49*AX50/(AI$59+AX$59+BM$59)</f>
        <v>5673141.840547819</v>
      </c>
      <c r="AX80" s="5">
        <f>AX50+$O$28*($O$47+$O$48)*AY50/(AJ$59+AY$59+BN$59)-$O$28*$O$49*AX50/(AI$59+AX$59+BM$59)</f>
        <v>20558498.179840907</v>
      </c>
      <c r="AY80" s="5">
        <f>AY50-$O$28*($O$47+$O$48)*AY50/(AJ$59+AY$59+BN$59)</f>
        <v>54771435.034371145</v>
      </c>
      <c r="AZ80" s="5"/>
      <c r="BA80" s="5"/>
      <c r="BB80" s="5"/>
      <c r="BC80" s="5">
        <f t="shared" si="41"/>
        <v>22895069.20416256</v>
      </c>
      <c r="BD80" s="5">
        <f t="shared" si="44"/>
        <v>16971946.667677622</v>
      </c>
      <c r="BE80" s="6"/>
      <c r="BJ80" s="4"/>
      <c r="BK80" s="17" t="s">
        <v>26</v>
      </c>
      <c r="BL80" s="5">
        <f>BL50+$O$28*$O$49*BM50/(AI$59+AX$59+BM$59)</f>
        <v>396780.1579998913</v>
      </c>
      <c r="BM80" s="5">
        <f>BM50+$O$28*($O$47+$O$48)*BN50/(AJ$59+AY$59+BN$59)-$O$28*$O$49*BM50/(AI$59+AX$59+BM$59)</f>
        <v>1437863.6010359412</v>
      </c>
      <c r="BN80" s="5">
        <f>BN50-$O$28*($O$47+$O$48)*BN50/(AJ$59+AY$59+BN$59)</f>
        <v>3830720.129627506</v>
      </c>
      <c r="BO80" s="5"/>
      <c r="BP80" s="5"/>
      <c r="BQ80" s="5"/>
      <c r="BR80" s="5">
        <f t="shared" si="42"/>
        <v>1601283.6328747345</v>
      </c>
      <c r="BS80" s="5">
        <f t="shared" si="45"/>
        <v>1187019.7977839708</v>
      </c>
      <c r="BT80" s="6"/>
    </row>
    <row r="81" spans="32:72" ht="12.75" customHeight="1">
      <c r="AF81" s="4" t="s">
        <v>28</v>
      </c>
      <c r="AG81" s="17" t="s">
        <v>23</v>
      </c>
      <c r="AH81" s="5">
        <f>AH51+$O$28*$O$49*AI51/(AI$59+AX$59+BM$59)</f>
        <v>266728.2424722309</v>
      </c>
      <c r="AI81" s="5">
        <f>AI51+$O$28*($O$47+$O$48)*AJ51/(AJ$59+AY$59+BN$59)-$O$28*$O$49*AI51/(AI$59+AX$59+BM$59)</f>
        <v>1277122.054180278</v>
      </c>
      <c r="AJ81" s="5">
        <f>AJ51+$O$28*$O$45*AK51/(AK$59+AZ$59+BO$59)-$O$28*($O$47+$O$48)*AJ51/(AJ$59+AY$59+BN$59)</f>
        <v>16482409.004535353</v>
      </c>
      <c r="AK81" s="5">
        <f>AK51-$O$28*$O$45*AK51/(AK$59+AZ$59+BO$59)</f>
        <v>15915794.637613812</v>
      </c>
      <c r="AL81" s="5"/>
      <c r="AM81" s="5"/>
      <c r="AN81" s="5">
        <f t="shared" si="40"/>
        <v>9156425.346072562</v>
      </c>
      <c r="AO81" s="5">
        <f t="shared" si="43"/>
        <v>29655104.471254654</v>
      </c>
      <c r="AP81" s="6">
        <f aca="true" t="shared" si="46" ref="AP81:AP88">AP51</f>
        <v>595807.4088978707</v>
      </c>
      <c r="AU81" s="4" t="s">
        <v>28</v>
      </c>
      <c r="AV81" s="17" t="s">
        <v>23</v>
      </c>
      <c r="AW81" s="5">
        <f>AW51+$O$28*$O$49*AX51/(AI$59+AX$59+BM$59)</f>
        <v>42267.371029449154</v>
      </c>
      <c r="AX81" s="5">
        <f>AX51+$O$28*($O$47+$O$48)*AY51/(AJ$59+AY$59+BN$59)-$O$28*$O$49*AX51/(AI$59+AX$59+BM$59)</f>
        <v>197928.05863199008</v>
      </c>
      <c r="AY81" s="5">
        <f>AY51+$O$28*$O$45*AZ51/(AK$59+AZ$59+BO$59)-$O$28*($O$47+$O$48)*AY51/(AJ$59+AY$59+BN$59)</f>
        <v>3520198.7099211784</v>
      </c>
      <c r="AZ81" s="5">
        <f>AZ51-$O$28*$O$45*AZ51/(AK$59+AZ$59+BO$59)</f>
        <v>3860719.9367847433</v>
      </c>
      <c r="BA81" s="5"/>
      <c r="BB81" s="5"/>
      <c r="BC81" s="5">
        <f t="shared" si="41"/>
        <v>2221088.842131694</v>
      </c>
      <c r="BD81" s="5">
        <f t="shared" si="44"/>
        <v>7193486.44955702</v>
      </c>
      <c r="BE81" s="6">
        <f aca="true" t="shared" si="47" ref="BE81:BE88">BE51</f>
        <v>144525.96269242486</v>
      </c>
      <c r="BJ81" s="4" t="s">
        <v>28</v>
      </c>
      <c r="BK81" s="17" t="s">
        <v>23</v>
      </c>
      <c r="BL81" s="5">
        <f>BL51+$O$28*$O$49*BM51/(AI$59+AX$59+BM$59)</f>
        <v>5078.3425752643925</v>
      </c>
      <c r="BM81" s="5">
        <f>BM51+$O$28*($O$47+$O$48)*BN51/(AJ$59+AY$59+BN$59)-$O$28*$O$49*BM51/(AI$59+AX$59+BM$59)</f>
        <v>30790.8208497966</v>
      </c>
      <c r="BN81" s="5">
        <f>BN51+$O$28*$O$45*BO51/(AK$59+AZ$59+BO$59)-$O$28*($O$47+$O$48)*BN51/(AJ$59+AY$59+BN$59)</f>
        <v>322726.6749531235</v>
      </c>
      <c r="BO81" s="5">
        <f>BO51-$O$28*$O$45*BO51/(AK$59+AZ$59+BO$59)</f>
        <v>213312.02547283258</v>
      </c>
      <c r="BP81" s="5"/>
      <c r="BQ81" s="5"/>
      <c r="BR81" s="5">
        <f t="shared" si="42"/>
        <v>122719.3288889</v>
      </c>
      <c r="BS81" s="5">
        <f t="shared" si="45"/>
        <v>397453.6329729989</v>
      </c>
      <c r="BT81" s="6">
        <f aca="true" t="shared" si="48" ref="BT81:BT88">BT51</f>
        <v>7985.330803613553</v>
      </c>
    </row>
    <row r="82" spans="29:72" ht="12.75" customHeight="1">
      <c r="AC82" s="74"/>
      <c r="AF82" s="4"/>
      <c r="AG82" s="17" t="s">
        <v>24</v>
      </c>
      <c r="AH82" s="5">
        <f>AH52+$O$28*$O$49*AI52/(AI$59+AX$59+BM$59)</f>
        <v>2343326.409676749</v>
      </c>
      <c r="AI82" s="5">
        <f>AI52+$O$28*($O$47+$O$48)*AJ52/(AJ$59+AY$59+BN$59)-$O$28*$O$49*AI52/(AI$59+AX$59+BM$59)</f>
        <v>4669690.966304685</v>
      </c>
      <c r="AJ82" s="5">
        <f>AJ52+$O$28*$O$45*AK52/(AK$59+AZ$59+BO$59)-$O$28*($O$47+$O$48)*AJ52/(AJ$59+AY$59+BN$59)</f>
        <v>21006879.72585021</v>
      </c>
      <c r="AK82" s="5">
        <f>AK52-$O$28*$O$45*AK52/(AK$59+AZ$59+BO$59)</f>
        <v>17551036.32816831</v>
      </c>
      <c r="AL82" s="5"/>
      <c r="AM82" s="5"/>
      <c r="AN82" s="5">
        <f t="shared" si="40"/>
        <v>14340538.028267719</v>
      </c>
      <c r="AO82" s="5">
        <f t="shared" si="43"/>
        <v>63382064.75292697</v>
      </c>
      <c r="AP82" s="6">
        <f t="shared" si="46"/>
        <v>1655655.3926554606</v>
      </c>
      <c r="AU82" s="4"/>
      <c r="AV82" s="17" t="s">
        <v>24</v>
      </c>
      <c r="AW82" s="5">
        <f>AW52+$O$28*$O$49*AX52/(AI$59+AX$59+BM$59)</f>
        <v>371337.68019045005</v>
      </c>
      <c r="AX82" s="5">
        <f>AX52+$O$28*($O$47+$O$48)*AY52/(AJ$59+AY$59+BN$59)-$O$28*$O$49*AX52/(AI$59+AX$59+BM$59)</f>
        <v>732598.6697781663</v>
      </c>
      <c r="AY82" s="5">
        <f>AY52+$O$28*$O$45*AZ52/(AK$59+AZ$59+BO$59)-$O$28*($O$47+$O$48)*AY52/(AJ$59+AY$59+BN$59)</f>
        <v>4302487.648755527</v>
      </c>
      <c r="AZ82" s="5">
        <f>AZ52-$O$28*$O$45*AZ52/(AK$59+AZ$59+BO$59)</f>
        <v>4257383.147132113</v>
      </c>
      <c r="BA82" s="5"/>
      <c r="BB82" s="5"/>
      <c r="BC82" s="5">
        <f t="shared" si="41"/>
        <v>3478607.404188873</v>
      </c>
      <c r="BD82" s="5">
        <f t="shared" si="44"/>
        <v>15374689.520553753</v>
      </c>
      <c r="BE82" s="6">
        <f t="shared" si="47"/>
        <v>401614.99494117865</v>
      </c>
      <c r="BJ82" s="4"/>
      <c r="BK82" s="17" t="s">
        <v>24</v>
      </c>
      <c r="BL82" s="5">
        <f>BL52+$O$28*$O$49*BM52/(AI$59+AX$59+BM$59)</f>
        <v>44615.50139461445</v>
      </c>
      <c r="BM82" s="5">
        <f>BM52+$O$28*($O$47+$O$48)*BN52/(AJ$59+AY$59+BN$59)-$O$28*$O$49*BM52/(AI$59+AX$59+BM$59)</f>
        <v>99653.66133939949</v>
      </c>
      <c r="BN82" s="5">
        <f>BN52+$O$28*$O$45*BO52/(AK$59+AZ$59+BO$59)-$O$28*($O$47+$O$48)*BN52/(AJ$59+AY$59+BN$59)</f>
        <v>450516.898045255</v>
      </c>
      <c r="BO82" s="5">
        <f>BO52-$O$28*$O$45*BO52/(AK$59+AZ$59+BO$59)</f>
        <v>235228.41262735394</v>
      </c>
      <c r="BP82" s="5"/>
      <c r="BQ82" s="5"/>
      <c r="BR82" s="5">
        <f t="shared" si="42"/>
        <v>192199.590584727</v>
      </c>
      <c r="BS82" s="5">
        <f t="shared" si="45"/>
        <v>849480.4638371548</v>
      </c>
      <c r="BT82" s="6">
        <f t="shared" si="48"/>
        <v>22189.982550899746</v>
      </c>
    </row>
    <row r="83" spans="29:72" ht="12.75" customHeight="1">
      <c r="AC83" s="74"/>
      <c r="AF83" s="4"/>
      <c r="AG83" s="17" t="s">
        <v>25</v>
      </c>
      <c r="AH83" s="5">
        <f>AH53+$O$28*$O$49*AI53/(AI$59+AX$59+BM$59)</f>
        <v>1116888.7547599934</v>
      </c>
      <c r="AI83" s="5">
        <f>AI53+$O$28*($O$47+$O$48)*AJ53/(AJ$59+AY$59+BN$59)-$O$28*$O$49*AI53/(AI$59+AX$59+BM$59)</f>
        <v>6345608.183530546</v>
      </c>
      <c r="AJ83" s="5">
        <f>AJ53+$O$28*$O$45*AK53/(AK$59+AZ$59+BO$59)-$O$28*($O$47+$O$48)*AJ53/(AJ$59+AY$59+BN$59)</f>
        <v>59917363.89646711</v>
      </c>
      <c r="AK83" s="5">
        <f>AK53-$O$28*$O$45*AK53/(AK$59+AZ$59+BO$59)</f>
        <v>14095178.17896769</v>
      </c>
      <c r="AL83" s="5"/>
      <c r="AM83" s="5"/>
      <c r="AN83" s="5">
        <f t="shared" si="40"/>
        <v>61499848.94058719</v>
      </c>
      <c r="AO83" s="5">
        <f t="shared" si="43"/>
        <v>201276996.41789225</v>
      </c>
      <c r="AP83" s="6">
        <f t="shared" si="46"/>
        <v>2236847.4743317617</v>
      </c>
      <c r="AU83" s="4"/>
      <c r="AV83" s="17" t="s">
        <v>25</v>
      </c>
      <c r="AW83" s="5">
        <f>AW53+$O$28*$O$49*AX53/(AI$59+AX$59+BM$59)</f>
        <v>226150.38170431077</v>
      </c>
      <c r="AX83" s="5">
        <f>AX53+$O$28*($O$47+$O$48)*AY53/(AJ$59+AY$59+BN$59)-$O$28*$O$49*AX53/(AI$59+AX$59+BM$59)</f>
        <v>1284874.3500509227</v>
      </c>
      <c r="AY83" s="5">
        <f>AY53+$O$28*$O$45*AZ53/(AK$59+AZ$59+BO$59)-$O$28*($O$47+$O$48)*AY53/(AJ$59+AY$59+BN$59)</f>
        <v>12132215.189877113</v>
      </c>
      <c r="AZ83" s="5">
        <f>AZ53-$O$28*$O$45*AZ53/(AK$59+AZ$59+BO$59)</f>
        <v>2854026.340384097</v>
      </c>
      <c r="BA83" s="5"/>
      <c r="BB83" s="5"/>
      <c r="BC83" s="5">
        <f t="shared" si="41"/>
        <v>12452640.653240312</v>
      </c>
      <c r="BD83" s="5">
        <f t="shared" si="44"/>
        <v>40755061.21286448</v>
      </c>
      <c r="BE83" s="6">
        <f t="shared" si="47"/>
        <v>452922.3774333332</v>
      </c>
      <c r="BJ83" s="4"/>
      <c r="BK83" s="17" t="s">
        <v>25</v>
      </c>
      <c r="BL83" s="5">
        <f>BL53+$O$28*$O$49*BM53/(AI$59+AX$59+BM$59)</f>
        <v>9152.729570977875</v>
      </c>
      <c r="BM83" s="5">
        <f>BM53+$O$28*($O$47+$O$48)*BN53/(AJ$59+AY$59+BN$59)-$O$28*$O$49*BM53/(AI$59+AX$59+BM$59)</f>
        <v>52001.27176472457</v>
      </c>
      <c r="BN83" s="5">
        <f>BN53+$O$28*$O$45*BO53/(AK$59+AZ$59+BO$59)-$O$28*($O$47+$O$48)*BN53/(AJ$59+AY$59+BN$59)</f>
        <v>491013.4747198553</v>
      </c>
      <c r="BO83" s="5">
        <f>BO53-$O$28*$O$45*BO53/(AK$59+AZ$59+BO$59)</f>
        <v>115507.7921386739</v>
      </c>
      <c r="BP83" s="5"/>
      <c r="BQ83" s="5"/>
      <c r="BR83" s="5">
        <f t="shared" si="42"/>
        <v>503981.69344103005</v>
      </c>
      <c r="BS83" s="5">
        <f t="shared" si="45"/>
        <v>1649433.6693966673</v>
      </c>
      <c r="BT83" s="6">
        <f t="shared" si="48"/>
        <v>18330.61702593913</v>
      </c>
    </row>
    <row r="84" spans="29:72" ht="12.75" customHeight="1">
      <c r="AC84" s="74"/>
      <c r="AF84" s="4"/>
      <c r="AG84" s="17" t="s">
        <v>26</v>
      </c>
      <c r="AH84" s="5">
        <f>AH54+$O$28*$O$49*AI54/(AI$59+AX$59+BM$59)</f>
        <v>6658194.755865671</v>
      </c>
      <c r="AI84" s="5">
        <f>AI54+$O$28*($O$47+$O$48)*AJ54/(AJ$59+AY$59+BN$59)-$O$28*$O$49*AI54/(AI$59+AX$59+BM$59)</f>
        <v>32500097.179061234</v>
      </c>
      <c r="AJ84" s="5">
        <f>AJ54+$O$28*$O$45*AK54/(AK$59+AZ$59+BO$59)-$O$28*($O$47+$O$48)*AJ54/(AJ$59+AY$59+BN$59)</f>
        <v>242661879.4176184</v>
      </c>
      <c r="AK84" s="5">
        <f>AK54-$O$28*$O$45*AK54/(AK$59+AZ$59+BO$59)</f>
        <v>73963853.85561705</v>
      </c>
      <c r="AL84" s="5"/>
      <c r="AM84" s="5"/>
      <c r="AN84" s="5">
        <f t="shared" si="40"/>
        <v>299832960.5296463</v>
      </c>
      <c r="AO84" s="5">
        <f t="shared" si="43"/>
        <v>1066034498.181188</v>
      </c>
      <c r="AP84" s="6">
        <f t="shared" si="46"/>
        <v>7971075.093062583</v>
      </c>
      <c r="AU84" s="4"/>
      <c r="AV84" s="17" t="s">
        <v>26</v>
      </c>
      <c r="AW84" s="5">
        <f>AW54+$O$28*$O$49*AX54/(AI$59+AX$59+BM$59)</f>
        <v>1348167.6479267897</v>
      </c>
      <c r="AX84" s="5">
        <f>AX54+$O$28*($O$47+$O$48)*AY54/(AJ$59+AY$59+BN$59)-$O$28*$O$49*AX54/(AI$59+AX$59+BM$59)</f>
        <v>6580699.600696851</v>
      </c>
      <c r="AY84" s="5">
        <f>AY54+$O$28*$O$45*AZ54/(AK$59+AZ$59+BO$59)-$O$28*($O$47+$O$48)*AY54/(AJ$59+AY$59+BN$59)</f>
        <v>49134774.095896855</v>
      </c>
      <c r="AZ84" s="5">
        <f>AZ54-$O$28*$O$45*AZ54/(AK$59+AZ$59+BO$59)</f>
        <v>14976383.019778978</v>
      </c>
      <c r="BA84" s="5"/>
      <c r="BB84" s="5"/>
      <c r="BC84" s="5">
        <f t="shared" si="41"/>
        <v>60710915.19395238</v>
      </c>
      <c r="BD84" s="5">
        <f t="shared" si="44"/>
        <v>215853286.7720073</v>
      </c>
      <c r="BE84" s="6">
        <f t="shared" si="47"/>
        <v>1614002.8872232658</v>
      </c>
      <c r="BJ84" s="4"/>
      <c r="BK84" s="17" t="s">
        <v>26</v>
      </c>
      <c r="BL84" s="5">
        <f>BL54+$O$28*$O$49*BM54/(AI$59+AX$59+BM$59)</f>
        <v>54562.87009034931</v>
      </c>
      <c r="BM84" s="5">
        <f>BM54+$O$28*($O$47+$O$48)*BN54/(AJ$59+AY$59+BN$59)-$O$28*$O$49*BM54/(AI$59+AX$59+BM$59)</f>
        <v>266333.23976331926</v>
      </c>
      <c r="BN84" s="5">
        <f>BN54+$O$28*$O$45*BO54/(AK$59+AZ$59+BO$59)-$O$28*($O$47+$O$48)*BN54/(AJ$59+AY$59+BN$59)</f>
        <v>1988576.3465959278</v>
      </c>
      <c r="BO84" s="5">
        <f>BO54-$O$28*$O$45*BO54/(AK$59+AZ$59+BO$59)</f>
        <v>606122.2744724164</v>
      </c>
      <c r="BP84" s="5"/>
      <c r="BQ84" s="5"/>
      <c r="BR84" s="5">
        <f t="shared" si="42"/>
        <v>2457084.46118544</v>
      </c>
      <c r="BS84" s="5">
        <f t="shared" si="45"/>
        <v>8735986.850617196</v>
      </c>
      <c r="BT84" s="6">
        <f t="shared" si="48"/>
        <v>65321.7201854958</v>
      </c>
    </row>
    <row r="85" spans="29:72" ht="12.75" customHeight="1">
      <c r="AC85" s="74"/>
      <c r="AF85" s="4" t="s">
        <v>4</v>
      </c>
      <c r="AG85" s="17" t="s">
        <v>29</v>
      </c>
      <c r="AH85" s="17"/>
      <c r="AI85" s="5"/>
      <c r="AJ85" s="5">
        <f>AJ55</f>
        <v>10602199.816519426</v>
      </c>
      <c r="AK85" s="5"/>
      <c r="AL85" s="5">
        <f>AL55</f>
        <v>16193925.113865068</v>
      </c>
      <c r="AM85" s="5">
        <f>AM55</f>
        <v>6615857.820829445</v>
      </c>
      <c r="AN85" s="5">
        <f t="shared" si="40"/>
        <v>15515068.589559715</v>
      </c>
      <c r="AO85" s="5">
        <f t="shared" si="43"/>
        <v>247586724.01890194</v>
      </c>
      <c r="AP85" s="6">
        <f t="shared" si="46"/>
        <v>55924622.008398846</v>
      </c>
      <c r="AU85" s="4" t="s">
        <v>4</v>
      </c>
      <c r="AV85" s="17" t="s">
        <v>29</v>
      </c>
      <c r="AW85" s="17"/>
      <c r="AX85" s="5"/>
      <c r="AY85" s="5">
        <f>AY55</f>
        <v>3860055.1806592476</v>
      </c>
      <c r="AZ85" s="5"/>
      <c r="BA85" s="5">
        <f>BA55</f>
        <v>5895893.834559311</v>
      </c>
      <c r="BB85" s="5">
        <f>BB55</f>
        <v>2408705.4288495174</v>
      </c>
      <c r="BC85" s="5">
        <f t="shared" si="41"/>
        <v>5648735.349629959</v>
      </c>
      <c r="BD85" s="5">
        <f t="shared" si="44"/>
        <v>90141520.93441285</v>
      </c>
      <c r="BE85" s="6">
        <f t="shared" si="47"/>
        <v>20361069.461601447</v>
      </c>
      <c r="BJ85" s="4" t="s">
        <v>4</v>
      </c>
      <c r="BK85" s="17" t="s">
        <v>29</v>
      </c>
      <c r="BL85" s="17"/>
      <c r="BM85" s="5"/>
      <c r="BN85" s="5">
        <f>BN55</f>
        <v>80305.97743363782</v>
      </c>
      <c r="BO85" s="5"/>
      <c r="BP85" s="5">
        <f>BP55</f>
        <v>122660.29760444534</v>
      </c>
      <c r="BQ85" s="5">
        <f>BQ55</f>
        <v>50111.574772989195</v>
      </c>
      <c r="BR85" s="5">
        <f t="shared" si="42"/>
        <v>117518.32351746381</v>
      </c>
      <c r="BS85" s="5">
        <f t="shared" si="45"/>
        <v>1875336.6486218045</v>
      </c>
      <c r="BT85" s="6">
        <f t="shared" si="48"/>
        <v>423599.01819560025</v>
      </c>
    </row>
    <row r="86" spans="29:72" ht="12.75" customHeight="1">
      <c r="AC86" s="74"/>
      <c r="AF86" s="4"/>
      <c r="AG86" s="17" t="s">
        <v>30</v>
      </c>
      <c r="AH86" s="17"/>
      <c r="AI86" s="5"/>
      <c r="AJ86" s="5">
        <f>AJ56</f>
        <v>37635679.11009621</v>
      </c>
      <c r="AK86" s="5"/>
      <c r="AL86" s="5">
        <f>AL56</f>
        <v>57485180.40272469</v>
      </c>
      <c r="AM86" s="5">
        <f>AM56</f>
        <v>23484965.977984983</v>
      </c>
      <c r="AN86" s="5">
        <f t="shared" si="40"/>
        <v>76353429.03865808</v>
      </c>
      <c r="AO86" s="5">
        <f t="shared" si="43"/>
        <v>1841797360.1277666</v>
      </c>
      <c r="AP86" s="6">
        <f t="shared" si="46"/>
        <v>483890620.76111954</v>
      </c>
      <c r="AU86" s="4"/>
      <c r="AV86" s="17" t="s">
        <v>30</v>
      </c>
      <c r="AW86" s="17"/>
      <c r="AX86" s="5"/>
      <c r="AY86" s="5">
        <f>AY56</f>
        <v>13702420.312829776</v>
      </c>
      <c r="AZ86" s="5"/>
      <c r="BA86" s="5">
        <f>BA56</f>
        <v>20929238.484916113</v>
      </c>
      <c r="BB86" s="5">
        <f>BB56</f>
        <v>8550420.30519733</v>
      </c>
      <c r="BC86" s="5">
        <f t="shared" si="41"/>
        <v>27798801.60931792</v>
      </c>
      <c r="BD86" s="5">
        <f t="shared" si="44"/>
        <v>670562672.3435642</v>
      </c>
      <c r="BE86" s="6">
        <f t="shared" si="47"/>
        <v>176175183.43986177</v>
      </c>
      <c r="BJ86" s="4"/>
      <c r="BK86" s="17" t="s">
        <v>30</v>
      </c>
      <c r="BL86" s="17"/>
      <c r="BM86" s="5"/>
      <c r="BN86" s="5">
        <f>BN56</f>
        <v>285070.0844749055</v>
      </c>
      <c r="BO86" s="5"/>
      <c r="BP86" s="5">
        <f>BP56</f>
        <v>435419.41107325006</v>
      </c>
      <c r="BQ86" s="5">
        <f>BQ56</f>
        <v>177886.02181589135</v>
      </c>
      <c r="BR86" s="5">
        <f t="shared" si="42"/>
        <v>578336.2750629883</v>
      </c>
      <c r="BS86" s="5">
        <f t="shared" si="45"/>
        <v>13950627.209392693</v>
      </c>
      <c r="BT86" s="6">
        <f t="shared" si="48"/>
        <v>3665211.931833643</v>
      </c>
    </row>
    <row r="87" spans="29:72" ht="12.75" customHeight="1">
      <c r="AC87" s="74"/>
      <c r="AF87" s="4" t="s">
        <v>7</v>
      </c>
      <c r="AG87" s="17" t="s">
        <v>29</v>
      </c>
      <c r="AH87" s="5">
        <f>AH57+$O$28*$O$49*AI57/(AI$59+AX$59+BM$59)</f>
        <v>1888348.1996405036</v>
      </c>
      <c r="AI87" s="5">
        <f>AI57+$O$28*($O$47+$O$48)*AJ57/(AJ$59+AY$59+BN$59)-$O$28*$O$49*AI57/(AI$59+AX$59+BM$59)</f>
        <v>515201.2175419047</v>
      </c>
      <c r="AJ87" s="5">
        <f>AJ57+$O$28*$O$45*AK57/(AK$59+AZ$59+BO$59)-$O$28*($O$47+$O$48)*AJ57/(AJ$59+AY$59+BN$59)</f>
        <v>1390639.8941981632</v>
      </c>
      <c r="AK87" s="5"/>
      <c r="AL87" s="5">
        <f>$O$28*AL53</f>
        <v>0</v>
      </c>
      <c r="AM87" s="5"/>
      <c r="AN87" s="5">
        <f t="shared" si="40"/>
        <v>259505.49971424066</v>
      </c>
      <c r="AO87" s="5">
        <f t="shared" si="43"/>
        <v>148209.7227584422</v>
      </c>
      <c r="AP87" s="6">
        <f t="shared" si="46"/>
        <v>1736.4753054082637</v>
      </c>
      <c r="AU87" s="4" t="s">
        <v>7</v>
      </c>
      <c r="AV87" s="17" t="s">
        <v>29</v>
      </c>
      <c r="AW87" s="5">
        <f>AW57+$O$28*$O$49*AX57/(AI$59+AX$59+BM$59)</f>
        <v>299239.080373377</v>
      </c>
      <c r="AX87" s="5">
        <f>AX57+$O$28*($O$47+$O$48)*AY57/(AJ$59+AY$59+BN$59)-$O$28*$O$49*AX57/(AI$59+AX$59+BM$59)</f>
        <v>81641.90194045444</v>
      </c>
      <c r="AY87" s="5">
        <f>AY57+$O$28*$O$45*AZ57/(AK$59+AZ$59+BO$59)-$O$28*($O$47+$O$48)*AY57/(AJ$59+AY$59+BN$59)</f>
        <v>220369.21111774328</v>
      </c>
      <c r="AZ87" s="5"/>
      <c r="BA87" s="5">
        <f>$O$28*BA53</f>
        <v>0</v>
      </c>
      <c r="BB87" s="5"/>
      <c r="BC87" s="5">
        <f t="shared" si="41"/>
        <v>41122.81151384396</v>
      </c>
      <c r="BD87" s="5">
        <f t="shared" si="44"/>
        <v>23486.209349034572</v>
      </c>
      <c r="BE87" s="6">
        <f t="shared" si="47"/>
        <v>275.17238271012263</v>
      </c>
      <c r="BJ87" s="4" t="s">
        <v>7</v>
      </c>
      <c r="BK87" s="17" t="s">
        <v>29</v>
      </c>
      <c r="BL87" s="5">
        <f>BL57+$O$28*$O$49*BM57/(AI$59+AX$59+BM$59)</f>
        <v>35952.99459207668</v>
      </c>
      <c r="BM87" s="5">
        <f>BM57+$O$28*($O$47+$O$48)*BN57/(AJ$59+AY$59+BN$59)-$O$28*$O$49*BM57/(AI$59+AX$59+BM$59)</f>
        <v>9809.116026187201</v>
      </c>
      <c r="BN87" s="5">
        <f>BN57+$O$28*$O$45*BO57/(AK$59+AZ$59+BO$59)-$O$28*($O$47+$O$48)*BN57/(AJ$59+AY$59+BN$59)</f>
        <v>26476.932911605494</v>
      </c>
      <c r="BO87" s="5"/>
      <c r="BP87" s="5">
        <f>$O$28*BP53</f>
        <v>0</v>
      </c>
      <c r="BQ87" s="5"/>
      <c r="BR87" s="5">
        <f t="shared" si="42"/>
        <v>4940.825971405304</v>
      </c>
      <c r="BS87" s="5">
        <f t="shared" si="45"/>
        <v>2821.8224593546297</v>
      </c>
      <c r="BT87" s="6">
        <f t="shared" si="48"/>
        <v>33.061427588674285</v>
      </c>
    </row>
    <row r="88" spans="32:72" ht="12.75" customHeight="1">
      <c r="AF88" s="4"/>
      <c r="AG88" s="18" t="s">
        <v>30</v>
      </c>
      <c r="AH88" s="5">
        <f>AH58+$O$28*$O$49*AI58/(AI$59+AX$59+BM$59)</f>
        <v>4003170.8217768217</v>
      </c>
      <c r="AI88" s="5">
        <f>AI58+$O$28*($O$47+$O$48)*AJ58/(AJ$59+AY$59+BN$59)-$O$28*$O$49*AI58/(AI$59+AX$59+BM$59)</f>
        <v>4562639.042032944</v>
      </c>
      <c r="AJ88" s="5">
        <f>AJ58+$O$28*$O$45*AK58/(AK$59+AZ$59+BO$59)-$O$28*($O$47+$O$48)*AJ58/(AJ$59+AY$59+BN$59)</f>
        <v>2296100.354722361</v>
      </c>
      <c r="AK88" s="5">
        <f>AK58-$O$28*$O$45*AK58/(AK$59+AZ$59+BO$59)</f>
        <v>363417.95111619506</v>
      </c>
      <c r="AL88" s="5">
        <f>AL58</f>
        <v>1090042.230337571</v>
      </c>
      <c r="AM88" s="5">
        <f>AM58</f>
        <v>0</v>
      </c>
      <c r="AN88" s="5">
        <f t="shared" si="40"/>
        <v>518806.54298434313</v>
      </c>
      <c r="AO88" s="5">
        <f t="shared" si="43"/>
        <v>17897.161608897633</v>
      </c>
      <c r="AP88" s="36">
        <f t="shared" si="46"/>
        <v>0</v>
      </c>
      <c r="AU88" s="4"/>
      <c r="AV88" s="18" t="s">
        <v>30</v>
      </c>
      <c r="AW88" s="5">
        <f>AW58+$O$28*$O$49*AX58/(AI$59+AX$59+BM$59)</f>
        <v>634366.6679238948</v>
      </c>
      <c r="AX88" s="5">
        <f>AX58+$O$28*($O$47+$O$48)*AY58/(AJ$59+AY$59+BN$59)-$O$28*$O$49*AX58/(AI$59+AX$59+BM$59)</f>
        <v>723023.3869333675</v>
      </c>
      <c r="AY88" s="5">
        <f>AY58+$O$28*$O$45*AZ58/(AK$59+AZ$59+BO$59)-$O$28*($O$47+$O$48)*AY58/(AJ$59+AY$59+BN$59)</f>
        <v>363853.9538009506</v>
      </c>
      <c r="AZ88" s="5">
        <f>AZ58-$O$28*$O$45*AZ58/(AK$59+AZ$59+BO$59)</f>
        <v>57589.40724167834</v>
      </c>
      <c r="BA88" s="5">
        <f>BA58</f>
        <v>172734.68666237345</v>
      </c>
      <c r="BB88" s="5">
        <f>BB58</f>
        <v>0</v>
      </c>
      <c r="BC88" s="5">
        <f t="shared" si="41"/>
        <v>82213.22362257187</v>
      </c>
      <c r="BD88" s="5">
        <f t="shared" si="44"/>
        <v>2836.0925078117484</v>
      </c>
      <c r="BE88" s="36">
        <f t="shared" si="47"/>
        <v>0</v>
      </c>
      <c r="BJ88" s="4"/>
      <c r="BK88" s="18" t="s">
        <v>30</v>
      </c>
      <c r="BL88" s="5">
        <f>BL58+$O$28*$O$49*BM58/(AI$59+AX$59+BM$59)</f>
        <v>76217.923650893</v>
      </c>
      <c r="BM88" s="5">
        <f>BM58+$O$28*($O$47+$O$48)*BN58/(AJ$59+AY$59+BN$59)-$O$28*$O$49*BM58/(AI$59+AX$59+BM$59)</f>
        <v>86869.8563300125</v>
      </c>
      <c r="BN88" s="5">
        <f>BN58+$O$28*$O$45*BO58/(AK$59+AZ$59+BO$59)-$O$28*($O$47+$O$48)*BN58/(AJ$59+AY$59+BN$59)</f>
        <v>43716.34619712309</v>
      </c>
      <c r="BO88" s="5">
        <f>BO58-$O$28*$O$45*BO58/(AK$59+AZ$59+BO$59)</f>
        <v>6919.255481394583</v>
      </c>
      <c r="BP88" s="5">
        <f>BP58</f>
        <v>20753.737271506798</v>
      </c>
      <c r="BQ88" s="5">
        <f>BQ58</f>
        <v>0</v>
      </c>
      <c r="BR88" s="5">
        <f t="shared" si="42"/>
        <v>9877.759217183091</v>
      </c>
      <c r="BS88" s="5">
        <f t="shared" si="45"/>
        <v>340.7510090886403</v>
      </c>
      <c r="BT88" s="36">
        <f t="shared" si="48"/>
        <v>0</v>
      </c>
    </row>
    <row r="89" spans="32:72" ht="12.75" customHeight="1">
      <c r="AF89" s="113" t="s">
        <v>31</v>
      </c>
      <c r="AG89" s="96"/>
      <c r="AH89" s="19">
        <f aca="true" t="shared" si="49" ref="AH89:AP89">SUM(AH69:AH88)</f>
        <v>183898317.11704248</v>
      </c>
      <c r="AI89" s="19">
        <f t="shared" si="49"/>
        <v>315047217.0098713</v>
      </c>
      <c r="AJ89" s="19">
        <f t="shared" si="49"/>
        <v>893873977.2018803</v>
      </c>
      <c r="AK89" s="19">
        <f t="shared" si="49"/>
        <v>121889280.95148306</v>
      </c>
      <c r="AL89" s="19">
        <f t="shared" si="49"/>
        <v>74769147.74692734</v>
      </c>
      <c r="AM89" s="19">
        <f t="shared" si="49"/>
        <v>30100823.798814427</v>
      </c>
      <c r="AN89" s="19">
        <f t="shared" si="49"/>
        <v>675301094.9935164</v>
      </c>
      <c r="AO89" s="19">
        <f t="shared" si="49"/>
        <v>3599426339.8255816</v>
      </c>
      <c r="AP89" s="20">
        <f t="shared" si="49"/>
        <v>552276364.6137716</v>
      </c>
      <c r="AU89" s="113" t="s">
        <v>31</v>
      </c>
      <c r="AV89" s="96"/>
      <c r="AW89" s="19">
        <f aca="true" t="shared" si="50" ref="AW89:BE89">SUM(AW69:AW88)</f>
        <v>30834535.10642507</v>
      </c>
      <c r="AX89" s="19">
        <f t="shared" si="50"/>
        <v>53503683.67568326</v>
      </c>
      <c r="AY89" s="19">
        <f t="shared" si="50"/>
        <v>168580818.71754405</v>
      </c>
      <c r="AZ89" s="19">
        <f t="shared" si="50"/>
        <v>26006101.85132161</v>
      </c>
      <c r="BA89" s="19">
        <f t="shared" si="50"/>
        <v>26997867.006137796</v>
      </c>
      <c r="BB89" s="19">
        <f t="shared" si="50"/>
        <v>10959125.734046847</v>
      </c>
      <c r="BC89" s="19">
        <f t="shared" si="50"/>
        <v>144819789.84844345</v>
      </c>
      <c r="BD89" s="19">
        <f t="shared" si="50"/>
        <v>1064298991.5052313</v>
      </c>
      <c r="BE89" s="20">
        <f t="shared" si="50"/>
        <v>199149594.29613614</v>
      </c>
      <c r="BJ89" s="113" t="s">
        <v>31</v>
      </c>
      <c r="BK89" s="96"/>
      <c r="BL89" s="19">
        <f aca="true" t="shared" si="51" ref="BL89:BT89">SUM(BL69:BL88)</f>
        <v>2432935.638693022</v>
      </c>
      <c r="BM89" s="19">
        <f t="shared" si="51"/>
        <v>3999981.1899043308</v>
      </c>
      <c r="BN89" s="19">
        <f t="shared" si="51"/>
        <v>11557117.873990892</v>
      </c>
      <c r="BO89" s="19">
        <f t="shared" si="51"/>
        <v>1177089.7601926713</v>
      </c>
      <c r="BP89" s="19">
        <f t="shared" si="51"/>
        <v>578833.4459492022</v>
      </c>
      <c r="BQ89" s="19">
        <f t="shared" si="51"/>
        <v>227997.59658888055</v>
      </c>
      <c r="BR89" s="19">
        <f t="shared" si="51"/>
        <v>6682714.668685946</v>
      </c>
      <c r="BS89" s="19">
        <f t="shared" si="51"/>
        <v>29599979.002926175</v>
      </c>
      <c r="BT89" s="20">
        <f t="shared" si="51"/>
        <v>4202671.66202278</v>
      </c>
    </row>
    <row r="90" spans="32:72" ht="12.75" customHeight="1">
      <c r="AF90" s="4"/>
      <c r="AG90" s="17"/>
      <c r="AH90" s="17"/>
      <c r="AI90" s="5"/>
      <c r="AJ90" s="5"/>
      <c r="AK90" s="51" t="s">
        <v>32</v>
      </c>
      <c r="AL90" s="114">
        <f>SUM(AH89:AM89)</f>
        <v>1619578763.8260188</v>
      </c>
      <c r="AM90" s="115"/>
      <c r="AN90" s="51" t="s">
        <v>33</v>
      </c>
      <c r="AO90" s="114">
        <f>SUM(AN89:AP89)</f>
        <v>4827003799.43287</v>
      </c>
      <c r="AP90" s="116"/>
      <c r="AU90" s="4"/>
      <c r="AV90" s="17"/>
      <c r="AW90" s="17"/>
      <c r="AX90" s="5"/>
      <c r="AY90" s="5"/>
      <c r="AZ90" s="51" t="s">
        <v>32</v>
      </c>
      <c r="BA90" s="114">
        <f>SUM(AW89:BB89)</f>
        <v>316882132.0911586</v>
      </c>
      <c r="BB90" s="115"/>
      <c r="BC90" s="51" t="s">
        <v>33</v>
      </c>
      <c r="BD90" s="114">
        <f>SUM(BC89:BE89)</f>
        <v>1408268375.6498108</v>
      </c>
      <c r="BE90" s="116"/>
      <c r="BJ90" s="4"/>
      <c r="BK90" s="17"/>
      <c r="BL90" s="17"/>
      <c r="BM90" s="5"/>
      <c r="BN90" s="5"/>
      <c r="BO90" s="51" t="s">
        <v>32</v>
      </c>
      <c r="BP90" s="114">
        <f>SUM(BL89:BQ89)</f>
        <v>19973955.505318996</v>
      </c>
      <c r="BQ90" s="115"/>
      <c r="BR90" s="51" t="s">
        <v>33</v>
      </c>
      <c r="BS90" s="114">
        <f>SUM(BR89:BT89)</f>
        <v>40485365.3336349</v>
      </c>
      <c r="BT90" s="116"/>
    </row>
    <row r="91" spans="32:72" ht="12.75" customHeight="1" thickBot="1">
      <c r="AF91" s="21"/>
      <c r="AG91" s="22"/>
      <c r="AH91" s="22"/>
      <c r="AI91" s="23"/>
      <c r="AJ91" s="23"/>
      <c r="AK91" s="52"/>
      <c r="AL91" s="53"/>
      <c r="AM91" s="24"/>
      <c r="AN91" s="52" t="s">
        <v>64</v>
      </c>
      <c r="AO91" s="108">
        <f>AL90+AO90</f>
        <v>6446582563.258888</v>
      </c>
      <c r="AP91" s="109"/>
      <c r="AU91" s="21"/>
      <c r="AV91" s="22"/>
      <c r="AW91" s="22"/>
      <c r="AX91" s="23"/>
      <c r="AY91" s="23"/>
      <c r="AZ91" s="52"/>
      <c r="BA91" s="53"/>
      <c r="BB91" s="24"/>
      <c r="BC91" s="52" t="s">
        <v>64</v>
      </c>
      <c r="BD91" s="108">
        <f>BA90+BD90</f>
        <v>1725150507.7409694</v>
      </c>
      <c r="BE91" s="109"/>
      <c r="BJ91" s="21"/>
      <c r="BK91" s="22"/>
      <c r="BL91" s="22"/>
      <c r="BM91" s="23"/>
      <c r="BN91" s="23"/>
      <c r="BO91" s="52"/>
      <c r="BP91" s="53"/>
      <c r="BQ91" s="24"/>
      <c r="BR91" s="52" t="s">
        <v>64</v>
      </c>
      <c r="BS91" s="108">
        <f>BP90+BS90</f>
        <v>60459320.8389539</v>
      </c>
      <c r="BT91" s="109"/>
    </row>
    <row r="92" ht="12.75" customHeight="1" thickTop="1"/>
    <row r="93" ht="12.75" customHeight="1"/>
    <row r="94" spans="40:72" ht="12.75" customHeight="1">
      <c r="AN94" t="s">
        <v>97</v>
      </c>
      <c r="AP94" s="37">
        <f>AO90/AO91</f>
        <v>0.748769406436131</v>
      </c>
      <c r="BC94" t="s">
        <v>97</v>
      </c>
      <c r="BE94" s="37">
        <f>BD90/BD91</f>
        <v>0.8163162398473245</v>
      </c>
      <c r="BR94" t="s">
        <v>97</v>
      </c>
      <c r="BT94" s="37">
        <f>BS90/BS91</f>
        <v>0.6696298398964186</v>
      </c>
    </row>
    <row r="95" spans="41:72" ht="12.75" customHeight="1">
      <c r="AO95" t="s">
        <v>98</v>
      </c>
      <c r="AP95" s="72">
        <v>0.7353062488506039</v>
      </c>
      <c r="BE95" s="72">
        <v>0.7239125169079256</v>
      </c>
      <c r="BT95" s="72">
        <v>0.5407205179890467</v>
      </c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44">
    <mergeCell ref="S41:T41"/>
    <mergeCell ref="N41:P41"/>
    <mergeCell ref="AF36:AP36"/>
    <mergeCell ref="AH37:AM37"/>
    <mergeCell ref="AN37:AP37"/>
    <mergeCell ref="AF59:AG59"/>
    <mergeCell ref="AU36:BE36"/>
    <mergeCell ref="AW37:BB37"/>
    <mergeCell ref="BC37:BE37"/>
    <mergeCell ref="AU59:AV59"/>
    <mergeCell ref="BJ36:BT36"/>
    <mergeCell ref="BL37:BQ37"/>
    <mergeCell ref="BR37:BT37"/>
    <mergeCell ref="BJ59:BK59"/>
    <mergeCell ref="BS60:BT60"/>
    <mergeCell ref="BS61:BT61"/>
    <mergeCell ref="AF66:AP66"/>
    <mergeCell ref="BJ66:BT66"/>
    <mergeCell ref="AL60:AM60"/>
    <mergeCell ref="AO60:AP60"/>
    <mergeCell ref="AO61:AP61"/>
    <mergeCell ref="BA60:BB60"/>
    <mergeCell ref="BD60:BE60"/>
    <mergeCell ref="BD61:BE61"/>
    <mergeCell ref="AF89:AG89"/>
    <mergeCell ref="AL90:AM90"/>
    <mergeCell ref="AO90:AP90"/>
    <mergeCell ref="BP60:BQ60"/>
    <mergeCell ref="BA90:BB90"/>
    <mergeCell ref="BD90:BE90"/>
    <mergeCell ref="BD91:BE91"/>
    <mergeCell ref="AH67:AM67"/>
    <mergeCell ref="AN67:AP67"/>
    <mergeCell ref="AU66:BE66"/>
    <mergeCell ref="AW67:BB67"/>
    <mergeCell ref="BC67:BE67"/>
    <mergeCell ref="AU89:AV89"/>
    <mergeCell ref="BL67:BQ67"/>
    <mergeCell ref="BR67:BT67"/>
    <mergeCell ref="BJ89:BK89"/>
    <mergeCell ref="BP90:BQ90"/>
    <mergeCell ref="BS90:BT90"/>
    <mergeCell ref="BS91:BT91"/>
    <mergeCell ref="AO91:AP9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BB47"/>
  <sheetViews>
    <sheetView workbookViewId="0" topLeftCell="A1">
      <selection activeCell="C3" sqref="C3"/>
    </sheetView>
  </sheetViews>
  <sheetFormatPr defaultColWidth="9.140625" defaultRowHeight="12.75"/>
  <cols>
    <col min="4" max="4" width="10.8515625" style="0" customWidth="1"/>
    <col min="5" max="5" width="10.57421875" style="0" customWidth="1"/>
    <col min="6" max="6" width="11.00390625" style="0" customWidth="1"/>
    <col min="7" max="7" width="10.57421875" style="0" customWidth="1"/>
    <col min="8" max="8" width="10.7109375" style="0" customWidth="1"/>
    <col min="10" max="10" width="11.140625" style="0" customWidth="1"/>
    <col min="11" max="11" width="12.140625" style="0" customWidth="1"/>
    <col min="12" max="12" width="11.7109375" style="0" customWidth="1"/>
    <col min="13" max="13" width="11.28125" style="0" customWidth="1"/>
    <col min="19" max="19" width="12.00390625" style="0" customWidth="1"/>
    <col min="20" max="20" width="11.7109375" style="0" customWidth="1"/>
    <col min="21" max="21" width="11.140625" style="0" customWidth="1"/>
    <col min="22" max="22" width="11.57421875" style="0" customWidth="1"/>
    <col min="23" max="23" width="11.00390625" style="0" customWidth="1"/>
    <col min="24" max="24" width="12.00390625" style="0" customWidth="1"/>
    <col min="25" max="25" width="11.28125" style="0" customWidth="1"/>
    <col min="26" max="26" width="13.57421875" style="0" customWidth="1"/>
    <col min="27" max="27" width="11.8515625" style="0" customWidth="1"/>
    <col min="28" max="28" width="13.421875" style="0" customWidth="1"/>
    <col min="32" max="32" width="10.8515625" style="0" customWidth="1"/>
    <col min="33" max="34" width="11.140625" style="0" customWidth="1"/>
    <col min="35" max="35" width="11.421875" style="0" customWidth="1"/>
    <col min="36" max="36" width="11.28125" style="0" customWidth="1"/>
    <col min="37" max="37" width="11.140625" style="0" customWidth="1"/>
    <col min="38" max="38" width="11.00390625" style="0" customWidth="1"/>
    <col min="39" max="39" width="14.28125" style="0" customWidth="1"/>
    <col min="40" max="40" width="11.421875" style="0" customWidth="1"/>
    <col min="41" max="41" width="12.421875" style="0" customWidth="1"/>
    <col min="47" max="47" width="10.7109375" style="0" customWidth="1"/>
    <col min="52" max="52" width="11.421875" style="0" customWidth="1"/>
    <col min="54" max="54" width="11.421875" style="0" customWidth="1"/>
  </cols>
  <sheetData>
    <row r="3" ht="16.5" thickBot="1">
      <c r="C3" s="263" t="s">
        <v>351</v>
      </c>
    </row>
    <row r="4" spans="18:54" ht="13.5" thickTop="1">
      <c r="R4" s="105" t="s">
        <v>101</v>
      </c>
      <c r="S4" s="106"/>
      <c r="T4" s="106"/>
      <c r="U4" s="106"/>
      <c r="V4" s="106"/>
      <c r="W4" s="106"/>
      <c r="X4" s="106"/>
      <c r="Y4" s="106"/>
      <c r="Z4" s="106"/>
      <c r="AA4" s="106"/>
      <c r="AB4" s="107"/>
      <c r="AE4" s="105" t="s">
        <v>103</v>
      </c>
      <c r="AF4" s="106"/>
      <c r="AG4" s="106"/>
      <c r="AH4" s="106"/>
      <c r="AI4" s="106"/>
      <c r="AJ4" s="106"/>
      <c r="AK4" s="106"/>
      <c r="AL4" s="106"/>
      <c r="AM4" s="106"/>
      <c r="AN4" s="106"/>
      <c r="AO4" s="107"/>
      <c r="AR4" s="105" t="s">
        <v>105</v>
      </c>
      <c r="AS4" s="106"/>
      <c r="AT4" s="106"/>
      <c r="AU4" s="106"/>
      <c r="AV4" s="106"/>
      <c r="AW4" s="106"/>
      <c r="AX4" s="106"/>
      <c r="AY4" s="106"/>
      <c r="AZ4" s="106"/>
      <c r="BA4" s="106"/>
      <c r="BB4" s="107"/>
    </row>
    <row r="5" spans="18:54" ht="12.75">
      <c r="R5" s="76" t="s">
        <v>10</v>
      </c>
      <c r="S5" s="100" t="s">
        <v>9</v>
      </c>
      <c r="T5" s="101"/>
      <c r="U5" s="101"/>
      <c r="V5" s="101"/>
      <c r="W5" s="101"/>
      <c r="X5" s="102"/>
      <c r="Y5" s="103" t="s">
        <v>6</v>
      </c>
      <c r="Z5" s="103"/>
      <c r="AA5" s="103"/>
      <c r="AB5" s="77" t="s">
        <v>5</v>
      </c>
      <c r="AE5" s="76" t="s">
        <v>10</v>
      </c>
      <c r="AF5" s="100" t="s">
        <v>9</v>
      </c>
      <c r="AG5" s="101"/>
      <c r="AH5" s="101"/>
      <c r="AI5" s="101"/>
      <c r="AJ5" s="101"/>
      <c r="AK5" s="102"/>
      <c r="AL5" s="103" t="s">
        <v>6</v>
      </c>
      <c r="AM5" s="103"/>
      <c r="AN5" s="103"/>
      <c r="AO5" s="77" t="s">
        <v>5</v>
      </c>
      <c r="AR5" s="76" t="s">
        <v>10</v>
      </c>
      <c r="AS5" s="100" t="s">
        <v>9</v>
      </c>
      <c r="AT5" s="101"/>
      <c r="AU5" s="101"/>
      <c r="AV5" s="101"/>
      <c r="AW5" s="101"/>
      <c r="AX5" s="102"/>
      <c r="AY5" s="103" t="s">
        <v>6</v>
      </c>
      <c r="AZ5" s="103"/>
      <c r="BA5" s="103"/>
      <c r="BB5" s="77" t="s">
        <v>5</v>
      </c>
    </row>
    <row r="6" spans="15:54" ht="12.75">
      <c r="O6" s="2"/>
      <c r="R6" s="78" t="s">
        <v>11</v>
      </c>
      <c r="S6" s="3" t="s">
        <v>0</v>
      </c>
      <c r="T6" s="3" t="s">
        <v>1</v>
      </c>
      <c r="U6" s="3" t="s">
        <v>12</v>
      </c>
      <c r="V6" s="3" t="s">
        <v>13</v>
      </c>
      <c r="W6" s="3" t="s">
        <v>14</v>
      </c>
      <c r="X6" s="3" t="s">
        <v>4</v>
      </c>
      <c r="Y6" s="3" t="s">
        <v>1</v>
      </c>
      <c r="Z6" s="3" t="s">
        <v>15</v>
      </c>
      <c r="AA6" s="3" t="s">
        <v>13</v>
      </c>
      <c r="AB6" s="79" t="s">
        <v>36</v>
      </c>
      <c r="AE6" s="78" t="s">
        <v>11</v>
      </c>
      <c r="AF6" s="3" t="s">
        <v>0</v>
      </c>
      <c r="AG6" s="3" t="s">
        <v>1</v>
      </c>
      <c r="AH6" s="3" t="s">
        <v>12</v>
      </c>
      <c r="AI6" s="3" t="s">
        <v>13</v>
      </c>
      <c r="AJ6" s="3" t="s">
        <v>14</v>
      </c>
      <c r="AK6" s="3" t="s">
        <v>4</v>
      </c>
      <c r="AL6" s="3" t="s">
        <v>1</v>
      </c>
      <c r="AM6" s="3" t="s">
        <v>15</v>
      </c>
      <c r="AN6" s="3" t="s">
        <v>13</v>
      </c>
      <c r="AO6" s="79" t="s">
        <v>36</v>
      </c>
      <c r="AR6" s="78" t="s">
        <v>11</v>
      </c>
      <c r="AS6" s="3" t="s">
        <v>0</v>
      </c>
      <c r="AT6" s="3" t="s">
        <v>1</v>
      </c>
      <c r="AU6" s="3" t="s">
        <v>12</v>
      </c>
      <c r="AV6" s="3" t="s">
        <v>13</v>
      </c>
      <c r="AW6" s="3" t="s">
        <v>14</v>
      </c>
      <c r="AX6" s="3" t="s">
        <v>4</v>
      </c>
      <c r="AY6" s="3" t="s">
        <v>1</v>
      </c>
      <c r="AZ6" s="3" t="s">
        <v>15</v>
      </c>
      <c r="BA6" s="3" t="s">
        <v>13</v>
      </c>
      <c r="BB6" s="79" t="s">
        <v>36</v>
      </c>
    </row>
    <row r="7" spans="15:54" ht="12.75">
      <c r="O7" s="2"/>
      <c r="R7" s="4" t="s">
        <v>0</v>
      </c>
      <c r="S7" s="5">
        <f>SUM(Pieces!AH69:AH72)</f>
        <v>26577481.769946475</v>
      </c>
      <c r="T7" s="5"/>
      <c r="U7" s="5"/>
      <c r="V7" s="5"/>
      <c r="W7" s="5"/>
      <c r="X7" s="5"/>
      <c r="Y7" s="5">
        <f>SUM(Pieces!AN69:AN72)</f>
        <v>0</v>
      </c>
      <c r="Z7" s="5">
        <f>SUM(Pieces!AO69:AO72)</f>
        <v>0</v>
      </c>
      <c r="AA7" s="5">
        <f>SUM(Pieces!AP69:AP72)</f>
        <v>0</v>
      </c>
      <c r="AB7" s="6">
        <f>SUM(S7:AA7)</f>
        <v>26577481.769946475</v>
      </c>
      <c r="AE7" s="4" t="s">
        <v>0</v>
      </c>
      <c r="AF7" s="5">
        <f>SUM(Pieces!AW69:AW72)</f>
        <v>4377099.443295877</v>
      </c>
      <c r="AG7" s="5"/>
      <c r="AH7" s="5"/>
      <c r="AI7" s="5"/>
      <c r="AJ7" s="5"/>
      <c r="AK7" s="5"/>
      <c r="AL7" s="5">
        <f>SUM(Pieces!BC69:BC72)</f>
        <v>0</v>
      </c>
      <c r="AM7" s="5">
        <f>SUM(Pieces!BD69:BD72)</f>
        <v>0</v>
      </c>
      <c r="AN7" s="5">
        <f>SUM(Pieces!BE69:BE72)</f>
        <v>0</v>
      </c>
      <c r="AO7" s="6">
        <f>SUM(AF7:AN7)</f>
        <v>4377099.443295877</v>
      </c>
      <c r="AR7" s="4" t="s">
        <v>0</v>
      </c>
      <c r="AS7" s="5">
        <f>SUM(Pieces!BL69:BL72)</f>
        <v>401297.96655598667</v>
      </c>
      <c r="AT7" s="5"/>
      <c r="AU7" s="5"/>
      <c r="AV7" s="5"/>
      <c r="AW7" s="5"/>
      <c r="AX7" s="5"/>
      <c r="AY7" s="5">
        <f>SUM(Pieces!BR69:BR72)</f>
        <v>0</v>
      </c>
      <c r="AZ7" s="5">
        <f>SUM(Pieces!BS69:BS72)</f>
        <v>0</v>
      </c>
      <c r="BA7" s="5">
        <f>SUM(Pieces!BT69:BT72)</f>
        <v>0</v>
      </c>
      <c r="BB7" s="6">
        <f>SUM(AS7:BA7)</f>
        <v>401297.96655598667</v>
      </c>
    </row>
    <row r="8" spans="15:54" ht="12.75">
      <c r="O8" s="2"/>
      <c r="R8" s="4" t="s">
        <v>1</v>
      </c>
      <c r="S8" s="5">
        <f>SUM(Pieces!AH73:AH76)</f>
        <v>83697768.42441371</v>
      </c>
      <c r="T8" s="5">
        <f>SUM(Pieces!AI73:AI76)</f>
        <v>84515958.89458819</v>
      </c>
      <c r="U8" s="5"/>
      <c r="V8" s="5"/>
      <c r="W8" s="5"/>
      <c r="X8" s="5"/>
      <c r="Y8" s="5">
        <f>SUM(Pieces!AN73:AN76)</f>
        <v>3285950.6932428377</v>
      </c>
      <c r="Z8" s="5">
        <f>SUM(Pieces!AO73:AO76)</f>
        <v>0</v>
      </c>
      <c r="AA8" s="5">
        <f>SUM(Pieces!AP73:AP76)</f>
        <v>0</v>
      </c>
      <c r="AB8" s="6">
        <f>SUM(S8:AA8)</f>
        <v>171499678.01224476</v>
      </c>
      <c r="AE8" s="4" t="s">
        <v>1</v>
      </c>
      <c r="AF8" s="5">
        <f>SUM(Pieces!AW73:AW76)</f>
        <v>14176738.083825473</v>
      </c>
      <c r="AG8" s="5">
        <f>SUM(Pieces!AX73:AX76)</f>
        <v>14365745.458842296</v>
      </c>
      <c r="AH8" s="5"/>
      <c r="AI8" s="5"/>
      <c r="AJ8" s="5"/>
      <c r="AK8" s="5"/>
      <c r="AL8" s="5">
        <f>SUM(Pieces!BC73:BC76)</f>
        <v>554078.3629609419</v>
      </c>
      <c r="AM8" s="5">
        <f>SUM(Pieces!BD73:BD76)</f>
        <v>0</v>
      </c>
      <c r="AN8" s="5">
        <f>SUM(Pieces!BE73:BE76)</f>
        <v>0</v>
      </c>
      <c r="AO8" s="6">
        <f>SUM(AF8:AN8)</f>
        <v>29096561.90562871</v>
      </c>
      <c r="AR8" s="4" t="s">
        <v>1</v>
      </c>
      <c r="AS8" s="5">
        <f>SUM(Pieces!BL73:BL76)</f>
        <v>1015441.0546783371</v>
      </c>
      <c r="AT8" s="5">
        <f>SUM(Pieces!BM73:BM76)</f>
        <v>993457.0144375651</v>
      </c>
      <c r="AU8" s="5"/>
      <c r="AV8" s="5"/>
      <c r="AW8" s="5"/>
      <c r="AX8" s="5"/>
      <c r="AY8" s="5">
        <f>SUM(Pieces!BR73:BR76)</f>
        <v>41445.79213451368</v>
      </c>
      <c r="AZ8" s="5">
        <f>SUM(Pieces!BS73:BS76)</f>
        <v>0</v>
      </c>
      <c r="BA8" s="5">
        <f>SUM(Pieces!BT73:BT76)</f>
        <v>0</v>
      </c>
      <c r="BB8" s="6">
        <f>SUM(AS8:BA8)</f>
        <v>2050343.861250416</v>
      </c>
    </row>
    <row r="9" spans="15:54" ht="12.75">
      <c r="O9" s="2"/>
      <c r="R9" s="4" t="s">
        <v>17</v>
      </c>
      <c r="S9" s="5">
        <f>SUM(Pieces!AH77:AH80)</f>
        <v>57346409.73849031</v>
      </c>
      <c r="T9" s="5">
        <f>SUM(Pieces!AI77:AI80)</f>
        <v>180660899.4726315</v>
      </c>
      <c r="U9" s="5">
        <f>SUM(Pieces!AJ77:AJ80)</f>
        <v>501880825.98187315</v>
      </c>
      <c r="V9" s="5"/>
      <c r="W9" s="5"/>
      <c r="X9" s="5"/>
      <c r="Y9" s="5">
        <f>SUM(Pieces!AN77:AN80)</f>
        <v>194538561.7847835</v>
      </c>
      <c r="Z9" s="5">
        <f>SUM(Pieces!AO77:AO80)</f>
        <v>149527484.97128403</v>
      </c>
      <c r="AA9" s="5">
        <f>SUM(Pieces!AP77:AP80)</f>
        <v>0</v>
      </c>
      <c r="AB9" s="6">
        <f>SUM(S9:AA9)</f>
        <v>1083954181.9490623</v>
      </c>
      <c r="AE9" s="4" t="s">
        <v>17</v>
      </c>
      <c r="AF9" s="5">
        <f>SUM(Pieces!AW77:AW80)</f>
        <v>9359168.750155449</v>
      </c>
      <c r="AG9" s="5">
        <f>SUM(Pieces!AX77:AX80)</f>
        <v>29537172.24880921</v>
      </c>
      <c r="AH9" s="5">
        <f>SUM(Pieces!AY77:AY80)</f>
        <v>81344444.4146857</v>
      </c>
      <c r="AI9" s="5"/>
      <c r="AJ9" s="5"/>
      <c r="AK9" s="5"/>
      <c r="AL9" s="5">
        <f>SUM(Pieces!BC77:BC80)</f>
        <v>31831586.397884965</v>
      </c>
      <c r="AM9" s="5">
        <f>SUM(Pieces!BD77:BD80)</f>
        <v>24391951.970414817</v>
      </c>
      <c r="AN9" s="5">
        <f>SUM(Pieces!BE77:BE80)</f>
        <v>0</v>
      </c>
      <c r="AO9" s="6">
        <f>SUM(AF9:AN9)</f>
        <v>176464323.78195015</v>
      </c>
      <c r="AR9" s="4" t="s">
        <v>17</v>
      </c>
      <c r="AS9" s="5">
        <f>SUM(Pieces!BL77:BL80)</f>
        <v>790616.2555845233</v>
      </c>
      <c r="AT9" s="5">
        <f>SUM(Pieces!BM77:BM80)</f>
        <v>2461066.209393326</v>
      </c>
      <c r="AU9" s="5">
        <f>SUM(Pieces!BN77:BN80)</f>
        <v>7868715.138659457</v>
      </c>
      <c r="AV9" s="5"/>
      <c r="AW9" s="5"/>
      <c r="AX9" s="5"/>
      <c r="AY9" s="5">
        <f>SUM(Pieces!BR77:BR80)</f>
        <v>2654610.6186822946</v>
      </c>
      <c r="AZ9" s="5">
        <f>SUM(Pieces!BS77:BS80)</f>
        <v>2138497.954619216</v>
      </c>
      <c r="BA9" s="5">
        <f>SUM(Pieces!BT77:BT80)</f>
        <v>0</v>
      </c>
      <c r="BB9" s="6">
        <f>SUM(AS9:BA9)</f>
        <v>15913506.176938817</v>
      </c>
    </row>
    <row r="10" spans="15:54" ht="12.75">
      <c r="O10" s="2"/>
      <c r="R10" s="4" t="s">
        <v>18</v>
      </c>
      <c r="S10" s="5">
        <f>SUM(Pieces!AH81:AH84)</f>
        <v>10385138.162774645</v>
      </c>
      <c r="T10" s="5">
        <f>SUM(Pieces!AI81:AI84)</f>
        <v>44792518.38307674</v>
      </c>
      <c r="U10" s="5">
        <f>SUM(Pieces!AJ81:AJ84)</f>
        <v>340068532.0444711</v>
      </c>
      <c r="V10" s="5">
        <f>SUM(Pieces!AK81:AK84)</f>
        <v>121525863.00036687</v>
      </c>
      <c r="W10" s="5"/>
      <c r="X10" s="5"/>
      <c r="Y10" s="5">
        <f>SUM(Pieces!AN81:AN84)</f>
        <v>384829772.84457374</v>
      </c>
      <c r="Z10" s="5">
        <f>SUM(Pieces!AO81:AO84)</f>
        <v>1360348663.8232617</v>
      </c>
      <c r="AA10" s="5">
        <f>SUM(Pieces!AP81:AP84)</f>
        <v>12459385.368947677</v>
      </c>
      <c r="AB10" s="6">
        <f>SUM(S10:AA10)</f>
        <v>2274409873.6274724</v>
      </c>
      <c r="AE10" s="4" t="s">
        <v>18</v>
      </c>
      <c r="AF10" s="5">
        <f>SUM(Pieces!AW81:AW84)</f>
        <v>1987923.0808509998</v>
      </c>
      <c r="AG10" s="5">
        <f>SUM(Pieces!AX81:AX84)</f>
        <v>8796100.67915793</v>
      </c>
      <c r="AH10" s="5">
        <f>SUM(Pieces!AY81:AY84)</f>
        <v>69089675.64445066</v>
      </c>
      <c r="AI10" s="5">
        <f>SUM(Pieces!AZ81:AZ84)</f>
        <v>25948512.44407993</v>
      </c>
      <c r="AJ10" s="5"/>
      <c r="AK10" s="5"/>
      <c r="AL10" s="5">
        <f>SUM(Pieces!BC81:BC84)</f>
        <v>78863252.09351325</v>
      </c>
      <c r="AM10" s="5">
        <f>SUM(Pieces!BD81:BD84)</f>
        <v>279176523.9549825</v>
      </c>
      <c r="AN10" s="5">
        <f>SUM(Pieces!BE81:BE84)</f>
        <v>2613066.2222902025</v>
      </c>
      <c r="AO10" s="6">
        <f>SUM(AF10:AN10)</f>
        <v>466475054.1193255</v>
      </c>
      <c r="AR10" s="4" t="s">
        <v>18</v>
      </c>
      <c r="AS10" s="5">
        <f>SUM(Pieces!BL81:BL84)</f>
        <v>113409.44363120603</v>
      </c>
      <c r="AT10" s="5">
        <f>SUM(Pieces!BM81:BM84)</f>
        <v>448778.99371723994</v>
      </c>
      <c r="AU10" s="5">
        <f>SUM(Pieces!BN81:BN84)</f>
        <v>3252833.3943141615</v>
      </c>
      <c r="AV10" s="5">
        <f>SUM(Pieces!BO81:BO84)</f>
        <v>1170170.5047112769</v>
      </c>
      <c r="AW10" s="5"/>
      <c r="AX10" s="5"/>
      <c r="AY10" s="5">
        <f>SUM(Pieces!BR81:BR84)</f>
        <v>3275985.0741000967</v>
      </c>
      <c r="AZ10" s="5">
        <f>SUM(Pieces!BS81:BS84)</f>
        <v>11632354.616824018</v>
      </c>
      <c r="BA10" s="5">
        <f>SUM(Pieces!BT81:BT84)</f>
        <v>113827.65056594822</v>
      </c>
      <c r="BB10" s="6">
        <f>SUM(AS10:BA10)</f>
        <v>20007359.677863948</v>
      </c>
    </row>
    <row r="11" spans="15:54" ht="12.75">
      <c r="O11" s="2"/>
      <c r="R11" s="4" t="s">
        <v>19</v>
      </c>
      <c r="S11" s="5"/>
      <c r="T11" s="5"/>
      <c r="U11" s="5">
        <f>SUM(Pieces!AJ85:AJ86)</f>
        <v>48237878.92661563</v>
      </c>
      <c r="V11" s="5"/>
      <c r="W11" s="5">
        <f>SUM(Pieces!AL85:AL86)</f>
        <v>73679105.51658976</v>
      </c>
      <c r="X11" s="5">
        <f>SUM(Pieces!AM85:AM86)</f>
        <v>30100823.798814427</v>
      </c>
      <c r="Y11" s="5">
        <f>SUM(Pieces!AN85:AN86)</f>
        <v>91868497.6282178</v>
      </c>
      <c r="Z11" s="5">
        <f>SUM(Pieces!AO85:AO86)</f>
        <v>2089384084.1466684</v>
      </c>
      <c r="AA11" s="5">
        <f>SUM(Pieces!AP85:AP86)</f>
        <v>539815242.7695184</v>
      </c>
      <c r="AB11" s="6">
        <f>SUM(S11:AA11)</f>
        <v>2873085632.786424</v>
      </c>
      <c r="AE11" s="4" t="s">
        <v>19</v>
      </c>
      <c r="AF11" s="5"/>
      <c r="AG11" s="5"/>
      <c r="AH11" s="5">
        <f>SUM(Pieces!AY85:AY86)</f>
        <v>17562475.493489023</v>
      </c>
      <c r="AI11" s="5"/>
      <c r="AJ11" s="5">
        <f>SUM(Pieces!BA85:BA86)</f>
        <v>26825132.319475424</v>
      </c>
      <c r="AK11" s="5">
        <f>SUM(Pieces!BB85:BB86)</f>
        <v>10959125.734046847</v>
      </c>
      <c r="AL11" s="5">
        <f>SUM(Pieces!BC85:BC86)</f>
        <v>33447536.958947882</v>
      </c>
      <c r="AM11" s="5">
        <f>SUM(Pieces!BD85:BD86)</f>
        <v>760704193.277977</v>
      </c>
      <c r="AN11" s="5">
        <f>SUM(Pieces!BE85:BE86)</f>
        <v>196536252.9014632</v>
      </c>
      <c r="AO11" s="6">
        <f>SUM(AF11:AN11)</f>
        <v>1046034716.6853993</v>
      </c>
      <c r="AR11" s="4" t="s">
        <v>19</v>
      </c>
      <c r="AS11" s="5"/>
      <c r="AT11" s="5"/>
      <c r="AU11" s="5">
        <f>SUM(Pieces!BN85:BN86)</f>
        <v>365376.06190854334</v>
      </c>
      <c r="AV11" s="5"/>
      <c r="AW11" s="5">
        <f>SUM(Pieces!BP85:BP86)</f>
        <v>558079.7086776954</v>
      </c>
      <c r="AX11" s="5">
        <f>SUM(Pieces!BQ85:BQ86)</f>
        <v>227997.59658888055</v>
      </c>
      <c r="AY11" s="5">
        <f>SUM(Pieces!BR85:BR86)</f>
        <v>695854.5985804521</v>
      </c>
      <c r="AZ11" s="5">
        <f>SUM(Pieces!BS85:BS86)</f>
        <v>15825963.858014498</v>
      </c>
      <c r="BA11" s="5">
        <f>SUM(Pieces!BT85:BT86)</f>
        <v>4088810.9500292432</v>
      </c>
      <c r="BB11" s="6">
        <f>SUM(AS11:BA11)</f>
        <v>21762082.77379931</v>
      </c>
    </row>
    <row r="12" spans="15:54" ht="12.75">
      <c r="O12" s="2"/>
      <c r="R12" s="80" t="s">
        <v>7</v>
      </c>
      <c r="S12" s="5">
        <f>SUM(Pieces!AH87:AH88)</f>
        <v>5891519.021417325</v>
      </c>
      <c r="T12" s="5">
        <f>SUM(Pieces!AI87:AI88)</f>
        <v>5077840.259574849</v>
      </c>
      <c r="U12" s="5">
        <f>SUM(Pieces!AJ87:AJ88)</f>
        <v>3686740.2489205245</v>
      </c>
      <c r="V12" s="5">
        <f>SUM(Pieces!AK87:AK88)</f>
        <v>363417.95111619506</v>
      </c>
      <c r="W12" s="5">
        <f>SUM(Pieces!AL87:AL88)</f>
        <v>1090042.230337571</v>
      </c>
      <c r="X12" s="35"/>
      <c r="Y12" s="5">
        <f>SUM(Pieces!AN87:AN88)</f>
        <v>778312.0426985838</v>
      </c>
      <c r="Z12" s="5">
        <f>SUM(Pieces!AO87:AO88)</f>
        <v>166106.88436733984</v>
      </c>
      <c r="AA12" s="5">
        <f>SUM(Pieces!AP87:AP88)</f>
        <v>1736.4753054082637</v>
      </c>
      <c r="AB12" s="81"/>
      <c r="AE12" s="80" t="s">
        <v>7</v>
      </c>
      <c r="AF12" s="5">
        <f>SUM(Pieces!AW87:AW88)</f>
        <v>933605.7482972718</v>
      </c>
      <c r="AG12" s="5">
        <f>SUM(Pieces!AX87:AX88)</f>
        <v>804665.288873822</v>
      </c>
      <c r="AH12" s="5">
        <f>SUM(Pieces!AY87:AY88)</f>
        <v>584223.164918694</v>
      </c>
      <c r="AI12" s="5">
        <f>SUM(Pieces!AZ87:AZ88)</f>
        <v>57589.40724167834</v>
      </c>
      <c r="AJ12" s="5">
        <f>SUM(Pieces!BA87:BA88)</f>
        <v>172734.68666237345</v>
      </c>
      <c r="AK12" s="35"/>
      <c r="AL12" s="5">
        <f>SUM(Pieces!BC87:BC88)</f>
        <v>123336.03513641583</v>
      </c>
      <c r="AM12" s="5">
        <f>SUM(Pieces!BD87:BD88)</f>
        <v>26322.30185684632</v>
      </c>
      <c r="AN12" s="5">
        <f>SUM(Pieces!BE87:BE88)</f>
        <v>275.17238271012263</v>
      </c>
      <c r="AO12" s="81"/>
      <c r="AR12" s="80" t="s">
        <v>7</v>
      </c>
      <c r="AS12" s="5">
        <f>SUM(Pieces!BL87:BL88)</f>
        <v>112170.91824296968</v>
      </c>
      <c r="AT12" s="5">
        <f>SUM(Pieces!BM87:BM88)</f>
        <v>96678.9723561997</v>
      </c>
      <c r="AU12" s="5">
        <f>SUM(Pieces!BN87:BN88)</f>
        <v>70193.27910872859</v>
      </c>
      <c r="AV12" s="5">
        <f>SUM(Pieces!BO87:BO88)</f>
        <v>6919.255481394583</v>
      </c>
      <c r="AW12" s="5">
        <f>SUM(Pieces!BP87:BP88)</f>
        <v>20753.737271506798</v>
      </c>
      <c r="AX12" s="35"/>
      <c r="AY12" s="5">
        <f>SUM(Pieces!BR87:BR88)</f>
        <v>14818.585188588395</v>
      </c>
      <c r="AZ12" s="5">
        <f>SUM(Pieces!BS87:BS88)</f>
        <v>3162.57346844327</v>
      </c>
      <c r="BA12" s="5">
        <f>SUM(Pieces!BT87:BT88)</f>
        <v>33.061427588674285</v>
      </c>
      <c r="BB12" s="81"/>
    </row>
    <row r="13" spans="15:54" ht="13.5" thickBot="1">
      <c r="O13" s="2"/>
      <c r="R13" s="7" t="s">
        <v>5</v>
      </c>
      <c r="S13" s="8">
        <f aca="true" t="shared" si="0" ref="S13:AA13">SUM(S7:S12)</f>
        <v>183898317.11704245</v>
      </c>
      <c r="T13" s="8">
        <f t="shared" si="0"/>
        <v>315047217.00987124</v>
      </c>
      <c r="U13" s="8">
        <f t="shared" si="0"/>
        <v>893873977.2018805</v>
      </c>
      <c r="V13" s="8">
        <f t="shared" si="0"/>
        <v>121889280.95148306</v>
      </c>
      <c r="W13" s="8">
        <f t="shared" si="0"/>
        <v>74769147.74692734</v>
      </c>
      <c r="X13" s="8">
        <f t="shared" si="0"/>
        <v>30100823.798814427</v>
      </c>
      <c r="Y13" s="8">
        <f t="shared" si="0"/>
        <v>675301094.9935166</v>
      </c>
      <c r="Z13" s="8">
        <f t="shared" si="0"/>
        <v>3599426339.8255816</v>
      </c>
      <c r="AA13" s="8">
        <f t="shared" si="0"/>
        <v>552276364.6137714</v>
      </c>
      <c r="AB13" s="9">
        <f>SUM(S13:AA13)</f>
        <v>6446582563.258888</v>
      </c>
      <c r="AE13" s="7" t="s">
        <v>5</v>
      </c>
      <c r="AF13" s="8">
        <f aca="true" t="shared" si="1" ref="AF13:AN13">SUM(AF7:AF12)</f>
        <v>30834535.10642507</v>
      </c>
      <c r="AG13" s="8">
        <f t="shared" si="1"/>
        <v>53503683.67568326</v>
      </c>
      <c r="AH13" s="8">
        <f t="shared" si="1"/>
        <v>168580818.71754408</v>
      </c>
      <c r="AI13" s="8">
        <f t="shared" si="1"/>
        <v>26006101.85132161</v>
      </c>
      <c r="AJ13" s="8">
        <f t="shared" si="1"/>
        <v>26997867.006137796</v>
      </c>
      <c r="AK13" s="8">
        <f t="shared" si="1"/>
        <v>10959125.734046847</v>
      </c>
      <c r="AL13" s="8">
        <f t="shared" si="1"/>
        <v>144819789.84844345</v>
      </c>
      <c r="AM13" s="8">
        <f t="shared" si="1"/>
        <v>1064298991.5052313</v>
      </c>
      <c r="AN13" s="8">
        <f t="shared" si="1"/>
        <v>199149594.2961361</v>
      </c>
      <c r="AO13" s="9">
        <f>SUM(AF13:AN13)</f>
        <v>1725150507.7409694</v>
      </c>
      <c r="AR13" s="7" t="s">
        <v>5</v>
      </c>
      <c r="AS13" s="8">
        <f aca="true" t="shared" si="2" ref="AS13:BA13">SUM(AS7:AS12)</f>
        <v>2432935.638693023</v>
      </c>
      <c r="AT13" s="8">
        <f t="shared" si="2"/>
        <v>3999981.1899043308</v>
      </c>
      <c r="AU13" s="8">
        <f t="shared" si="2"/>
        <v>11557117.87399089</v>
      </c>
      <c r="AV13" s="8">
        <f t="shared" si="2"/>
        <v>1177089.7601926713</v>
      </c>
      <c r="AW13" s="8">
        <f t="shared" si="2"/>
        <v>578833.4459492022</v>
      </c>
      <c r="AX13" s="8">
        <f t="shared" si="2"/>
        <v>227997.59658888055</v>
      </c>
      <c r="AY13" s="8">
        <f t="shared" si="2"/>
        <v>6682714.668685945</v>
      </c>
      <c r="AZ13" s="8">
        <f t="shared" si="2"/>
        <v>29599979.002926175</v>
      </c>
      <c r="BA13" s="8">
        <f t="shared" si="2"/>
        <v>4202671.66202278</v>
      </c>
      <c r="BB13" s="9">
        <f>SUM(AS13:BA13)</f>
        <v>60459320.83895389</v>
      </c>
    </row>
    <row r="14" ht="13.5" thickTop="1">
      <c r="O14" s="2"/>
    </row>
    <row r="15" ht="12.75">
      <c r="O15" s="2"/>
    </row>
    <row r="16" ht="12.75">
      <c r="O16" s="2"/>
    </row>
    <row r="17" ht="13.5" thickBot="1"/>
    <row r="18" spans="3:54" ht="13.5" thickTop="1">
      <c r="C18" s="105" t="s">
        <v>107</v>
      </c>
      <c r="D18" s="106"/>
      <c r="E18" s="106"/>
      <c r="F18" s="106"/>
      <c r="G18" s="106"/>
      <c r="H18" s="106"/>
      <c r="I18" s="106"/>
      <c r="J18" s="106"/>
      <c r="K18" s="106"/>
      <c r="L18" s="107"/>
      <c r="M18" s="50"/>
      <c r="R18" s="105" t="s">
        <v>102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E18" s="105" t="s">
        <v>104</v>
      </c>
      <c r="AF18" s="106"/>
      <c r="AG18" s="106"/>
      <c r="AH18" s="106"/>
      <c r="AI18" s="106"/>
      <c r="AJ18" s="106"/>
      <c r="AK18" s="106"/>
      <c r="AL18" s="106"/>
      <c r="AM18" s="106"/>
      <c r="AN18" s="106"/>
      <c r="AO18" s="107"/>
      <c r="AR18" s="105" t="s">
        <v>106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7"/>
    </row>
    <row r="19" spans="3:54" ht="12.75">
      <c r="C19" s="38" t="s">
        <v>10</v>
      </c>
      <c r="D19" s="100" t="s">
        <v>9</v>
      </c>
      <c r="E19" s="101"/>
      <c r="F19" s="101"/>
      <c r="G19" s="101"/>
      <c r="H19" s="101"/>
      <c r="I19" s="102"/>
      <c r="J19" s="103" t="s">
        <v>6</v>
      </c>
      <c r="K19" s="103"/>
      <c r="L19" s="104"/>
      <c r="M19" s="55" t="s">
        <v>5</v>
      </c>
      <c r="R19" s="76" t="s">
        <v>10</v>
      </c>
      <c r="S19" s="100" t="s">
        <v>9</v>
      </c>
      <c r="T19" s="101"/>
      <c r="U19" s="101"/>
      <c r="V19" s="101"/>
      <c r="W19" s="101"/>
      <c r="X19" s="102"/>
      <c r="Y19" s="103" t="s">
        <v>6</v>
      </c>
      <c r="Z19" s="103"/>
      <c r="AA19" s="103"/>
      <c r="AB19" s="77" t="s">
        <v>5</v>
      </c>
      <c r="AE19" s="76" t="s">
        <v>10</v>
      </c>
      <c r="AF19" s="100" t="s">
        <v>9</v>
      </c>
      <c r="AG19" s="101"/>
      <c r="AH19" s="101"/>
      <c r="AI19" s="101"/>
      <c r="AJ19" s="101"/>
      <c r="AK19" s="102"/>
      <c r="AL19" s="103" t="s">
        <v>6</v>
      </c>
      <c r="AM19" s="103"/>
      <c r="AN19" s="103"/>
      <c r="AO19" s="77" t="s">
        <v>5</v>
      </c>
      <c r="AR19" s="76" t="s">
        <v>10</v>
      </c>
      <c r="AS19" s="100" t="s">
        <v>9</v>
      </c>
      <c r="AT19" s="101"/>
      <c r="AU19" s="101"/>
      <c r="AV19" s="101"/>
      <c r="AW19" s="101"/>
      <c r="AX19" s="102"/>
      <c r="AY19" s="103" t="s">
        <v>6</v>
      </c>
      <c r="AZ19" s="103"/>
      <c r="BA19" s="103"/>
      <c r="BB19" s="77" t="s">
        <v>5</v>
      </c>
    </row>
    <row r="20" spans="3:54" ht="12.75">
      <c r="C20" s="39" t="s">
        <v>11</v>
      </c>
      <c r="D20" s="3" t="s">
        <v>0</v>
      </c>
      <c r="E20" s="3" t="s">
        <v>1</v>
      </c>
      <c r="F20" s="3" t="s">
        <v>12</v>
      </c>
      <c r="G20" s="3" t="s">
        <v>13</v>
      </c>
      <c r="H20" s="3" t="s">
        <v>14</v>
      </c>
      <c r="I20" s="3" t="s">
        <v>4</v>
      </c>
      <c r="J20" s="3" t="s">
        <v>1</v>
      </c>
      <c r="K20" s="3" t="s">
        <v>15</v>
      </c>
      <c r="L20" s="54" t="s">
        <v>13</v>
      </c>
      <c r="M20" s="56" t="s">
        <v>16</v>
      </c>
      <c r="R20" s="78" t="s">
        <v>11</v>
      </c>
      <c r="S20" s="3" t="s">
        <v>0</v>
      </c>
      <c r="T20" s="3" t="s">
        <v>1</v>
      </c>
      <c r="U20" s="3" t="s">
        <v>12</v>
      </c>
      <c r="V20" s="3" t="s">
        <v>13</v>
      </c>
      <c r="W20" s="3" t="s">
        <v>14</v>
      </c>
      <c r="X20" s="3" t="s">
        <v>4</v>
      </c>
      <c r="Y20" s="3" t="s">
        <v>1</v>
      </c>
      <c r="Z20" s="3" t="s">
        <v>15</v>
      </c>
      <c r="AA20" s="3" t="s">
        <v>13</v>
      </c>
      <c r="AB20" s="79" t="s">
        <v>16</v>
      </c>
      <c r="AE20" s="78" t="s">
        <v>11</v>
      </c>
      <c r="AF20" s="3" t="s">
        <v>0</v>
      </c>
      <c r="AG20" s="3" t="s">
        <v>1</v>
      </c>
      <c r="AH20" s="3" t="s">
        <v>12</v>
      </c>
      <c r="AI20" s="3" t="s">
        <v>13</v>
      </c>
      <c r="AJ20" s="3" t="s">
        <v>14</v>
      </c>
      <c r="AK20" s="3" t="s">
        <v>4</v>
      </c>
      <c r="AL20" s="3" t="s">
        <v>1</v>
      </c>
      <c r="AM20" s="3" t="s">
        <v>15</v>
      </c>
      <c r="AN20" s="3" t="s">
        <v>13</v>
      </c>
      <c r="AO20" s="79" t="s">
        <v>16</v>
      </c>
      <c r="AR20" s="78" t="s">
        <v>11</v>
      </c>
      <c r="AS20" s="3" t="s">
        <v>0</v>
      </c>
      <c r="AT20" s="3" t="s">
        <v>1</v>
      </c>
      <c r="AU20" s="3" t="s">
        <v>12</v>
      </c>
      <c r="AV20" s="3" t="s">
        <v>13</v>
      </c>
      <c r="AW20" s="3" t="s">
        <v>14</v>
      </c>
      <c r="AX20" s="3" t="s">
        <v>4</v>
      </c>
      <c r="AY20" s="3" t="s">
        <v>1</v>
      </c>
      <c r="AZ20" s="3" t="s">
        <v>15</v>
      </c>
      <c r="BA20" s="3" t="s">
        <v>13</v>
      </c>
      <c r="BB20" s="79" t="s">
        <v>16</v>
      </c>
    </row>
    <row r="21" spans="3:54" ht="12.75">
      <c r="C21" s="4" t="s">
        <v>0</v>
      </c>
      <c r="D21" s="25">
        <f>S21+AF21+AS21</f>
        <v>2426391.0485464092</v>
      </c>
      <c r="E21" s="25"/>
      <c r="F21" s="25"/>
      <c r="G21" s="25"/>
      <c r="H21" s="25"/>
      <c r="I21" s="25"/>
      <c r="J21" s="25"/>
      <c r="K21" s="25"/>
      <c r="L21" s="25"/>
      <c r="M21" s="42">
        <f aca="true" t="shared" si="3" ref="M21:M26">SUM(D21:L21)</f>
        <v>2426391.0485464092</v>
      </c>
      <c r="R21" s="4" t="s">
        <v>0</v>
      </c>
      <c r="S21" s="5">
        <f>S7/'C2004-1'!E7</f>
        <v>2151565.2647069343</v>
      </c>
      <c r="T21" s="5"/>
      <c r="U21" s="5"/>
      <c r="V21" s="5"/>
      <c r="W21" s="5"/>
      <c r="X21" s="5"/>
      <c r="Y21" s="5"/>
      <c r="Z21" s="5"/>
      <c r="AA21" s="5"/>
      <c r="AB21" s="6">
        <f aca="true" t="shared" si="4" ref="AB21:AB26">SUM(S21:AA21)</f>
        <v>2151565.2647069343</v>
      </c>
      <c r="AE21" s="4" t="s">
        <v>0</v>
      </c>
      <c r="AF21" s="5">
        <f>AF7/'C2004-1'!S7</f>
        <v>242708.8226873679</v>
      </c>
      <c r="AG21" s="5"/>
      <c r="AH21" s="5"/>
      <c r="AI21" s="5"/>
      <c r="AJ21" s="5"/>
      <c r="AK21" s="5"/>
      <c r="AL21" s="5"/>
      <c r="AM21" s="5"/>
      <c r="AN21" s="5"/>
      <c r="AO21" s="6">
        <f aca="true" t="shared" si="5" ref="AO21:AO26">SUM(AF21:AN21)</f>
        <v>242708.8226873679</v>
      </c>
      <c r="AR21" s="4" t="s">
        <v>0</v>
      </c>
      <c r="AS21" s="5">
        <f>AS7/'C2004-1'!AG7</f>
        <v>32116.961152106906</v>
      </c>
      <c r="AT21" s="5"/>
      <c r="AU21" s="5"/>
      <c r="AV21" s="5"/>
      <c r="AW21" s="5"/>
      <c r="AX21" s="5"/>
      <c r="AY21" s="5"/>
      <c r="AZ21" s="5"/>
      <c r="BA21" s="5"/>
      <c r="BB21" s="6">
        <f aca="true" t="shared" si="6" ref="BB21:BB26">SUM(AS21:BA21)</f>
        <v>32116.961152106906</v>
      </c>
    </row>
    <row r="22" spans="3:54" ht="12.75">
      <c r="C22" s="4" t="s">
        <v>1</v>
      </c>
      <c r="D22" s="25">
        <f>S22+AF22+AS22</f>
        <v>10696961.523026876</v>
      </c>
      <c r="E22" s="25">
        <f>T22+AG22+AT22</f>
        <v>9634235.44221186</v>
      </c>
      <c r="F22" s="25"/>
      <c r="G22" s="25"/>
      <c r="H22" s="25"/>
      <c r="I22" s="25"/>
      <c r="J22" s="25">
        <f>Y22+AL22+AY22</f>
        <v>434259.46701702866</v>
      </c>
      <c r="K22" s="25"/>
      <c r="L22" s="25"/>
      <c r="M22" s="42">
        <f t="shared" si="3"/>
        <v>20765456.432255764</v>
      </c>
      <c r="R22" s="4" t="s">
        <v>1</v>
      </c>
      <c r="S22" s="5">
        <f>S8/'C2004-1'!E8</f>
        <v>9097058.08934378</v>
      </c>
      <c r="T22" s="5">
        <f>T8/'C2004-1'!F8</f>
        <v>8593494.110070258</v>
      </c>
      <c r="U22" s="5"/>
      <c r="V22" s="5"/>
      <c r="W22" s="5"/>
      <c r="X22" s="5"/>
      <c r="Y22" s="5">
        <f>Y8/'C2004-1'!K8</f>
        <v>390316.74673039804</v>
      </c>
      <c r="Z22" s="5"/>
      <c r="AA22" s="5"/>
      <c r="AB22" s="6">
        <f t="shared" si="4"/>
        <v>18080868.946144436</v>
      </c>
      <c r="AE22" s="4" t="s">
        <v>1</v>
      </c>
      <c r="AF22" s="5">
        <f>AF8/'C2004-1'!S8</f>
        <v>1488327.3993455693</v>
      </c>
      <c r="AG22" s="5">
        <f>AG8/'C2004-1'!T8</f>
        <v>944469.0023128388</v>
      </c>
      <c r="AH22" s="5"/>
      <c r="AI22" s="5"/>
      <c r="AJ22" s="5"/>
      <c r="AK22" s="5"/>
      <c r="AL22" s="5">
        <f>AL8/'C2004-1'!Y8</f>
        <v>38800.202793231154</v>
      </c>
      <c r="AM22" s="5"/>
      <c r="AN22" s="5"/>
      <c r="AO22" s="6">
        <f t="shared" si="5"/>
        <v>2471596.6044516396</v>
      </c>
      <c r="AR22" s="4" t="s">
        <v>1</v>
      </c>
      <c r="AS22" s="5">
        <f>AS8/'C2004-1'!AG8</f>
        <v>111576.03433752652</v>
      </c>
      <c r="AT22" s="5">
        <f>AT8/'C2004-1'!AH8</f>
        <v>96272.3298287631</v>
      </c>
      <c r="AU22" s="5"/>
      <c r="AV22" s="5"/>
      <c r="AW22" s="5"/>
      <c r="AX22" s="5"/>
      <c r="AY22" s="5">
        <f>AY8/'C2004-1'!AM8</f>
        <v>5142.517493399438</v>
      </c>
      <c r="AZ22" s="5"/>
      <c r="BA22" s="5"/>
      <c r="BB22" s="6">
        <f t="shared" si="6"/>
        <v>212990.88165968907</v>
      </c>
    </row>
    <row r="23" spans="3:54" ht="12.75">
      <c r="C23" s="4" t="s">
        <v>17</v>
      </c>
      <c r="D23" s="25">
        <f>S23+AF23+AS23</f>
        <v>8462258.98439799</v>
      </c>
      <c r="E23" s="25">
        <f>T23+AG23+AT23</f>
        <v>22978820.254343092</v>
      </c>
      <c r="F23" s="25">
        <f>U23+AH23+AU23</f>
        <v>35333626.54058429</v>
      </c>
      <c r="G23" s="25"/>
      <c r="H23" s="25"/>
      <c r="I23" s="25"/>
      <c r="J23" s="25">
        <f>Y23+AL23+AY23</f>
        <v>12456344.959125081</v>
      </c>
      <c r="K23" s="25">
        <f>Z23+AM23+AZ23</f>
        <v>10267397.805835268</v>
      </c>
      <c r="L23" s="25"/>
      <c r="M23" s="42">
        <f t="shared" si="3"/>
        <v>89498448.54428571</v>
      </c>
      <c r="R23" s="4" t="s">
        <v>17</v>
      </c>
      <c r="S23" s="5">
        <f>S9/'C2004-1'!E9</f>
        <v>7255755.984357026</v>
      </c>
      <c r="T23" s="5">
        <f>T9/'C2004-1'!F9</f>
        <v>19605763.568676215</v>
      </c>
      <c r="U23" s="5">
        <f>U9/'C2004-1'!G9</f>
        <v>31737637.789526556</v>
      </c>
      <c r="V23" s="5"/>
      <c r="W23" s="5"/>
      <c r="X23" s="5"/>
      <c r="Y23" s="5">
        <f>Y9/'C2004-1'!K9</f>
        <v>11007691.9800967</v>
      </c>
      <c r="Z23" s="5">
        <f>Z9/'C2004-1'!L9</f>
        <v>8431032.202981817</v>
      </c>
      <c r="AA23" s="5"/>
      <c r="AB23" s="6">
        <f t="shared" si="4"/>
        <v>78037881.52563831</v>
      </c>
      <c r="AE23" s="4" t="s">
        <v>17</v>
      </c>
      <c r="AF23" s="5">
        <f>AF9/'C2004-1'!S9</f>
        <v>1104679.875213624</v>
      </c>
      <c r="AG23" s="5">
        <f>AG9/'C2004-1'!T9</f>
        <v>3086020.81984312</v>
      </c>
      <c r="AH23" s="5">
        <f>AH9/'C2004-1'!U9</f>
        <v>3149564.6883515394</v>
      </c>
      <c r="AI23" s="5"/>
      <c r="AJ23" s="5"/>
      <c r="AK23" s="5"/>
      <c r="AL23" s="5">
        <f>AL9/'C2004-1'!Y9</f>
        <v>1302571.6891142027</v>
      </c>
      <c r="AM23" s="5">
        <f>AM9/'C2004-1'!Z9</f>
        <v>1709647.7788364852</v>
      </c>
      <c r="AN23" s="5"/>
      <c r="AO23" s="6">
        <f t="shared" si="5"/>
        <v>10352484.851358972</v>
      </c>
      <c r="AR23" s="4" t="s">
        <v>17</v>
      </c>
      <c r="AS23" s="5">
        <f>AS9/'C2004-1'!AG9</f>
        <v>101823.12482734016</v>
      </c>
      <c r="AT23" s="5">
        <f>AT9/'C2004-1'!AH9</f>
        <v>287035.86582375533</v>
      </c>
      <c r="AU23" s="5">
        <f>AU9/'C2004-1'!AI9</f>
        <v>446424.062706198</v>
      </c>
      <c r="AV23" s="5"/>
      <c r="AW23" s="5"/>
      <c r="AX23" s="5"/>
      <c r="AY23" s="5">
        <f>AY9/'C2004-1'!AM9</f>
        <v>146081.28991417814</v>
      </c>
      <c r="AZ23" s="5">
        <f>AZ9/'C2004-1'!AN9</f>
        <v>126717.8240169664</v>
      </c>
      <c r="BA23" s="5"/>
      <c r="BB23" s="6">
        <f t="shared" si="6"/>
        <v>1108082.1672884382</v>
      </c>
    </row>
    <row r="24" spans="3:54" ht="12.75">
      <c r="C24" s="4" t="s">
        <v>18</v>
      </c>
      <c r="D24" s="25">
        <f>S24+AF24+AS24</f>
        <v>2310682.292995363</v>
      </c>
      <c r="E24" s="25">
        <f>T24+AG24+AT24</f>
        <v>6996820.980601549</v>
      </c>
      <c r="F24" s="25">
        <f>U24+AH24+AU24</f>
        <v>46265001.617810614</v>
      </c>
      <c r="G24" s="25">
        <f>V24+AI24+AV24</f>
        <v>12842374.160821024</v>
      </c>
      <c r="H24" s="25"/>
      <c r="I24" s="25"/>
      <c r="J24" s="25">
        <f>Y24+AL24+AY24</f>
        <v>40249818.16231794</v>
      </c>
      <c r="K24" s="25">
        <f>Z24+AM24+AZ24</f>
        <v>119181472.23697235</v>
      </c>
      <c r="L24" s="25">
        <f>AA24+AN24+BA24</f>
        <v>1477303.5927038924</v>
      </c>
      <c r="M24" s="42">
        <f t="shared" si="3"/>
        <v>229323473.0442227</v>
      </c>
      <c r="R24" s="4" t="s">
        <v>18</v>
      </c>
      <c r="S24" s="5">
        <f>S10/'C2004-1'!E10</f>
        <v>1809889.0405042965</v>
      </c>
      <c r="T24" s="5">
        <f>T10/'C2004-1'!F10</f>
        <v>5797533.325533057</v>
      </c>
      <c r="U24" s="5">
        <f>U10/'C2004-1'!G10</f>
        <v>40566289.681356445</v>
      </c>
      <c r="V24" s="5">
        <f>V10/'C2004-1'!H10</f>
        <v>11186625.477307344</v>
      </c>
      <c r="W24" s="5"/>
      <c r="X24" s="5"/>
      <c r="Y24" s="5">
        <f>Y10/'C2004-1'!K10</f>
        <v>35359362.00221592</v>
      </c>
      <c r="Z24" s="5">
        <f>Z10/'C2004-1'!L10</f>
        <v>103546366.62856473</v>
      </c>
      <c r="AA24" s="5">
        <f>AA10/'C2004-1'!M10</f>
        <v>1300352.6160604581</v>
      </c>
      <c r="AB24" s="6">
        <f t="shared" si="4"/>
        <v>199566418.77154228</v>
      </c>
      <c r="AE24" s="4" t="s">
        <v>18</v>
      </c>
      <c r="AF24" s="5">
        <f>AF10/'C2004-1'!S10</f>
        <v>479267.4555783386</v>
      </c>
      <c r="AG24" s="5">
        <f>AG10/'C2004-1'!T10</f>
        <v>1138283.8364627063</v>
      </c>
      <c r="AH24" s="5">
        <f>AH10/'C2004-1'!U10</f>
        <v>5320575.811416706</v>
      </c>
      <c r="AI24" s="5">
        <f>AI10/'C2004-1'!V10</f>
        <v>1552348.8270527797</v>
      </c>
      <c r="AJ24" s="5"/>
      <c r="AK24" s="5"/>
      <c r="AL24" s="5">
        <f>AL10/'C2004-1'!Y10</f>
        <v>4623793.378592993</v>
      </c>
      <c r="AM24" s="5">
        <f>AM10/'C2004-1'!Z10</f>
        <v>14804377.503352728</v>
      </c>
      <c r="AN24" s="5">
        <f>AN10/'C2004-1'!AA10</f>
        <v>165649.26088360584</v>
      </c>
      <c r="AO24" s="6">
        <f t="shared" si="5"/>
        <v>28084296.073339857</v>
      </c>
      <c r="AR24" s="4" t="s">
        <v>18</v>
      </c>
      <c r="AS24" s="5">
        <f>AS10/'C2004-1'!AG10</f>
        <v>21525.796912728056</v>
      </c>
      <c r="AT24" s="5">
        <f>AT10/'C2004-1'!AH10</f>
        <v>61003.818605785724</v>
      </c>
      <c r="AU24" s="5">
        <f>AU10/'C2004-1'!AI10</f>
        <v>378136.1250374648</v>
      </c>
      <c r="AV24" s="5">
        <f>AV10/'C2004-1'!AJ10</f>
        <v>103399.85646090012</v>
      </c>
      <c r="AW24" s="5"/>
      <c r="AX24" s="5"/>
      <c r="AY24" s="5">
        <f>AY10/'C2004-1'!AM10</f>
        <v>266662.78150902386</v>
      </c>
      <c r="AZ24" s="5">
        <f>AZ10/'C2004-1'!AN10</f>
        <v>830728.1050548925</v>
      </c>
      <c r="BA24" s="5">
        <f>BA10/'C2004-1'!AO10</f>
        <v>11301.715759828388</v>
      </c>
      <c r="BB24" s="6">
        <f t="shared" si="6"/>
        <v>1672758.1993406236</v>
      </c>
    </row>
    <row r="25" spans="3:54" ht="12.75">
      <c r="C25" s="4" t="s">
        <v>19</v>
      </c>
      <c r="D25" s="25"/>
      <c r="E25" s="25"/>
      <c r="F25" s="25">
        <f>U25+AH25+AU25</f>
        <v>4636620.200782627</v>
      </c>
      <c r="G25" s="25"/>
      <c r="H25" s="25">
        <f>W25+AJ25+AW25</f>
        <v>10153315.025347695</v>
      </c>
      <c r="I25" s="25">
        <f>X25+AK25+AX25</f>
        <v>2669423.255026282</v>
      </c>
      <c r="J25" s="25">
        <f>Y25+AL25+AY25</f>
        <v>12853494.228498787</v>
      </c>
      <c r="K25" s="25">
        <f>Z25+AM25+AZ25</f>
        <v>202102388.14753947</v>
      </c>
      <c r="L25" s="25">
        <f>AA25+AN25+BA25</f>
        <v>31014488.783695474</v>
      </c>
      <c r="M25" s="42">
        <f t="shared" si="3"/>
        <v>263429729.6408903</v>
      </c>
      <c r="R25" s="4" t="s">
        <v>19</v>
      </c>
      <c r="S25" s="5"/>
      <c r="T25" s="5"/>
      <c r="U25" s="5">
        <f>U11/'C2004-1'!G11</f>
        <v>3778539.632265196</v>
      </c>
      <c r="V25" s="5"/>
      <c r="W25" s="5">
        <f>W11/'C2004-1'!I11</f>
        <v>7904361.048343345</v>
      </c>
      <c r="X25" s="5">
        <f>X11/'C2004-1'!J11</f>
        <v>2266994.349407772</v>
      </c>
      <c r="Y25" s="5">
        <f>Y11/'C2004-1'!K11</f>
        <v>10027738.721315704</v>
      </c>
      <c r="Z25" s="5">
        <f>Z11/'C2004-1'!L11</f>
        <v>166333969.2507503</v>
      </c>
      <c r="AA25" s="5">
        <f>AA11/'C2004-1'!M11</f>
        <v>24027851.670300502</v>
      </c>
      <c r="AB25" s="6">
        <f t="shared" si="4"/>
        <v>214339454.67238283</v>
      </c>
      <c r="AE25" s="4" t="s">
        <v>19</v>
      </c>
      <c r="AF25" s="5"/>
      <c r="AG25" s="5"/>
      <c r="AH25" s="5">
        <f>AH11/'C2004-1'!U11</f>
        <v>832830.753007966</v>
      </c>
      <c r="AI25" s="5"/>
      <c r="AJ25" s="5">
        <f>AJ11/'C2004-1'!W11</f>
        <v>2190714.9906743322</v>
      </c>
      <c r="AK25" s="5">
        <f>AK11/'C2004-1'!X11</f>
        <v>388833.8145055883</v>
      </c>
      <c r="AL25" s="5">
        <f>AL11/'C2004-1'!Y11</f>
        <v>2757891.243189588</v>
      </c>
      <c r="AM25" s="5">
        <f>AM11/'C2004-1'!Z11</f>
        <v>34686356.17520205</v>
      </c>
      <c r="AN25" s="5">
        <f>AN11/'C2004-1'!AA11</f>
        <v>6812605.004591384</v>
      </c>
      <c r="AO25" s="6">
        <f t="shared" si="5"/>
        <v>47669231.98117091</v>
      </c>
      <c r="AR25" s="4" t="s">
        <v>19</v>
      </c>
      <c r="AS25" s="5"/>
      <c r="AT25" s="5"/>
      <c r="AU25" s="5">
        <f>AU11/'C2004-1'!AI11</f>
        <v>25249.815509465057</v>
      </c>
      <c r="AV25" s="5"/>
      <c r="AW25" s="5">
        <f>AW11/'C2004-1'!AK11</f>
        <v>58238.986330016574</v>
      </c>
      <c r="AX25" s="5">
        <f>AX11/'C2004-1'!AL11</f>
        <v>13595.091112921269</v>
      </c>
      <c r="AY25" s="5">
        <f>AY11/'C2004-1'!AM11</f>
        <v>67864.26399349431</v>
      </c>
      <c r="AZ25" s="5">
        <f>AZ11/'C2004-1'!AN11</f>
        <v>1082062.7215871257</v>
      </c>
      <c r="BA25" s="5">
        <f>BA11/'C2004-1'!AO11</f>
        <v>174032.10880358814</v>
      </c>
      <c r="BB25" s="6">
        <f t="shared" si="6"/>
        <v>1421042.9873366111</v>
      </c>
    </row>
    <row r="26" spans="3:54" ht="12.75">
      <c r="C26" s="4" t="s">
        <v>7</v>
      </c>
      <c r="D26" s="25">
        <f>S26+AF26+AS26</f>
        <v>6937295.687957567</v>
      </c>
      <c r="E26" s="25">
        <f>T26+AG26+AT26</f>
        <v>5979184.52080487</v>
      </c>
      <c r="F26" s="25">
        <f>U26+AH26+AU26</f>
        <v>4341156.6929479465</v>
      </c>
      <c r="G26" s="25">
        <f>V26+AI26+AV26</f>
        <v>427926.613839268</v>
      </c>
      <c r="H26" s="25">
        <f>W26+AJ26+AW26</f>
        <v>1283530.654271451</v>
      </c>
      <c r="I26" s="25"/>
      <c r="J26" s="25">
        <f>Y26+AL26+AY26</f>
        <v>916466.663023588</v>
      </c>
      <c r="K26" s="25">
        <f>Z26+AM26+AZ26</f>
        <v>195591.75969262942</v>
      </c>
      <c r="L26" s="25">
        <f>AA26+AN26+BA26</f>
        <v>2044.7091157070604</v>
      </c>
      <c r="M26" s="42">
        <f t="shared" si="3"/>
        <v>20083197.301653024</v>
      </c>
      <c r="R26" s="80" t="s">
        <v>7</v>
      </c>
      <c r="S26" s="2">
        <f>S12</f>
        <v>5891519.021417325</v>
      </c>
      <c r="T26" s="2">
        <f>T12</f>
        <v>5077840.259574849</v>
      </c>
      <c r="U26" s="2">
        <f>U12</f>
        <v>3686740.2489205245</v>
      </c>
      <c r="V26" s="2">
        <f>V12</f>
        <v>363417.95111619506</v>
      </c>
      <c r="W26" s="2">
        <f>W12</f>
        <v>1090042.230337571</v>
      </c>
      <c r="Y26" s="2">
        <f>Y12</f>
        <v>778312.0426985838</v>
      </c>
      <c r="Z26" s="2">
        <f>Z12</f>
        <v>166106.88436733984</v>
      </c>
      <c r="AA26" s="2">
        <f>AA12</f>
        <v>1736.4753054082637</v>
      </c>
      <c r="AB26" s="6">
        <f t="shared" si="4"/>
        <v>17055715.113737796</v>
      </c>
      <c r="AE26" s="80" t="s">
        <v>7</v>
      </c>
      <c r="AF26" s="2">
        <f>AF12</f>
        <v>933605.7482972718</v>
      </c>
      <c r="AG26" s="2">
        <f>AG12</f>
        <v>804665.288873822</v>
      </c>
      <c r="AH26" s="2">
        <f>AH12</f>
        <v>584223.164918694</v>
      </c>
      <c r="AI26" s="2">
        <f>AI12</f>
        <v>57589.40724167834</v>
      </c>
      <c r="AJ26" s="2">
        <f>AJ12</f>
        <v>172734.68666237345</v>
      </c>
      <c r="AL26" s="2">
        <f>AL12</f>
        <v>123336.03513641583</v>
      </c>
      <c r="AM26" s="2">
        <f>AM12</f>
        <v>26322.30185684632</v>
      </c>
      <c r="AN26" s="2">
        <f>AN12</f>
        <v>275.17238271012263</v>
      </c>
      <c r="AO26" s="6">
        <f t="shared" si="5"/>
        <v>2702751.8053698116</v>
      </c>
      <c r="AR26" s="80" t="s">
        <v>7</v>
      </c>
      <c r="AS26" s="2">
        <f>AS12</f>
        <v>112170.91824296968</v>
      </c>
      <c r="AT26" s="2">
        <f>AT12</f>
        <v>96678.9723561997</v>
      </c>
      <c r="AU26" s="2">
        <f>AU12</f>
        <v>70193.27910872859</v>
      </c>
      <c r="AV26" s="2">
        <f>AV12</f>
        <v>6919.255481394583</v>
      </c>
      <c r="AW26" s="2">
        <f>AW12</f>
        <v>20753.737271506798</v>
      </c>
      <c r="AY26" s="2">
        <f>AY12</f>
        <v>14818.585188588395</v>
      </c>
      <c r="AZ26" s="2">
        <f>AZ12</f>
        <v>3162.57346844327</v>
      </c>
      <c r="BA26" s="2">
        <f>BA12</f>
        <v>33.061427588674285</v>
      </c>
      <c r="BB26" s="6">
        <f t="shared" si="6"/>
        <v>324730.38254541974</v>
      </c>
    </row>
    <row r="27" spans="3:54" ht="13.5" thickBot="1">
      <c r="C27" s="7" t="s">
        <v>5</v>
      </c>
      <c r="D27" s="8">
        <f aca="true" t="shared" si="7" ref="D27:L27">SUM(D21:D26)</f>
        <v>30833589.536924206</v>
      </c>
      <c r="E27" s="8">
        <f t="shared" si="7"/>
        <v>45589061.19796137</v>
      </c>
      <c r="F27" s="8">
        <f t="shared" si="7"/>
        <v>90576405.05212548</v>
      </c>
      <c r="G27" s="8">
        <f t="shared" si="7"/>
        <v>13270300.774660293</v>
      </c>
      <c r="H27" s="8">
        <f t="shared" si="7"/>
        <v>11436845.679619147</v>
      </c>
      <c r="I27" s="8">
        <f t="shared" si="7"/>
        <v>2669423.255026282</v>
      </c>
      <c r="J27" s="8">
        <f t="shared" si="7"/>
        <v>66910383.47998243</v>
      </c>
      <c r="K27" s="8">
        <f t="shared" si="7"/>
        <v>331746849.9500397</v>
      </c>
      <c r="L27" s="9">
        <f t="shared" si="7"/>
        <v>32493837.085515074</v>
      </c>
      <c r="M27" s="43">
        <f>SUM(D27:L27)</f>
        <v>625526696.0118539</v>
      </c>
      <c r="R27" s="7" t="s">
        <v>5</v>
      </c>
      <c r="S27" s="8">
        <f aca="true" t="shared" si="8" ref="S27:AA27">SUM(S21:S26)</f>
        <v>26205787.40032936</v>
      </c>
      <c r="T27" s="8">
        <f t="shared" si="8"/>
        <v>39074631.263854384</v>
      </c>
      <c r="U27" s="8">
        <f t="shared" si="8"/>
        <v>79769207.35206872</v>
      </c>
      <c r="V27" s="8">
        <f t="shared" si="8"/>
        <v>11550043.428423539</v>
      </c>
      <c r="W27" s="8">
        <f t="shared" si="8"/>
        <v>8994403.278680915</v>
      </c>
      <c r="X27" s="8">
        <f t="shared" si="8"/>
        <v>2266994.349407772</v>
      </c>
      <c r="Y27" s="8">
        <f t="shared" si="8"/>
        <v>57563421.49305731</v>
      </c>
      <c r="Z27" s="8">
        <f t="shared" si="8"/>
        <v>278477474.9666642</v>
      </c>
      <c r="AA27" s="8">
        <f t="shared" si="8"/>
        <v>25329940.76166637</v>
      </c>
      <c r="AB27" s="9">
        <f>SUM(S27:AA27)</f>
        <v>529231904.29415256</v>
      </c>
      <c r="AE27" s="7" t="s">
        <v>5</v>
      </c>
      <c r="AF27" s="8">
        <f aca="true" t="shared" si="9" ref="AF27:AN27">SUM(AF21:AF26)</f>
        <v>4248589.301122172</v>
      </c>
      <c r="AG27" s="8">
        <f t="shared" si="9"/>
        <v>5973438.947492488</v>
      </c>
      <c r="AH27" s="8">
        <f t="shared" si="9"/>
        <v>9887194.417694906</v>
      </c>
      <c r="AI27" s="8">
        <f t="shared" si="9"/>
        <v>1609938.234294458</v>
      </c>
      <c r="AJ27" s="8">
        <f t="shared" si="9"/>
        <v>2363449.677336706</v>
      </c>
      <c r="AK27" s="8">
        <f t="shared" si="9"/>
        <v>388833.8145055883</v>
      </c>
      <c r="AL27" s="8">
        <f t="shared" si="9"/>
        <v>8846392.548826432</v>
      </c>
      <c r="AM27" s="8">
        <f t="shared" si="9"/>
        <v>51226703.75924811</v>
      </c>
      <c r="AN27" s="8">
        <f t="shared" si="9"/>
        <v>6978529.4378577005</v>
      </c>
      <c r="AO27" s="9">
        <f>SUM(AF27:AN27)</f>
        <v>91523070.13837856</v>
      </c>
      <c r="AR27" s="7" t="s">
        <v>5</v>
      </c>
      <c r="AS27" s="8">
        <f aca="true" t="shared" si="10" ref="AS27:BA27">SUM(AS21:AS26)</f>
        <v>379212.8354726713</v>
      </c>
      <c r="AT27" s="8">
        <f t="shared" si="10"/>
        <v>540990.9866145039</v>
      </c>
      <c r="AU27" s="8">
        <f t="shared" si="10"/>
        <v>920003.2823618565</v>
      </c>
      <c r="AV27" s="8">
        <f t="shared" si="10"/>
        <v>110319.1119422947</v>
      </c>
      <c r="AW27" s="8">
        <f t="shared" si="10"/>
        <v>78992.72360152338</v>
      </c>
      <c r="AX27" s="8">
        <f t="shared" si="10"/>
        <v>13595.091112921269</v>
      </c>
      <c r="AY27" s="8">
        <f t="shared" si="10"/>
        <v>500569.4380986842</v>
      </c>
      <c r="AZ27" s="8">
        <f t="shared" si="10"/>
        <v>2042671.224127428</v>
      </c>
      <c r="BA27" s="8">
        <f t="shared" si="10"/>
        <v>185366.8859910052</v>
      </c>
      <c r="BB27" s="9">
        <f>SUM(AS27:BA27)</f>
        <v>4771721.5793228885</v>
      </c>
    </row>
    <row r="28" spans="3:11" ht="13.5" thickTop="1">
      <c r="C28" s="44"/>
      <c r="E28" s="37"/>
      <c r="F28" s="37"/>
      <c r="G28" s="37"/>
      <c r="J28" s="37"/>
      <c r="K28" s="37"/>
    </row>
    <row r="29" spans="3:11" ht="12.75">
      <c r="C29" s="44"/>
      <c r="E29" s="37"/>
      <c r="F29" s="37"/>
      <c r="G29" s="37"/>
      <c r="J29" s="37"/>
      <c r="K29" s="37"/>
    </row>
    <row r="30" spans="3:11" ht="12.75">
      <c r="C30" s="44"/>
      <c r="E30" s="37"/>
      <c r="F30" s="37"/>
      <c r="G30" s="37"/>
      <c r="J30" s="37"/>
      <c r="K30" s="37"/>
    </row>
    <row r="32" spans="3:13" ht="16.5" thickBot="1">
      <c r="C32" s="264" t="s">
        <v>343</v>
      </c>
      <c r="D32" s="61"/>
      <c r="E32" s="262"/>
      <c r="F32" s="262"/>
      <c r="G32" s="262"/>
      <c r="H32" s="262"/>
      <c r="I32" s="61"/>
      <c r="J32" s="262"/>
      <c r="K32" s="262"/>
      <c r="L32" s="61"/>
      <c r="M32" s="61"/>
    </row>
    <row r="33" spans="3:54" ht="13.5" thickTop="1">
      <c r="C33" s="105" t="s">
        <v>65</v>
      </c>
      <c r="D33" s="106"/>
      <c r="E33" s="106"/>
      <c r="F33" s="106"/>
      <c r="G33" s="106"/>
      <c r="H33" s="106"/>
      <c r="I33" s="106"/>
      <c r="J33" s="106"/>
      <c r="K33" s="106"/>
      <c r="L33" s="107"/>
      <c r="M33" s="50"/>
      <c r="R33" s="105" t="s">
        <v>108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E33" s="105" t="s">
        <v>109</v>
      </c>
      <c r="AF33" s="106"/>
      <c r="AG33" s="106"/>
      <c r="AH33" s="106"/>
      <c r="AI33" s="106"/>
      <c r="AJ33" s="106"/>
      <c r="AK33" s="106"/>
      <c r="AL33" s="106"/>
      <c r="AM33" s="106"/>
      <c r="AN33" s="106"/>
      <c r="AO33" s="107"/>
      <c r="AR33" s="105" t="s">
        <v>110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</row>
    <row r="34" spans="3:54" ht="12.75">
      <c r="C34" s="38" t="s">
        <v>10</v>
      </c>
      <c r="D34" s="100" t="s">
        <v>9</v>
      </c>
      <c r="E34" s="101"/>
      <c r="F34" s="101"/>
      <c r="G34" s="101"/>
      <c r="H34" s="101"/>
      <c r="I34" s="102"/>
      <c r="J34" s="103" t="s">
        <v>6</v>
      </c>
      <c r="K34" s="103"/>
      <c r="L34" s="104"/>
      <c r="M34" s="55" t="s">
        <v>5</v>
      </c>
      <c r="R34" s="76" t="s">
        <v>10</v>
      </c>
      <c r="S34" s="100" t="s">
        <v>9</v>
      </c>
      <c r="T34" s="101"/>
      <c r="U34" s="101"/>
      <c r="V34" s="101"/>
      <c r="W34" s="101"/>
      <c r="X34" s="102"/>
      <c r="Y34" s="103" t="s">
        <v>6</v>
      </c>
      <c r="Z34" s="103"/>
      <c r="AA34" s="103"/>
      <c r="AB34" s="77" t="s">
        <v>5</v>
      </c>
      <c r="AE34" s="76" t="s">
        <v>10</v>
      </c>
      <c r="AF34" s="100" t="s">
        <v>9</v>
      </c>
      <c r="AG34" s="101"/>
      <c r="AH34" s="101"/>
      <c r="AI34" s="101"/>
      <c r="AJ34" s="101"/>
      <c r="AK34" s="102"/>
      <c r="AL34" s="103" t="s">
        <v>6</v>
      </c>
      <c r="AM34" s="103"/>
      <c r="AN34" s="103"/>
      <c r="AO34" s="77" t="s">
        <v>5</v>
      </c>
      <c r="AR34" s="76" t="s">
        <v>10</v>
      </c>
      <c r="AS34" s="100" t="s">
        <v>9</v>
      </c>
      <c r="AT34" s="101"/>
      <c r="AU34" s="101"/>
      <c r="AV34" s="101"/>
      <c r="AW34" s="101"/>
      <c r="AX34" s="102"/>
      <c r="AY34" s="103" t="s">
        <v>6</v>
      </c>
      <c r="AZ34" s="103"/>
      <c r="BA34" s="103"/>
      <c r="BB34" s="77" t="s">
        <v>5</v>
      </c>
    </row>
    <row r="35" spans="3:54" ht="12.75">
      <c r="C35" s="39" t="s">
        <v>11</v>
      </c>
      <c r="D35" s="3" t="s">
        <v>0</v>
      </c>
      <c r="E35" s="3" t="s">
        <v>1</v>
      </c>
      <c r="F35" s="3" t="s">
        <v>12</v>
      </c>
      <c r="G35" s="3" t="s">
        <v>13</v>
      </c>
      <c r="H35" s="3" t="s">
        <v>14</v>
      </c>
      <c r="I35" s="3" t="s">
        <v>4</v>
      </c>
      <c r="J35" s="3" t="s">
        <v>1</v>
      </c>
      <c r="K35" s="3" t="s">
        <v>15</v>
      </c>
      <c r="L35" s="54" t="s">
        <v>13</v>
      </c>
      <c r="M35" s="56" t="s">
        <v>16</v>
      </c>
      <c r="R35" s="78" t="s">
        <v>11</v>
      </c>
      <c r="S35" s="3" t="s">
        <v>0</v>
      </c>
      <c r="T35" s="3" t="s">
        <v>1</v>
      </c>
      <c r="U35" s="3" t="s">
        <v>12</v>
      </c>
      <c r="V35" s="3" t="s">
        <v>13</v>
      </c>
      <c r="W35" s="3" t="s">
        <v>14</v>
      </c>
      <c r="X35" s="3" t="s">
        <v>4</v>
      </c>
      <c r="Y35" s="3" t="s">
        <v>1</v>
      </c>
      <c r="Z35" s="3" t="s">
        <v>15</v>
      </c>
      <c r="AA35" s="3" t="s">
        <v>13</v>
      </c>
      <c r="AB35" s="79" t="s">
        <v>16</v>
      </c>
      <c r="AE35" s="78" t="s">
        <v>11</v>
      </c>
      <c r="AF35" s="3" t="s">
        <v>0</v>
      </c>
      <c r="AG35" s="3" t="s">
        <v>1</v>
      </c>
      <c r="AH35" s="3" t="s">
        <v>12</v>
      </c>
      <c r="AI35" s="3" t="s">
        <v>13</v>
      </c>
      <c r="AJ35" s="3" t="s">
        <v>14</v>
      </c>
      <c r="AK35" s="3" t="s">
        <v>4</v>
      </c>
      <c r="AL35" s="3" t="s">
        <v>1</v>
      </c>
      <c r="AM35" s="3" t="s">
        <v>15</v>
      </c>
      <c r="AN35" s="3" t="s">
        <v>13</v>
      </c>
      <c r="AO35" s="79" t="s">
        <v>16</v>
      </c>
      <c r="AR35" s="78" t="s">
        <v>11</v>
      </c>
      <c r="AS35" s="3" t="s">
        <v>0</v>
      </c>
      <c r="AT35" s="3" t="s">
        <v>1</v>
      </c>
      <c r="AU35" s="3" t="s">
        <v>12</v>
      </c>
      <c r="AV35" s="3" t="s">
        <v>13</v>
      </c>
      <c r="AW35" s="3" t="s">
        <v>14</v>
      </c>
      <c r="AX35" s="3" t="s">
        <v>4</v>
      </c>
      <c r="AY35" s="3" t="s">
        <v>1</v>
      </c>
      <c r="AZ35" s="3" t="s">
        <v>15</v>
      </c>
      <c r="BA35" s="3" t="s">
        <v>13</v>
      </c>
      <c r="BB35" s="79" t="s">
        <v>16</v>
      </c>
    </row>
    <row r="36" spans="3:54" ht="12.75">
      <c r="C36" s="4" t="s">
        <v>0</v>
      </c>
      <c r="D36" s="25">
        <v>3377362.794033</v>
      </c>
      <c r="E36" s="25"/>
      <c r="F36" s="25"/>
      <c r="G36" s="25"/>
      <c r="H36" s="25"/>
      <c r="I36" s="25"/>
      <c r="J36" s="25"/>
      <c r="K36" s="25"/>
      <c r="L36" s="25"/>
      <c r="M36" s="42">
        <f aca="true" t="shared" si="11" ref="M36:M41">SUM(D36:L36)</f>
        <v>3377362.794033</v>
      </c>
      <c r="R36" s="4" t="s">
        <v>0</v>
      </c>
      <c r="S36" s="5">
        <f>S21*D36/D21</f>
        <v>2994824.9596074848</v>
      </c>
      <c r="T36" s="5"/>
      <c r="U36" s="5"/>
      <c r="V36" s="5"/>
      <c r="W36" s="5"/>
      <c r="X36" s="5"/>
      <c r="Y36" s="5"/>
      <c r="Z36" s="5"/>
      <c r="AA36" s="5"/>
      <c r="AB36" s="6">
        <f aca="true" t="shared" si="12" ref="AB36:AB41">SUM(S36:AA36)</f>
        <v>2994824.9596074848</v>
      </c>
      <c r="AE36" s="4" t="s">
        <v>0</v>
      </c>
      <c r="AF36" s="5">
        <f>AF21*D36/D21</f>
        <v>337833.3216399476</v>
      </c>
      <c r="AG36" s="5"/>
      <c r="AH36" s="5"/>
      <c r="AI36" s="5"/>
      <c r="AJ36" s="5"/>
      <c r="AK36" s="5"/>
      <c r="AL36" s="5"/>
      <c r="AM36" s="5"/>
      <c r="AN36" s="5"/>
      <c r="AO36" s="6">
        <f aca="true" t="shared" si="13" ref="AO36:AO41">SUM(AF36:AN36)</f>
        <v>337833.3216399476</v>
      </c>
      <c r="AR36" s="4" t="s">
        <v>0</v>
      </c>
      <c r="AS36" s="5">
        <f>AS21*D36/D21</f>
        <v>44704.512785567335</v>
      </c>
      <c r="AT36" s="5"/>
      <c r="AU36" s="5"/>
      <c r="AV36" s="5"/>
      <c r="AW36" s="5"/>
      <c r="AX36" s="5"/>
      <c r="AY36" s="5"/>
      <c r="AZ36" s="5"/>
      <c r="BA36" s="5"/>
      <c r="BB36" s="6">
        <f aca="true" t="shared" si="14" ref="BB36:BB41">SUM(AS36:BA36)</f>
        <v>44704.512785567335</v>
      </c>
    </row>
    <row r="37" spans="3:54" ht="12.75">
      <c r="C37" s="4" t="s">
        <v>1</v>
      </c>
      <c r="D37" s="25">
        <v>8374659.13658137</v>
      </c>
      <c r="E37" s="25">
        <v>7832023.394139628</v>
      </c>
      <c r="F37" s="25"/>
      <c r="G37" s="25"/>
      <c r="H37" s="25"/>
      <c r="I37" s="25"/>
      <c r="J37" s="25">
        <v>389513.46726599993</v>
      </c>
      <c r="K37" s="25"/>
      <c r="L37" s="25"/>
      <c r="M37" s="42">
        <f t="shared" si="11"/>
        <v>16596195.997986998</v>
      </c>
      <c r="R37" s="4" t="s">
        <v>1</v>
      </c>
      <c r="S37" s="5">
        <f>S22*D37/D22</f>
        <v>7122093.547773803</v>
      </c>
      <c r="T37" s="5">
        <f>T22*E37/E22</f>
        <v>6985966.58875293</v>
      </c>
      <c r="U37" s="5"/>
      <c r="V37" s="5"/>
      <c r="W37" s="5"/>
      <c r="X37" s="5"/>
      <c r="Y37" s="5">
        <f>Y22*J37/J22</f>
        <v>350098.59519074287</v>
      </c>
      <c r="Z37" s="5"/>
      <c r="AA37" s="5"/>
      <c r="AB37" s="6">
        <f t="shared" si="12"/>
        <v>14458158.731717477</v>
      </c>
      <c r="AE37" s="4" t="s">
        <v>1</v>
      </c>
      <c r="AF37" s="5">
        <f>AF22*D37/D22</f>
        <v>1165212.6284947884</v>
      </c>
      <c r="AG37" s="5">
        <f>AG22*E37/E22</f>
        <v>767793.4970058834</v>
      </c>
      <c r="AH37" s="5"/>
      <c r="AI37" s="5"/>
      <c r="AJ37" s="5"/>
      <c r="AK37" s="5"/>
      <c r="AL37" s="5">
        <f>AL22*J37/J22</f>
        <v>34802.238450734265</v>
      </c>
      <c r="AM37" s="5"/>
      <c r="AN37" s="5"/>
      <c r="AO37" s="6">
        <f t="shared" si="13"/>
        <v>1967808.363951406</v>
      </c>
      <c r="AR37" s="4" t="s">
        <v>1</v>
      </c>
      <c r="AS37" s="5">
        <f>AS22*D37/D22</f>
        <v>87352.96031277829</v>
      </c>
      <c r="AT37" s="5">
        <f>AT22*E37/E22</f>
        <v>78263.30838081443</v>
      </c>
      <c r="AU37" s="5"/>
      <c r="AV37" s="5"/>
      <c r="AW37" s="5"/>
      <c r="AX37" s="5"/>
      <c r="AY37" s="5">
        <f>AY22*J37/J22</f>
        <v>4612.6336245227485</v>
      </c>
      <c r="AZ37" s="5"/>
      <c r="BA37" s="5"/>
      <c r="BB37" s="6">
        <f t="shared" si="14"/>
        <v>170228.90231811546</v>
      </c>
    </row>
    <row r="38" spans="3:54" ht="12.75">
      <c r="C38" s="4" t="s">
        <v>17</v>
      </c>
      <c r="D38" s="25">
        <v>7553857.562094959</v>
      </c>
      <c r="E38" s="25">
        <v>19052651.01944194</v>
      </c>
      <c r="F38" s="25">
        <v>37616166.1313551</v>
      </c>
      <c r="G38" s="25"/>
      <c r="H38" s="25"/>
      <c r="I38" s="25"/>
      <c r="J38" s="25">
        <v>11494402.714940999</v>
      </c>
      <c r="K38" s="25">
        <v>8741777.239043996</v>
      </c>
      <c r="L38" s="25"/>
      <c r="M38" s="42">
        <f t="shared" si="11"/>
        <v>84458854.66687699</v>
      </c>
      <c r="R38" s="4" t="s">
        <v>17</v>
      </c>
      <c r="S38" s="5">
        <f>S23*D38/D23</f>
        <v>6476869.511108471</v>
      </c>
      <c r="T38" s="5">
        <f>T23*E38/E23</f>
        <v>16255915.974323163</v>
      </c>
      <c r="U38" s="5">
        <f>U23*F38/F23</f>
        <v>33787877.79783509</v>
      </c>
      <c r="V38" s="5"/>
      <c r="W38" s="5"/>
      <c r="X38" s="5"/>
      <c r="Y38" s="5">
        <f>Y23*J38/J23</f>
        <v>10157622.079064906</v>
      </c>
      <c r="Z38" s="5">
        <f>Z23*K38/K23</f>
        <v>7178275.0417818865</v>
      </c>
      <c r="AA38" s="5"/>
      <c r="AB38" s="6">
        <f t="shared" si="12"/>
        <v>73856560.40411352</v>
      </c>
      <c r="AE38" s="4" t="s">
        <v>17</v>
      </c>
      <c r="AF38" s="5">
        <f>AF23*D38/D23</f>
        <v>986095.3729331162</v>
      </c>
      <c r="AG38" s="5">
        <f>AG23*E38/E23</f>
        <v>2558742.227338247</v>
      </c>
      <c r="AH38" s="5">
        <f>AH23*F38/F23</f>
        <v>3353025.436616335</v>
      </c>
      <c r="AI38" s="5"/>
      <c r="AJ38" s="5"/>
      <c r="AK38" s="5"/>
      <c r="AL38" s="5">
        <f>AL23*J38/J23</f>
        <v>1201980.4853582997</v>
      </c>
      <c r="AM38" s="5">
        <f>AM23*K38/K23</f>
        <v>1455613.2257114863</v>
      </c>
      <c r="AN38" s="5"/>
      <c r="AO38" s="6">
        <f t="shared" si="13"/>
        <v>9555456.747957483</v>
      </c>
      <c r="AR38" s="4" t="s">
        <v>17</v>
      </c>
      <c r="AS38" s="5">
        <f>AS23*D38/D23</f>
        <v>90892.67805337215</v>
      </c>
      <c r="AT38" s="5">
        <f>AT23*E38/E23</f>
        <v>237992.81778052758</v>
      </c>
      <c r="AU38" s="5">
        <f>AU23*F38/F23</f>
        <v>475262.89690367965</v>
      </c>
      <c r="AV38" s="5"/>
      <c r="AW38" s="5"/>
      <c r="AX38" s="5"/>
      <c r="AY38" s="5">
        <f>AY23*J38/J23</f>
        <v>134800.15051779294</v>
      </c>
      <c r="AZ38" s="5">
        <f>AZ23*K38/K23</f>
        <v>107888.9715506239</v>
      </c>
      <c r="BA38" s="5"/>
      <c r="BB38" s="6">
        <f t="shared" si="14"/>
        <v>1046837.5148059961</v>
      </c>
    </row>
    <row r="39" spans="3:54" ht="12.75">
      <c r="C39" s="4" t="s">
        <v>18</v>
      </c>
      <c r="D39" s="25">
        <v>2518024.0372162643</v>
      </c>
      <c r="E39" s="25">
        <v>6799910.44250224</v>
      </c>
      <c r="F39" s="25">
        <v>42114434.10209925</v>
      </c>
      <c r="G39" s="25">
        <v>5457518.971286237</v>
      </c>
      <c r="H39" s="25"/>
      <c r="I39" s="25"/>
      <c r="J39" s="25">
        <v>34429457.18926799</v>
      </c>
      <c r="K39" s="25">
        <v>95793822.70942102</v>
      </c>
      <c r="L39" s="25">
        <v>867027.224769</v>
      </c>
      <c r="M39" s="42">
        <f t="shared" si="11"/>
        <v>187980194.676562</v>
      </c>
      <c r="R39" s="4" t="s">
        <v>18</v>
      </c>
      <c r="S39" s="5">
        <f>S24*D39/D24</f>
        <v>1972293.6911315334</v>
      </c>
      <c r="T39" s="5">
        <f>T24*E39/E24</f>
        <v>5634374.169404234</v>
      </c>
      <c r="U39" s="5">
        <f>U24*F39/F24</f>
        <v>36926970.1461431</v>
      </c>
      <c r="V39" s="5">
        <f>V24*G39/G24</f>
        <v>4753888.961850316</v>
      </c>
      <c r="W39" s="5"/>
      <c r="X39" s="5"/>
      <c r="Y39" s="5">
        <f>Y24*J39/J24</f>
        <v>30246189.818439014</v>
      </c>
      <c r="Z39" s="5">
        <f>Z24*K39/K24</f>
        <v>83226881.6691488</v>
      </c>
      <c r="AA39" s="5">
        <f>AA24*L39/L24</f>
        <v>763174.9665351217</v>
      </c>
      <c r="AB39" s="6">
        <f t="shared" si="12"/>
        <v>163523773.42265213</v>
      </c>
      <c r="AE39" s="4" t="s">
        <v>18</v>
      </c>
      <c r="AF39" s="5">
        <f>AF24*D39/D24</f>
        <v>522273.0000831648</v>
      </c>
      <c r="AG39" s="5">
        <f>AG24*E39/E24</f>
        <v>1106249.2762861578</v>
      </c>
      <c r="AH39" s="5">
        <f>AH24*F39/F24</f>
        <v>4843251.519716165</v>
      </c>
      <c r="AI39" s="5">
        <f>AI24*G39/G24</f>
        <v>659689.0160341554</v>
      </c>
      <c r="AJ39" s="5"/>
      <c r="AK39" s="5"/>
      <c r="AL39" s="5">
        <f>AL24*J39/J24</f>
        <v>3955165.5994641753</v>
      </c>
      <c r="AM39" s="5">
        <f>AM24*K39/K24</f>
        <v>11899231.375995452</v>
      </c>
      <c r="AN39" s="5">
        <f>AN24*L39/L24</f>
        <v>97219.29849644398</v>
      </c>
      <c r="AO39" s="6">
        <f t="shared" si="13"/>
        <v>23083079.086075712</v>
      </c>
      <c r="AR39" s="4" t="s">
        <v>18</v>
      </c>
      <c r="AS39" s="5">
        <f>AS24*D39/D24</f>
        <v>23457.34600156633</v>
      </c>
      <c r="AT39" s="5">
        <f>AT24*E39/E24</f>
        <v>59286.99681184793</v>
      </c>
      <c r="AU39" s="5">
        <f>AU24*F39/F24</f>
        <v>344212.43623998575</v>
      </c>
      <c r="AV39" s="5">
        <f>AV24*G39/G24</f>
        <v>43940.993401765176</v>
      </c>
      <c r="AW39" s="5"/>
      <c r="AX39" s="5"/>
      <c r="AY39" s="5">
        <f>AY24*J39/J24</f>
        <v>228101.77136480596</v>
      </c>
      <c r="AZ39" s="5">
        <f>AZ24*K39/K24</f>
        <v>667709.6642767839</v>
      </c>
      <c r="BA39" s="5">
        <f>BA24*L39/L24</f>
        <v>6632.959737434381</v>
      </c>
      <c r="BB39" s="6">
        <f t="shared" si="14"/>
        <v>1373342.1678341895</v>
      </c>
    </row>
    <row r="40" spans="3:54" ht="12.75">
      <c r="C40" s="4" t="s">
        <v>19</v>
      </c>
      <c r="D40" s="25"/>
      <c r="E40" s="25"/>
      <c r="F40" s="25">
        <v>5698233.144097226</v>
      </c>
      <c r="G40" s="25"/>
      <c r="H40" s="25">
        <v>8703548.547828417</v>
      </c>
      <c r="I40" s="25">
        <v>3555743.238544358</v>
      </c>
      <c r="J40" s="25">
        <v>14120209.853777995</v>
      </c>
      <c r="K40" s="25">
        <v>238662370.98522705</v>
      </c>
      <c r="L40" s="25">
        <v>36746959.99153501</v>
      </c>
      <c r="M40" s="42">
        <f t="shared" si="11"/>
        <v>307487065.76101005</v>
      </c>
      <c r="R40" s="4" t="s">
        <v>19</v>
      </c>
      <c r="S40" s="5"/>
      <c r="T40" s="5"/>
      <c r="U40" s="5">
        <f>U25*F40/F25</f>
        <v>4643684.157098788</v>
      </c>
      <c r="V40" s="5"/>
      <c r="W40" s="5">
        <f>W25*H40/H25</f>
        <v>6775717.088662315</v>
      </c>
      <c r="X40" s="5">
        <f>X25*I40/I25</f>
        <v>3019697.162878574</v>
      </c>
      <c r="Y40" s="5">
        <f>Y25*J40/J25</f>
        <v>11015975.312759018</v>
      </c>
      <c r="Z40" s="5">
        <f>Z25*K40/K25</f>
        <v>196423505.13833463</v>
      </c>
      <c r="AA40" s="5">
        <f>AA25*L40/L25</f>
        <v>28468968.49304971</v>
      </c>
      <c r="AB40" s="6">
        <f t="shared" si="12"/>
        <v>250347547.35278305</v>
      </c>
      <c r="AE40" s="4" t="s">
        <v>19</v>
      </c>
      <c r="AF40" s="5"/>
      <c r="AG40" s="5"/>
      <c r="AH40" s="5">
        <f>AH25*F40/F25</f>
        <v>1023517.9063000265</v>
      </c>
      <c r="AI40" s="5"/>
      <c r="AJ40" s="5">
        <f>AJ25*H40/H25</f>
        <v>1877908.2721445046</v>
      </c>
      <c r="AK40" s="5">
        <f>AK25*I40/I25</f>
        <v>517937.05035061756</v>
      </c>
      <c r="AL40" s="5">
        <f>AL25*J40/J25</f>
        <v>3029682.2339089243</v>
      </c>
      <c r="AM40" s="5">
        <f>AM25*K40/K25</f>
        <v>40961059.79494127</v>
      </c>
      <c r="AN40" s="5">
        <f>AN25*L40/L25</f>
        <v>8071792.68011851</v>
      </c>
      <c r="AO40" s="6">
        <f t="shared" si="13"/>
        <v>55481897.93776385</v>
      </c>
      <c r="AR40" s="4" t="s">
        <v>19</v>
      </c>
      <c r="AS40" s="5"/>
      <c r="AT40" s="5"/>
      <c r="AU40" s="5">
        <f>AU25*F40/F25</f>
        <v>31031.08069841222</v>
      </c>
      <c r="AV40" s="5"/>
      <c r="AW40" s="5">
        <f>AW25*H40/H25</f>
        <v>49923.18702159611</v>
      </c>
      <c r="AX40" s="5">
        <f>AX25*I40/I25</f>
        <v>18109.025315166196</v>
      </c>
      <c r="AY40" s="5">
        <f>AY25*J40/J25</f>
        <v>74552.30711005256</v>
      </c>
      <c r="AZ40" s="5">
        <f>AZ25*K40/K25</f>
        <v>1277806.0519511735</v>
      </c>
      <c r="BA40" s="5">
        <f>BA25*L40/L25</f>
        <v>206198.81836678524</v>
      </c>
      <c r="BB40" s="6">
        <f t="shared" si="14"/>
        <v>1657620.4704631858</v>
      </c>
    </row>
    <row r="41" spans="3:54" ht="12.75">
      <c r="C41" s="4" t="s">
        <v>7</v>
      </c>
      <c r="D41" s="25">
        <v>7237502.458092739</v>
      </c>
      <c r="E41" s="25">
        <v>5714207.52097419</v>
      </c>
      <c r="F41" s="25">
        <v>5216414.503212852</v>
      </c>
      <c r="G41" s="25">
        <v>269160.09330664197</v>
      </c>
      <c r="H41" s="25">
        <v>752418.522953574</v>
      </c>
      <c r="I41" s="25"/>
      <c r="J41" s="25">
        <v>927125.092108</v>
      </c>
      <c r="K41" s="25">
        <v>197866.47595599998</v>
      </c>
      <c r="L41" s="25">
        <v>2068.4889059999996</v>
      </c>
      <c r="M41" s="42">
        <f t="shared" si="11"/>
        <v>20316763.155509997</v>
      </c>
      <c r="R41" s="80" t="s">
        <v>7</v>
      </c>
      <c r="S41" s="5">
        <f>S26*D41/D26</f>
        <v>6146470.51493372</v>
      </c>
      <c r="T41" s="5">
        <f>T26*E41/E26</f>
        <v>4852807.753399499</v>
      </c>
      <c r="U41" s="5">
        <f>U26*F41/F26</f>
        <v>4430055.550698867</v>
      </c>
      <c r="V41" s="5">
        <f>V26*G41/G26</f>
        <v>228585.01076655317</v>
      </c>
      <c r="W41" s="5">
        <f>W26*H41/H26</f>
        <v>638993.6712287972</v>
      </c>
      <c r="Y41" s="5">
        <f>Y26*J41/J26</f>
        <v>787363.7453380207</v>
      </c>
      <c r="Z41" s="5">
        <f>Z26*K41/K26</f>
        <v>168038.69392783454</v>
      </c>
      <c r="AA41" s="5">
        <f>AA26*L41/L26</f>
        <v>1756.6703631278538</v>
      </c>
      <c r="AB41" s="6">
        <f t="shared" si="12"/>
        <v>17254071.610656418</v>
      </c>
      <c r="AE41" s="80" t="s">
        <v>7</v>
      </c>
      <c r="AF41" s="5">
        <f>AF26*D41/D26</f>
        <v>974006.9044369016</v>
      </c>
      <c r="AG41" s="5">
        <f>AG26*E41/E26</f>
        <v>769005.2764805314</v>
      </c>
      <c r="AH41" s="5">
        <f>AH26*F41/F26</f>
        <v>702013.4047557936</v>
      </c>
      <c r="AI41" s="5">
        <f>AI26*G41/G26</f>
        <v>36222.963763750704</v>
      </c>
      <c r="AJ41" s="5">
        <f>AJ26*H41/H26</f>
        <v>101258.80310597134</v>
      </c>
      <c r="AK41" s="5"/>
      <c r="AL41" s="5">
        <f>AL26*J41/J26</f>
        <v>124770.42270018932</v>
      </c>
      <c r="AM41" s="5">
        <f>AM26*K41/K26</f>
        <v>26628.428087405377</v>
      </c>
      <c r="AN41" s="5">
        <f>AN26*L41/L26</f>
        <v>278.3726137380908</v>
      </c>
      <c r="AO41" s="6">
        <f t="shared" si="13"/>
        <v>2734184.5759442816</v>
      </c>
      <c r="AR41" s="80" t="s">
        <v>7</v>
      </c>
      <c r="AS41" s="5">
        <f>AS26*D41/D26</f>
        <v>117025.03872211745</v>
      </c>
      <c r="AT41" s="5">
        <f>AT26*E41/E26</f>
        <v>92394.4910941612</v>
      </c>
      <c r="AU41" s="5">
        <f>AU26*F41/F26</f>
        <v>84345.54775819284</v>
      </c>
      <c r="AV41" s="5">
        <f>AV26*G41/G26</f>
        <v>4352.118776338096</v>
      </c>
      <c r="AW41" s="5">
        <f>AW26*H41/H26</f>
        <v>12166.04861880548</v>
      </c>
      <c r="AX41" s="5"/>
      <c r="AY41" s="5">
        <f>AY26*J41/J26</f>
        <v>14990.924069789817</v>
      </c>
      <c r="AZ41" s="5">
        <f>AZ26*K41/K26</f>
        <v>3199.3539407600865</v>
      </c>
      <c r="BA41" s="5">
        <f>BA26*L41/L26</f>
        <v>33.445929134055234</v>
      </c>
      <c r="BB41" s="6">
        <f t="shared" si="14"/>
        <v>328506.968909299</v>
      </c>
    </row>
    <row r="42" spans="3:54" ht="13.5" thickBot="1">
      <c r="C42" s="7" t="s">
        <v>5</v>
      </c>
      <c r="D42" s="8">
        <f aca="true" t="shared" si="15" ref="D42:L42">SUM(D36:D41)</f>
        <v>29061405.98801833</v>
      </c>
      <c r="E42" s="8">
        <f t="shared" si="15"/>
        <v>39398792.377058</v>
      </c>
      <c r="F42" s="8">
        <f t="shared" si="15"/>
        <v>90645247.88076442</v>
      </c>
      <c r="G42" s="8">
        <f t="shared" si="15"/>
        <v>5726679.064592879</v>
      </c>
      <c r="H42" s="8">
        <f t="shared" si="15"/>
        <v>9455967.07078199</v>
      </c>
      <c r="I42" s="8">
        <f t="shared" si="15"/>
        <v>3555743.238544358</v>
      </c>
      <c r="J42" s="8">
        <f t="shared" si="15"/>
        <v>61360708.31736099</v>
      </c>
      <c r="K42" s="8">
        <f t="shared" si="15"/>
        <v>343395837.4096481</v>
      </c>
      <c r="L42" s="9">
        <f t="shared" si="15"/>
        <v>37616055.70521001</v>
      </c>
      <c r="M42" s="43">
        <f>SUM(D42:L42)</f>
        <v>620216437.0519791</v>
      </c>
      <c r="R42" s="7" t="s">
        <v>5</v>
      </c>
      <c r="S42" s="8">
        <f aca="true" t="shared" si="16" ref="S42:AA42">SUM(S36:S41)</f>
        <v>24712552.22455501</v>
      </c>
      <c r="T42" s="8">
        <f t="shared" si="16"/>
        <v>33729064.48587982</v>
      </c>
      <c r="U42" s="8">
        <f t="shared" si="16"/>
        <v>79788587.65177584</v>
      </c>
      <c r="V42" s="8">
        <f t="shared" si="16"/>
        <v>4982473.972616869</v>
      </c>
      <c r="W42" s="8">
        <f t="shared" si="16"/>
        <v>7414710.759891112</v>
      </c>
      <c r="X42" s="8">
        <f t="shared" si="16"/>
        <v>3019697.162878574</v>
      </c>
      <c r="Y42" s="8">
        <f t="shared" si="16"/>
        <v>52557249.5507917</v>
      </c>
      <c r="Z42" s="8">
        <f t="shared" si="16"/>
        <v>286996700.54319316</v>
      </c>
      <c r="AA42" s="8">
        <f t="shared" si="16"/>
        <v>29233900.12994796</v>
      </c>
      <c r="AB42" s="9">
        <f>SUM(S42:AA42)</f>
        <v>522434936.48153013</v>
      </c>
      <c r="AE42" s="7" t="s">
        <v>5</v>
      </c>
      <c r="AF42" s="8">
        <f aca="true" t="shared" si="17" ref="AF42:AN42">SUM(AF36:AF41)</f>
        <v>3985421.2275879188</v>
      </c>
      <c r="AG42" s="8">
        <f t="shared" si="17"/>
        <v>5201790.27711082</v>
      </c>
      <c r="AH42" s="8">
        <f t="shared" si="17"/>
        <v>9921808.26738832</v>
      </c>
      <c r="AI42" s="8">
        <f t="shared" si="17"/>
        <v>695911.9797979061</v>
      </c>
      <c r="AJ42" s="8">
        <f t="shared" si="17"/>
        <v>1979167.075250476</v>
      </c>
      <c r="AK42" s="8">
        <f t="shared" si="17"/>
        <v>517937.05035061756</v>
      </c>
      <c r="AL42" s="8">
        <f t="shared" si="17"/>
        <v>8346400.979882322</v>
      </c>
      <c r="AM42" s="8">
        <f t="shared" si="17"/>
        <v>54342532.82473561</v>
      </c>
      <c r="AN42" s="8">
        <f t="shared" si="17"/>
        <v>8169290.351228692</v>
      </c>
      <c r="AO42" s="9">
        <f>SUM(AF42:AN42)</f>
        <v>93160260.03333268</v>
      </c>
      <c r="AR42" s="7" t="s">
        <v>5</v>
      </c>
      <c r="AS42" s="8">
        <f aca="true" t="shared" si="18" ref="AS42:BA42">SUM(AS36:AS41)</f>
        <v>363432.5358754015</v>
      </c>
      <c r="AT42" s="8">
        <f t="shared" si="18"/>
        <v>467937.6140673511</v>
      </c>
      <c r="AU42" s="8">
        <f t="shared" si="18"/>
        <v>934851.9616002706</v>
      </c>
      <c r="AV42" s="8">
        <f t="shared" si="18"/>
        <v>48293.11217810327</v>
      </c>
      <c r="AW42" s="8">
        <f t="shared" si="18"/>
        <v>62089.23564040159</v>
      </c>
      <c r="AX42" s="8">
        <f t="shared" si="18"/>
        <v>18109.025315166196</v>
      </c>
      <c r="AY42" s="8">
        <f t="shared" si="18"/>
        <v>457057.786686964</v>
      </c>
      <c r="AZ42" s="8">
        <f t="shared" si="18"/>
        <v>2056604.0417193414</v>
      </c>
      <c r="BA42" s="8">
        <f t="shared" si="18"/>
        <v>212865.22403335368</v>
      </c>
      <c r="BB42" s="9">
        <f>SUM(AS42:BA42)</f>
        <v>4621240.537116353</v>
      </c>
    </row>
    <row r="43" ht="13.5" thickTop="1"/>
    <row r="44" ht="12.75">
      <c r="BB44" s="2"/>
    </row>
    <row r="46" ht="12.75">
      <c r="M46" s="2"/>
    </row>
    <row r="47" ht="12.75">
      <c r="M47" s="2"/>
    </row>
  </sheetData>
  <mergeCells count="33">
    <mergeCell ref="AF34:AK34"/>
    <mergeCell ref="AL34:AN34"/>
    <mergeCell ref="AS34:AX34"/>
    <mergeCell ref="AY34:BA34"/>
    <mergeCell ref="D34:I34"/>
    <mergeCell ref="J34:L34"/>
    <mergeCell ref="S34:X34"/>
    <mergeCell ref="Y34:AA34"/>
    <mergeCell ref="C33:L33"/>
    <mergeCell ref="R33:AB33"/>
    <mergeCell ref="AE33:AO33"/>
    <mergeCell ref="AR33:BB33"/>
    <mergeCell ref="AF19:AK19"/>
    <mergeCell ref="AL19:AN19"/>
    <mergeCell ref="AS19:AX19"/>
    <mergeCell ref="AY19:BA19"/>
    <mergeCell ref="D19:I19"/>
    <mergeCell ref="J19:L19"/>
    <mergeCell ref="S19:X19"/>
    <mergeCell ref="Y19:AA19"/>
    <mergeCell ref="C18:L18"/>
    <mergeCell ref="R18:AB18"/>
    <mergeCell ref="AE18:AO18"/>
    <mergeCell ref="AR18:BB18"/>
    <mergeCell ref="R4:AB4"/>
    <mergeCell ref="AE4:AO4"/>
    <mergeCell ref="AR4:BB4"/>
    <mergeCell ref="S5:X5"/>
    <mergeCell ref="Y5:AA5"/>
    <mergeCell ref="AF5:AK5"/>
    <mergeCell ref="AL5:AN5"/>
    <mergeCell ref="AS5:AX5"/>
    <mergeCell ref="AY5:B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2"/>
  <sheetViews>
    <sheetView workbookViewId="0" topLeftCell="A4">
      <selection activeCell="A6" sqref="A6"/>
    </sheetView>
  </sheetViews>
  <sheetFormatPr defaultColWidth="9.140625" defaultRowHeight="12.75"/>
  <cols>
    <col min="3" max="3" width="25.8515625" style="0" customWidth="1"/>
    <col min="4" max="4" width="11.28125" style="0" customWidth="1"/>
    <col min="5" max="5" width="11.8515625" style="0" customWidth="1"/>
    <col min="6" max="6" width="13.140625" style="0" customWidth="1"/>
    <col min="7" max="7" width="11.421875" style="0" customWidth="1"/>
    <col min="8" max="8" width="12.7109375" style="0" customWidth="1"/>
    <col min="9" max="9" width="10.7109375" style="0" customWidth="1"/>
    <col min="10" max="10" width="14.28125" style="0" customWidth="1"/>
    <col min="11" max="11" width="15.28125" style="0" customWidth="1"/>
    <col min="12" max="12" width="14.00390625" style="0" customWidth="1"/>
    <col min="13" max="13" width="15.8515625" style="0" customWidth="1"/>
    <col min="14" max="14" width="11.57421875" style="0" customWidth="1"/>
    <col min="15" max="15" width="14.28125" style="0" customWidth="1"/>
    <col min="16" max="16" width="11.00390625" style="0" customWidth="1"/>
    <col min="21" max="21" width="10.140625" style="0" customWidth="1"/>
    <col min="22" max="22" width="9.8515625" style="0" customWidth="1"/>
    <col min="26" max="26" width="10.7109375" style="0" customWidth="1"/>
    <col min="28" max="28" width="10.7109375" style="0" customWidth="1"/>
    <col min="39" max="39" width="11.28125" style="0" customWidth="1"/>
    <col min="50" max="50" width="10.7109375" style="0" customWidth="1"/>
    <col min="52" max="52" width="10.140625" style="0" bestFit="1" customWidth="1"/>
  </cols>
  <sheetData>
    <row r="1" ht="15.75">
      <c r="A1" s="263" t="s">
        <v>352</v>
      </c>
    </row>
    <row r="2" ht="15.75">
      <c r="A2" s="263"/>
    </row>
    <row r="3" ht="15.75">
      <c r="A3" s="263"/>
    </row>
    <row r="4" ht="16.5" thickBot="1">
      <c r="C4" s="264" t="s">
        <v>343</v>
      </c>
    </row>
    <row r="5" spans="3:50" ht="13.5" thickTop="1">
      <c r="C5" s="93" t="s">
        <v>66</v>
      </c>
      <c r="D5" s="94"/>
      <c r="E5" s="94"/>
      <c r="F5" s="94"/>
      <c r="G5" s="94"/>
      <c r="H5" s="94"/>
      <c r="I5" s="94"/>
      <c r="J5" s="94"/>
      <c r="K5" s="65"/>
      <c r="L5" s="58"/>
      <c r="T5" s="93" t="s">
        <v>344</v>
      </c>
      <c r="U5" s="94"/>
      <c r="V5" s="94"/>
      <c r="W5" s="94"/>
      <c r="X5" s="94"/>
      <c r="Y5" s="94"/>
      <c r="Z5" s="94"/>
      <c r="AA5" s="94"/>
      <c r="AB5" s="65"/>
      <c r="AE5" s="93" t="s">
        <v>345</v>
      </c>
      <c r="AF5" s="94"/>
      <c r="AG5" s="94"/>
      <c r="AH5" s="94"/>
      <c r="AI5" s="94"/>
      <c r="AJ5" s="94"/>
      <c r="AK5" s="94"/>
      <c r="AL5" s="94"/>
      <c r="AM5" s="65"/>
      <c r="AP5" s="93" t="s">
        <v>139</v>
      </c>
      <c r="AQ5" s="94"/>
      <c r="AR5" s="94"/>
      <c r="AS5" s="94"/>
      <c r="AT5" s="94"/>
      <c r="AU5" s="94"/>
      <c r="AV5" s="94"/>
      <c r="AW5" s="94"/>
      <c r="AX5" s="65"/>
    </row>
    <row r="6" spans="3:50" ht="12.75">
      <c r="C6" s="66" t="s">
        <v>41</v>
      </c>
      <c r="D6" s="67"/>
      <c r="E6" s="68" t="s">
        <v>42</v>
      </c>
      <c r="F6" s="69"/>
      <c r="G6" s="69"/>
      <c r="H6" s="69"/>
      <c r="I6" s="69"/>
      <c r="J6" s="69"/>
      <c r="K6" s="70"/>
      <c r="L6" s="58"/>
      <c r="T6" s="66" t="s">
        <v>41</v>
      </c>
      <c r="U6" s="67"/>
      <c r="V6" s="68" t="s">
        <v>42</v>
      </c>
      <c r="W6" s="69"/>
      <c r="X6" s="69"/>
      <c r="Y6" s="69"/>
      <c r="Z6" s="69"/>
      <c r="AA6" s="69"/>
      <c r="AB6" s="70"/>
      <c r="AE6" s="66" t="s">
        <v>41</v>
      </c>
      <c r="AF6" s="67"/>
      <c r="AG6" s="68" t="s">
        <v>42</v>
      </c>
      <c r="AH6" s="69"/>
      <c r="AI6" s="69"/>
      <c r="AJ6" s="69"/>
      <c r="AK6" s="69"/>
      <c r="AL6" s="69"/>
      <c r="AM6" s="70"/>
      <c r="AP6" s="66" t="s">
        <v>41</v>
      </c>
      <c r="AQ6" s="67"/>
      <c r="AR6" s="68" t="s">
        <v>42</v>
      </c>
      <c r="AS6" s="69"/>
      <c r="AT6" s="69"/>
      <c r="AU6" s="69"/>
      <c r="AV6" s="69"/>
      <c r="AW6" s="69"/>
      <c r="AX6" s="70"/>
    </row>
    <row r="7" spans="3:50" ht="12.75">
      <c r="C7" s="26" t="s">
        <v>22</v>
      </c>
      <c r="D7" s="19" t="s">
        <v>11</v>
      </c>
      <c r="E7" s="27" t="s">
        <v>43</v>
      </c>
      <c r="F7" s="27" t="s">
        <v>44</v>
      </c>
      <c r="G7" s="27" t="s">
        <v>45</v>
      </c>
      <c r="H7" s="14" t="s">
        <v>46</v>
      </c>
      <c r="I7" s="14" t="s">
        <v>47</v>
      </c>
      <c r="J7" s="27" t="s">
        <v>48</v>
      </c>
      <c r="K7" s="57" t="s">
        <v>67</v>
      </c>
      <c r="L7" s="59" t="s">
        <v>53</v>
      </c>
      <c r="M7" s="49" t="s">
        <v>127</v>
      </c>
      <c r="O7" t="s">
        <v>129</v>
      </c>
      <c r="T7" s="26" t="s">
        <v>22</v>
      </c>
      <c r="U7" s="19" t="s">
        <v>11</v>
      </c>
      <c r="V7" s="27" t="s">
        <v>43</v>
      </c>
      <c r="W7" s="27" t="s">
        <v>44</v>
      </c>
      <c r="X7" s="27" t="s">
        <v>45</v>
      </c>
      <c r="Y7" s="14" t="s">
        <v>46</v>
      </c>
      <c r="Z7" s="14" t="s">
        <v>47</v>
      </c>
      <c r="AA7" s="27" t="s">
        <v>48</v>
      </c>
      <c r="AB7" s="57" t="s">
        <v>67</v>
      </c>
      <c r="AE7" s="26" t="s">
        <v>22</v>
      </c>
      <c r="AF7" s="19" t="s">
        <v>11</v>
      </c>
      <c r="AG7" s="27" t="s">
        <v>43</v>
      </c>
      <c r="AH7" s="27" t="s">
        <v>44</v>
      </c>
      <c r="AI7" s="27" t="s">
        <v>45</v>
      </c>
      <c r="AJ7" s="14" t="s">
        <v>46</v>
      </c>
      <c r="AK7" s="14" t="s">
        <v>47</v>
      </c>
      <c r="AL7" s="27" t="s">
        <v>48</v>
      </c>
      <c r="AM7" s="92" t="s">
        <v>67</v>
      </c>
      <c r="AP7" s="26" t="s">
        <v>22</v>
      </c>
      <c r="AQ7" s="19" t="s">
        <v>11</v>
      </c>
      <c r="AR7" s="27" t="s">
        <v>43</v>
      </c>
      <c r="AS7" s="27" t="s">
        <v>44</v>
      </c>
      <c r="AT7" s="27" t="s">
        <v>45</v>
      </c>
      <c r="AU7" s="14" t="s">
        <v>46</v>
      </c>
      <c r="AV7" s="14" t="s">
        <v>47</v>
      </c>
      <c r="AW7" s="27" t="s">
        <v>48</v>
      </c>
      <c r="AX7" s="92" t="s">
        <v>67</v>
      </c>
    </row>
    <row r="8" spans="3:52" ht="12.75">
      <c r="C8" s="28" t="s">
        <v>9</v>
      </c>
      <c r="D8" s="17" t="s">
        <v>0</v>
      </c>
      <c r="E8" s="30">
        <v>0</v>
      </c>
      <c r="F8" s="30">
        <v>0</v>
      </c>
      <c r="G8" s="30">
        <v>0</v>
      </c>
      <c r="H8" s="30">
        <v>9260.271544597903</v>
      </c>
      <c r="I8" s="30">
        <v>310040.70917104237</v>
      </c>
      <c r="J8" s="30">
        <v>2135141.884688004</v>
      </c>
      <c r="K8" s="31">
        <v>1887740.0061549942</v>
      </c>
      <c r="L8" s="60">
        <f>SUM(E8:K8)</f>
        <v>4342182.871558638</v>
      </c>
      <c r="M8" s="90">
        <f aca="true" t="shared" si="0" ref="M8:M13">SUM(E8:G8)/L8</f>
        <v>0</v>
      </c>
      <c r="T8" s="28" t="s">
        <v>9</v>
      </c>
      <c r="U8" s="17" t="s">
        <v>0</v>
      </c>
      <c r="V8" s="30"/>
      <c r="W8" s="30"/>
      <c r="X8" s="30"/>
      <c r="Y8" s="30">
        <f>$E35*H8/SUM($H8:$K8)</f>
        <v>8112.601775820839</v>
      </c>
      <c r="Z8" s="30">
        <f>$E35*I8/SUM($H8:$K8)</f>
        <v>271615.8803426284</v>
      </c>
      <c r="AA8" s="30">
        <f>$E35*J8/SUM($H8:$K8)</f>
        <v>1870523.5329145507</v>
      </c>
      <c r="AB8" s="30">
        <f>$E35*K8/SUM($H8:$K8)</f>
        <v>1653783.3531625697</v>
      </c>
      <c r="AE8" s="28" t="s">
        <v>9</v>
      </c>
      <c r="AF8" s="17" t="s">
        <v>0</v>
      </c>
      <c r="AG8" s="30"/>
      <c r="AH8" s="30"/>
      <c r="AI8" s="30"/>
      <c r="AJ8" s="30">
        <f>$F35*H8/SUM($H8:$K8)</f>
        <v>1041.0580342391936</v>
      </c>
      <c r="AK8" s="30">
        <f>$F35*I8/SUM($H8:$K8)</f>
        <v>34855.38946339247</v>
      </c>
      <c r="AL8" s="30">
        <f>$F35*J8/SUM($H8:$K8)</f>
        <v>240036.87176881576</v>
      </c>
      <c r="AM8" s="31">
        <f>$F35*K8/SUM($H8:$K8)</f>
        <v>212223.46348027486</v>
      </c>
      <c r="AP8" s="28" t="s">
        <v>9</v>
      </c>
      <c r="AQ8" s="17" t="s">
        <v>0</v>
      </c>
      <c r="AR8" s="30"/>
      <c r="AS8" s="30"/>
      <c r="AT8" s="30"/>
      <c r="AU8" s="30">
        <f>$G35*H8/SUM($H8:$K8)</f>
        <v>106.61173453787029</v>
      </c>
      <c r="AV8" s="30">
        <f>$G35*I8/SUM($H8:$K8)</f>
        <v>3569.439365021501</v>
      </c>
      <c r="AW8" s="30">
        <f>$G35*J8/SUM($H8:$K8)</f>
        <v>24581.480004637346</v>
      </c>
      <c r="AX8" s="31">
        <f>$G35*K8/SUM($H8:$K8)</f>
        <v>21733.189512149744</v>
      </c>
      <c r="AZ8" s="2">
        <f>SUM(V8:AX8)</f>
        <v>4342182.871558639</v>
      </c>
    </row>
    <row r="9" spans="3:50" ht="12.75">
      <c r="C9" s="28"/>
      <c r="D9" s="17" t="s">
        <v>1</v>
      </c>
      <c r="E9" s="5">
        <v>0</v>
      </c>
      <c r="F9" s="5">
        <v>0</v>
      </c>
      <c r="G9" s="5">
        <v>893363.9803453677</v>
      </c>
      <c r="H9" s="5">
        <v>12602.435723439561</v>
      </c>
      <c r="I9" s="5">
        <v>825501.4343422018</v>
      </c>
      <c r="J9" s="5">
        <v>3445963.763709868</v>
      </c>
      <c r="K9" s="6">
        <v>4004465.546189726</v>
      </c>
      <c r="L9" s="60">
        <f aca="true" t="shared" si="1" ref="L9:L16">SUM(E9:K9)</f>
        <v>9181897.160310602</v>
      </c>
      <c r="M9" s="90">
        <f t="shared" si="0"/>
        <v>0.09729623026132296</v>
      </c>
      <c r="T9" s="28"/>
      <c r="U9" s="17" t="s">
        <v>1</v>
      </c>
      <c r="V9" s="5"/>
      <c r="W9" s="5"/>
      <c r="X9" s="5">
        <f>$U61*G9/SUM($E9:$G9)</f>
        <v>820322.2575671348</v>
      </c>
      <c r="Y9" s="5">
        <f>$U68*H9/SUM($H9:$K9)</f>
        <v>10875.362639360555</v>
      </c>
      <c r="Z9" s="5">
        <f>$U68*I9/SUM($H9:$K9)</f>
        <v>712372.4060013285</v>
      </c>
      <c r="AA9" s="5">
        <f>$U68*J9/SUM($H9:$K9)</f>
        <v>2973719.2392687956</v>
      </c>
      <c r="AB9" s="6">
        <f>$U68*K9/SUM($H9:$K9)</f>
        <v>3455682.373419182</v>
      </c>
      <c r="AE9" s="28"/>
      <c r="AF9" s="17" t="s">
        <v>1</v>
      </c>
      <c r="AG9" s="5"/>
      <c r="AH9" s="5"/>
      <c r="AI9" s="5">
        <f>$W61*G9/SUM($E9:$G9)</f>
        <v>71892.3213908576</v>
      </c>
      <c r="AJ9" s="5">
        <f>$W68*H9/SUM($H9:$K9)</f>
        <v>1573.958760939967</v>
      </c>
      <c r="AK9" s="5">
        <f>$W68*I9/SUM($H9:$K9)</f>
        <v>103099.53117513705</v>
      </c>
      <c r="AL9" s="5">
        <f>$W68*J9/SUM($H9:$K9)</f>
        <v>430377.5059677511</v>
      </c>
      <c r="AM9" s="6">
        <f>$W68*K9/SUM($H9:$K9)</f>
        <v>500130.59123044985</v>
      </c>
      <c r="AP9" s="28"/>
      <c r="AQ9" s="17" t="s">
        <v>1</v>
      </c>
      <c r="AR9" s="5"/>
      <c r="AS9" s="5"/>
      <c r="AT9" s="5">
        <f>$Y61*G9/SUM($E9:$G9)</f>
        <v>1149.401387375172</v>
      </c>
      <c r="AU9" s="5">
        <f>$Y68*H9/SUM($H9:$K9)</f>
        <v>153.11432313903694</v>
      </c>
      <c r="AV9" s="5">
        <f>$Y68*I9/SUM($H9:$K9)</f>
        <v>10029.497165736251</v>
      </c>
      <c r="AW9" s="5">
        <f>$Y68*J9/SUM($H9:$K9)</f>
        <v>41867.018473321</v>
      </c>
      <c r="AX9" s="6">
        <f>$Y68*K9/SUM($H9:$K9)</f>
        <v>48652.581540093764</v>
      </c>
    </row>
    <row r="10" spans="3:50" ht="12.75">
      <c r="C10" s="28"/>
      <c r="D10" s="17" t="s">
        <v>37</v>
      </c>
      <c r="E10" s="5">
        <v>0</v>
      </c>
      <c r="F10" s="5">
        <v>3680671.861994398</v>
      </c>
      <c r="G10" s="5">
        <v>1286352.4607280784</v>
      </c>
      <c r="H10" s="5">
        <v>65833.99473673693</v>
      </c>
      <c r="I10" s="5">
        <v>2025101.2953940965</v>
      </c>
      <c r="J10" s="5">
        <v>8734705.249926463</v>
      </c>
      <c r="K10" s="6">
        <v>8303499.146512455</v>
      </c>
      <c r="L10" s="60">
        <f t="shared" si="1"/>
        <v>24096164.009292226</v>
      </c>
      <c r="M10" s="90">
        <f t="shared" si="0"/>
        <v>0.20613340450401307</v>
      </c>
      <c r="T10" s="28"/>
      <c r="U10" s="17" t="s">
        <v>37</v>
      </c>
      <c r="V10" s="5"/>
      <c r="W10" s="5">
        <f>$U62*F10/SUM($E10:$G10)</f>
        <v>3533942.4442456244</v>
      </c>
      <c r="X10" s="5">
        <f>$U62*G10/SUM($E10:$G10)</f>
        <v>1235072.217701997</v>
      </c>
      <c r="Y10" s="5">
        <f>$U69*H10/SUM($H10:$K10)</f>
        <v>56821.245603690266</v>
      </c>
      <c r="Z10" s="5">
        <f>$U69*I10/SUM($H10:$K10)</f>
        <v>1747862.6131998664</v>
      </c>
      <c r="AA10" s="5">
        <f>$U69*J10/SUM($H10:$K10)</f>
        <v>7538914.116736072</v>
      </c>
      <c r="AB10" s="6">
        <f>$U69*K10/SUM($H10:$K10)</f>
        <v>7166740.621782939</v>
      </c>
      <c r="AE10" s="28"/>
      <c r="AF10" s="17" t="s">
        <v>37</v>
      </c>
      <c r="AG10" s="5"/>
      <c r="AH10" s="5">
        <f>$W62*F10/SUM($E10:$G10)</f>
        <v>140996.65820905336</v>
      </c>
      <c r="AI10" s="5">
        <f>$W62*G10/SUM($E10:$G10)</f>
        <v>49276.70953622425</v>
      </c>
      <c r="AJ10" s="5">
        <f>$W69*H10/SUM($H10:$K10)</f>
        <v>8122.066578385452</v>
      </c>
      <c r="AK10" s="5">
        <f>$W69*I10/SUM($H10:$K10)</f>
        <v>249840.64258806242</v>
      </c>
      <c r="AL10" s="5">
        <f>$W69*J10/SUM($H10:$K10)</f>
        <v>1077617.3900151819</v>
      </c>
      <c r="AM10" s="6">
        <f>$W69*K10/SUM($H10:$K10)</f>
        <v>1024418.6635070915</v>
      </c>
      <c r="AP10" s="28"/>
      <c r="AQ10" s="17" t="s">
        <v>37</v>
      </c>
      <c r="AR10" s="5"/>
      <c r="AS10" s="5">
        <f>$Y62*F10/SUM($E10:$G10)</f>
        <v>5732.759539719788</v>
      </c>
      <c r="AT10" s="5">
        <f>$Y62*G10/SUM($E10:$G10)</f>
        <v>2003.533489857222</v>
      </c>
      <c r="AU10" s="5">
        <f>$Y69*H10/SUM($H10:$K10)</f>
        <v>890.6825546612159</v>
      </c>
      <c r="AV10" s="5">
        <f>$Y69*I10/SUM($H10:$K10)</f>
        <v>27398.03960616766</v>
      </c>
      <c r="AW10" s="5">
        <f>$Y69*J10/SUM($H10:$K10)</f>
        <v>118173.74317520938</v>
      </c>
      <c r="AX10" s="6">
        <f>$Y69*K10/SUM($H10:$K10)</f>
        <v>112339.86122242584</v>
      </c>
    </row>
    <row r="11" spans="3:50" ht="12.75">
      <c r="C11" s="28"/>
      <c r="D11" s="17" t="s">
        <v>49</v>
      </c>
      <c r="E11" s="5">
        <v>163882.26199494823</v>
      </c>
      <c r="F11" s="5">
        <v>1621487.6293581508</v>
      </c>
      <c r="G11" s="5">
        <v>491450.8348970579</v>
      </c>
      <c r="H11" s="5">
        <v>16044.619999808738</v>
      </c>
      <c r="I11" s="5">
        <v>109819.3773528083</v>
      </c>
      <c r="J11" s="5">
        <v>1510561.5720497519</v>
      </c>
      <c r="K11" s="6">
        <v>713147.9634683537</v>
      </c>
      <c r="L11" s="60">
        <f t="shared" si="1"/>
        <v>4626394.25912088</v>
      </c>
      <c r="M11" s="90">
        <f t="shared" si="0"/>
        <v>0.4921372020470224</v>
      </c>
      <c r="T11" s="28"/>
      <c r="U11" s="17" t="s">
        <v>49</v>
      </c>
      <c r="V11" s="5">
        <f>$U63*E11/SUM($E11:$G11)</f>
        <v>142924.60890225897</v>
      </c>
      <c r="W11" s="5">
        <f>$U63*F11/SUM($E11:$G11)</f>
        <v>1414127.9382207247</v>
      </c>
      <c r="X11" s="5">
        <f>$U63*G11/SUM($E11:$G11)</f>
        <v>428602.9343097294</v>
      </c>
      <c r="Y11" s="5">
        <f>$U70*H11/SUM($H11:$K11)</f>
        <v>12186.099573913072</v>
      </c>
      <c r="Z11" s="5">
        <f>$U70*I11/SUM($H11:$K11)</f>
        <v>83409.2591524392</v>
      </c>
      <c r="AA11" s="5">
        <f>$U70*J11/SUM($H11:$K11)</f>
        <v>1147291.3493585</v>
      </c>
      <c r="AB11" s="6">
        <f>$U70*K11/SUM($H11:$K11)</f>
        <v>541645.2426958244</v>
      </c>
      <c r="AE11" s="28"/>
      <c r="AF11" s="17" t="s">
        <v>49</v>
      </c>
      <c r="AG11" s="5">
        <f>$W63*E11/SUM($E11:$G11)</f>
        <v>20803.515271323395</v>
      </c>
      <c r="AH11" s="5">
        <f>$W63*F11/SUM($E11:$G11)</f>
        <v>205834.61717567753</v>
      </c>
      <c r="AI11" s="5">
        <f>$W63*G11/SUM($E11:$G11)</f>
        <v>62385.671423065505</v>
      </c>
      <c r="AJ11" s="5">
        <f>$W70*H11/SUM($H11:$K11)</f>
        <v>3624.12235192894</v>
      </c>
      <c r="AK11" s="5">
        <f>$W70*I11/SUM($H11:$K11)</f>
        <v>24805.75171889243</v>
      </c>
      <c r="AL11" s="5">
        <f>$W70*J11/SUM($H11:$K11)</f>
        <v>341202.2196409565</v>
      </c>
      <c r="AM11" s="6">
        <f>$W70*K11/SUM($H11:$K11)</f>
        <v>161084.24348280442</v>
      </c>
      <c r="AP11" s="28"/>
      <c r="AQ11" s="17" t="s">
        <v>49</v>
      </c>
      <c r="AR11" s="5">
        <f>$Y63*E11/SUM($E11:$G11)</f>
        <v>154.1378213658629</v>
      </c>
      <c r="AS11" s="5">
        <f>$Y63*F11/SUM($E11:$G11)</f>
        <v>1525.0739617486333</v>
      </c>
      <c r="AT11" s="5">
        <f>$Y63*G11/SUM($E11:$G11)</f>
        <v>462.229164263073</v>
      </c>
      <c r="AU11" s="5">
        <f>$Y70*H11/SUM($H11:$K11)</f>
        <v>234.398073966727</v>
      </c>
      <c r="AV11" s="5">
        <f>$Y70*I11/SUM($H11:$K11)</f>
        <v>1604.3664814766767</v>
      </c>
      <c r="AW11" s="5">
        <f>$Y70*J11/SUM($H11:$K11)</f>
        <v>22068.003050295607</v>
      </c>
      <c r="AX11" s="6">
        <f>$Y70*K11/SUM($H11:$K11)</f>
        <v>10418.477289725064</v>
      </c>
    </row>
    <row r="12" spans="3:50" ht="12.75">
      <c r="C12" s="28"/>
      <c r="D12" s="5" t="s">
        <v>50</v>
      </c>
      <c r="E12" s="5">
        <v>25430.935807945865</v>
      </c>
      <c r="F12" s="5">
        <v>760517.8212429372</v>
      </c>
      <c r="G12" s="5">
        <v>94865.31941572511</v>
      </c>
      <c r="H12" s="5">
        <v>6187.682994504866</v>
      </c>
      <c r="I12" s="5">
        <v>383604.24503261136</v>
      </c>
      <c r="J12" s="5">
        <v>354279.3446049477</v>
      </c>
      <c r="K12" s="6">
        <v>487241.4541725508</v>
      </c>
      <c r="L12" s="60">
        <f t="shared" si="1"/>
        <v>2112126.803271223</v>
      </c>
      <c r="M12" s="90">
        <f t="shared" si="0"/>
        <v>0.4170270814718225</v>
      </c>
      <c r="T12" s="28"/>
      <c r="U12" s="5" t="s">
        <v>50</v>
      </c>
      <c r="V12" s="5">
        <f>$U64*E12/SUM($E12:$G12)</f>
        <v>20375.43996584953</v>
      </c>
      <c r="W12" s="5">
        <f>$U64*F12/SUM($E12:$G12)</f>
        <v>609332.087765818</v>
      </c>
      <c r="X12" s="5">
        <f>$U64*G12/SUM($E12:$G12)</f>
        <v>76006.74372322184</v>
      </c>
      <c r="Y12" s="5">
        <f>$U71*H12/SUM($H12:$K12)</f>
        <v>4495.04497369471</v>
      </c>
      <c r="Z12" s="5">
        <f>$U71*I12/SUM($H12:$K12)</f>
        <v>278669.46885500115</v>
      </c>
      <c r="AA12" s="5">
        <f>$U71*J12/SUM($H12:$K12)</f>
        <v>257366.3823218787</v>
      </c>
      <c r="AB12" s="6">
        <f>$U71*K12/SUM($H12:$K12)</f>
        <v>353956.7640260605</v>
      </c>
      <c r="AE12" s="28"/>
      <c r="AF12" s="5" t="s">
        <v>50</v>
      </c>
      <c r="AG12" s="5">
        <f>$W64*E12/SUM($E12:$G12)</f>
        <v>5038.881518305844</v>
      </c>
      <c r="AH12" s="5">
        <f>$W64*F12/SUM($E12:$G12)</f>
        <v>150688.87840949645</v>
      </c>
      <c r="AI12" s="5">
        <f>$W64*G12/SUM($E12:$G12)</f>
        <v>18796.59908475419</v>
      </c>
      <c r="AJ12" s="5">
        <f>$W71*H12/SUM($H12:$K12)</f>
        <v>1634.0853108557715</v>
      </c>
      <c r="AK12" s="5">
        <f>$W71*I12/SUM($H12:$K12)</f>
        <v>101304.8119217471</v>
      </c>
      <c r="AL12" s="5">
        <f>$W71*J12/SUM($H12:$K12)</f>
        <v>93560.49323675477</v>
      </c>
      <c r="AM12" s="6">
        <f>$W71*K12/SUM($H12:$K12)</f>
        <v>128674.02932736729</v>
      </c>
      <c r="AP12" s="28"/>
      <c r="AQ12" s="5" t="s">
        <v>50</v>
      </c>
      <c r="AR12" s="5">
        <f>$Y64*E12/SUM($E12:$G12)</f>
        <v>16.614323790485955</v>
      </c>
      <c r="AS12" s="5">
        <f>$Y64*F12/SUM($E12:$G12)</f>
        <v>496.85506762268386</v>
      </c>
      <c r="AT12" s="5">
        <f>$Y64*G12/SUM($E12:$G12)</f>
        <v>61.97660774906573</v>
      </c>
      <c r="AU12" s="5">
        <f>$Y71*H12/SUM($H12:$K12)</f>
        <v>58.55270995438388</v>
      </c>
      <c r="AV12" s="5">
        <f>$Y71*I12/SUM($H12:$K12)</f>
        <v>3629.9642558631454</v>
      </c>
      <c r="AW12" s="5">
        <f>$Y71*J12/SUM($H12:$K12)</f>
        <v>3352.469046314264</v>
      </c>
      <c r="AX12" s="6">
        <f>$Y71*K12/SUM($H12:$K12)</f>
        <v>4610.660819123053</v>
      </c>
    </row>
    <row r="13" spans="3:50" ht="12.75">
      <c r="C13" s="28"/>
      <c r="D13" s="17" t="s">
        <v>4</v>
      </c>
      <c r="E13" s="35">
        <v>91851.76796655061</v>
      </c>
      <c r="F13" s="35">
        <v>1265043.9939365466</v>
      </c>
      <c r="G13" s="35">
        <v>336017.6129053122</v>
      </c>
      <c r="H13" s="35">
        <v>8783.911261298816</v>
      </c>
      <c r="I13" s="35">
        <v>146111.95506096524</v>
      </c>
      <c r="J13" s="35">
        <v>292168.1038456349</v>
      </c>
      <c r="K13" s="36">
        <v>173523.0447670504</v>
      </c>
      <c r="L13" s="60">
        <f t="shared" si="1"/>
        <v>2313500.389743359</v>
      </c>
      <c r="M13" s="90">
        <f t="shared" si="0"/>
        <v>0.7317540910361409</v>
      </c>
      <c r="N13" s="37"/>
      <c r="T13" s="28"/>
      <c r="U13" s="17" t="s">
        <v>4</v>
      </c>
      <c r="V13" s="35">
        <f>$U65*E13/SUM($E13:$G13)</f>
        <v>77841.72580460247</v>
      </c>
      <c r="W13" s="35">
        <f>$U65*F13/SUM($E13:$G13)</f>
        <v>1072088.3210721489</v>
      </c>
      <c r="X13" s="35">
        <f>$U65*G13/SUM($E13:$G13)</f>
        <v>284765.24152281514</v>
      </c>
      <c r="Y13" s="35">
        <f>$U72*H13/SUM($H13:$K13)</f>
        <v>6746.309365195352</v>
      </c>
      <c r="Z13" s="35">
        <f>$U72*I13/SUM($H13:$K13)</f>
        <v>112218.39809991902</v>
      </c>
      <c r="AA13" s="35">
        <f>$U72*J13/SUM($H13:$K13)</f>
        <v>224393.93529275348</v>
      </c>
      <c r="AB13" s="36">
        <f>$U72*K13/SUM($H13:$K13)</f>
        <v>133270.94356552846</v>
      </c>
      <c r="AE13" s="28"/>
      <c r="AF13" s="17" t="s">
        <v>4</v>
      </c>
      <c r="AG13" s="35">
        <f>$W65*E13/SUM($E13:$G13)</f>
        <v>13961.966124074343</v>
      </c>
      <c r="AH13" s="35">
        <f>$W65*F13/SUM($E13:$G13)</f>
        <v>192293.53750967394</v>
      </c>
      <c r="AI13" s="35">
        <f>$W65*G13/SUM($E13:$G13)</f>
        <v>51076.49675491028</v>
      </c>
      <c r="AJ13" s="35">
        <f>$W72*H13/SUM($H13:$K13)</f>
        <v>1876.6737391984634</v>
      </c>
      <c r="AK13" s="35">
        <f>$W72*I13/SUM($H13:$K13)</f>
        <v>31216.67112621932</v>
      </c>
      <c r="AL13" s="35">
        <f>$W72*J13/SUM($H13:$K13)</f>
        <v>62421.4192980632</v>
      </c>
      <c r="AM13" s="36">
        <f>$W72*K13/SUM($H13:$K13)</f>
        <v>37073.02266301946</v>
      </c>
      <c r="AP13" s="28"/>
      <c r="AQ13" s="17" t="s">
        <v>4</v>
      </c>
      <c r="AR13" s="35">
        <f>$Y65*E13/SUM($E13:$G13)</f>
        <v>48.07603787379962</v>
      </c>
      <c r="AS13" s="35">
        <f>$Y65*F13/SUM($E13:$G13)</f>
        <v>662.1353547235386</v>
      </c>
      <c r="AT13" s="35">
        <f>$Y65*G13/SUM($E13:$G13)</f>
        <v>175.87462758672677</v>
      </c>
      <c r="AU13" s="35">
        <f>$Y72*H13/SUM($H13:$K13)</f>
        <v>160.92815690500427</v>
      </c>
      <c r="AV13" s="35">
        <f>$Y72*I13/SUM($H13:$K13)</f>
        <v>2676.885834826975</v>
      </c>
      <c r="AW13" s="35">
        <f>$Y72*J13/SUM($H13:$K13)</f>
        <v>5352.749254818369</v>
      </c>
      <c r="AX13" s="36">
        <f>$Y72*K13/SUM($H13:$K13)</f>
        <v>3179.0785385025542</v>
      </c>
    </row>
    <row r="14" spans="3:50" ht="12.75">
      <c r="C14" s="29" t="s">
        <v>6</v>
      </c>
      <c r="D14" s="11" t="s">
        <v>1</v>
      </c>
      <c r="E14" s="30">
        <v>0</v>
      </c>
      <c r="F14" s="30">
        <v>0</v>
      </c>
      <c r="G14" s="30">
        <v>384018.38131599996</v>
      </c>
      <c r="H14" s="30">
        <v>5223.701231000001</v>
      </c>
      <c r="I14" s="30">
        <v>4820.810172999999</v>
      </c>
      <c r="J14" s="30">
        <v>197203.43678799996</v>
      </c>
      <c r="K14" s="31">
        <v>193211.656265</v>
      </c>
      <c r="L14" s="60">
        <f t="shared" si="1"/>
        <v>784477.9857729999</v>
      </c>
      <c r="M14" s="90">
        <f>SUM(E14:G14)/L14</f>
        <v>0.4895209149019017</v>
      </c>
      <c r="T14" s="29" t="s">
        <v>6</v>
      </c>
      <c r="U14" s="11" t="s">
        <v>1</v>
      </c>
      <c r="V14" s="30"/>
      <c r="W14" s="30"/>
      <c r="X14" s="30">
        <f>$U39*G14/SUM($E14:$G14)</f>
        <v>353828.15189005027</v>
      </c>
      <c r="Y14" s="30">
        <f>$U44*H14/SUM($H14:$K14)</f>
        <v>4608.241092257641</v>
      </c>
      <c r="Z14" s="30">
        <f>$U44*I14/SUM($H14:$K14)</f>
        <v>4252.8189409751985</v>
      </c>
      <c r="AA14" s="30">
        <f>$U44*J14/SUM($H14:$K14)</f>
        <v>173968.78970563266</v>
      </c>
      <c r="AB14" s="31">
        <f>$U44*K14/SUM($H14:$K14)</f>
        <v>170447.32356047936</v>
      </c>
      <c r="AE14" s="29" t="s">
        <v>6</v>
      </c>
      <c r="AF14" s="11" t="s">
        <v>1</v>
      </c>
      <c r="AG14" s="30"/>
      <c r="AH14" s="30"/>
      <c r="AI14" s="30">
        <f>$W39*G14/SUM($E14:$G14)</f>
        <v>27939.298716093483</v>
      </c>
      <c r="AJ14" s="30">
        <f>$W44*H14/SUM($H14:$K14)</f>
        <v>564.7791802260202</v>
      </c>
      <c r="AK14" s="30">
        <f>$W44*I14/SUM($H14:$K14)</f>
        <v>521.2191695371863</v>
      </c>
      <c r="AL14" s="30">
        <f>$W44*J14/SUM($H14:$K14)</f>
        <v>21321.356341346313</v>
      </c>
      <c r="AM14" s="31">
        <f>$W44*K14/SUM($H14:$K14)</f>
        <v>20889.770683643885</v>
      </c>
      <c r="AP14" s="29" t="s">
        <v>6</v>
      </c>
      <c r="AQ14" s="11" t="s">
        <v>1</v>
      </c>
      <c r="AR14" s="5"/>
      <c r="AS14" s="5"/>
      <c r="AT14" s="5">
        <f>$Y39*G14/SUM($E14:$G14)</f>
        <v>2250.9307098562067</v>
      </c>
      <c r="AU14" s="30">
        <f>$Y44*H14/SUM($H14:$K14)</f>
        <v>50.68095851634154</v>
      </c>
      <c r="AV14" s="30">
        <f>$Y44*I14/SUM($H14:$K14)</f>
        <v>46.772062487616296</v>
      </c>
      <c r="AW14" s="30">
        <f>$Y44*J14/SUM($H14:$K14)</f>
        <v>1913.2907410210585</v>
      </c>
      <c r="AX14" s="31">
        <f>$Y44*K14/SUM($H14:$K14)</f>
        <v>1874.562020876822</v>
      </c>
    </row>
    <row r="15" spans="3:50" ht="12.75">
      <c r="C15" s="28"/>
      <c r="D15" s="17" t="s">
        <v>37</v>
      </c>
      <c r="E15" s="5">
        <v>0</v>
      </c>
      <c r="F15" s="5">
        <v>1567649.4075779999</v>
      </c>
      <c r="G15" s="5">
        <v>294941.420729</v>
      </c>
      <c r="H15" s="5">
        <v>13456.152714999998</v>
      </c>
      <c r="I15" s="5">
        <v>8947.768015</v>
      </c>
      <c r="J15" s="5">
        <v>236184.62156099995</v>
      </c>
      <c r="K15" s="6">
        <v>220407.99725300004</v>
      </c>
      <c r="L15" s="60">
        <f t="shared" si="1"/>
        <v>2341587.3678510003</v>
      </c>
      <c r="M15" s="90">
        <f>SUM(E15:G15)/L15</f>
        <v>0.7954393903381871</v>
      </c>
      <c r="T15" s="28"/>
      <c r="U15" s="17" t="s">
        <v>37</v>
      </c>
      <c r="V15" s="5"/>
      <c r="W15" s="5">
        <f>$U40*F15/SUM($E15:$G15)</f>
        <v>1394580.88699751</v>
      </c>
      <c r="X15" s="5">
        <f>$U40*G15/SUM($E15:$G15)</f>
        <v>262379.8829918474</v>
      </c>
      <c r="Y15" s="5">
        <f>$U45*H15/SUM($H15:$K15)</f>
        <v>11803.94004363456</v>
      </c>
      <c r="Z15" s="5">
        <f>$U45*I15/SUM($H15:$K15)</f>
        <v>7849.11701066489</v>
      </c>
      <c r="AA15" s="5">
        <f>$U45*J15/SUM($H15:$K15)</f>
        <v>207184.71105242375</v>
      </c>
      <c r="AB15" s="6">
        <f>$U45*K15/SUM($H15:$K15)</f>
        <v>193345.21834103484</v>
      </c>
      <c r="AC15" s="60"/>
      <c r="AD15" s="266"/>
      <c r="AE15" s="28"/>
      <c r="AF15" s="17" t="s">
        <v>37</v>
      </c>
      <c r="AG15" s="5"/>
      <c r="AH15" s="5">
        <f>$W40*F15/SUM($E15:$G15)</f>
        <v>164114.16656275492</v>
      </c>
      <c r="AI15" s="5">
        <f>$W40*G15/SUM($E15:$G15)</f>
        <v>30876.843517300473</v>
      </c>
      <c r="AJ15" s="5">
        <f>$W45*H15/SUM($H15:$K15)</f>
        <v>1541.6087248672877</v>
      </c>
      <c r="AK15" s="5">
        <f>$W45*I15/SUM($H15:$K15)</f>
        <v>1025.1040941766282</v>
      </c>
      <c r="AL15" s="5">
        <f>$W45*J15/SUM($H15:$K15)</f>
        <v>27058.57171731096</v>
      </c>
      <c r="AM15" s="6">
        <f>$W45*K15/SUM($H15:$K15)</f>
        <v>25251.11737302025</v>
      </c>
      <c r="AP15" s="28"/>
      <c r="AQ15" s="17" t="s">
        <v>37</v>
      </c>
      <c r="AR15" s="5"/>
      <c r="AS15" s="5">
        <f>$Y40*F15/SUM($E15:$G15)</f>
        <v>8954.354017735202</v>
      </c>
      <c r="AT15" s="5">
        <f>$Y40*G15/SUM($E15:$G15)</f>
        <v>1684.694219852116</v>
      </c>
      <c r="AU15" s="5">
        <f>$Y45*H15/SUM($H15:$K15)</f>
        <v>110.60394649815717</v>
      </c>
      <c r="AV15" s="5">
        <f>$Y45*I15/SUM($H15:$K15)</f>
        <v>73.54691015848672</v>
      </c>
      <c r="AW15" s="5">
        <f>$Y45*J15/SUM($H15:$K15)</f>
        <v>1941.3387912653711</v>
      </c>
      <c r="AX15" s="6">
        <f>$Y45*K15/SUM($H15:$K15)</f>
        <v>1811.661538945071</v>
      </c>
    </row>
    <row r="16" spans="3:50" ht="13.5" thickBot="1">
      <c r="C16" s="32"/>
      <c r="D16" s="22" t="s">
        <v>13</v>
      </c>
      <c r="E16" s="23">
        <v>2383.2142579999995</v>
      </c>
      <c r="F16" s="23">
        <v>621869.8043249999</v>
      </c>
      <c r="G16" s="23">
        <v>48227.86484199999</v>
      </c>
      <c r="H16" s="23">
        <v>962.9502099999999</v>
      </c>
      <c r="I16" s="23">
        <v>143.266514</v>
      </c>
      <c r="J16" s="23">
        <v>16581.833711</v>
      </c>
      <c r="K16" s="33">
        <v>14405.810165999996</v>
      </c>
      <c r="L16" s="60">
        <f t="shared" si="1"/>
        <v>704574.744026</v>
      </c>
      <c r="M16" s="90">
        <f>SUM(E16:G16)/L16</f>
        <v>0.9544493173036361</v>
      </c>
      <c r="N16" s="37"/>
      <c r="T16" s="32"/>
      <c r="U16" s="22" t="s">
        <v>13</v>
      </c>
      <c r="V16" s="23">
        <f>$U41*E16/SUM($E16:$G16)</f>
        <v>1876.3927527626304</v>
      </c>
      <c r="W16" s="23">
        <f>$U41*F16/SUM($E16:$G16)</f>
        <v>489621.103130101</v>
      </c>
      <c r="X16" s="23">
        <f>$U41*G16/SUM($E16:$G16)</f>
        <v>37971.5821886227</v>
      </c>
      <c r="Y16" s="23">
        <f>$U46*H16/SUM($H16:$K16)</f>
        <v>565.2796614130966</v>
      </c>
      <c r="Z16" s="23">
        <f>$U46*I16/SUM($H16:$K16)</f>
        <v>84.1015928806482</v>
      </c>
      <c r="AA16" s="23">
        <f>$U46*J16/SUM($H16:$K16)</f>
        <v>9734.016617289437</v>
      </c>
      <c r="AB16" s="33">
        <f>$U46*K16/SUM($H16:$K16)</f>
        <v>8456.627776235517</v>
      </c>
      <c r="AE16" s="32"/>
      <c r="AF16" s="22" t="s">
        <v>13</v>
      </c>
      <c r="AG16" s="23">
        <f>$W41*E16/SUM($E16:$G16)</f>
        <v>497.015989613536</v>
      </c>
      <c r="AH16" s="23">
        <f>$W41*F16/SUM($E16:$G16)</f>
        <v>129690.0751452981</v>
      </c>
      <c r="AI16" s="23">
        <f>$W41*G16/SUM($E16:$G16)</f>
        <v>10057.853544192118</v>
      </c>
      <c r="AJ16" s="23">
        <f>$W46*H16/SUM($H16:$K16)</f>
        <v>360.23611758109826</v>
      </c>
      <c r="AK16" s="23">
        <f>$W46*I16/SUM($H16:$K16)</f>
        <v>53.595473833208956</v>
      </c>
      <c r="AL16" s="23">
        <f>$W46*J16/SUM($H16:$K16)</f>
        <v>6203.202757934926</v>
      </c>
      <c r="AM16" s="33">
        <f>$W46*K16/SUM($H16:$K16)</f>
        <v>5389.160385364219</v>
      </c>
      <c r="AP16" s="32"/>
      <c r="AQ16" s="22" t="s">
        <v>13</v>
      </c>
      <c r="AR16" s="23">
        <f>$Y41*E16/SUM($E16:$G16)</f>
        <v>9.805515623833013</v>
      </c>
      <c r="AS16" s="23">
        <f>$Y41*F16/SUM($E16:$G16)</f>
        <v>2558.626049600769</v>
      </c>
      <c r="AT16" s="23">
        <f>$Y41*G16/SUM($E16:$G16)</f>
        <v>198.42910918517083</v>
      </c>
      <c r="AU16" s="23">
        <f>$Y46*H16/SUM($H16:$K16)</f>
        <v>37.43443100580891</v>
      </c>
      <c r="AV16" s="23">
        <f>$Y46*I16/SUM($H16:$K16)</f>
        <v>5.569447286143442</v>
      </c>
      <c r="AW16" s="23">
        <f>$Y46*J16/SUM($H16:$K16)</f>
        <v>644.6143357757053</v>
      </c>
      <c r="AX16" s="33">
        <f>$Y46*K16/SUM($H16:$K16)</f>
        <v>560.0220044003183</v>
      </c>
    </row>
    <row r="17" ht="13.5" thickTop="1"/>
    <row r="18" spans="11:52" ht="12.75">
      <c r="K18" t="s">
        <v>39</v>
      </c>
      <c r="L18" s="2">
        <f>SUM(E14:K16)</f>
        <v>3830640.09765</v>
      </c>
      <c r="Z18" t="s">
        <v>38</v>
      </c>
      <c r="AB18" s="2">
        <f>SUM(V8:AB13)</f>
        <v>40338074.504929446</v>
      </c>
      <c r="AK18" t="s">
        <v>38</v>
      </c>
      <c r="AM18" s="2">
        <f>SUM(AG8:AM13)</f>
        <v>5854860.528794947</v>
      </c>
      <c r="AV18" t="s">
        <v>38</v>
      </c>
      <c r="AX18" s="2">
        <f>SUM(AR8:AX13)</f>
        <v>479330.45957254834</v>
      </c>
      <c r="AZ18" s="2">
        <f>AB18+AM18+AX18</f>
        <v>46672265.493296936</v>
      </c>
    </row>
    <row r="19" spans="26:52" ht="12.75">
      <c r="Z19" t="s">
        <v>6</v>
      </c>
      <c r="AB19" s="2">
        <f>SUM(V14:AB16)</f>
        <v>3332558.1853458155</v>
      </c>
      <c r="AK19" t="s">
        <v>6</v>
      </c>
      <c r="AM19" s="2">
        <f>SUM(AG14:AM16)</f>
        <v>473354.9754940946</v>
      </c>
      <c r="AV19" t="s">
        <v>6</v>
      </c>
      <c r="AX19" s="2">
        <f>SUM(AR14:AX16)</f>
        <v>24726.9368100902</v>
      </c>
      <c r="AZ19" s="2">
        <f>AB19+AM19+AX19</f>
        <v>3830640.0976500004</v>
      </c>
    </row>
    <row r="20" spans="3:52" ht="12.75">
      <c r="C20" t="s">
        <v>120</v>
      </c>
      <c r="AV20" t="s">
        <v>342</v>
      </c>
      <c r="AZ20" s="2">
        <f>AZ18+AZ19</f>
        <v>50502905.590946935</v>
      </c>
    </row>
    <row r="21" spans="3:8" ht="12.75">
      <c r="C21" s="10" t="s">
        <v>22</v>
      </c>
      <c r="D21" s="11" t="s">
        <v>11</v>
      </c>
      <c r="E21" s="62" t="s">
        <v>112</v>
      </c>
      <c r="F21" s="62" t="s">
        <v>70</v>
      </c>
      <c r="G21" s="62" t="s">
        <v>71</v>
      </c>
      <c r="H21" s="85" t="s">
        <v>5</v>
      </c>
    </row>
    <row r="22" spans="3:8" ht="12.75">
      <c r="C22" s="29" t="s">
        <v>9</v>
      </c>
      <c r="D22" s="11" t="s">
        <v>0</v>
      </c>
      <c r="E22" s="30">
        <f>'C2004-1'!E$75*D66/D59</f>
        <v>3212148.6136202295</v>
      </c>
      <c r="F22" s="30">
        <f>'C2004-1'!F$75*D67/D60</f>
        <v>412202.3012822265</v>
      </c>
      <c r="G22" s="30">
        <f>'C2004-1'!G$75*D68/D61</f>
        <v>42212.442414236255</v>
      </c>
      <c r="H22" s="31">
        <f aca="true" t="shared" si="2" ref="H22:H30">SUM(E22:G22)</f>
        <v>3666563.3573166924</v>
      </c>
    </row>
    <row r="23" spans="3:8" ht="12.75">
      <c r="C23" s="28"/>
      <c r="D23" s="17" t="s">
        <v>1</v>
      </c>
      <c r="E23" s="5">
        <f>'C2004-1'!E$74*E66/E59</f>
        <v>11094917.87988145</v>
      </c>
      <c r="F23" s="5">
        <f>'C2004-1'!F$74*E67/E60</f>
        <v>1540566.6366758659</v>
      </c>
      <c r="G23" s="5">
        <f>'C2004-1'!G$74*E68/E61</f>
        <v>141733.26234242224</v>
      </c>
      <c r="H23" s="6">
        <f t="shared" si="2"/>
        <v>12777217.778899739</v>
      </c>
    </row>
    <row r="24" spans="3:8" ht="12.75">
      <c r="C24" s="28"/>
      <c r="D24" s="17" t="s">
        <v>37</v>
      </c>
      <c r="E24" s="5">
        <f>'C2004-1'!E$73*$F66/$F59</f>
        <v>23806721.83014102</v>
      </c>
      <c r="F24" s="5">
        <f>'C2004-1'!F$73*$F67/$F60</f>
        <v>2853170.3224558244</v>
      </c>
      <c r="G24" s="5">
        <f>'C2004-1'!G$73*$F68/$F61</f>
        <v>298195.6592481466</v>
      </c>
      <c r="H24" s="6">
        <f t="shared" si="2"/>
        <v>26958087.81184499</v>
      </c>
    </row>
    <row r="25" spans="3:13" ht="12.75" customHeight="1">
      <c r="C25" s="28"/>
      <c r="D25" s="17" t="s">
        <v>49</v>
      </c>
      <c r="E25" s="5">
        <f>'C2004-1'!E$72*$G66/$G59</f>
        <v>6356700.279298221</v>
      </c>
      <c r="F25" s="5">
        <f>'C2004-1'!F$72*$G67/$G60</f>
        <v>1382117.5942434382</v>
      </c>
      <c r="G25" s="5">
        <f>'C2004-1'!G$72*$G68/$G61</f>
        <v>61484.42119923543</v>
      </c>
      <c r="H25" s="6">
        <f t="shared" si="2"/>
        <v>7800302.294740894</v>
      </c>
      <c r="M25" t="s">
        <v>339</v>
      </c>
    </row>
    <row r="26" spans="3:18" ht="12.75" customHeight="1">
      <c r="C26" s="28"/>
      <c r="D26" s="5" t="s">
        <v>50</v>
      </c>
      <c r="E26" s="5">
        <f>'C2004-1'!E$71*$H66/$H59</f>
        <v>2389982.8565453803</v>
      </c>
      <c r="F26" s="5">
        <f>'C2004-1'!F$71*$H67/$H60</f>
        <v>746324.0114891889</v>
      </c>
      <c r="G26" s="5">
        <f>'C2004-1'!G$71*$H68/$H61</f>
        <v>18261.784136387843</v>
      </c>
      <c r="H26" s="6">
        <f t="shared" si="2"/>
        <v>3154568.652170957</v>
      </c>
      <c r="N26" s="63"/>
      <c r="O26" s="91" t="s">
        <v>95</v>
      </c>
      <c r="P26" s="91" t="s">
        <v>96</v>
      </c>
      <c r="Q26" s="91" t="s">
        <v>130</v>
      </c>
      <c r="R26" t="s">
        <v>338</v>
      </c>
    </row>
    <row r="27" spans="3:18" ht="12.75" customHeight="1">
      <c r="C27" s="122"/>
      <c r="D27" s="13" t="s">
        <v>4</v>
      </c>
      <c r="E27" s="35">
        <f>'C2004-1'!E$70*$I66/$I59</f>
        <v>1610061.47873458</v>
      </c>
      <c r="F27" s="35">
        <f>'C2004-1'!F$70*$I67/$I60</f>
        <v>328460.5550286199</v>
      </c>
      <c r="G27" s="35">
        <f>'C2004-1'!G$70*$I68/$I61</f>
        <v>10323.977620983176</v>
      </c>
      <c r="H27" s="36">
        <f t="shared" si="2"/>
        <v>1948846.0113841833</v>
      </c>
      <c r="M27" s="63" t="s">
        <v>97</v>
      </c>
      <c r="O27" s="72">
        <f>'FY2005_BD'!G70</f>
        <v>0.7353062488506039</v>
      </c>
      <c r="P27" s="72">
        <f>'FY2005_BD'!H70</f>
        <v>0.7239125169079256</v>
      </c>
      <c r="Q27" s="72">
        <f>'FY2005_BD'!I70</f>
        <v>0.5407205179890467</v>
      </c>
      <c r="R27" s="72">
        <f>'FY2005_BD'!J70</f>
        <v>0.7313958451646317</v>
      </c>
    </row>
    <row r="28" spans="3:18" ht="12.75" customHeight="1">
      <c r="C28" s="28" t="s">
        <v>6</v>
      </c>
      <c r="D28" s="17" t="s">
        <v>1</v>
      </c>
      <c r="E28" s="5">
        <f>'C2004-1'!E$68*$J66/$J59</f>
        <v>585152.2766382146</v>
      </c>
      <c r="F28" s="5">
        <f>'C2004-1'!F$68*$J67/$J60</f>
        <v>58950.41976265627</v>
      </c>
      <c r="G28" s="5">
        <f>'C2004-1'!G$68*$J68/$J61</f>
        <v>5077.931993746657</v>
      </c>
      <c r="H28" s="6">
        <f t="shared" si="2"/>
        <v>649180.6283946175</v>
      </c>
      <c r="M28" s="63" t="s">
        <v>122</v>
      </c>
      <c r="O28" s="72">
        <f>'FY2005_BD'!G71</f>
        <v>0.5957839292257073</v>
      </c>
      <c r="P28" s="72">
        <f>'FY2005_BD'!H71</f>
        <v>0.5595232434500872</v>
      </c>
      <c r="Q28" s="72">
        <f>'FY2005_BD'!I71</f>
        <v>0.36729308922408155</v>
      </c>
      <c r="R28" s="72">
        <f>'FY2005_BD'!J71</f>
        <v>0.5862893097688893</v>
      </c>
    </row>
    <row r="29" spans="3:18" ht="12.75" customHeight="1">
      <c r="C29" s="28"/>
      <c r="D29" s="17" t="s">
        <v>37</v>
      </c>
      <c r="E29" s="5">
        <f>'C2004-1'!E$67*$K66/$K59</f>
        <v>2104815.0639871936</v>
      </c>
      <c r="F29" s="5">
        <f>'C2004-1'!F$67*$K67/$K60</f>
        <v>253196.09734521032</v>
      </c>
      <c r="G29" s="5">
        <f>'C2004-1'!G$67*$K68/$K61</f>
        <v>14770.380735177549</v>
      </c>
      <c r="H29" s="6">
        <f t="shared" si="2"/>
        <v>2372781.5420675813</v>
      </c>
      <c r="M29" s="63" t="s">
        <v>123</v>
      </c>
      <c r="O29" s="72">
        <f>'FY2005_BD'!G72</f>
        <v>0.8102527758427304</v>
      </c>
      <c r="P29" s="72">
        <f>'FY2005_BD'!H72</f>
        <v>0.7729155531665617</v>
      </c>
      <c r="Q29" s="72">
        <f>'FY2005_BD'!I72</f>
        <v>0.6792660478097887</v>
      </c>
      <c r="R29" s="72">
        <f>'FY2005_BD'!J72</f>
        <v>0.8016032817863765</v>
      </c>
    </row>
    <row r="30" spans="3:18" ht="12.75" customHeight="1" thickBot="1">
      <c r="C30" s="32"/>
      <c r="D30" s="22" t="s">
        <v>13</v>
      </c>
      <c r="E30" s="23">
        <f>'C2004-1'!E$66*$L66/$L59</f>
        <v>437244.4671706464</v>
      </c>
      <c r="F30" s="23">
        <f>'C2004-1'!F$66*$L67/$L60</f>
        <v>121411.38616439582</v>
      </c>
      <c r="G30" s="23">
        <f>'C2004-1'!G$66*$L68/$L61</f>
        <v>3201.3298556520276</v>
      </c>
      <c r="H30" s="33">
        <f t="shared" si="2"/>
        <v>561857.1831906943</v>
      </c>
      <c r="M30" s="63" t="s">
        <v>124</v>
      </c>
      <c r="O30" s="72">
        <f>'FY2005_BD'!G82</f>
        <v>0.041926604013731064</v>
      </c>
      <c r="P30" s="72">
        <f>'FY2005_BD'!H82</f>
        <v>0.03844909098529975</v>
      </c>
      <c r="Q30" s="72">
        <f>'FY2005_BD'!I82</f>
        <v>0.007007041017573558</v>
      </c>
      <c r="R30" s="72">
        <f>'FY2005_BD'!J82</f>
        <v>0.04091784424419654</v>
      </c>
    </row>
    <row r="31" spans="13:18" ht="12.75" customHeight="1" thickTop="1">
      <c r="M31" s="63" t="s">
        <v>125</v>
      </c>
      <c r="O31" s="72">
        <f>'FY2005_BD'!G83</f>
        <v>0.2646937511493961</v>
      </c>
      <c r="P31" s="72">
        <f>'FY2005_BD'!H83</f>
        <v>0.2760874830920744</v>
      </c>
      <c r="Q31" s="72">
        <f>'FY2005_BD'!I83</f>
        <v>0.45927948201095325</v>
      </c>
      <c r="R31" s="72">
        <f>'FY2005_BD'!J83</f>
        <v>0.26860415483536826</v>
      </c>
    </row>
    <row r="32" spans="3:18" ht="12.75" customHeight="1" thickBot="1">
      <c r="C32" s="1" t="s">
        <v>121</v>
      </c>
      <c r="D32" s="1"/>
      <c r="E32" s="1"/>
      <c r="M32" s="63" t="s">
        <v>126</v>
      </c>
      <c r="O32" s="72">
        <f>'FY2005_BD'!G84</f>
        <v>0.1583966520995323</v>
      </c>
      <c r="P32" s="72">
        <f>'FY2005_BD'!H84</f>
        <v>0.13926415842791787</v>
      </c>
      <c r="Q32" s="72">
        <f>'FY2005_BD'!I84</f>
        <v>0.015256594931899112</v>
      </c>
      <c r="R32" s="72">
        <f>'FY2005_BD'!J84</f>
        <v>0.15233511286999915</v>
      </c>
    </row>
    <row r="33" spans="3:20" ht="12.75" customHeight="1" thickTop="1">
      <c r="C33" s="123" t="s">
        <v>140</v>
      </c>
      <c r="D33" s="124"/>
      <c r="E33" s="124"/>
      <c r="F33" s="124"/>
      <c r="G33" s="124"/>
      <c r="H33" s="125"/>
      <c r="T33" s="1" t="s">
        <v>341</v>
      </c>
    </row>
    <row r="34" spans="3:8" ht="12.75" customHeight="1">
      <c r="C34" s="10" t="s">
        <v>22</v>
      </c>
      <c r="D34" s="11" t="s">
        <v>11</v>
      </c>
      <c r="E34" s="62" t="s">
        <v>112</v>
      </c>
      <c r="F34" s="62" t="s">
        <v>70</v>
      </c>
      <c r="G34" s="62" t="s">
        <v>71</v>
      </c>
      <c r="H34" s="85" t="s">
        <v>5</v>
      </c>
    </row>
    <row r="35" spans="3:20" ht="12.75" customHeight="1">
      <c r="C35" s="29" t="s">
        <v>9</v>
      </c>
      <c r="D35" s="11" t="s">
        <v>0</v>
      </c>
      <c r="E35" s="30">
        <f>E22*$L8/$H22</f>
        <v>3804035.3681955696</v>
      </c>
      <c r="F35" s="30">
        <f>F22*$L8/$H22</f>
        <v>488156.7827467223</v>
      </c>
      <c r="G35" s="30">
        <f>G22*$L8/$H22</f>
        <v>49990.72061634646</v>
      </c>
      <c r="H35" s="31">
        <f aca="true" t="shared" si="3" ref="H35:H43">SUM(E35:G35)</f>
        <v>4342182.871558638</v>
      </c>
      <c r="T35" s="1" t="s">
        <v>39</v>
      </c>
    </row>
    <row r="36" spans="3:8" ht="12.75" customHeight="1">
      <c r="C36" s="28"/>
      <c r="D36" s="17" t="s">
        <v>1</v>
      </c>
      <c r="E36" s="5">
        <f>E23*$L9/$H23</f>
        <v>7972971.638895801</v>
      </c>
      <c r="F36" s="5">
        <f>F23*$L9/$H23</f>
        <v>1107073.9085251356</v>
      </c>
      <c r="G36" s="5">
        <f>G23*$L9/$H23</f>
        <v>101851.61288966522</v>
      </c>
      <c r="H36" s="6">
        <f t="shared" si="3"/>
        <v>9181897.160310604</v>
      </c>
    </row>
    <row r="37" spans="3:25" ht="12.75" customHeight="1">
      <c r="C37" s="28"/>
      <c r="D37" s="17" t="s">
        <v>37</v>
      </c>
      <c r="E37" s="5">
        <f>E24*$L10/$H24</f>
        <v>21279353.259270187</v>
      </c>
      <c r="F37" s="5">
        <f>F24*$L10/$H24</f>
        <v>2550272.1304339985</v>
      </c>
      <c r="G37" s="5">
        <f>G24*$L10/$H24</f>
        <v>266538.6195880411</v>
      </c>
      <c r="H37" s="6">
        <f t="shared" si="3"/>
        <v>24096164.009292226</v>
      </c>
      <c r="T37" t="s">
        <v>128</v>
      </c>
      <c r="W37">
        <f>SUMPRODUCT($AA39:$AA41,F28:F30)/SUM(F28:F30)</f>
        <v>0.7988070953856833</v>
      </c>
      <c r="Y37">
        <f>SUMPRODUCT($M14:$M16,G28:G30)/SUM(G28:G30)</f>
        <v>0.7501289269102018</v>
      </c>
    </row>
    <row r="38" spans="3:26" ht="12.75" customHeight="1">
      <c r="C38" s="28"/>
      <c r="D38" s="17" t="s">
        <v>49</v>
      </c>
      <c r="E38" s="5">
        <f>E25*$L11/$H25</f>
        <v>3770187.43221339</v>
      </c>
      <c r="F38" s="5">
        <f>F25*$L11/$H25</f>
        <v>819740.1410646487</v>
      </c>
      <c r="G38" s="5">
        <f>G25*$L11/$H25</f>
        <v>36466.685842841645</v>
      </c>
      <c r="H38" s="6">
        <f t="shared" si="3"/>
        <v>4626394.259120881</v>
      </c>
      <c r="U38" t="s">
        <v>69</v>
      </c>
      <c r="W38" t="s">
        <v>70</v>
      </c>
      <c r="Y38" t="s">
        <v>115</v>
      </c>
      <c r="Z38" t="s">
        <v>340</v>
      </c>
    </row>
    <row r="39" spans="3:27" ht="12.75" customHeight="1">
      <c r="C39" s="28"/>
      <c r="D39" s="5" t="s">
        <v>50</v>
      </c>
      <c r="E39" s="5">
        <f>E26*$L12/$H26</f>
        <v>1600201.9316315243</v>
      </c>
      <c r="F39" s="5">
        <f>F26*$L12/$H26</f>
        <v>499697.7788092814</v>
      </c>
      <c r="G39" s="5">
        <f>G26*$L12/$H26</f>
        <v>12227.092830417081</v>
      </c>
      <c r="H39" s="6">
        <f t="shared" si="3"/>
        <v>2112126.803271223</v>
      </c>
      <c r="T39" t="s">
        <v>1</v>
      </c>
      <c r="U39" s="2">
        <f>SUM(E14:G14)-W39-Y39</f>
        <v>353828.15189005027</v>
      </c>
      <c r="W39" s="2">
        <f>$P$29*F28*$AA39/W$37</f>
        <v>27939.29871609348</v>
      </c>
      <c r="Y39" s="2">
        <f>$Q$29*G28*$M14/Y$37</f>
        <v>2250.9307098562067</v>
      </c>
      <c r="Z39" s="2">
        <f>SUM(U39:Y39)</f>
        <v>384018.38131599996</v>
      </c>
      <c r="AA39" s="37">
        <f>(SUM(E14:G14)-Y39)/(L14-G28)</f>
        <v>0.4898222020321677</v>
      </c>
    </row>
    <row r="40" spans="3:27" ht="12.75" customHeight="1">
      <c r="C40" s="122"/>
      <c r="D40" s="13" t="s">
        <v>4</v>
      </c>
      <c r="E40" s="35">
        <f>E27*$L13/$H27</f>
        <v>1911324.8747229627</v>
      </c>
      <c r="F40" s="35">
        <f>F27*$L13/$H27</f>
        <v>389919.787215159</v>
      </c>
      <c r="G40" s="35">
        <f>G27*$L13/$H27</f>
        <v>12255.727805236967</v>
      </c>
      <c r="H40" s="36">
        <f t="shared" si="3"/>
        <v>2313500.3897433584</v>
      </c>
      <c r="T40" t="s">
        <v>17</v>
      </c>
      <c r="U40" s="2">
        <f>SUM(E15:G15)-W40-Y40</f>
        <v>1656960.7699893573</v>
      </c>
      <c r="W40" s="2">
        <f>$P$29*F29*$AA40/W$37</f>
        <v>194991.01008005542</v>
      </c>
      <c r="Y40" s="2">
        <f>$Q$29*G29*$M15/Y$37</f>
        <v>10639.04823758732</v>
      </c>
      <c r="Z40" s="2">
        <f>SUM(U40:Y40)</f>
        <v>1862590.828307</v>
      </c>
      <c r="AA40" s="37">
        <f>(SUM(E15:G15)-Y40)/(L15-G29)</f>
        <v>0.7959163915014118</v>
      </c>
    </row>
    <row r="41" spans="3:27" ht="12.75" customHeight="1">
      <c r="C41" s="28" t="s">
        <v>6</v>
      </c>
      <c r="D41" s="17" t="s">
        <v>1</v>
      </c>
      <c r="E41" s="5">
        <f>E28*$L14/$H28</f>
        <v>707105.3251893951</v>
      </c>
      <c r="F41" s="5">
        <f>F28*$L14/$H28</f>
        <v>71236.42409084688</v>
      </c>
      <c r="G41" s="5">
        <f>G28*$L14/$H28</f>
        <v>6136.236492758045</v>
      </c>
      <c r="H41" s="6">
        <f t="shared" si="3"/>
        <v>784477.985773</v>
      </c>
      <c r="T41" t="s">
        <v>18</v>
      </c>
      <c r="U41" s="2">
        <f>U49-V53</f>
        <v>529469.0780714863</v>
      </c>
      <c r="W41" s="2">
        <f>W49+V53</f>
        <v>140244.94467910376</v>
      </c>
      <c r="Y41" s="2">
        <f>Y49</f>
        <v>2766.8606744097724</v>
      </c>
      <c r="Z41" s="2">
        <f>SUM(U41:Y41)</f>
        <v>672480.8834249999</v>
      </c>
      <c r="AA41" s="37">
        <f>(SUM(E16:G16)-Y49)/(L16-G30)</f>
        <v>0.9548608618745442</v>
      </c>
    </row>
    <row r="42" spans="3:8" ht="12.75" customHeight="1">
      <c r="C42" s="28"/>
      <c r="D42" s="17" t="s">
        <v>37</v>
      </c>
      <c r="E42" s="5">
        <f>E29*$L15/$H29</f>
        <v>2077143.7564371154</v>
      </c>
      <c r="F42" s="5">
        <f>F29*$L15/$H29</f>
        <v>249867.41198943055</v>
      </c>
      <c r="G42" s="5">
        <f>G29*$L15/$H29</f>
        <v>14576.199424454406</v>
      </c>
      <c r="H42" s="6">
        <f t="shared" si="3"/>
        <v>2341587.3678510003</v>
      </c>
    </row>
    <row r="43" spans="3:20" ht="12.75" customHeight="1" thickBot="1">
      <c r="C43" s="32"/>
      <c r="D43" s="22" t="s">
        <v>13</v>
      </c>
      <c r="E43" s="23">
        <f>E30*$L16/$H30</f>
        <v>548309.103719305</v>
      </c>
      <c r="F43" s="23">
        <f>F30*$L16/$H30</f>
        <v>152251.1394138172</v>
      </c>
      <c r="G43" s="23">
        <f>G30*$L16/$H30</f>
        <v>4014.5008928777484</v>
      </c>
      <c r="H43" s="33">
        <f t="shared" si="3"/>
        <v>704574.7440259999</v>
      </c>
      <c r="R43" s="37"/>
      <c r="T43" t="s">
        <v>131</v>
      </c>
    </row>
    <row r="44" spans="14:25" ht="13.5" thickTop="1">
      <c r="N44" s="63"/>
      <c r="O44" s="72"/>
      <c r="P44" s="72"/>
      <c r="Q44" s="72"/>
      <c r="T44" t="s">
        <v>1</v>
      </c>
      <c r="U44" s="2">
        <f>E41-U39</f>
        <v>353277.17329934484</v>
      </c>
      <c r="W44" s="2">
        <f>F41-W39</f>
        <v>43297.1253747534</v>
      </c>
      <c r="Y44" s="2">
        <f>G41-Y39</f>
        <v>3885.305782901838</v>
      </c>
    </row>
    <row r="45" spans="4:25" ht="12.75">
      <c r="D45" t="s">
        <v>39</v>
      </c>
      <c r="E45" s="2">
        <f>SUM(E41:E43)</f>
        <v>3332558.1853458155</v>
      </c>
      <c r="F45" s="2">
        <f>SUM(F41:F43)</f>
        <v>473354.97549409466</v>
      </c>
      <c r="G45" s="2">
        <f>SUM(G41:G43)</f>
        <v>24726.9368100902</v>
      </c>
      <c r="H45" s="2">
        <f>SUM(H41:H43)</f>
        <v>3830640.09765</v>
      </c>
      <c r="N45" s="63"/>
      <c r="O45" s="72"/>
      <c r="P45" s="72"/>
      <c r="Q45" s="72"/>
      <c r="T45" t="s">
        <v>17</v>
      </c>
      <c r="U45" s="2">
        <f>E42-U40</f>
        <v>420182.98644775804</v>
      </c>
      <c r="W45" s="2">
        <f>F42-W40</f>
        <v>54876.40190937513</v>
      </c>
      <c r="Y45" s="2">
        <f>G42-Y40</f>
        <v>3937.151186867086</v>
      </c>
    </row>
    <row r="46" spans="4:25" ht="12.75">
      <c r="D46" t="s">
        <v>38</v>
      </c>
      <c r="T46" t="s">
        <v>18</v>
      </c>
      <c r="U46" s="2">
        <f>U51+V53</f>
        <v>18840.025647818697</v>
      </c>
      <c r="W46" s="2">
        <f>W51-V53</f>
        <v>12006.194734713452</v>
      </c>
      <c r="Y46" s="2">
        <f>Y51</f>
        <v>1247.640218467976</v>
      </c>
    </row>
    <row r="47" ht="12.75">
      <c r="G47" s="2">
        <f>SUM(E35:G43)</f>
        <v>50502905.59094693</v>
      </c>
    </row>
    <row r="48" ht="12.75">
      <c r="T48" t="s">
        <v>132</v>
      </c>
    </row>
    <row r="49" spans="20:26" ht="12.75">
      <c r="T49" t="s">
        <v>18</v>
      </c>
      <c r="U49" s="2">
        <f>SUM(E16:G16)-W49-Y49</f>
        <v>557540.6849093236</v>
      </c>
      <c r="W49" s="2">
        <f>$P$29*F30*$AA41/W$37</f>
        <v>112173.33784126649</v>
      </c>
      <c r="Y49" s="2">
        <f>$Q$29*G30*$M16/Y$37</f>
        <v>2766.8606744097724</v>
      </c>
      <c r="Z49" s="2">
        <f>SUM(U49:Y49)</f>
        <v>672480.8834249999</v>
      </c>
    </row>
    <row r="50" ht="12.75">
      <c r="T50" t="s">
        <v>133</v>
      </c>
    </row>
    <row r="51" spans="20:25" ht="12.75">
      <c r="T51" t="s">
        <v>18</v>
      </c>
      <c r="U51" s="2">
        <f>E43-U49</f>
        <v>-9231.581190018565</v>
      </c>
      <c r="W51" s="2">
        <f>F43-W49</f>
        <v>40077.801572550714</v>
      </c>
      <c r="Y51" s="2">
        <f>G43-Y49</f>
        <v>1247.640218467976</v>
      </c>
    </row>
    <row r="52" ht="12.75">
      <c r="T52" t="s">
        <v>134</v>
      </c>
    </row>
    <row r="53" spans="21:22" ht="12.75">
      <c r="U53">
        <f>E43*O29/(F43*P29)</f>
        <v>3.7753166738592343</v>
      </c>
      <c r="V53" s="2">
        <f>(U49-U53*W49)/(1+U53)</f>
        <v>28071.606837837262</v>
      </c>
    </row>
    <row r="55" ht="12.75">
      <c r="D55" t="s">
        <v>116</v>
      </c>
    </row>
    <row r="56" spans="4:12" ht="12.75">
      <c r="D56" s="71" t="s">
        <v>9</v>
      </c>
      <c r="E56" s="95"/>
      <c r="F56" s="95"/>
      <c r="G56" s="95"/>
      <c r="H56" s="95"/>
      <c r="I56" s="96"/>
      <c r="J56" s="68" t="s">
        <v>6</v>
      </c>
      <c r="K56" s="69"/>
      <c r="L56" s="70"/>
    </row>
    <row r="57" spans="4:12" ht="12.75">
      <c r="D57" s="14" t="s">
        <v>0</v>
      </c>
      <c r="E57" s="15" t="s">
        <v>1</v>
      </c>
      <c r="F57" s="15" t="s">
        <v>17</v>
      </c>
      <c r="G57" s="15" t="s">
        <v>18</v>
      </c>
      <c r="H57" s="15" t="s">
        <v>14</v>
      </c>
      <c r="I57" s="15" t="s">
        <v>4</v>
      </c>
      <c r="J57" s="15" t="s">
        <v>1</v>
      </c>
      <c r="K57" s="15" t="s">
        <v>17</v>
      </c>
      <c r="L57" s="16" t="s">
        <v>18</v>
      </c>
    </row>
    <row r="59" spans="3:20" ht="12.75">
      <c r="C59" t="s">
        <v>118</v>
      </c>
      <c r="D59" s="19">
        <f>'C2004-1'!E$42</f>
        <v>239624619.68645757</v>
      </c>
      <c r="E59" s="19">
        <f>'C2004-1'!F$42</f>
        <v>321120179.79412925</v>
      </c>
      <c r="F59" s="19">
        <f>'C2004-1'!G$42</f>
        <v>1017427687.5583353</v>
      </c>
      <c r="G59" s="19">
        <f>'C2004-1'!H$42</f>
        <v>710490476.8579035</v>
      </c>
      <c r="H59" s="19">
        <f>'C2004-1'!I$42</f>
        <v>327292825.6481034</v>
      </c>
      <c r="I59" s="19">
        <f>'C2004-1'!J$42</f>
        <v>87014483.38758789</v>
      </c>
      <c r="J59" s="19">
        <f>'C2004-1'!K$42</f>
        <v>698312659.3305087</v>
      </c>
      <c r="K59" s="19">
        <f>'C2004-1'!L$42</f>
        <v>3053512550.73755</v>
      </c>
      <c r="L59" s="19">
        <f>'C2004-1'!M$42</f>
        <v>433568659.3797767</v>
      </c>
      <c r="T59" s="1" t="s">
        <v>38</v>
      </c>
    </row>
    <row r="60" spans="3:21" ht="12.75">
      <c r="C60" t="s">
        <v>117</v>
      </c>
      <c r="D60" s="19">
        <f>'C2004-1'!S$42</f>
        <v>39696027.341180146</v>
      </c>
      <c r="E60" s="19">
        <f>'C2004-1'!T$42</f>
        <v>47318628.010177426</v>
      </c>
      <c r="F60" s="19">
        <f>'C2004-1'!U$42</f>
        <v>194770174.04519004</v>
      </c>
      <c r="G60" s="19">
        <f>'C2004-1'!V$42</f>
        <v>102125297.67601378</v>
      </c>
      <c r="H60" s="19">
        <f>'C2004-1'!W$42</f>
        <v>34823482.45945478</v>
      </c>
      <c r="I60" s="19">
        <f>'C2004-1'!X$42</f>
        <v>46650512.11087044</v>
      </c>
      <c r="J60" s="19">
        <f>'C2004-1'!Y$42</f>
        <v>211087246.7245031</v>
      </c>
      <c r="K60" s="19">
        <f>'C2004-1'!Z$42</f>
        <v>1002995633.8365653</v>
      </c>
      <c r="L60" s="19">
        <f>'C2004-1'!AA$42</f>
        <v>85455918.24709892</v>
      </c>
      <c r="U60" t="s">
        <v>128</v>
      </c>
    </row>
    <row r="61" spans="3:26" ht="12.75">
      <c r="C61" t="s">
        <v>115</v>
      </c>
      <c r="D61" s="19">
        <f>'C2004-1'!AG$42</f>
        <v>4612936.282361116</v>
      </c>
      <c r="E61" s="19">
        <f>'C2004-1'!AH$42</f>
        <v>5298088.312658745</v>
      </c>
      <c r="F61" s="19">
        <f>'C2004-1'!AI$42</f>
        <v>11540295.351005651</v>
      </c>
      <c r="G61" s="19">
        <f>'C2004-1'!AJ$42</f>
        <v>4779276.9491964495</v>
      </c>
      <c r="H61" s="19">
        <f>'C2004-1'!AK$42</f>
        <v>1528450.000845913</v>
      </c>
      <c r="I61" s="19">
        <f>'C2004-1'!AL$42</f>
        <v>593761.5901677536</v>
      </c>
      <c r="J61" s="19">
        <f>'C2004-1'!AM$42</f>
        <v>6180482.382962934</v>
      </c>
      <c r="K61" s="19">
        <f>'C2004-1'!AN$42</f>
        <v>20617493.664413404</v>
      </c>
      <c r="L61" s="19">
        <f>'C2004-1'!AO$42</f>
        <v>2256643.049201348</v>
      </c>
      <c r="T61" t="s">
        <v>1</v>
      </c>
      <c r="U61" s="2">
        <f>$G9*SUM(U62:U64)/SUM($Z62:$Z64)</f>
        <v>820322.2575671348</v>
      </c>
      <c r="W61" s="2">
        <f>$G9*SUM(W62:W64)/SUM($Z62:$Z64)</f>
        <v>71892.3213908576</v>
      </c>
      <c r="Y61" s="2">
        <f>$G9*SUM(Y62:Y64)/SUM($Z62:$Z64)</f>
        <v>1149.401387375172</v>
      </c>
      <c r="Z61" s="2">
        <f>SUM(U61:Y61)</f>
        <v>893363.9803453676</v>
      </c>
    </row>
    <row r="62" spans="15:29" ht="12.75">
      <c r="O62" s="37">
        <f>(SUM(E34:E40)*O32-U65-U64-U63)/SUM(E34:E37)</f>
        <v>0.0684694532065092</v>
      </c>
      <c r="P62" s="37">
        <f>(SUM(F34:F40)*P32-W65-W64-W63)/SUM(F34:F37)</f>
        <v>0.022793872070094885</v>
      </c>
      <c r="Q62" s="37">
        <f>(SUM(G34:G40)*Q32-Y65-Y64-Y63)/SUM(G34:G37)</f>
        <v>0.008867463172161992</v>
      </c>
      <c r="T62" t="s">
        <v>17</v>
      </c>
      <c r="U62" s="2">
        <f>$AC62*E37*O62</f>
        <v>4769014.661947621</v>
      </c>
      <c r="W62" s="2">
        <f>$AC62*F37*P62</f>
        <v>190273.3677452776</v>
      </c>
      <c r="Y62" s="2">
        <f>$AC62*G37*Q62</f>
        <v>7736.29302957701</v>
      </c>
      <c r="Z62" s="2">
        <f>SUM(U62:Y62)</f>
        <v>4967024.322722476</v>
      </c>
      <c r="AC62">
        <f>SUM(E10:G10)/SUMPRODUCT(E37:G37,O62:Q62)</f>
        <v>3.2732062641697794</v>
      </c>
    </row>
    <row r="63" spans="12:29" ht="12.75">
      <c r="L63" s="2">
        <f>SUM(D59:L61)</f>
        <v>8710694490.41422</v>
      </c>
      <c r="O63" s="37">
        <f>(SUM(E34:E40)*O32-U65-U64)/SUM(E34:E38)</f>
        <v>0.115378895373141</v>
      </c>
      <c r="P63" s="37">
        <f>(SUM(F34:F40)*P32-W65-W64)/SUM(F34:F38)</f>
        <v>0.07724010037975121</v>
      </c>
      <c r="Q63" s="37">
        <f>(SUM(G34:G40)*Q32-Y65-Y64)/SUM(G34:G38)</f>
        <v>0.01286456857190577</v>
      </c>
      <c r="T63" t="s">
        <v>18</v>
      </c>
      <c r="U63" s="2">
        <f>$AC63*E38*O63</f>
        <v>1985655.4814327129</v>
      </c>
      <c r="W63" s="2">
        <f>$AC63*F38*P63</f>
        <v>289023.8038700664</v>
      </c>
      <c r="Y63" s="2">
        <f>$AC63*G38*Q63</f>
        <v>2141.440947377569</v>
      </c>
      <c r="Z63" s="2">
        <f>SUM(U63:Y63)</f>
        <v>2276820.7262501568</v>
      </c>
      <c r="AC63">
        <f>SUM(E11:G11)/SUMPRODUCT(E38:G38,O63:Q63)</f>
        <v>4.564724601639836</v>
      </c>
    </row>
    <row r="64" spans="14:29" ht="12.75">
      <c r="N64" t="s">
        <v>136</v>
      </c>
      <c r="O64" s="37">
        <f>(SUM(E34:E40)*O32-U65)/SUM(E34:E39)</f>
        <v>0.1289393641930087</v>
      </c>
      <c r="P64" s="37">
        <f>(SUM(F34:F40)*P32-W65)/SUM(F34:F39)</f>
        <v>0.10211276759525982</v>
      </c>
      <c r="Q64" s="37">
        <f>(SUM(G34:G40)*Q32-Y65)/SUM(G34:G39)</f>
        <v>0.013759820865747674</v>
      </c>
      <c r="T64" t="s">
        <v>137</v>
      </c>
      <c r="U64" s="2">
        <f>$AC64*E39*O64</f>
        <v>705714.2714548893</v>
      </c>
      <c r="W64" s="2">
        <f>$AC64*F39*P64</f>
        <v>174524.3590125565</v>
      </c>
      <c r="Y64" s="2">
        <f>$AC64*G39*Q64</f>
        <v>575.4459991622356</v>
      </c>
      <c r="Z64" s="2">
        <f>SUM(U64:Y64)</f>
        <v>880814.0764666081</v>
      </c>
      <c r="AC64">
        <f>SUM(E12:G12)/SUMPRODUCT(E39:G39,O64:Q64)</f>
        <v>3.4203345349535983</v>
      </c>
    </row>
    <row r="65" spans="4:29" ht="12.75">
      <c r="D65" t="s">
        <v>119</v>
      </c>
      <c r="T65" t="s">
        <v>135</v>
      </c>
      <c r="U65" s="2">
        <f>$AC65*E40*O32</f>
        <v>1434695.2883995664</v>
      </c>
      <c r="W65" s="2">
        <f>$AC65*F40*P32</f>
        <v>257332.00038865855</v>
      </c>
      <c r="Y65" s="2">
        <f>$AC65*G40*Q32</f>
        <v>886.0860201840649</v>
      </c>
      <c r="Z65" s="2">
        <f>SUM(U65:Y65)</f>
        <v>1692913.374808409</v>
      </c>
      <c r="AC65">
        <f>SUM(E13:G13)/SUMPRODUCT(E40:G40,O32:Q32)</f>
        <v>4.73891765290945</v>
      </c>
    </row>
    <row r="66" spans="3:12" ht="12.75">
      <c r="C66" t="s">
        <v>118</v>
      </c>
      <c r="D66" s="2">
        <f>Pieces!AH89</f>
        <v>183898317.11704248</v>
      </c>
      <c r="E66" s="2">
        <f>Pieces!AI89</f>
        <v>315047217.0098713</v>
      </c>
      <c r="F66" s="2">
        <f>Pieces!AJ89</f>
        <v>893873977.2018803</v>
      </c>
      <c r="G66" s="2">
        <f>Pieces!AK89</f>
        <v>121889280.95148306</v>
      </c>
      <c r="H66" s="2">
        <f>Pieces!AL89</f>
        <v>74769147.74692734</v>
      </c>
      <c r="I66" s="2">
        <f>Pieces!AM89</f>
        <v>30100823.798814427</v>
      </c>
      <c r="J66" s="2">
        <f>Pieces!AN89</f>
        <v>675301094.9935164</v>
      </c>
      <c r="K66" s="2">
        <f>Pieces!AO89</f>
        <v>3599426339.8255816</v>
      </c>
      <c r="L66" s="2">
        <f>Pieces!AP89</f>
        <v>552276364.6137716</v>
      </c>
    </row>
    <row r="67" spans="3:21" ht="12.75">
      <c r="C67" t="s">
        <v>117</v>
      </c>
      <c r="D67" s="2">
        <f>Pieces!AW89</f>
        <v>30834535.10642507</v>
      </c>
      <c r="E67" s="2">
        <f>Pieces!AX89</f>
        <v>53503683.67568326</v>
      </c>
      <c r="F67" s="2">
        <f>Pieces!AY89</f>
        <v>168580818.71754405</v>
      </c>
      <c r="G67" s="2">
        <f>Pieces!AZ89</f>
        <v>26006101.85132161</v>
      </c>
      <c r="H67" s="2">
        <f>Pieces!BA89</f>
        <v>26997867.006137796</v>
      </c>
      <c r="I67" s="2">
        <f>Pieces!BB89</f>
        <v>10959125.734046847</v>
      </c>
      <c r="J67" s="2">
        <f>Pieces!BC89</f>
        <v>144819789.84844345</v>
      </c>
      <c r="K67" s="2">
        <f>Pieces!BD89</f>
        <v>1064298991.5052313</v>
      </c>
      <c r="L67" s="2">
        <f>Pieces!BE89</f>
        <v>199149594.29613614</v>
      </c>
      <c r="U67" t="s">
        <v>138</v>
      </c>
    </row>
    <row r="68" spans="3:26" ht="12.75">
      <c r="C68" t="s">
        <v>115</v>
      </c>
      <c r="D68" s="2">
        <f>Pieces!BL89</f>
        <v>2432935.638693022</v>
      </c>
      <c r="E68" s="2">
        <f>Pieces!BM89</f>
        <v>3999981.1899043308</v>
      </c>
      <c r="F68" s="2">
        <f>Pieces!BN89</f>
        <v>11557117.873990892</v>
      </c>
      <c r="G68" s="2">
        <f>Pieces!BO89</f>
        <v>1177089.7601926713</v>
      </c>
      <c r="H68" s="2">
        <f>Pieces!BP89</f>
        <v>578833.4459492022</v>
      </c>
      <c r="I68" s="2">
        <f>Pieces!BQ89</f>
        <v>227997.59658888055</v>
      </c>
      <c r="J68" s="2">
        <f>Pieces!BR89</f>
        <v>6682714.668685946</v>
      </c>
      <c r="K68" s="2">
        <f>Pieces!BS89</f>
        <v>29599979.002926175</v>
      </c>
      <c r="L68" s="2">
        <f>Pieces!BT89</f>
        <v>4202671.66202278</v>
      </c>
      <c r="T68" t="s">
        <v>1</v>
      </c>
      <c r="U68" s="2">
        <f>E36-U61</f>
        <v>7152649.381328667</v>
      </c>
      <c r="W68" s="2">
        <f>F36-W61</f>
        <v>1035181.587134278</v>
      </c>
      <c r="Y68" s="2">
        <f>G36-Y61</f>
        <v>100702.21150229005</v>
      </c>
      <c r="Z68" s="2">
        <f>SUM(U68:Y68)</f>
        <v>8288533.179965235</v>
      </c>
    </row>
    <row r="69" spans="20:26" ht="12.75">
      <c r="T69" t="s">
        <v>17</v>
      </c>
      <c r="U69" s="2">
        <f>E37-U62</f>
        <v>16510338.597322566</v>
      </c>
      <c r="W69" s="2">
        <f>F37-W62</f>
        <v>2359998.762688721</v>
      </c>
      <c r="Y69" s="2">
        <f>G37-Y62</f>
        <v>258802.3265584641</v>
      </c>
      <c r="Z69" s="2">
        <f>SUM(U69:Y69)</f>
        <v>19129139.68656975</v>
      </c>
    </row>
    <row r="70" spans="12:26" ht="12.75">
      <c r="L70" s="2">
        <f>SUM(D66:L68)</f>
        <v>8232192391.83881</v>
      </c>
      <c r="T70" t="s">
        <v>18</v>
      </c>
      <c r="U70" s="2">
        <f>E38-U63</f>
        <v>1784531.950780677</v>
      </c>
      <c r="W70" s="2">
        <f>F38-W63</f>
        <v>530716.3371945823</v>
      </c>
      <c r="Y70" s="2">
        <f>G38-Y63</f>
        <v>34325.24489546408</v>
      </c>
      <c r="Z70" s="2">
        <f>SUM(U70:Y70)</f>
        <v>2349573.5328707234</v>
      </c>
    </row>
    <row r="71" spans="20:26" ht="12.75">
      <c r="T71" t="s">
        <v>137</v>
      </c>
      <c r="U71" s="2">
        <f>E39-U64</f>
        <v>894487.660176635</v>
      </c>
      <c r="W71" s="2">
        <f>F39-W64</f>
        <v>325173.4197967249</v>
      </c>
      <c r="Y71" s="2">
        <f>G39-Y64</f>
        <v>11651.646831254846</v>
      </c>
      <c r="Z71" s="2">
        <f>SUM(U71:Y71)</f>
        <v>1231312.726804615</v>
      </c>
    </row>
    <row r="72" spans="20:26" ht="12.75">
      <c r="T72" t="s">
        <v>135</v>
      </c>
      <c r="U72" s="2">
        <f>E40-U65</f>
        <v>476629.5863233963</v>
      </c>
      <c r="W72" s="2">
        <f>F40-W65</f>
        <v>132587.78682650044</v>
      </c>
      <c r="Y72" s="2">
        <f>G40-Y65</f>
        <v>11369.641785052903</v>
      </c>
      <c r="Z72" s="2">
        <f>SUM(U72:Y72)</f>
        <v>620587.0149349497</v>
      </c>
    </row>
  </sheetData>
  <mergeCells count="15">
    <mergeCell ref="D56:I56"/>
    <mergeCell ref="J56:L56"/>
    <mergeCell ref="T5:AB5"/>
    <mergeCell ref="T6:U6"/>
    <mergeCell ref="V6:AB6"/>
    <mergeCell ref="C6:D6"/>
    <mergeCell ref="C5:K5"/>
    <mergeCell ref="E6:K6"/>
    <mergeCell ref="C33:H33"/>
    <mergeCell ref="AE5:AM5"/>
    <mergeCell ref="AE6:AF6"/>
    <mergeCell ref="AG6:AM6"/>
    <mergeCell ref="AP5:AX5"/>
    <mergeCell ref="AP6:AQ6"/>
    <mergeCell ref="AR6:AX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AP77"/>
  <sheetViews>
    <sheetView workbookViewId="0" topLeftCell="C17">
      <selection activeCell="C59" sqref="C59"/>
    </sheetView>
  </sheetViews>
  <sheetFormatPr defaultColWidth="9.140625" defaultRowHeight="12.75"/>
  <cols>
    <col min="3" max="3" width="7.57421875" style="0" customWidth="1"/>
    <col min="5" max="5" width="11.140625" style="0" customWidth="1"/>
    <col min="6" max="6" width="11.421875" style="0" customWidth="1"/>
    <col min="7" max="7" width="13.421875" style="0" customWidth="1"/>
    <col min="8" max="8" width="11.421875" style="0" customWidth="1"/>
    <col min="9" max="9" width="11.00390625" style="0" customWidth="1"/>
    <col min="10" max="10" width="13.421875" style="0" customWidth="1"/>
    <col min="11" max="11" width="12.00390625" style="0" customWidth="1"/>
    <col min="12" max="12" width="15.140625" style="0" customWidth="1"/>
    <col min="13" max="13" width="12.8515625" style="0" customWidth="1"/>
    <col min="14" max="14" width="11.140625" style="0" customWidth="1"/>
    <col min="17" max="17" width="10.140625" style="0" customWidth="1"/>
    <col min="18" max="18" width="12.421875" style="0" customWidth="1"/>
    <col min="19" max="19" width="15.57421875" style="0" customWidth="1"/>
    <col min="20" max="20" width="13.421875" style="0" customWidth="1"/>
    <col min="21" max="21" width="11.7109375" style="0" customWidth="1"/>
    <col min="22" max="22" width="11.57421875" style="0" customWidth="1"/>
    <col min="23" max="23" width="11.140625" style="0" customWidth="1"/>
    <col min="24" max="24" width="11.421875" style="0" customWidth="1"/>
    <col min="25" max="25" width="11.7109375" style="0" customWidth="1"/>
    <col min="26" max="26" width="13.421875" style="0" customWidth="1"/>
    <col min="27" max="27" width="12.421875" style="0" customWidth="1"/>
    <col min="28" max="28" width="10.57421875" style="0" customWidth="1"/>
    <col min="35" max="35" width="10.7109375" style="0" customWidth="1"/>
    <col min="38" max="38" width="11.00390625" style="0" customWidth="1"/>
    <col min="40" max="40" width="11.28125" style="0" customWidth="1"/>
    <col min="41" max="41" width="11.7109375" style="0" customWidth="1"/>
    <col min="47" max="47" width="12.8515625" style="0" customWidth="1"/>
    <col min="48" max="48" width="12.140625" style="0" customWidth="1"/>
    <col min="49" max="50" width="13.421875" style="0" customWidth="1"/>
  </cols>
  <sheetData>
    <row r="3" ht="13.5" thickBot="1"/>
    <row r="4" spans="4:42" ht="13.5" thickTop="1">
      <c r="D4" s="105" t="s">
        <v>145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  <c r="R4" s="105" t="s">
        <v>147</v>
      </c>
      <c r="S4" s="106"/>
      <c r="T4" s="106"/>
      <c r="U4" s="106"/>
      <c r="V4" s="106"/>
      <c r="W4" s="106"/>
      <c r="X4" s="106"/>
      <c r="Y4" s="106"/>
      <c r="Z4" s="106"/>
      <c r="AA4" s="106"/>
      <c r="AB4" s="107"/>
      <c r="AF4" s="105" t="s">
        <v>149</v>
      </c>
      <c r="AG4" s="106"/>
      <c r="AH4" s="106"/>
      <c r="AI4" s="106"/>
      <c r="AJ4" s="106"/>
      <c r="AK4" s="106"/>
      <c r="AL4" s="106"/>
      <c r="AM4" s="106"/>
      <c r="AN4" s="106"/>
      <c r="AO4" s="106"/>
      <c r="AP4" s="107"/>
    </row>
    <row r="5" spans="4:42" ht="12.75">
      <c r="D5" s="76" t="s">
        <v>10</v>
      </c>
      <c r="E5" s="100" t="s">
        <v>9</v>
      </c>
      <c r="F5" s="101"/>
      <c r="G5" s="101"/>
      <c r="H5" s="101"/>
      <c r="I5" s="101"/>
      <c r="J5" s="102"/>
      <c r="K5" s="103" t="s">
        <v>6</v>
      </c>
      <c r="L5" s="103"/>
      <c r="M5" s="103"/>
      <c r="N5" s="77" t="s">
        <v>5</v>
      </c>
      <c r="R5" s="76" t="s">
        <v>10</v>
      </c>
      <c r="S5" s="100" t="s">
        <v>9</v>
      </c>
      <c r="T5" s="101"/>
      <c r="U5" s="101"/>
      <c r="V5" s="101"/>
      <c r="W5" s="101"/>
      <c r="X5" s="102"/>
      <c r="Y5" s="103" t="s">
        <v>6</v>
      </c>
      <c r="Z5" s="103"/>
      <c r="AA5" s="103"/>
      <c r="AB5" s="77" t="s">
        <v>5</v>
      </c>
      <c r="AF5" s="76" t="s">
        <v>10</v>
      </c>
      <c r="AG5" s="100" t="s">
        <v>9</v>
      </c>
      <c r="AH5" s="101"/>
      <c r="AI5" s="101"/>
      <c r="AJ5" s="101"/>
      <c r="AK5" s="101"/>
      <c r="AL5" s="102"/>
      <c r="AM5" s="103" t="s">
        <v>6</v>
      </c>
      <c r="AN5" s="103"/>
      <c r="AO5" s="103"/>
      <c r="AP5" s="77" t="s">
        <v>5</v>
      </c>
    </row>
    <row r="6" spans="4:42" ht="12.75">
      <c r="D6" s="78" t="s">
        <v>11</v>
      </c>
      <c r="E6" s="3" t="s">
        <v>0</v>
      </c>
      <c r="F6" s="3" t="s">
        <v>1</v>
      </c>
      <c r="G6" s="3" t="s">
        <v>12</v>
      </c>
      <c r="H6" s="3" t="s">
        <v>13</v>
      </c>
      <c r="I6" s="3" t="s">
        <v>14</v>
      </c>
      <c r="J6" s="3" t="s">
        <v>4</v>
      </c>
      <c r="K6" s="3" t="s">
        <v>1</v>
      </c>
      <c r="L6" s="3" t="s">
        <v>15</v>
      </c>
      <c r="M6" s="3" t="s">
        <v>13</v>
      </c>
      <c r="N6" s="79" t="s">
        <v>16</v>
      </c>
      <c r="R6" s="78" t="s">
        <v>11</v>
      </c>
      <c r="S6" s="3" t="s">
        <v>0</v>
      </c>
      <c r="T6" s="3" t="s">
        <v>1</v>
      </c>
      <c r="U6" s="3" t="s">
        <v>12</v>
      </c>
      <c r="V6" s="3" t="s">
        <v>13</v>
      </c>
      <c r="W6" s="3" t="s">
        <v>14</v>
      </c>
      <c r="X6" s="3" t="s">
        <v>4</v>
      </c>
      <c r="Y6" s="3" t="s">
        <v>1</v>
      </c>
      <c r="Z6" s="3" t="s">
        <v>15</v>
      </c>
      <c r="AA6" s="3" t="s">
        <v>13</v>
      </c>
      <c r="AB6" s="79" t="s">
        <v>16</v>
      </c>
      <c r="AF6" s="78" t="s">
        <v>11</v>
      </c>
      <c r="AG6" s="3" t="s">
        <v>0</v>
      </c>
      <c r="AH6" s="3" t="s">
        <v>1</v>
      </c>
      <c r="AI6" s="3" t="s">
        <v>12</v>
      </c>
      <c r="AJ6" s="3" t="s">
        <v>13</v>
      </c>
      <c r="AK6" s="3" t="s">
        <v>14</v>
      </c>
      <c r="AL6" s="3" t="s">
        <v>4</v>
      </c>
      <c r="AM6" s="3" t="s">
        <v>1</v>
      </c>
      <c r="AN6" s="3" t="s">
        <v>15</v>
      </c>
      <c r="AO6" s="3" t="s">
        <v>13</v>
      </c>
      <c r="AP6" s="79" t="s">
        <v>16</v>
      </c>
    </row>
    <row r="7" spans="4:42" ht="12.75">
      <c r="D7" s="4" t="s">
        <v>0</v>
      </c>
      <c r="E7" s="82">
        <f>SUM(E24:E27)/E52</f>
        <v>12.352626344135839</v>
      </c>
      <c r="F7" s="82"/>
      <c r="G7" s="82"/>
      <c r="H7" s="82"/>
      <c r="I7" s="82"/>
      <c r="J7" s="82"/>
      <c r="K7" s="82"/>
      <c r="L7" s="82"/>
      <c r="M7" s="82"/>
      <c r="N7" s="83">
        <f>SUM(E24:M27)/N52</f>
        <v>12.352626344135839</v>
      </c>
      <c r="R7" s="4" t="s">
        <v>0</v>
      </c>
      <c r="S7" s="82">
        <f>SUM(S24:S27)/S52</f>
        <v>18.034364778465424</v>
      </c>
      <c r="T7" s="82"/>
      <c r="U7" s="82"/>
      <c r="V7" s="82"/>
      <c r="W7" s="82"/>
      <c r="X7" s="82"/>
      <c r="Y7" s="82"/>
      <c r="Z7" s="82"/>
      <c r="AA7" s="82"/>
      <c r="AB7" s="83">
        <f>SUM(S24:AA27)/AB52</f>
        <v>18.034364778465424</v>
      </c>
      <c r="AF7" s="4" t="s">
        <v>0</v>
      </c>
      <c r="AG7" s="82">
        <f>SUM(AG24:AG27)/AG52</f>
        <v>12.494892174120313</v>
      </c>
      <c r="AH7" s="82"/>
      <c r="AI7" s="82"/>
      <c r="AJ7" s="82"/>
      <c r="AK7" s="82"/>
      <c r="AL7" s="82"/>
      <c r="AM7" s="82"/>
      <c r="AN7" s="82"/>
      <c r="AO7" s="82"/>
      <c r="AP7" s="83">
        <f>SUM(AG24:AO27)/AP52</f>
        <v>12.494892174120313</v>
      </c>
    </row>
    <row r="8" spans="4:42" ht="12.75">
      <c r="D8" s="4" t="s">
        <v>1</v>
      </c>
      <c r="E8" s="82">
        <f>SUM(E28:E31)/E53</f>
        <v>9.200531380849002</v>
      </c>
      <c r="F8" s="82">
        <f>SUM(F28:F31)/F53</f>
        <v>9.83487715381668</v>
      </c>
      <c r="G8" s="82"/>
      <c r="H8" s="82"/>
      <c r="I8" s="82"/>
      <c r="J8" s="82"/>
      <c r="K8" s="82">
        <f>SUM(K28:K31)/K53</f>
        <v>8.41867719171304</v>
      </c>
      <c r="L8" s="82"/>
      <c r="M8" s="82"/>
      <c r="N8" s="83">
        <f>SUM(E28:M31)/N53</f>
        <v>9.52182735757935</v>
      </c>
      <c r="R8" s="4" t="s">
        <v>1</v>
      </c>
      <c r="S8" s="82">
        <f>SUM(S28:S31)/S53</f>
        <v>9.525281930614938</v>
      </c>
      <c r="T8" s="82">
        <f>SUM(T28:T31)/T53</f>
        <v>15.21039380187503</v>
      </c>
      <c r="U8" s="82"/>
      <c r="V8" s="82"/>
      <c r="W8" s="82"/>
      <c r="X8" s="82"/>
      <c r="Y8" s="82">
        <f>SUM(Y28:Y31)/Y53</f>
        <v>14.28029554158936</v>
      </c>
      <c r="Z8" s="82"/>
      <c r="AA8" s="82"/>
      <c r="AB8" s="83">
        <f>SUM(S28:AA31)/AB53</f>
        <v>12.662824969654883</v>
      </c>
      <c r="AF8" s="4" t="s">
        <v>1</v>
      </c>
      <c r="AG8" s="82">
        <f>SUM(AG28:AG31)/AG53</f>
        <v>9.100888561844256</v>
      </c>
      <c r="AH8" s="82">
        <f>SUM(AH28:AH31)/AH53</f>
        <v>10.31923727414304</v>
      </c>
      <c r="AI8" s="82"/>
      <c r="AJ8" s="82"/>
      <c r="AK8" s="82"/>
      <c r="AL8" s="82"/>
      <c r="AM8" s="82">
        <f>SUM(AM28:AM31)/AM53</f>
        <v>8.059436295104584</v>
      </c>
      <c r="AN8" s="82"/>
      <c r="AO8" s="82"/>
      <c r="AP8" s="83">
        <f>SUM(AG28:AO31)/AP53</f>
        <v>9.731285501875679</v>
      </c>
    </row>
    <row r="9" spans="4:42" ht="12.75">
      <c r="D9" s="4" t="s">
        <v>17</v>
      </c>
      <c r="E9" s="82">
        <f>SUM(E32:E35)/E54</f>
        <v>7.903574742883543</v>
      </c>
      <c r="F9" s="82">
        <f>SUM(F32:F35)/F54</f>
        <v>9.214683163948292</v>
      </c>
      <c r="G9" s="82">
        <f>SUM(G32:G35)/G54</f>
        <v>15.813427240873427</v>
      </c>
      <c r="H9" s="82"/>
      <c r="I9" s="82"/>
      <c r="J9" s="82"/>
      <c r="K9" s="82">
        <f>SUM(K32:K35)/K54</f>
        <v>17.67296560773447</v>
      </c>
      <c r="L9" s="82">
        <f>SUM(L32:L35)/L54</f>
        <v>17.735371111309526</v>
      </c>
      <c r="M9" s="82"/>
      <c r="N9" s="83">
        <f>SUM(E32:M35)/N54</f>
        <v>14.678328711798871</v>
      </c>
      <c r="R9" s="4" t="s">
        <v>17</v>
      </c>
      <c r="S9" s="82">
        <f>SUM(S32:S35)/S54</f>
        <v>8.472290443732003</v>
      </c>
      <c r="T9" s="82">
        <f>SUM(T32:T35)/T54</f>
        <v>9.57128093850992</v>
      </c>
      <c r="U9" s="82">
        <f>SUM(U32:U35)/U54</f>
        <v>25.82720231641307</v>
      </c>
      <c r="V9" s="82"/>
      <c r="W9" s="82"/>
      <c r="X9" s="82"/>
      <c r="Y9" s="82">
        <f>SUM(Y32:Y35)/Y54</f>
        <v>24.4374928949451</v>
      </c>
      <c r="Z9" s="82">
        <f>SUM(Z32:Z35)/Z54</f>
        <v>14.267238124928259</v>
      </c>
      <c r="AA9" s="82"/>
      <c r="AB9" s="83">
        <f>SUM(S32:AA35)/AB54</f>
        <v>19.80990069253253</v>
      </c>
      <c r="AF9" s="4" t="s">
        <v>17</v>
      </c>
      <c r="AG9" s="82">
        <f>SUM(AG32:AG35)/AG54</f>
        <v>7.764604130202826</v>
      </c>
      <c r="AH9" s="82">
        <f>SUM(AH32:AH35)/AH54</f>
        <v>8.574072101862214</v>
      </c>
      <c r="AI9" s="82">
        <f>SUM(AI32:AI35)/AI54</f>
        <v>17.62609992606523</v>
      </c>
      <c r="AJ9" s="82"/>
      <c r="AK9" s="82"/>
      <c r="AL9" s="82"/>
      <c r="AM9" s="82">
        <f>SUM(AM32:AM35)/AM54</f>
        <v>18.172146619473732</v>
      </c>
      <c r="AN9" s="82">
        <f>SUM(AN32:AN35)/AN54</f>
        <v>16.876062789184967</v>
      </c>
      <c r="AO9" s="82"/>
      <c r="AP9" s="83">
        <f>SUM(AG32:AO35)/AP54</f>
        <v>14.847034414609928</v>
      </c>
    </row>
    <row r="10" spans="4:42" ht="12.75">
      <c r="D10" s="4" t="s">
        <v>18</v>
      </c>
      <c r="E10" s="82">
        <f>SUM(E36:E39)/E55</f>
        <v>5.737997153616109</v>
      </c>
      <c r="F10" s="82">
        <f>SUM(F36:F39)/F55</f>
        <v>7.72613383450595</v>
      </c>
      <c r="G10" s="82">
        <f>SUM(G36:G39)/G55</f>
        <v>8.38303267850401</v>
      </c>
      <c r="H10" s="82">
        <f>SUM(H36:H39)/H55</f>
        <v>10.863496167534029</v>
      </c>
      <c r="I10" s="82"/>
      <c r="J10" s="82"/>
      <c r="K10" s="82">
        <f>SUM(K36:K39)/K55</f>
        <v>10.883391301586748</v>
      </c>
      <c r="L10" s="82">
        <f>SUM(L36:L39)/L55</f>
        <v>13.137579889239593</v>
      </c>
      <c r="M10" s="82">
        <f>SUM(M36:M39)/M55</f>
        <v>9.581543663667606</v>
      </c>
      <c r="N10" s="83">
        <f>SUM(E36:M39)/N55</f>
        <v>11.090459027136957</v>
      </c>
      <c r="R10" s="4" t="s">
        <v>18</v>
      </c>
      <c r="S10" s="82">
        <f>SUM(S36:S39)/S55</f>
        <v>4.1478365737397</v>
      </c>
      <c r="T10" s="82">
        <f>SUM(T36:T39)/T55</f>
        <v>7.7275108346371715</v>
      </c>
      <c r="U10" s="82">
        <f>SUM(U36:U39)/U55</f>
        <v>12.985375661070451</v>
      </c>
      <c r="V10" s="82">
        <f>SUM(V36:V39)/V55</f>
        <v>16.715645344574146</v>
      </c>
      <c r="W10" s="82"/>
      <c r="X10" s="82"/>
      <c r="Y10" s="82">
        <f>SUM(Y36:Y39)/Y55</f>
        <v>17.055963715556665</v>
      </c>
      <c r="Z10" s="82">
        <f>SUM(Z36:Z39)/Z55</f>
        <v>18.85770096660652</v>
      </c>
      <c r="AA10" s="82">
        <f>SUM(AA36:AA39)/AA55</f>
        <v>15.774692916536976</v>
      </c>
      <c r="AB10" s="83">
        <f>SUM(S36:AA39)/AB55</f>
        <v>16.89047619158578</v>
      </c>
      <c r="AF10" s="4" t="s">
        <v>18</v>
      </c>
      <c r="AG10" s="82">
        <f>SUM(AG36:AG39)/AG55</f>
        <v>5.2685363562148915</v>
      </c>
      <c r="AH10" s="82">
        <f>SUM(AH36:AH39)/AH55</f>
        <v>7.356572161774096</v>
      </c>
      <c r="AI10" s="82">
        <f>SUM(AI36:AI39)/AI55</f>
        <v>8.602281503762379</v>
      </c>
      <c r="AJ10" s="82">
        <f>SUM(AJ36:AJ39)/AJ55</f>
        <v>11.316945156048336</v>
      </c>
      <c r="AK10" s="82"/>
      <c r="AL10" s="82"/>
      <c r="AM10" s="82">
        <f>SUM(AM36:AM39)/AM55</f>
        <v>12.285123014023753</v>
      </c>
      <c r="AN10" s="82">
        <f>SUM(AN36:AN39)/AN55</f>
        <v>14.002601508294198</v>
      </c>
      <c r="AO10" s="82">
        <f>SUM(AO36:AO39)/AO55</f>
        <v>10.071714152513481</v>
      </c>
      <c r="AP10" s="83">
        <f>SUM(AG36:AO39)/AP55</f>
        <v>11.307073644207472</v>
      </c>
    </row>
    <row r="11" spans="4:42" ht="12.75">
      <c r="D11" s="4" t="s">
        <v>19</v>
      </c>
      <c r="E11" s="82">
        <f>IF(E56&gt;0,SUM(E40:E41)/E56,0)</f>
        <v>0</v>
      </c>
      <c r="F11" s="82">
        <f>IF(F56&gt;0,SUM(F40:F41)/F56,0)</f>
        <v>0</v>
      </c>
      <c r="G11" s="82">
        <f>IF(G56&gt;0,SUM(G40:G41)/G56,$N11)</f>
        <v>12.766275762918891</v>
      </c>
      <c r="H11" s="82">
        <f>IF(H56&gt;0,SUM(H40:H41)/H56,$N11)</f>
        <v>12.766275762918891</v>
      </c>
      <c r="I11" s="82">
        <f>IF(I56&gt;0,SUM(I40:I41)/I56,0)</f>
        <v>9.321323389198167</v>
      </c>
      <c r="J11" s="82">
        <f>IF(J56&gt;0,SUM(J40:J41)/J56,0)</f>
        <v>13.277855680001117</v>
      </c>
      <c r="K11" s="82">
        <f>IF(K56&gt;0,SUM(K40:K41)/K56,0)</f>
        <v>9.161437107743476</v>
      </c>
      <c r="L11" s="82">
        <f>IF(L56&gt;0,SUM(L40:L41)/L56,0)</f>
        <v>12.56137933555171</v>
      </c>
      <c r="M11" s="82">
        <f>IF(M56&gt;0,SUM(M40:M41)/M56,0)</f>
        <v>22.466230030741954</v>
      </c>
      <c r="N11" s="83">
        <f>SUM(E40:M41)/N56</f>
        <v>12.766275762918891</v>
      </c>
      <c r="R11" s="4" t="s">
        <v>19</v>
      </c>
      <c r="S11" s="82">
        <f>IF(S56&gt;0,SUM(S40:S41)/S56,0)</f>
        <v>0</v>
      </c>
      <c r="T11" s="82">
        <f>IF(T56&gt;0,SUM(T40:T41)/T56,0)</f>
        <v>0</v>
      </c>
      <c r="U11" s="82">
        <f>IF(U56&gt;0,SUM(U40:U41)/U56,$AB11)</f>
        <v>21.087688501004525</v>
      </c>
      <c r="V11" s="82">
        <f>IF(V56&gt;0,SUM(V40:V41)/V56,0)</f>
        <v>0</v>
      </c>
      <c r="W11" s="82">
        <f>IF(W56&gt;0,SUM(W40:W41)/W56,0)</f>
        <v>12.244921148422998</v>
      </c>
      <c r="X11" s="82">
        <f>IF(X56&gt;0,SUM(X40:X41)/X56,0)</f>
        <v>28.184600529101726</v>
      </c>
      <c r="Y11" s="82">
        <f>IF(Y56&gt;0,SUM(Y40:Y41)/Y56,0)</f>
        <v>12.127939069948512</v>
      </c>
      <c r="Z11" s="82">
        <f>IF(Z56&gt;0,SUM(Z40:Z41)/Z56,0)</f>
        <v>21.930934152772704</v>
      </c>
      <c r="AA11" s="82">
        <f>IF(AA56&gt;0,SUM(AA40:AA41)/AA56,0)</f>
        <v>28.848913560819504</v>
      </c>
      <c r="AB11" s="83">
        <f>SUM(S40:AA41)/AB56</f>
        <v>21.087688501004525</v>
      </c>
      <c r="AF11" s="4" t="s">
        <v>19</v>
      </c>
      <c r="AG11" s="82">
        <f>IF(AG56&gt;0,SUM(AG40:AG41)/AG56,0)</f>
        <v>0</v>
      </c>
      <c r="AH11" s="82">
        <f>IF(AH56&gt;0,SUM(AH40:AH41)/AH56,0)</f>
        <v>0</v>
      </c>
      <c r="AI11" s="82">
        <f>IF(AI56&gt;0,SUM(AI40:AI41)/AI56,$AP11)</f>
        <v>14.470444814599922</v>
      </c>
      <c r="AJ11" s="82">
        <f>IF(AJ56&gt;0,SUM(AJ40:AJ41)/AJ56,0)</f>
        <v>0</v>
      </c>
      <c r="AK11" s="82">
        <f>IF(AK56&gt;0,SUM(AK40:AK41)/AK56,0)</f>
        <v>9.582579365569403</v>
      </c>
      <c r="AL11" s="82">
        <f>IF(AL56&gt;0,SUM(AL40:AL41)/AL56,0)</f>
        <v>16.77058246209055</v>
      </c>
      <c r="AM11" s="82">
        <f>IF(AM56&gt;0,SUM(AM40:AM41)/AM56,0)</f>
        <v>10.253623300875391</v>
      </c>
      <c r="AN11" s="82">
        <f>IF(AN56&gt;0,SUM(AN40:AN41)/AN56,0)</f>
        <v>14.625736144760275</v>
      </c>
      <c r="AO11" s="82">
        <f>IF(AO56&gt;0,SUM(AO40:AO41)/AO56,0)</f>
        <v>23.494577972642148</v>
      </c>
      <c r="AP11" s="83">
        <f>SUM(AG40:AO41)/AP56</f>
        <v>14.470444814599922</v>
      </c>
    </row>
    <row r="12" spans="4:42" ht="13.5" thickBot="1">
      <c r="D12" s="7" t="s">
        <v>5</v>
      </c>
      <c r="E12" s="84">
        <f>SUM(E24:E41)/E57</f>
        <v>9.560038740560628</v>
      </c>
      <c r="F12" s="84">
        <f>SUM(F24:F41)/F57</f>
        <v>9.197817258056649</v>
      </c>
      <c r="G12" s="84">
        <f>SUM(G24:G41)/G57</f>
        <v>12.435465003862298</v>
      </c>
      <c r="H12" s="84">
        <f>SUM(H24:H41)/H57</f>
        <v>10.863496167534029</v>
      </c>
      <c r="I12" s="84">
        <f>SUM(I24:I41)/I57</f>
        <v>9.321323389198167</v>
      </c>
      <c r="J12" s="84">
        <f>SUM(J24:J41)/J57</f>
        <v>13.277855680001117</v>
      </c>
      <c r="K12" s="84">
        <f>SUM(K24:K41)/K57</f>
        <v>12.006017355684266</v>
      </c>
      <c r="L12" s="84">
        <f>SUM(L24:L41)/L57</f>
        <v>12.97766590809102</v>
      </c>
      <c r="M12" s="84">
        <f>SUM(M24:M41)/M57</f>
        <v>21.211641947771657</v>
      </c>
      <c r="N12" s="133">
        <f>SUM(E24:M41)/N57</f>
        <v>12.24042600876778</v>
      </c>
      <c r="R12" s="7" t="s">
        <v>5</v>
      </c>
      <c r="S12" s="84">
        <f>SUM(S24:S41)/S57</f>
        <v>10.753591482183928</v>
      </c>
      <c r="T12" s="84">
        <f>SUM(T24:T41)/T57</f>
        <v>11.668725559709234</v>
      </c>
      <c r="U12" s="84">
        <f>SUM(U24:U41)/U57</f>
        <v>20.520984350325698</v>
      </c>
      <c r="V12" s="84">
        <f>SUM(V24:V41)/V57</f>
        <v>16.715645344574146</v>
      </c>
      <c r="W12" s="84">
        <f>SUM(W24:W41)/W57</f>
        <v>12.244921148422998</v>
      </c>
      <c r="X12" s="84">
        <f>SUM(X24:X41)/X57</f>
        <v>28.184600529101726</v>
      </c>
      <c r="Y12" s="84">
        <f>SUM(Y24:Y41)/Y57</f>
        <v>16.046324768346736</v>
      </c>
      <c r="Z12" s="84">
        <f>SUM(Z24:Z41)/Z57</f>
        <v>20.871707718953743</v>
      </c>
      <c r="AA12" s="84">
        <f>SUM(AA24:AA41)/AA57</f>
        <v>28.549516763722814</v>
      </c>
      <c r="AB12" s="133">
        <f>SUM(S24:AA41)/AB57</f>
        <v>19.17354492803051</v>
      </c>
      <c r="AF12" s="7" t="s">
        <v>5</v>
      </c>
      <c r="AG12" s="84">
        <f>SUM(AG24:AG41)/AG57</f>
        <v>9.479539885011175</v>
      </c>
      <c r="AH12" s="84">
        <f>SUM(AH24:AH41)/AH57</f>
        <v>9.099316848487257</v>
      </c>
      <c r="AI12" s="84">
        <f>SUM(AI24:AI41)/AI57</f>
        <v>14.181304992842842</v>
      </c>
      <c r="AJ12" s="84">
        <f>SUM(AJ24:AJ41)/AJ57</f>
        <v>11.316945156048336</v>
      </c>
      <c r="AK12" s="84">
        <f>SUM(AK24:AK41)/AK57</f>
        <v>9.582579365569403</v>
      </c>
      <c r="AL12" s="84">
        <f>SUM(AL24:AL41)/AL57</f>
        <v>16.77058246209055</v>
      </c>
      <c r="AM12" s="84">
        <f>SUM(AM24:AM41)/AM57</f>
        <v>13.407842328693622</v>
      </c>
      <c r="AN12" s="84">
        <f>SUM(AN24:AN41)/AN57</f>
        <v>14.567949332456289</v>
      </c>
      <c r="AO12" s="84">
        <f>SUM(AO24:AO41)/AO57</f>
        <v>21.95059658106348</v>
      </c>
      <c r="AP12" s="133">
        <f>SUM(AG24:AO41)/AP57</f>
        <v>12.81733659233432</v>
      </c>
    </row>
    <row r="13" ht="13.5" thickTop="1"/>
    <row r="14" ht="30.75" customHeight="1"/>
    <row r="20" spans="4:32" ht="13.5" thickBot="1">
      <c r="D20" t="s">
        <v>144</v>
      </c>
      <c r="R20" t="s">
        <v>144</v>
      </c>
      <c r="AF20" t="s">
        <v>144</v>
      </c>
    </row>
    <row r="21" spans="3:41" ht="13.5" thickTop="1">
      <c r="C21" s="126" t="s">
        <v>142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8"/>
      <c r="Q21" s="126" t="s">
        <v>146</v>
      </c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E21" s="126" t="s">
        <v>150</v>
      </c>
      <c r="AF21" s="127"/>
      <c r="AG21" s="127"/>
      <c r="AH21" s="127"/>
      <c r="AI21" s="127"/>
      <c r="AJ21" s="127"/>
      <c r="AK21" s="127"/>
      <c r="AL21" s="127"/>
      <c r="AM21" s="127"/>
      <c r="AN21" s="127"/>
      <c r="AO21" s="128"/>
    </row>
    <row r="22" spans="3:41" ht="12.75">
      <c r="C22" s="10" t="s">
        <v>10</v>
      </c>
      <c r="D22" s="11" t="s">
        <v>20</v>
      </c>
      <c r="E22" s="71" t="s">
        <v>9</v>
      </c>
      <c r="F22" s="95"/>
      <c r="G22" s="95"/>
      <c r="H22" s="95"/>
      <c r="I22" s="95"/>
      <c r="J22" s="96"/>
      <c r="K22" s="68" t="s">
        <v>6</v>
      </c>
      <c r="L22" s="69"/>
      <c r="M22" s="70"/>
      <c r="Q22" s="10" t="s">
        <v>10</v>
      </c>
      <c r="R22" s="11" t="s">
        <v>20</v>
      </c>
      <c r="S22" s="71" t="s">
        <v>9</v>
      </c>
      <c r="T22" s="95"/>
      <c r="U22" s="95"/>
      <c r="V22" s="95"/>
      <c r="W22" s="95"/>
      <c r="X22" s="96"/>
      <c r="Y22" s="68" t="s">
        <v>6</v>
      </c>
      <c r="Z22" s="69"/>
      <c r="AA22" s="70"/>
      <c r="AE22" s="10" t="s">
        <v>10</v>
      </c>
      <c r="AF22" s="11" t="s">
        <v>20</v>
      </c>
      <c r="AG22" s="71" t="s">
        <v>9</v>
      </c>
      <c r="AH22" s="95"/>
      <c r="AI22" s="95"/>
      <c r="AJ22" s="95"/>
      <c r="AK22" s="95"/>
      <c r="AL22" s="96"/>
      <c r="AM22" s="68" t="s">
        <v>6</v>
      </c>
      <c r="AN22" s="69"/>
      <c r="AO22" s="70"/>
    </row>
    <row r="23" spans="3:41" ht="12.75">
      <c r="C23" s="12" t="s">
        <v>21</v>
      </c>
      <c r="D23" s="13" t="s">
        <v>22</v>
      </c>
      <c r="E23" s="14" t="s">
        <v>0</v>
      </c>
      <c r="F23" s="15" t="s">
        <v>1</v>
      </c>
      <c r="G23" s="15" t="s">
        <v>17</v>
      </c>
      <c r="H23" s="15" t="s">
        <v>18</v>
      </c>
      <c r="I23" s="15" t="s">
        <v>14</v>
      </c>
      <c r="J23" s="15" t="s">
        <v>4</v>
      </c>
      <c r="K23" s="15" t="s">
        <v>1</v>
      </c>
      <c r="L23" s="15" t="s">
        <v>17</v>
      </c>
      <c r="M23" s="16" t="s">
        <v>18</v>
      </c>
      <c r="Q23" s="12" t="s">
        <v>21</v>
      </c>
      <c r="R23" s="13" t="s">
        <v>22</v>
      </c>
      <c r="S23" s="14" t="s">
        <v>0</v>
      </c>
      <c r="T23" s="15" t="s">
        <v>1</v>
      </c>
      <c r="U23" s="15" t="s">
        <v>17</v>
      </c>
      <c r="V23" s="15" t="s">
        <v>18</v>
      </c>
      <c r="W23" s="15" t="s">
        <v>14</v>
      </c>
      <c r="X23" s="15" t="s">
        <v>4</v>
      </c>
      <c r="Y23" s="15" t="s">
        <v>1</v>
      </c>
      <c r="Z23" s="15" t="s">
        <v>17</v>
      </c>
      <c r="AA23" s="16" t="s">
        <v>18</v>
      </c>
      <c r="AE23" s="12" t="s">
        <v>21</v>
      </c>
      <c r="AF23" s="13" t="s">
        <v>22</v>
      </c>
      <c r="AG23" s="14" t="s">
        <v>0</v>
      </c>
      <c r="AH23" s="15" t="s">
        <v>1</v>
      </c>
      <c r="AI23" s="15" t="s">
        <v>17</v>
      </c>
      <c r="AJ23" s="15" t="s">
        <v>18</v>
      </c>
      <c r="AK23" s="15" t="s">
        <v>14</v>
      </c>
      <c r="AL23" s="15" t="s">
        <v>4</v>
      </c>
      <c r="AM23" s="15" t="s">
        <v>1</v>
      </c>
      <c r="AN23" s="15" t="s">
        <v>17</v>
      </c>
      <c r="AO23" s="16" t="s">
        <v>18</v>
      </c>
    </row>
    <row r="24" spans="3:41" ht="12.75">
      <c r="C24" s="4" t="s">
        <v>0</v>
      </c>
      <c r="D24" s="17" t="s">
        <v>23</v>
      </c>
      <c r="E24" s="5">
        <v>43150070.54688224</v>
      </c>
      <c r="F24" s="5"/>
      <c r="G24" s="5"/>
      <c r="H24" s="5"/>
      <c r="I24" s="5"/>
      <c r="J24" s="5"/>
      <c r="K24" s="5"/>
      <c r="L24" s="5"/>
      <c r="M24" s="6"/>
      <c r="Q24" s="4" t="s">
        <v>0</v>
      </c>
      <c r="R24" s="17" t="s">
        <v>23</v>
      </c>
      <c r="S24" s="5">
        <v>7985304.951328423</v>
      </c>
      <c r="T24" s="5"/>
      <c r="U24" s="5"/>
      <c r="V24" s="5"/>
      <c r="W24" s="5"/>
      <c r="X24" s="5"/>
      <c r="Y24" s="5"/>
      <c r="Z24" s="5"/>
      <c r="AA24" s="6"/>
      <c r="AE24" s="4" t="s">
        <v>0</v>
      </c>
      <c r="AF24" s="17" t="s">
        <v>23</v>
      </c>
      <c r="AG24" s="5">
        <v>967418.2928756061</v>
      </c>
      <c r="AH24" s="5"/>
      <c r="AI24" s="5"/>
      <c r="AJ24" s="5"/>
      <c r="AK24" s="5"/>
      <c r="AL24" s="5"/>
      <c r="AM24" s="5"/>
      <c r="AN24" s="5"/>
      <c r="AO24" s="6"/>
    </row>
    <row r="25" spans="3:41" ht="12.75">
      <c r="C25" s="4"/>
      <c r="D25" s="17" t="s">
        <v>24</v>
      </c>
      <c r="E25" s="5">
        <v>29625685.02700764</v>
      </c>
      <c r="F25" s="5"/>
      <c r="G25" s="5"/>
      <c r="H25" s="5"/>
      <c r="I25" s="5"/>
      <c r="J25" s="5"/>
      <c r="K25" s="5"/>
      <c r="L25" s="5"/>
      <c r="M25" s="6"/>
      <c r="Q25" s="4"/>
      <c r="R25" s="17" t="s">
        <v>24</v>
      </c>
      <c r="S25" s="5">
        <v>3258235.4286346156</v>
      </c>
      <c r="T25" s="5"/>
      <c r="U25" s="5"/>
      <c r="V25" s="5"/>
      <c r="W25" s="5"/>
      <c r="X25" s="5"/>
      <c r="Y25" s="5"/>
      <c r="Z25" s="5"/>
      <c r="AA25" s="6"/>
      <c r="AE25" s="4"/>
      <c r="AF25" s="17" t="s">
        <v>24</v>
      </c>
      <c r="AG25" s="5">
        <v>620517.1118425032</v>
      </c>
      <c r="AH25" s="5"/>
      <c r="AI25" s="5"/>
      <c r="AJ25" s="5"/>
      <c r="AK25" s="5"/>
      <c r="AL25" s="5"/>
      <c r="AM25" s="5"/>
      <c r="AN25" s="5"/>
      <c r="AO25" s="6"/>
    </row>
    <row r="26" spans="3:41" ht="12.75">
      <c r="C26" s="4"/>
      <c r="D26" s="17" t="s">
        <v>25</v>
      </c>
      <c r="E26" s="5">
        <v>9229644.517369118</v>
      </c>
      <c r="F26" s="5"/>
      <c r="G26" s="5"/>
      <c r="H26" s="5"/>
      <c r="I26" s="5"/>
      <c r="J26" s="5"/>
      <c r="K26" s="5"/>
      <c r="L26" s="5"/>
      <c r="M26" s="6"/>
      <c r="Q26" s="4"/>
      <c r="R26" s="17" t="s">
        <v>25</v>
      </c>
      <c r="S26" s="5">
        <v>402376.7024601192</v>
      </c>
      <c r="T26" s="5"/>
      <c r="U26" s="5"/>
      <c r="V26" s="5"/>
      <c r="W26" s="5"/>
      <c r="X26" s="5"/>
      <c r="Y26" s="5"/>
      <c r="Z26" s="5"/>
      <c r="AA26" s="6"/>
      <c r="AE26" s="4"/>
      <c r="AF26" s="17" t="s">
        <v>25</v>
      </c>
      <c r="AG26" s="5">
        <v>129947.03680162181</v>
      </c>
      <c r="AH26" s="5"/>
      <c r="AI26" s="5"/>
      <c r="AJ26" s="5"/>
      <c r="AK26" s="5"/>
      <c r="AL26" s="5"/>
      <c r="AM26" s="5"/>
      <c r="AN26" s="5"/>
      <c r="AO26" s="6"/>
    </row>
    <row r="27" spans="3:41" ht="12.75">
      <c r="C27" s="4"/>
      <c r="D27" s="17" t="s">
        <v>26</v>
      </c>
      <c r="E27" s="5">
        <v>24143803.808425877</v>
      </c>
      <c r="F27" s="5"/>
      <c r="G27" s="5"/>
      <c r="H27" s="5"/>
      <c r="I27" s="5"/>
      <c r="J27" s="5"/>
      <c r="K27" s="5"/>
      <c r="L27" s="5"/>
      <c r="M27" s="6"/>
      <c r="Q27" s="4"/>
      <c r="R27" s="17" t="s">
        <v>26</v>
      </c>
      <c r="S27" s="5">
        <v>4213233.3751921225</v>
      </c>
      <c r="T27" s="5"/>
      <c r="U27" s="5"/>
      <c r="V27" s="5"/>
      <c r="W27" s="5"/>
      <c r="X27" s="5"/>
      <c r="Y27" s="5"/>
      <c r="Z27" s="5"/>
      <c r="AA27" s="6"/>
      <c r="AE27" s="4"/>
      <c r="AF27" s="17" t="s">
        <v>26</v>
      </c>
      <c r="AG27" s="5">
        <v>363883.6079132449</v>
      </c>
      <c r="AH27" s="5"/>
      <c r="AI27" s="5"/>
      <c r="AJ27" s="5"/>
      <c r="AK27" s="5"/>
      <c r="AL27" s="5"/>
      <c r="AM27" s="5"/>
      <c r="AN27" s="5"/>
      <c r="AO27" s="6"/>
    </row>
    <row r="28" spans="3:41" ht="12.75">
      <c r="C28" s="4" t="s">
        <v>1</v>
      </c>
      <c r="D28" s="17" t="s">
        <v>23</v>
      </c>
      <c r="E28" s="5">
        <v>12621775.173877345</v>
      </c>
      <c r="F28" s="5">
        <v>47953476.21600017</v>
      </c>
      <c r="G28" s="5"/>
      <c r="H28" s="5"/>
      <c r="I28" s="5"/>
      <c r="J28" s="5"/>
      <c r="K28" s="5">
        <v>2486321.7182413936</v>
      </c>
      <c r="L28" s="5"/>
      <c r="M28" s="6"/>
      <c r="Q28" s="4" t="s">
        <v>1</v>
      </c>
      <c r="R28" s="17" t="s">
        <v>23</v>
      </c>
      <c r="S28" s="5">
        <v>6083013.2927281745</v>
      </c>
      <c r="T28" s="5">
        <v>8597618.454160659</v>
      </c>
      <c r="U28" s="5"/>
      <c r="V28" s="5"/>
      <c r="W28" s="5"/>
      <c r="X28" s="5"/>
      <c r="Y28" s="5">
        <v>56762.70009217098</v>
      </c>
      <c r="Z28" s="5"/>
      <c r="AA28" s="6"/>
      <c r="AE28" s="4" t="s">
        <v>1</v>
      </c>
      <c r="AF28" s="17" t="s">
        <v>23</v>
      </c>
      <c r="AG28" s="5">
        <v>356577.43643027113</v>
      </c>
      <c r="AH28" s="5">
        <v>1069677.2932452385</v>
      </c>
      <c r="AI28" s="5"/>
      <c r="AJ28" s="5"/>
      <c r="AK28" s="5"/>
      <c r="AL28" s="5"/>
      <c r="AM28" s="5">
        <v>47820.76157615921</v>
      </c>
      <c r="AN28" s="5"/>
      <c r="AO28" s="6"/>
    </row>
    <row r="29" spans="3:41" ht="12.75">
      <c r="C29" s="4"/>
      <c r="D29" s="17" t="s">
        <v>24</v>
      </c>
      <c r="E29" s="5">
        <v>30409907.461619787</v>
      </c>
      <c r="F29" s="5">
        <v>31794599.89545547</v>
      </c>
      <c r="G29" s="5"/>
      <c r="H29" s="5"/>
      <c r="I29" s="5"/>
      <c r="J29" s="5"/>
      <c r="K29" s="5">
        <v>4658581.364081357</v>
      </c>
      <c r="L29" s="5"/>
      <c r="M29" s="6"/>
      <c r="Q29" s="4"/>
      <c r="R29" s="17" t="s">
        <v>24</v>
      </c>
      <c r="S29" s="5">
        <v>3574355.5777389356</v>
      </c>
      <c r="T29" s="5">
        <v>6770404.045674209</v>
      </c>
      <c r="U29" s="5"/>
      <c r="V29" s="5"/>
      <c r="W29" s="5"/>
      <c r="X29" s="5"/>
      <c r="Y29" s="5">
        <v>366235.58650786744</v>
      </c>
      <c r="Z29" s="5"/>
      <c r="AA29" s="6"/>
      <c r="AE29" s="4"/>
      <c r="AF29" s="17" t="s">
        <v>24</v>
      </c>
      <c r="AG29" s="5">
        <v>641457.7117426998</v>
      </c>
      <c r="AH29" s="5">
        <v>730242.5173300006</v>
      </c>
      <c r="AI29" s="5"/>
      <c r="AJ29" s="5"/>
      <c r="AK29" s="5"/>
      <c r="AL29" s="5"/>
      <c r="AM29" s="5">
        <v>94705.27191861962</v>
      </c>
      <c r="AN29" s="5"/>
      <c r="AO29" s="6"/>
    </row>
    <row r="30" spans="3:41" ht="12.75">
      <c r="C30" s="4"/>
      <c r="D30" s="17" t="s">
        <v>25</v>
      </c>
      <c r="E30" s="5">
        <v>9276494.540540833</v>
      </c>
      <c r="F30" s="5">
        <v>18651005.494269576</v>
      </c>
      <c r="G30" s="5"/>
      <c r="H30" s="5"/>
      <c r="I30" s="5"/>
      <c r="J30" s="5"/>
      <c r="K30" s="5">
        <v>1239200.5693310702</v>
      </c>
      <c r="L30" s="5"/>
      <c r="M30" s="6"/>
      <c r="Q30" s="4"/>
      <c r="R30" s="17" t="s">
        <v>25</v>
      </c>
      <c r="S30" s="5">
        <v>240661.30668394652</v>
      </c>
      <c r="T30" s="5">
        <v>1023288.2934930293</v>
      </c>
      <c r="U30" s="5"/>
      <c r="V30" s="5"/>
      <c r="W30" s="5"/>
      <c r="X30" s="5"/>
      <c r="Y30" s="5">
        <v>160888.39309676815</v>
      </c>
      <c r="Z30" s="5"/>
      <c r="AA30" s="6"/>
      <c r="AE30" s="4"/>
      <c r="AF30" s="17" t="s">
        <v>25</v>
      </c>
      <c r="AG30" s="5">
        <v>129365.48728636523</v>
      </c>
      <c r="AH30" s="5">
        <v>264186.2964965347</v>
      </c>
      <c r="AI30" s="5"/>
      <c r="AJ30" s="5"/>
      <c r="AK30" s="5"/>
      <c r="AL30" s="5"/>
      <c r="AM30" s="5">
        <v>18257.042167815063</v>
      </c>
      <c r="AN30" s="5"/>
      <c r="AO30" s="6"/>
    </row>
    <row r="31" spans="3:41" ht="12.75">
      <c r="C31" s="4"/>
      <c r="D31" s="17" t="s">
        <v>26</v>
      </c>
      <c r="E31" s="5">
        <v>24125209.35878187</v>
      </c>
      <c r="F31" s="5">
        <v>31677516.337996718</v>
      </c>
      <c r="G31" s="5"/>
      <c r="H31" s="5"/>
      <c r="I31" s="5"/>
      <c r="J31" s="5"/>
      <c r="K31" s="5">
        <v>2843704.4636844005</v>
      </c>
      <c r="L31" s="5"/>
      <c r="M31" s="6"/>
      <c r="Q31" s="4"/>
      <c r="R31" s="17" t="s">
        <v>26</v>
      </c>
      <c r="S31" s="5">
        <v>3852858.3055255925</v>
      </c>
      <c r="T31" s="5">
        <v>9424371.554151788</v>
      </c>
      <c r="U31" s="5"/>
      <c r="V31" s="5"/>
      <c r="W31" s="5"/>
      <c r="X31" s="5"/>
      <c r="Y31" s="5">
        <v>1231183.449082395</v>
      </c>
      <c r="Z31" s="5"/>
      <c r="AA31" s="6"/>
      <c r="AE31" s="4"/>
      <c r="AF31" s="17" t="s">
        <v>26</v>
      </c>
      <c r="AG31" s="5">
        <v>360896.5741027563</v>
      </c>
      <c r="AH31" s="5">
        <v>506960.3860030385</v>
      </c>
      <c r="AI31" s="5"/>
      <c r="AJ31" s="5"/>
      <c r="AK31" s="5"/>
      <c r="AL31" s="5"/>
      <c r="AM31" s="5">
        <v>48429.238426724834</v>
      </c>
      <c r="AN31" s="5"/>
      <c r="AO31" s="6"/>
    </row>
    <row r="32" spans="3:41" ht="12.75">
      <c r="C32" s="4" t="s">
        <v>27</v>
      </c>
      <c r="D32" s="17" t="s">
        <v>23</v>
      </c>
      <c r="E32" s="5">
        <v>10446749.777053518</v>
      </c>
      <c r="F32" s="5">
        <v>19619052.688553575</v>
      </c>
      <c r="G32" s="5">
        <v>114002611.19962792</v>
      </c>
      <c r="H32" s="5"/>
      <c r="I32" s="5"/>
      <c r="J32" s="5"/>
      <c r="K32" s="5">
        <v>19786732.204816524</v>
      </c>
      <c r="L32" s="5">
        <v>24094112.37429399</v>
      </c>
      <c r="M32" s="6"/>
      <c r="Q32" s="4" t="s">
        <v>27</v>
      </c>
      <c r="R32" s="17" t="s">
        <v>23</v>
      </c>
      <c r="S32" s="5">
        <v>5372197.914537186</v>
      </c>
      <c r="T32" s="5">
        <v>4684645.07527116</v>
      </c>
      <c r="U32" s="5">
        <v>40525938.11778464</v>
      </c>
      <c r="V32" s="5"/>
      <c r="W32" s="5"/>
      <c r="X32" s="5"/>
      <c r="Y32" s="5">
        <v>29937.983942611252</v>
      </c>
      <c r="Z32" s="5">
        <v>482812.4342045117</v>
      </c>
      <c r="AA32" s="6"/>
      <c r="AE32" s="4" t="s">
        <v>27</v>
      </c>
      <c r="AF32" s="17" t="s">
        <v>23</v>
      </c>
      <c r="AG32" s="5">
        <v>301758.255778919</v>
      </c>
      <c r="AH32" s="5">
        <v>460557.08260793827</v>
      </c>
      <c r="AI32" s="5">
        <v>2372552.4580587978</v>
      </c>
      <c r="AJ32" s="5"/>
      <c r="AK32" s="5"/>
      <c r="AL32" s="5"/>
      <c r="AM32" s="5">
        <v>184378.35933710993</v>
      </c>
      <c r="AN32" s="5">
        <v>239008.60401568448</v>
      </c>
      <c r="AO32" s="6"/>
    </row>
    <row r="33" spans="3:41" ht="12.75">
      <c r="C33" s="4"/>
      <c r="D33" s="17" t="s">
        <v>24</v>
      </c>
      <c r="E33" s="5">
        <v>9058604.073960047</v>
      </c>
      <c r="F33" s="5">
        <v>19030024.227409672</v>
      </c>
      <c r="G33" s="5">
        <v>70015157.67377503</v>
      </c>
      <c r="H33" s="5"/>
      <c r="I33" s="5"/>
      <c r="J33" s="5"/>
      <c r="K33" s="5">
        <v>17569766.194013257</v>
      </c>
      <c r="L33" s="5">
        <v>37873756.3393412</v>
      </c>
      <c r="M33" s="6"/>
      <c r="Q33" s="4"/>
      <c r="R33" s="17" t="s">
        <v>24</v>
      </c>
      <c r="S33" s="5">
        <v>1448122.0595232486</v>
      </c>
      <c r="T33" s="5">
        <v>3373136.4257854936</v>
      </c>
      <c r="U33" s="5">
        <v>5292812.0178975295</v>
      </c>
      <c r="V33" s="5"/>
      <c r="W33" s="5"/>
      <c r="X33" s="5"/>
      <c r="Y33" s="5">
        <v>2343568.8912814097</v>
      </c>
      <c r="Z33" s="5">
        <v>1605746.392701349</v>
      </c>
      <c r="AA33" s="6"/>
      <c r="AE33" s="4"/>
      <c r="AF33" s="17" t="s">
        <v>24</v>
      </c>
      <c r="AG33" s="5">
        <v>198609.48952999638</v>
      </c>
      <c r="AH33" s="5">
        <v>423732.93301477353</v>
      </c>
      <c r="AI33" s="5">
        <v>820834.7201242945</v>
      </c>
      <c r="AJ33" s="5"/>
      <c r="AK33" s="5"/>
      <c r="AL33" s="5"/>
      <c r="AM33" s="5">
        <v>238950.68653735943</v>
      </c>
      <c r="AN33" s="5">
        <v>403195.0264044105</v>
      </c>
      <c r="AO33" s="6"/>
    </row>
    <row r="34" spans="3:41" ht="12.75">
      <c r="C34" s="4"/>
      <c r="D34" s="17" t="s">
        <v>25</v>
      </c>
      <c r="E34" s="5">
        <v>6201568.914521837</v>
      </c>
      <c r="F34" s="5">
        <v>45503748.66896657</v>
      </c>
      <c r="G34" s="5">
        <v>154057722.28651297</v>
      </c>
      <c r="H34" s="5"/>
      <c r="I34" s="5"/>
      <c r="J34" s="5"/>
      <c r="K34" s="5">
        <v>45751033.70209123</v>
      </c>
      <c r="L34" s="5">
        <v>25323889.284732133</v>
      </c>
      <c r="M34" s="6"/>
      <c r="Q34" s="4"/>
      <c r="R34" s="17" t="s">
        <v>25</v>
      </c>
      <c r="S34" s="5">
        <v>93780.25614806837</v>
      </c>
      <c r="T34" s="5">
        <v>853993.9902575797</v>
      </c>
      <c r="U34" s="5">
        <v>14692101.51174534</v>
      </c>
      <c r="V34" s="5"/>
      <c r="W34" s="5"/>
      <c r="X34" s="5"/>
      <c r="Y34" s="5">
        <v>11958543.490780063</v>
      </c>
      <c r="Z34" s="5">
        <v>10258602.772082042</v>
      </c>
      <c r="AA34" s="6"/>
      <c r="AE34" s="4"/>
      <c r="AF34" s="17" t="s">
        <v>25</v>
      </c>
      <c r="AG34" s="5">
        <v>57977.932009252705</v>
      </c>
      <c r="AH34" s="5">
        <v>426879.5299522599</v>
      </c>
      <c r="AI34" s="5">
        <v>1549741.7307512343</v>
      </c>
      <c r="AJ34" s="5"/>
      <c r="AK34" s="5"/>
      <c r="AL34" s="5"/>
      <c r="AM34" s="5">
        <v>527489.0597909127</v>
      </c>
      <c r="AN34" s="5">
        <v>324199.7819535073</v>
      </c>
      <c r="AO34" s="6"/>
    </row>
    <row r="35" spans="3:41" ht="12.75">
      <c r="C35" s="4"/>
      <c r="D35" s="17" t="s">
        <v>26</v>
      </c>
      <c r="E35" s="5">
        <v>11498284.150211545</v>
      </c>
      <c r="F35" s="5">
        <v>61259279.82349773</v>
      </c>
      <c r="G35" s="5">
        <v>367545386.6431954</v>
      </c>
      <c r="H35" s="5"/>
      <c r="I35" s="5"/>
      <c r="J35" s="5"/>
      <c r="K35" s="5">
        <v>134750894.068896</v>
      </c>
      <c r="L35" s="5">
        <v>89913712.45871915</v>
      </c>
      <c r="M35" s="6"/>
      <c r="Q35" s="4"/>
      <c r="R35" s="17" t="s">
        <v>26</v>
      </c>
      <c r="S35" s="5">
        <v>1725838.3553448198</v>
      </c>
      <c r="T35" s="5">
        <v>8125764.030738019</v>
      </c>
      <c r="U35" s="5">
        <v>83333615.78875601</v>
      </c>
      <c r="V35" s="5"/>
      <c r="W35" s="5"/>
      <c r="X35" s="5"/>
      <c r="Y35" s="5">
        <v>11736017.633697493</v>
      </c>
      <c r="Z35" s="5">
        <v>9950235.214236008</v>
      </c>
      <c r="AA35" s="6"/>
      <c r="AE35" s="4"/>
      <c r="AF35" s="17" t="s">
        <v>26</v>
      </c>
      <c r="AG35" s="5">
        <v>121239.08178763936</v>
      </c>
      <c r="AH35" s="5">
        <v>636458.407630435</v>
      </c>
      <c r="AI35" s="5">
        <v>4124852.959507966</v>
      </c>
      <c r="AJ35" s="5"/>
      <c r="AK35" s="5"/>
      <c r="AL35" s="5"/>
      <c r="AM35" s="5">
        <v>1345653.0269083204</v>
      </c>
      <c r="AN35" s="5">
        <v>916664.9303833614</v>
      </c>
      <c r="AO35" s="6"/>
    </row>
    <row r="36" spans="3:41" ht="12.75">
      <c r="C36" s="4" t="s">
        <v>28</v>
      </c>
      <c r="D36" s="17" t="s">
        <v>23</v>
      </c>
      <c r="E36" s="5">
        <v>9611858.408851286</v>
      </c>
      <c r="F36" s="5">
        <v>9944059.358089129</v>
      </c>
      <c r="G36" s="5">
        <v>39444191.365348004</v>
      </c>
      <c r="H36" s="5">
        <v>197955779.37649345</v>
      </c>
      <c r="I36" s="5"/>
      <c r="J36" s="5"/>
      <c r="K36" s="5">
        <v>19970698.845642187</v>
      </c>
      <c r="L36" s="5">
        <v>50249584.77290459</v>
      </c>
      <c r="M36" s="6">
        <v>256855.38946667136</v>
      </c>
      <c r="Q36" s="4" t="s">
        <v>28</v>
      </c>
      <c r="R36" s="17" t="s">
        <v>23</v>
      </c>
      <c r="S36" s="5">
        <v>1098199.8413458616</v>
      </c>
      <c r="T36" s="5">
        <v>2177232.343771082</v>
      </c>
      <c r="U36" s="5">
        <v>3474885.3287499864</v>
      </c>
      <c r="V36" s="5">
        <v>16954246.491650946</v>
      </c>
      <c r="W36" s="5"/>
      <c r="X36" s="5"/>
      <c r="Y36" s="5">
        <v>23759.417833183303</v>
      </c>
      <c r="Z36" s="5">
        <v>2042532.688119688</v>
      </c>
      <c r="AA36" s="6">
        <v>403341.90245452075</v>
      </c>
      <c r="AE36" s="4" t="s">
        <v>28</v>
      </c>
      <c r="AF36" s="17" t="s">
        <v>23</v>
      </c>
      <c r="AG36" s="5">
        <v>202129.67127905943</v>
      </c>
      <c r="AH36" s="5">
        <v>229563.24746159837</v>
      </c>
      <c r="AI36" s="5">
        <v>478441.0667925414</v>
      </c>
      <c r="AJ36" s="5">
        <v>1296764.8341974672</v>
      </c>
      <c r="AK36" s="5"/>
      <c r="AL36" s="5"/>
      <c r="AM36" s="5">
        <v>108435.54076823349</v>
      </c>
      <c r="AN36" s="5">
        <v>299160.03012154053</v>
      </c>
      <c r="AO36" s="6">
        <v>6744.40387308099</v>
      </c>
    </row>
    <row r="37" spans="3:41" ht="12.75">
      <c r="C37" s="4"/>
      <c r="D37" s="17" t="s">
        <v>24</v>
      </c>
      <c r="E37" s="5">
        <v>7533480.947806235</v>
      </c>
      <c r="F37" s="5">
        <v>24200603.244836565</v>
      </c>
      <c r="G37" s="5">
        <v>56415884.971344694</v>
      </c>
      <c r="H37" s="5">
        <v>42995853.53130805</v>
      </c>
      <c r="I37" s="5"/>
      <c r="J37" s="5"/>
      <c r="K37" s="5">
        <v>18958203.61744182</v>
      </c>
      <c r="L37" s="5">
        <v>87714648.56788968</v>
      </c>
      <c r="M37" s="6">
        <v>10981288.733651169</v>
      </c>
      <c r="Q37" s="4"/>
      <c r="R37" s="17" t="s">
        <v>24</v>
      </c>
      <c r="S37" s="5">
        <v>164205.6960175246</v>
      </c>
      <c r="T37" s="5">
        <v>1211800.134145937</v>
      </c>
      <c r="U37" s="5">
        <v>7260587.714279759</v>
      </c>
      <c r="V37" s="5">
        <v>16146737.412245687</v>
      </c>
      <c r="W37" s="5"/>
      <c r="X37" s="5"/>
      <c r="Y37" s="5">
        <v>27670990.265803933</v>
      </c>
      <c r="Z37" s="5">
        <v>35592943.606571436</v>
      </c>
      <c r="AA37" s="6">
        <v>517890.9323151062</v>
      </c>
      <c r="AE37" s="4"/>
      <c r="AF37" s="17" t="s">
        <v>24</v>
      </c>
      <c r="AG37" s="5">
        <v>144742.61036657434</v>
      </c>
      <c r="AH37" s="5">
        <v>478412.4426214595</v>
      </c>
      <c r="AI37" s="5">
        <v>758673.0371401438</v>
      </c>
      <c r="AJ37" s="5">
        <v>447102.5138481589</v>
      </c>
      <c r="AK37" s="5"/>
      <c r="AL37" s="5"/>
      <c r="AM37" s="5">
        <v>469932.58532846026</v>
      </c>
      <c r="AN37" s="5">
        <v>947328.8003747282</v>
      </c>
      <c r="AO37" s="6">
        <v>66326.3231391361</v>
      </c>
    </row>
    <row r="38" spans="3:41" ht="12.75">
      <c r="C38" s="4"/>
      <c r="D38" s="17" t="s">
        <v>25</v>
      </c>
      <c r="E38" s="5">
        <v>662359.7805247146</v>
      </c>
      <c r="F38" s="5">
        <v>2795116.311889289</v>
      </c>
      <c r="G38" s="5">
        <v>39753771.10054185</v>
      </c>
      <c r="H38" s="5">
        <v>364792883.9080531</v>
      </c>
      <c r="I38" s="5"/>
      <c r="J38" s="5"/>
      <c r="K38" s="5">
        <v>78328247.53734918</v>
      </c>
      <c r="L38" s="5">
        <v>146483334.48096117</v>
      </c>
      <c r="M38" s="6">
        <v>830341.5548064573</v>
      </c>
      <c r="Q38" s="4"/>
      <c r="R38" s="17" t="s">
        <v>25</v>
      </c>
      <c r="S38" s="5">
        <v>47560.84162355479</v>
      </c>
      <c r="T38" s="5">
        <v>392228.3195707745</v>
      </c>
      <c r="U38" s="5">
        <v>14692711.072420156</v>
      </c>
      <c r="V38" s="5">
        <v>5042650.360570201</v>
      </c>
      <c r="W38" s="5"/>
      <c r="X38" s="5"/>
      <c r="Y38" s="5">
        <v>50413928.97417122</v>
      </c>
      <c r="Z38" s="5">
        <v>92608379.58192368</v>
      </c>
      <c r="AA38" s="6">
        <v>0</v>
      </c>
      <c r="AE38" s="4"/>
      <c r="AF38" s="17" t="s">
        <v>25</v>
      </c>
      <c r="AG38" s="5">
        <v>4050.8671452640174</v>
      </c>
      <c r="AH38" s="5">
        <v>17982.887140612256</v>
      </c>
      <c r="AI38" s="5">
        <v>298044.00544739264</v>
      </c>
      <c r="AJ38" s="5">
        <v>2132882.933679448</v>
      </c>
      <c r="AK38" s="5"/>
      <c r="AL38" s="5"/>
      <c r="AM38" s="5">
        <v>686819.9468918135</v>
      </c>
      <c r="AN38" s="5">
        <v>1276681.254983612</v>
      </c>
      <c r="AO38" s="6">
        <v>4801.62116028797</v>
      </c>
    </row>
    <row r="39" spans="3:41" ht="12.75">
      <c r="C39" s="4"/>
      <c r="D39" s="17" t="s">
        <v>26</v>
      </c>
      <c r="E39" s="5">
        <v>2029123.1990236852</v>
      </c>
      <c r="F39" s="5">
        <v>8691697.527164776</v>
      </c>
      <c r="G39" s="5">
        <v>176192962.31798947</v>
      </c>
      <c r="H39" s="5">
        <v>104745960.0420489</v>
      </c>
      <c r="I39" s="5"/>
      <c r="J39" s="5"/>
      <c r="K39" s="5">
        <v>271559962.4096233</v>
      </c>
      <c r="L39" s="5">
        <v>770099111.4672499</v>
      </c>
      <c r="M39" s="6">
        <v>7001325.082446456</v>
      </c>
      <c r="Q39" s="4"/>
      <c r="R39" s="17" t="s">
        <v>26</v>
      </c>
      <c r="S39" s="5">
        <v>136083.43634795066</v>
      </c>
      <c r="T39" s="5">
        <v>684145.3431576943</v>
      </c>
      <c r="U39" s="5">
        <v>25497522.493556622</v>
      </c>
      <c r="V39" s="5">
        <v>63981663.411546946</v>
      </c>
      <c r="W39" s="5"/>
      <c r="X39" s="5"/>
      <c r="Y39" s="5">
        <v>53899133.4471112</v>
      </c>
      <c r="Z39" s="5">
        <v>108599940.23613499</v>
      </c>
      <c r="AA39" s="6">
        <v>160040.85895770838</v>
      </c>
      <c r="AE39" s="4"/>
      <c r="AF39" s="17" t="s">
        <v>26</v>
      </c>
      <c r="AG39" s="5">
        <v>12365.115469342813</v>
      </c>
      <c r="AH39" s="5">
        <v>53435.289154855294</v>
      </c>
      <c r="AI39" s="5">
        <v>1137155.373183278</v>
      </c>
      <c r="AJ39" s="5">
        <v>902526.6674713753</v>
      </c>
      <c r="AK39" s="5"/>
      <c r="AL39" s="5"/>
      <c r="AM39" s="5">
        <v>1820390.057889231</v>
      </c>
      <c r="AN39" s="5">
        <v>4957053.009749325</v>
      </c>
      <c r="AO39" s="6">
        <v>41229.03626815147</v>
      </c>
    </row>
    <row r="40" spans="3:41" ht="12.75">
      <c r="C40" s="4" t="s">
        <v>4</v>
      </c>
      <c r="D40" s="17" t="s">
        <v>29</v>
      </c>
      <c r="E40" s="17"/>
      <c r="F40" s="5"/>
      <c r="G40" s="5"/>
      <c r="H40" s="5"/>
      <c r="I40" s="5">
        <v>271865961.46001303</v>
      </c>
      <c r="J40" s="5">
        <v>87014483.38758789</v>
      </c>
      <c r="K40" s="5">
        <v>19592940.662398018</v>
      </c>
      <c r="L40" s="5">
        <v>134491709.84860712</v>
      </c>
      <c r="M40" s="6">
        <v>15575780.55496897</v>
      </c>
      <c r="Q40" s="4" t="s">
        <v>4</v>
      </c>
      <c r="R40" s="17" t="s">
        <v>29</v>
      </c>
      <c r="S40" s="17"/>
      <c r="T40" s="5"/>
      <c r="U40" s="5"/>
      <c r="V40" s="5"/>
      <c r="W40" s="5">
        <v>12494073.592794752</v>
      </c>
      <c r="X40" s="5">
        <v>46650512.11087044</v>
      </c>
      <c r="Y40" s="5">
        <v>13171815.098285003</v>
      </c>
      <c r="Z40" s="5">
        <v>168821462.74531865</v>
      </c>
      <c r="AA40" s="6">
        <v>34456397.87827032</v>
      </c>
      <c r="AE40" s="4" t="s">
        <v>4</v>
      </c>
      <c r="AF40" s="17" t="s">
        <v>29</v>
      </c>
      <c r="AG40" s="17"/>
      <c r="AH40" s="5"/>
      <c r="AI40" s="5"/>
      <c r="AJ40" s="5"/>
      <c r="AK40" s="5">
        <v>1187252.142157105</v>
      </c>
      <c r="AL40" s="5">
        <v>593761.5901677536</v>
      </c>
      <c r="AM40" s="5">
        <v>147066.1435141837</v>
      </c>
      <c r="AN40" s="5">
        <v>1402468.4911371302</v>
      </c>
      <c r="AO40" s="6">
        <v>237124.18922831523</v>
      </c>
    </row>
    <row r="41" spans="3:41" ht="12.75">
      <c r="C41" s="4"/>
      <c r="D41" s="18" t="s">
        <v>30</v>
      </c>
      <c r="E41" s="17"/>
      <c r="F41" s="5"/>
      <c r="G41" s="5"/>
      <c r="H41" s="5"/>
      <c r="I41" s="5">
        <v>55426864.1880904</v>
      </c>
      <c r="J41" s="5"/>
      <c r="K41" s="5">
        <v>60816371.972898975</v>
      </c>
      <c r="L41" s="5">
        <v>1687268691.1428509</v>
      </c>
      <c r="M41" s="6">
        <v>398923068.064437</v>
      </c>
      <c r="Q41" s="4"/>
      <c r="R41" s="18" t="s">
        <v>30</v>
      </c>
      <c r="S41" s="17"/>
      <c r="T41" s="5"/>
      <c r="U41" s="5"/>
      <c r="V41" s="5"/>
      <c r="W41" s="5">
        <v>22329408.86666003</v>
      </c>
      <c r="X41" s="5"/>
      <c r="Y41" s="5">
        <v>38024481.3928178</v>
      </c>
      <c r="Z41" s="5">
        <v>573032978.165273</v>
      </c>
      <c r="AA41" s="6">
        <v>49918246.675101265</v>
      </c>
      <c r="AE41" s="4"/>
      <c r="AF41" s="18" t="s">
        <v>30</v>
      </c>
      <c r="AG41" s="17"/>
      <c r="AH41" s="5"/>
      <c r="AI41" s="5"/>
      <c r="AJ41" s="5"/>
      <c r="AK41" s="5">
        <v>341197.85868880805</v>
      </c>
      <c r="AL41" s="5"/>
      <c r="AM41" s="5">
        <v>442154.66190799105</v>
      </c>
      <c r="AN41" s="5">
        <v>9851733.735290105</v>
      </c>
      <c r="AO41" s="6">
        <v>1900417.4755323762</v>
      </c>
    </row>
    <row r="42" spans="3:41" ht="12.75">
      <c r="C42" s="113" t="s">
        <v>31</v>
      </c>
      <c r="D42" s="96"/>
      <c r="E42" s="19">
        <f aca="true" t="shared" si="0" ref="E42:M42">SUM(E24:E41)</f>
        <v>239624619.68645757</v>
      </c>
      <c r="F42" s="19">
        <f t="shared" si="0"/>
        <v>321120179.79412925</v>
      </c>
      <c r="G42" s="19">
        <f t="shared" si="0"/>
        <v>1017427687.5583353</v>
      </c>
      <c r="H42" s="19">
        <f t="shared" si="0"/>
        <v>710490476.8579035</v>
      </c>
      <c r="I42" s="19">
        <f t="shared" si="0"/>
        <v>327292825.6481034</v>
      </c>
      <c r="J42" s="19">
        <f t="shared" si="0"/>
        <v>87014483.38758789</v>
      </c>
      <c r="K42" s="19">
        <f t="shared" si="0"/>
        <v>698312659.3305087</v>
      </c>
      <c r="L42" s="19">
        <f t="shared" si="0"/>
        <v>3053512550.73755</v>
      </c>
      <c r="M42" s="20">
        <f t="shared" si="0"/>
        <v>433568659.3797767</v>
      </c>
      <c r="Q42" s="113" t="s">
        <v>31</v>
      </c>
      <c r="R42" s="96"/>
      <c r="S42" s="19">
        <f>SUM(S24:S41)</f>
        <v>39696027.341180146</v>
      </c>
      <c r="T42" s="19">
        <f>SUM(T24:T41)</f>
        <v>47318628.010177426</v>
      </c>
      <c r="U42" s="19">
        <f>SUM(U24:U41)</f>
        <v>194770174.04519004</v>
      </c>
      <c r="V42" s="19">
        <f>SUM(V24:V41)</f>
        <v>102125297.67601378</v>
      </c>
      <c r="W42" s="19">
        <f>SUM(W24:W41)</f>
        <v>34823482.45945478</v>
      </c>
      <c r="X42" s="19">
        <f>SUM(X24:X41)</f>
        <v>46650512.11087044</v>
      </c>
      <c r="Y42" s="19">
        <f>SUM(Y24:Y41)</f>
        <v>211087246.7245031</v>
      </c>
      <c r="Z42" s="19">
        <f>SUM(Z24:Z41)</f>
        <v>1002995633.8365653</v>
      </c>
      <c r="AA42" s="20">
        <f>SUM(AA24:AA41)</f>
        <v>85455918.24709892</v>
      </c>
      <c r="AE42" s="113" t="s">
        <v>31</v>
      </c>
      <c r="AF42" s="96"/>
      <c r="AG42" s="19">
        <f>SUM(AG24:AG41)</f>
        <v>4612936.282361116</v>
      </c>
      <c r="AH42" s="19">
        <f>SUM(AH24:AH41)</f>
        <v>5298088.312658745</v>
      </c>
      <c r="AI42" s="19">
        <f>SUM(AI24:AI41)</f>
        <v>11540295.351005651</v>
      </c>
      <c r="AJ42" s="19">
        <f>SUM(AJ24:AJ41)</f>
        <v>4779276.9491964495</v>
      </c>
      <c r="AK42" s="19">
        <f>SUM(AK24:AK41)</f>
        <v>1528450.000845913</v>
      </c>
      <c r="AL42" s="19">
        <f>SUM(AL24:AL41)</f>
        <v>593761.5901677536</v>
      </c>
      <c r="AM42" s="19">
        <f>SUM(AM24:AM41)</f>
        <v>6180482.382962934</v>
      </c>
      <c r="AN42" s="19">
        <f>SUM(AN24:AN41)</f>
        <v>20617493.664413404</v>
      </c>
      <c r="AO42" s="20">
        <f>SUM(AO24:AO41)</f>
        <v>2256643.049201348</v>
      </c>
    </row>
    <row r="43" spans="3:41" ht="12.75">
      <c r="C43" s="4"/>
      <c r="D43" s="17"/>
      <c r="E43" s="17"/>
      <c r="F43" s="5"/>
      <c r="G43" s="5"/>
      <c r="H43" s="5"/>
      <c r="I43" s="129" t="s">
        <v>32</v>
      </c>
      <c r="J43" s="130">
        <f>SUM(E42:J42)</f>
        <v>2702970272.932517</v>
      </c>
      <c r="K43" s="5"/>
      <c r="L43" s="129" t="s">
        <v>33</v>
      </c>
      <c r="M43" s="131">
        <f>SUM(K42:M42)</f>
        <v>4185393869.447835</v>
      </c>
      <c r="Q43" s="4"/>
      <c r="R43" s="17"/>
      <c r="S43" s="17"/>
      <c r="T43" s="5"/>
      <c r="U43" s="5"/>
      <c r="V43" s="5"/>
      <c r="W43" s="129" t="s">
        <v>32</v>
      </c>
      <c r="X43" s="130">
        <f>SUM(S42:X42)</f>
        <v>465384121.6428866</v>
      </c>
      <c r="Y43" s="5"/>
      <c r="Z43" s="129" t="s">
        <v>33</v>
      </c>
      <c r="AA43" s="131">
        <f>SUM(Y42:AA42)</f>
        <v>1299538798.8081672</v>
      </c>
      <c r="AE43" s="4"/>
      <c r="AF43" s="17"/>
      <c r="AG43" s="17"/>
      <c r="AH43" s="5"/>
      <c r="AI43" s="5"/>
      <c r="AJ43" s="5"/>
      <c r="AK43" s="129" t="s">
        <v>32</v>
      </c>
      <c r="AL43" s="130">
        <f>SUM(AG42:AL42)</f>
        <v>28352808.48623563</v>
      </c>
      <c r="AM43" s="5"/>
      <c r="AN43" s="129" t="s">
        <v>33</v>
      </c>
      <c r="AO43" s="131">
        <f>SUM(AM42:AO42)</f>
        <v>29054619.096577685</v>
      </c>
    </row>
    <row r="44" spans="3:41" ht="13.5" thickBot="1">
      <c r="C44" s="21"/>
      <c r="D44" s="22"/>
      <c r="E44" s="22"/>
      <c r="F44" s="23"/>
      <c r="G44" s="23"/>
      <c r="H44" s="23"/>
      <c r="I44" s="132"/>
      <c r="J44" s="24"/>
      <c r="K44" s="23"/>
      <c r="L44" s="132" t="s">
        <v>143</v>
      </c>
      <c r="M44" s="121">
        <f>J43+M43</f>
        <v>6888364142.380352</v>
      </c>
      <c r="Q44" s="21"/>
      <c r="R44" s="22"/>
      <c r="S44" s="22"/>
      <c r="T44" s="23"/>
      <c r="U44" s="23"/>
      <c r="V44" s="23"/>
      <c r="W44" s="132"/>
      <c r="X44" s="24"/>
      <c r="Y44" s="23"/>
      <c r="Z44" s="132" t="s">
        <v>143</v>
      </c>
      <c r="AA44" s="121">
        <f>X43+AA43</f>
        <v>1764922920.4510539</v>
      </c>
      <c r="AE44" s="21"/>
      <c r="AF44" s="22"/>
      <c r="AG44" s="22"/>
      <c r="AH44" s="23"/>
      <c r="AI44" s="23"/>
      <c r="AJ44" s="23"/>
      <c r="AK44" s="132"/>
      <c r="AL44" s="24"/>
      <c r="AM44" s="23"/>
      <c r="AN44" s="132" t="s">
        <v>143</v>
      </c>
      <c r="AO44" s="121">
        <f>AL43+AO43</f>
        <v>57407427.582813315</v>
      </c>
    </row>
    <row r="45" ht="13.5" thickTop="1"/>
    <row r="46" spans="13:41" ht="12.75">
      <c r="M46">
        <f>M44/N57</f>
        <v>12.240426008767779</v>
      </c>
      <c r="AA46">
        <f>AA44/AB57</f>
        <v>19.173544928030505</v>
      </c>
      <c r="AO46">
        <f>AO44/AP57</f>
        <v>12.817336592334321</v>
      </c>
    </row>
    <row r="48" spans="4:32" ht="13.5" thickBot="1">
      <c r="D48" t="s">
        <v>144</v>
      </c>
      <c r="R48" t="s">
        <v>144</v>
      </c>
      <c r="AF48" t="s">
        <v>144</v>
      </c>
    </row>
    <row r="49" spans="4:42" ht="13.5" thickTop="1">
      <c r="D49" s="105" t="s">
        <v>141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R49" s="105" t="s">
        <v>148</v>
      </c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F49" s="105" t="s">
        <v>151</v>
      </c>
      <c r="AG49" s="106"/>
      <c r="AH49" s="106"/>
      <c r="AI49" s="106"/>
      <c r="AJ49" s="106"/>
      <c r="AK49" s="106"/>
      <c r="AL49" s="106"/>
      <c r="AM49" s="106"/>
      <c r="AN49" s="106"/>
      <c r="AO49" s="106"/>
      <c r="AP49" s="107"/>
    </row>
    <row r="50" spans="4:42" ht="12.75">
      <c r="D50" s="76" t="s">
        <v>10</v>
      </c>
      <c r="E50" s="100" t="s">
        <v>9</v>
      </c>
      <c r="F50" s="101"/>
      <c r="G50" s="101"/>
      <c r="H50" s="101"/>
      <c r="I50" s="101"/>
      <c r="J50" s="102"/>
      <c r="K50" s="103" t="s">
        <v>6</v>
      </c>
      <c r="L50" s="103"/>
      <c r="M50" s="103"/>
      <c r="N50" s="77" t="s">
        <v>5</v>
      </c>
      <c r="R50" s="76" t="s">
        <v>10</v>
      </c>
      <c r="S50" s="100" t="s">
        <v>9</v>
      </c>
      <c r="T50" s="101"/>
      <c r="U50" s="101"/>
      <c r="V50" s="101"/>
      <c r="W50" s="101"/>
      <c r="X50" s="102"/>
      <c r="Y50" s="103" t="s">
        <v>6</v>
      </c>
      <c r="Z50" s="103"/>
      <c r="AA50" s="103"/>
      <c r="AB50" s="77" t="s">
        <v>5</v>
      </c>
      <c r="AF50" s="76" t="s">
        <v>10</v>
      </c>
      <c r="AG50" s="100" t="s">
        <v>9</v>
      </c>
      <c r="AH50" s="101"/>
      <c r="AI50" s="101"/>
      <c r="AJ50" s="101"/>
      <c r="AK50" s="101"/>
      <c r="AL50" s="102"/>
      <c r="AM50" s="103" t="s">
        <v>6</v>
      </c>
      <c r="AN50" s="103"/>
      <c r="AO50" s="103"/>
      <c r="AP50" s="77" t="s">
        <v>5</v>
      </c>
    </row>
    <row r="51" spans="4:42" ht="12.75">
      <c r="D51" s="78" t="s">
        <v>11</v>
      </c>
      <c r="E51" s="3" t="s">
        <v>0</v>
      </c>
      <c r="F51" s="3" t="s">
        <v>1</v>
      </c>
      <c r="G51" s="3" t="s">
        <v>12</v>
      </c>
      <c r="H51" s="3" t="s">
        <v>13</v>
      </c>
      <c r="I51" s="3" t="s">
        <v>14</v>
      </c>
      <c r="J51" s="3" t="s">
        <v>4</v>
      </c>
      <c r="K51" s="3" t="s">
        <v>1</v>
      </c>
      <c r="L51" s="3" t="s">
        <v>15</v>
      </c>
      <c r="M51" s="3" t="s">
        <v>13</v>
      </c>
      <c r="N51" s="79" t="s">
        <v>16</v>
      </c>
      <c r="R51" s="78" t="s">
        <v>11</v>
      </c>
      <c r="S51" s="3" t="s">
        <v>0</v>
      </c>
      <c r="T51" s="3" t="s">
        <v>1</v>
      </c>
      <c r="U51" s="3" t="s">
        <v>12</v>
      </c>
      <c r="V51" s="3" t="s">
        <v>13</v>
      </c>
      <c r="W51" s="3" t="s">
        <v>14</v>
      </c>
      <c r="X51" s="3" t="s">
        <v>4</v>
      </c>
      <c r="Y51" s="3" t="s">
        <v>1</v>
      </c>
      <c r="Z51" s="3" t="s">
        <v>15</v>
      </c>
      <c r="AA51" s="3" t="s">
        <v>13</v>
      </c>
      <c r="AB51" s="79" t="s">
        <v>16</v>
      </c>
      <c r="AF51" s="78" t="s">
        <v>11</v>
      </c>
      <c r="AG51" s="3" t="s">
        <v>0</v>
      </c>
      <c r="AH51" s="3" t="s">
        <v>1</v>
      </c>
      <c r="AI51" s="3" t="s">
        <v>12</v>
      </c>
      <c r="AJ51" s="3" t="s">
        <v>13</v>
      </c>
      <c r="AK51" s="3" t="s">
        <v>14</v>
      </c>
      <c r="AL51" s="3" t="s">
        <v>4</v>
      </c>
      <c r="AM51" s="3" t="s">
        <v>1</v>
      </c>
      <c r="AN51" s="3" t="s">
        <v>15</v>
      </c>
      <c r="AO51" s="3" t="s">
        <v>13</v>
      </c>
      <c r="AP51" s="79" t="s">
        <v>16</v>
      </c>
    </row>
    <row r="52" spans="4:42" ht="12.75">
      <c r="D52" s="4" t="s">
        <v>0</v>
      </c>
      <c r="E52" s="5">
        <v>8593249.8031139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f aca="true" t="shared" si="1" ref="N52:N57">SUM(E52:M52)</f>
        <v>8593249.8031139</v>
      </c>
      <c r="R52" s="4" t="s">
        <v>0</v>
      </c>
      <c r="S52" s="5">
        <v>879385.0325436727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6">
        <f aca="true" t="shared" si="2" ref="AB52:AB57">SUM(S52:AA52)</f>
        <v>879385.0325436727</v>
      </c>
      <c r="AF52" s="4" t="s">
        <v>0</v>
      </c>
      <c r="AG52" s="5">
        <v>166609.3648846986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6">
        <f aca="true" t="shared" si="3" ref="AP52:AP57">SUM(AG52:AO52)</f>
        <v>166609.3648846986</v>
      </c>
    </row>
    <row r="53" spans="4:42" ht="12.75">
      <c r="D53" s="4" t="s">
        <v>1</v>
      </c>
      <c r="E53" s="5">
        <v>8307496.966307479</v>
      </c>
      <c r="F53" s="5">
        <v>13226052.131545162</v>
      </c>
      <c r="G53" s="5">
        <v>0</v>
      </c>
      <c r="H53" s="5">
        <v>0</v>
      </c>
      <c r="I53" s="5">
        <v>0</v>
      </c>
      <c r="J53" s="5">
        <v>0</v>
      </c>
      <c r="K53" s="5">
        <v>1333678.4223524285</v>
      </c>
      <c r="L53" s="5">
        <v>0</v>
      </c>
      <c r="M53" s="5">
        <v>0</v>
      </c>
      <c r="N53" s="6">
        <f t="shared" si="1"/>
        <v>22867227.52020507</v>
      </c>
      <c r="R53" s="4" t="s">
        <v>1</v>
      </c>
      <c r="S53" s="5">
        <v>1443620.103094304</v>
      </c>
      <c r="T53" s="5">
        <v>1697239.5773406806</v>
      </c>
      <c r="U53" s="5">
        <v>0</v>
      </c>
      <c r="V53" s="5">
        <v>0</v>
      </c>
      <c r="W53" s="5">
        <v>0</v>
      </c>
      <c r="X53" s="5">
        <v>0</v>
      </c>
      <c r="Y53" s="5">
        <v>127103.12076476739</v>
      </c>
      <c r="Z53" s="5">
        <v>0</v>
      </c>
      <c r="AA53" s="5">
        <v>0</v>
      </c>
      <c r="AB53" s="6">
        <f t="shared" si="2"/>
        <v>3267962.801199752</v>
      </c>
      <c r="AF53" s="4" t="s">
        <v>1</v>
      </c>
      <c r="AG53" s="5">
        <v>163533.17584854545</v>
      </c>
      <c r="AH53" s="5">
        <v>249152.76437311363</v>
      </c>
      <c r="AI53" s="5">
        <v>0</v>
      </c>
      <c r="AJ53" s="5">
        <v>0</v>
      </c>
      <c r="AK53" s="5">
        <v>0</v>
      </c>
      <c r="AL53" s="5">
        <v>0</v>
      </c>
      <c r="AM53" s="5">
        <v>25958.678303145993</v>
      </c>
      <c r="AN53" s="5">
        <v>0</v>
      </c>
      <c r="AO53" s="5">
        <v>0</v>
      </c>
      <c r="AP53" s="6">
        <f t="shared" si="3"/>
        <v>438644.61852480506</v>
      </c>
    </row>
    <row r="54" spans="4:42" ht="12.75">
      <c r="D54" s="4" t="s">
        <v>17</v>
      </c>
      <c r="E54" s="5">
        <v>4707389.773120939</v>
      </c>
      <c r="F54" s="5">
        <v>15780478.050221056</v>
      </c>
      <c r="G54" s="5">
        <v>44621628.635902055</v>
      </c>
      <c r="H54" s="5">
        <v>0</v>
      </c>
      <c r="I54" s="5">
        <v>0</v>
      </c>
      <c r="J54" s="5">
        <v>0</v>
      </c>
      <c r="K54" s="5">
        <v>12327213.836396113</v>
      </c>
      <c r="L54" s="5">
        <v>9991641.5250023</v>
      </c>
      <c r="M54" s="5">
        <v>0</v>
      </c>
      <c r="N54" s="6">
        <f t="shared" si="1"/>
        <v>87428351.82064247</v>
      </c>
      <c r="R54" s="4" t="s">
        <v>17</v>
      </c>
      <c r="S54" s="5">
        <v>1019787.8180563733</v>
      </c>
      <c r="T54" s="5">
        <v>1780068.8989811116</v>
      </c>
      <c r="U54" s="5">
        <v>5569494.7394581335</v>
      </c>
      <c r="V54" s="5">
        <v>0</v>
      </c>
      <c r="W54" s="5">
        <v>0</v>
      </c>
      <c r="X54" s="5">
        <v>0</v>
      </c>
      <c r="Y54" s="5">
        <v>1066724.3203615933</v>
      </c>
      <c r="Z54" s="5">
        <v>1562839.0455098003</v>
      </c>
      <c r="AA54" s="5">
        <v>0</v>
      </c>
      <c r="AB54" s="6">
        <f t="shared" si="2"/>
        <v>10998914.822367013</v>
      </c>
      <c r="AF54" s="4" t="s">
        <v>17</v>
      </c>
      <c r="AG54" s="5">
        <v>87523.42652761299</v>
      </c>
      <c r="AH54" s="5">
        <v>227153.2044595705</v>
      </c>
      <c r="AI54" s="5">
        <v>503116.509360556</v>
      </c>
      <c r="AJ54" s="5">
        <v>0</v>
      </c>
      <c r="AK54" s="5">
        <v>0</v>
      </c>
      <c r="AL54" s="5">
        <v>0</v>
      </c>
      <c r="AM54" s="5">
        <v>126373.1347023552</v>
      </c>
      <c r="AN54" s="5">
        <v>111582.2076677582</v>
      </c>
      <c r="AO54" s="5">
        <v>0</v>
      </c>
      <c r="AP54" s="6">
        <f t="shared" si="3"/>
        <v>1055748.4827178528</v>
      </c>
    </row>
    <row r="55" spans="4:42" ht="12.75">
      <c r="D55" s="4" t="s">
        <v>18</v>
      </c>
      <c r="E55" s="5">
        <v>3457098.671390012</v>
      </c>
      <c r="F55" s="5">
        <v>5906120.372673778</v>
      </c>
      <c r="G55" s="5">
        <v>37194989.17793403</v>
      </c>
      <c r="H55" s="5">
        <v>65401641.04639087</v>
      </c>
      <c r="I55" s="5">
        <v>0</v>
      </c>
      <c r="J55" s="5">
        <v>0</v>
      </c>
      <c r="K55" s="5">
        <v>35725731.22068751</v>
      </c>
      <c r="L55" s="5">
        <v>80269477.95405892</v>
      </c>
      <c r="M55" s="5">
        <v>1990264.9750146049</v>
      </c>
      <c r="N55" s="6">
        <f t="shared" si="1"/>
        <v>229945323.4181497</v>
      </c>
      <c r="R55" s="4" t="s">
        <v>18</v>
      </c>
      <c r="S55" s="5">
        <v>348627.48076670954</v>
      </c>
      <c r="T55" s="5">
        <v>577858.2827254168</v>
      </c>
      <c r="U55" s="5">
        <v>3921773.842991652</v>
      </c>
      <c r="V55" s="5">
        <v>6109563.559815738</v>
      </c>
      <c r="W55" s="5">
        <v>0</v>
      </c>
      <c r="X55" s="5">
        <v>0</v>
      </c>
      <c r="Y55" s="5">
        <v>7739686.499480286</v>
      </c>
      <c r="Z55" s="5">
        <v>12665584.025099229</v>
      </c>
      <c r="AA55" s="5">
        <v>68544.83313547177</v>
      </c>
      <c r="AB55" s="6">
        <f t="shared" si="2"/>
        <v>31431638.524014503</v>
      </c>
      <c r="AF55" s="4" t="s">
        <v>18</v>
      </c>
      <c r="AG55" s="5">
        <v>68954.30527525867</v>
      </c>
      <c r="AH55" s="5">
        <v>105945.24858036169</v>
      </c>
      <c r="AI55" s="5">
        <v>310651.7127339493</v>
      </c>
      <c r="AJ55" s="5">
        <v>422311.5764276871</v>
      </c>
      <c r="AK55" s="5">
        <v>0</v>
      </c>
      <c r="AL55" s="5">
        <v>0</v>
      </c>
      <c r="AM55" s="5">
        <v>251163.79602837344</v>
      </c>
      <c r="AN55" s="5">
        <v>534202.3830927721</v>
      </c>
      <c r="AO55" s="5">
        <v>11825.33406301387</v>
      </c>
      <c r="AP55" s="6">
        <f t="shared" si="3"/>
        <v>1705054.356201416</v>
      </c>
    </row>
    <row r="56" spans="4:42" ht="12.75">
      <c r="D56" s="4" t="s">
        <v>19</v>
      </c>
      <c r="E56" s="5">
        <v>0</v>
      </c>
      <c r="F56" s="5">
        <v>0</v>
      </c>
      <c r="G56" s="5">
        <v>0</v>
      </c>
      <c r="H56" s="5">
        <v>0</v>
      </c>
      <c r="I56" s="5">
        <v>35112270.21984671</v>
      </c>
      <c r="J56" s="5">
        <v>6553353.605028833</v>
      </c>
      <c r="K56" s="5">
        <v>8776932.231225278</v>
      </c>
      <c r="L56" s="5">
        <v>145028690.90462384</v>
      </c>
      <c r="M56" s="5">
        <v>18449862.21774731</v>
      </c>
      <c r="N56" s="6">
        <f t="shared" si="1"/>
        <v>213921109.17847195</v>
      </c>
      <c r="R56" s="4" t="s">
        <v>19</v>
      </c>
      <c r="S56" s="5">
        <v>0</v>
      </c>
      <c r="T56" s="5">
        <v>0</v>
      </c>
      <c r="U56" s="5">
        <v>0</v>
      </c>
      <c r="V56" s="5">
        <v>0</v>
      </c>
      <c r="W56" s="5">
        <v>2843912.348422075</v>
      </c>
      <c r="X56" s="5">
        <v>1655177.3392247276</v>
      </c>
      <c r="Y56" s="5">
        <v>4221351.723143193</v>
      </c>
      <c r="Z56" s="5">
        <v>33826850.955949806</v>
      </c>
      <c r="AA56" s="5">
        <v>2924707.870731156</v>
      </c>
      <c r="AB56" s="6">
        <f t="shared" si="2"/>
        <v>45472000.237470955</v>
      </c>
      <c r="AF56" s="4" t="s">
        <v>19</v>
      </c>
      <c r="AG56" s="5">
        <v>0</v>
      </c>
      <c r="AH56" s="5">
        <v>0</v>
      </c>
      <c r="AI56" s="5">
        <v>0</v>
      </c>
      <c r="AJ56" s="5">
        <v>0</v>
      </c>
      <c r="AK56" s="5">
        <v>159502.9837517126</v>
      </c>
      <c r="AL56" s="5">
        <v>35404.947413718975</v>
      </c>
      <c r="AM56" s="5">
        <v>57464.643290715656</v>
      </c>
      <c r="AN56" s="5">
        <v>769479.3694510272</v>
      </c>
      <c r="AO56" s="5">
        <v>90980.2111470023</v>
      </c>
      <c r="AP56" s="6">
        <f t="shared" si="3"/>
        <v>1112832.1550541767</v>
      </c>
    </row>
    <row r="57" spans="4:42" ht="13.5" thickBot="1">
      <c r="D57" s="7" t="s">
        <v>5</v>
      </c>
      <c r="E57" s="8">
        <f aca="true" t="shared" si="4" ref="E57:M57">SUM(E52:E56)</f>
        <v>25065235.21393233</v>
      </c>
      <c r="F57" s="8">
        <f t="shared" si="4"/>
        <v>34912650.55444</v>
      </c>
      <c r="G57" s="8">
        <f t="shared" si="4"/>
        <v>81816617.81383608</v>
      </c>
      <c r="H57" s="8">
        <f t="shared" si="4"/>
        <v>65401641.04639087</v>
      </c>
      <c r="I57" s="8">
        <f t="shared" si="4"/>
        <v>35112270.21984671</v>
      </c>
      <c r="J57" s="8">
        <f t="shared" si="4"/>
        <v>6553353.605028833</v>
      </c>
      <c r="K57" s="8">
        <f t="shared" si="4"/>
        <v>58163555.71066134</v>
      </c>
      <c r="L57" s="8">
        <f t="shared" si="4"/>
        <v>235289810.38368505</v>
      </c>
      <c r="M57" s="8">
        <f t="shared" si="4"/>
        <v>20440127.192761913</v>
      </c>
      <c r="N57" s="9">
        <f t="shared" si="1"/>
        <v>562755261.7405831</v>
      </c>
      <c r="R57" s="7" t="s">
        <v>5</v>
      </c>
      <c r="S57" s="8">
        <f>SUM(S52:S56)</f>
        <v>3691420.4344610595</v>
      </c>
      <c r="T57" s="8">
        <f>SUM(T52:T56)</f>
        <v>4055166.7590472093</v>
      </c>
      <c r="U57" s="8">
        <f>SUM(U52:U56)</f>
        <v>9491268.582449786</v>
      </c>
      <c r="V57" s="8">
        <f>SUM(V52:V56)</f>
        <v>6109563.559815738</v>
      </c>
      <c r="W57" s="8">
        <f>SUM(W52:W56)</f>
        <v>2843912.348422075</v>
      </c>
      <c r="X57" s="8">
        <f>SUM(X52:X56)</f>
        <v>1655177.3392247276</v>
      </c>
      <c r="Y57" s="8">
        <f>SUM(Y52:Y56)</f>
        <v>13154865.66374984</v>
      </c>
      <c r="Z57" s="8">
        <f>SUM(Z52:Z56)</f>
        <v>48055274.02655883</v>
      </c>
      <c r="AA57" s="8">
        <f>SUM(AA52:AA56)</f>
        <v>2993252.7038666275</v>
      </c>
      <c r="AB57" s="9">
        <f t="shared" si="2"/>
        <v>92049901.4175959</v>
      </c>
      <c r="AF57" s="7" t="s">
        <v>5</v>
      </c>
      <c r="AG57" s="8">
        <f>SUM(AG52:AG56)</f>
        <v>486620.27253611566</v>
      </c>
      <c r="AH57" s="8">
        <f>SUM(AH52:AH56)</f>
        <v>582251.2174130458</v>
      </c>
      <c r="AI57" s="8">
        <f>SUM(AI52:AI56)</f>
        <v>813768.2220945053</v>
      </c>
      <c r="AJ57" s="8">
        <f>SUM(AJ52:AJ56)</f>
        <v>422311.5764276871</v>
      </c>
      <c r="AK57" s="8">
        <f>SUM(AK52:AK56)</f>
        <v>159502.9837517126</v>
      </c>
      <c r="AL57" s="8">
        <f>SUM(AL52:AL56)</f>
        <v>35404.947413718975</v>
      </c>
      <c r="AM57" s="8">
        <f>SUM(AM52:AM56)</f>
        <v>460960.2523245902</v>
      </c>
      <c r="AN57" s="8">
        <f>SUM(AN52:AN56)</f>
        <v>1415263.9602115576</v>
      </c>
      <c r="AO57" s="8">
        <f>SUM(AO52:AO56)</f>
        <v>102805.54521001616</v>
      </c>
      <c r="AP57" s="9">
        <f t="shared" si="3"/>
        <v>4478888.977382949</v>
      </c>
    </row>
    <row r="58" ht="13.5" thickTop="1"/>
    <row r="63" ht="13.5" thickBot="1">
      <c r="C63" t="s">
        <v>144</v>
      </c>
    </row>
    <row r="64" spans="3:8" ht="13.5" thickTop="1">
      <c r="C64" s="97" t="s">
        <v>111</v>
      </c>
      <c r="D64" s="98"/>
      <c r="E64" s="98"/>
      <c r="F64" s="98"/>
      <c r="G64" s="98"/>
      <c r="H64" s="99"/>
    </row>
    <row r="65" spans="3:8" ht="12.75">
      <c r="C65" s="10" t="s">
        <v>41</v>
      </c>
      <c r="D65" s="62" t="s">
        <v>11</v>
      </c>
      <c r="E65" s="62" t="s">
        <v>112</v>
      </c>
      <c r="F65" s="62" t="s">
        <v>70</v>
      </c>
      <c r="G65" s="62" t="s">
        <v>71</v>
      </c>
      <c r="H65" s="85" t="s">
        <v>5</v>
      </c>
    </row>
    <row r="66" spans="3:8" ht="12.75">
      <c r="C66" s="10" t="s">
        <v>6</v>
      </c>
      <c r="D66" s="11" t="s">
        <v>18</v>
      </c>
      <c r="E66" s="30">
        <v>343262.0144535418</v>
      </c>
      <c r="F66" s="30">
        <v>52098.130187016235</v>
      </c>
      <c r="G66" s="30">
        <v>1718.9681583359306</v>
      </c>
      <c r="H66" s="31">
        <v>397079.11279889394</v>
      </c>
    </row>
    <row r="67" spans="3:8" ht="12.75">
      <c r="C67" s="4"/>
      <c r="D67" s="17" t="s">
        <v>37</v>
      </c>
      <c r="E67" s="5">
        <v>1785584.3148544037</v>
      </c>
      <c r="F67" s="5">
        <v>238612.0650011493</v>
      </c>
      <c r="G67" s="5">
        <v>10288.123217870932</v>
      </c>
      <c r="H67" s="6">
        <v>2034484.503073424</v>
      </c>
    </row>
    <row r="68" spans="3:8" ht="12.75">
      <c r="C68" s="4"/>
      <c r="D68" s="17" t="s">
        <v>1</v>
      </c>
      <c r="E68" s="5">
        <v>605091.9292770528</v>
      </c>
      <c r="F68" s="5">
        <v>85925.28558407236</v>
      </c>
      <c r="G68" s="5">
        <v>4696.305436516005</v>
      </c>
      <c r="H68" s="6">
        <v>695713.520297641</v>
      </c>
    </row>
    <row r="69" spans="3:8" ht="12.75">
      <c r="C69" s="86" t="s">
        <v>68</v>
      </c>
      <c r="D69" s="87"/>
      <c r="E69" s="19">
        <v>2733938.258584998</v>
      </c>
      <c r="F69" s="19">
        <v>376635.4807722379</v>
      </c>
      <c r="G69" s="19">
        <v>16703.39681272287</v>
      </c>
      <c r="H69" s="20">
        <v>3127277.136169959</v>
      </c>
    </row>
    <row r="70" spans="3:8" ht="12.75">
      <c r="C70" s="4" t="s">
        <v>9</v>
      </c>
      <c r="D70" s="17" t="s">
        <v>4</v>
      </c>
      <c r="E70" s="5">
        <v>4654313.40785641</v>
      </c>
      <c r="F70" s="5">
        <v>1398182.069642852</v>
      </c>
      <c r="G70" s="5">
        <v>26886.16661229416</v>
      </c>
      <c r="H70" s="6">
        <v>6079381.644111557</v>
      </c>
    </row>
    <row r="71" spans="3:8" ht="12.75">
      <c r="C71" s="4"/>
      <c r="D71" s="17" t="s">
        <v>113</v>
      </c>
      <c r="E71" s="5">
        <v>10461858.47960811</v>
      </c>
      <c r="F71" s="5">
        <v>962653.8688132335</v>
      </c>
      <c r="G71" s="5">
        <v>48221.51203259845</v>
      </c>
      <c r="H71" s="6">
        <v>11472733.86045394</v>
      </c>
    </row>
    <row r="72" spans="3:8" ht="12.75">
      <c r="C72" s="4"/>
      <c r="D72" s="17" t="s">
        <v>18</v>
      </c>
      <c r="E72" s="5">
        <v>37053094.22966457</v>
      </c>
      <c r="F72" s="5">
        <v>5427540.488087186</v>
      </c>
      <c r="G72" s="5">
        <v>249642.0297837716</v>
      </c>
      <c r="H72" s="6">
        <v>42730276.74753553</v>
      </c>
    </row>
    <row r="73" spans="3:8" ht="12.75">
      <c r="C73" s="4"/>
      <c r="D73" s="17" t="s">
        <v>37</v>
      </c>
      <c r="E73" s="5">
        <v>27097352.152264852</v>
      </c>
      <c r="F73" s="5">
        <v>3296415.834925942</v>
      </c>
      <c r="G73" s="5">
        <v>297761.6061056161</v>
      </c>
      <c r="H73" s="6">
        <v>30691529.59329641</v>
      </c>
    </row>
    <row r="74" spans="3:8" ht="12.75">
      <c r="C74" s="4"/>
      <c r="D74" s="17" t="s">
        <v>1</v>
      </c>
      <c r="E74" s="5">
        <v>11308787.483359989</v>
      </c>
      <c r="F74" s="5">
        <v>1362476.2744866188</v>
      </c>
      <c r="G74" s="5">
        <v>187729.71798633458</v>
      </c>
      <c r="H74" s="6">
        <v>12858993.475832941</v>
      </c>
    </row>
    <row r="75" spans="3:8" ht="12.75">
      <c r="C75" s="4"/>
      <c r="D75" s="13" t="s">
        <v>0</v>
      </c>
      <c r="E75" s="35">
        <v>4185518.9431953635</v>
      </c>
      <c r="F75" s="35">
        <v>530664.521625529</v>
      </c>
      <c r="G75" s="35">
        <v>80036.35775762463</v>
      </c>
      <c r="H75" s="36">
        <v>4796219.822578517</v>
      </c>
    </row>
    <row r="76" spans="3:8" ht="12.75">
      <c r="C76" s="86" t="s">
        <v>40</v>
      </c>
      <c r="D76" s="88"/>
      <c r="E76" s="5">
        <v>94760924.69594929</v>
      </c>
      <c r="F76" s="5">
        <v>12977933.057581361</v>
      </c>
      <c r="G76" s="5">
        <v>890277.3902782395</v>
      </c>
      <c r="H76" s="6">
        <v>108629135.1438089</v>
      </c>
    </row>
    <row r="77" spans="3:8" ht="13.5" thickBot="1">
      <c r="C77" s="7" t="s">
        <v>114</v>
      </c>
      <c r="D77" s="89"/>
      <c r="E77" s="8">
        <f>E69+E76</f>
        <v>97494862.95453428</v>
      </c>
      <c r="F77" s="8">
        <f>F69+F76</f>
        <v>13354568.5383536</v>
      </c>
      <c r="G77" s="8">
        <f>G69+G76</f>
        <v>906980.7870909624</v>
      </c>
      <c r="H77" s="9">
        <f>H69+H76</f>
        <v>111756412.27997886</v>
      </c>
    </row>
    <row r="78" ht="13.5" thickTop="1"/>
  </sheetData>
  <mergeCells count="31">
    <mergeCell ref="C64:H64"/>
    <mergeCell ref="AE42:AF42"/>
    <mergeCell ref="AF49:AP49"/>
    <mergeCell ref="AG50:AL50"/>
    <mergeCell ref="AM50:AO50"/>
    <mergeCell ref="AG5:AL5"/>
    <mergeCell ref="AM5:AO5"/>
    <mergeCell ref="AE21:AO21"/>
    <mergeCell ref="AG22:AL22"/>
    <mergeCell ref="AM22:AO22"/>
    <mergeCell ref="C21:M21"/>
    <mergeCell ref="E22:J22"/>
    <mergeCell ref="K22:M22"/>
    <mergeCell ref="R4:AB4"/>
    <mergeCell ref="S5:X5"/>
    <mergeCell ref="Y5:AA5"/>
    <mergeCell ref="Q21:AA21"/>
    <mergeCell ref="S22:X22"/>
    <mergeCell ref="Y22:AA22"/>
    <mergeCell ref="AF4:AP4"/>
    <mergeCell ref="D49:N49"/>
    <mergeCell ref="E50:J50"/>
    <mergeCell ref="K50:M50"/>
    <mergeCell ref="Q42:R42"/>
    <mergeCell ref="R49:AB49"/>
    <mergeCell ref="S50:X50"/>
    <mergeCell ref="Y50:AA50"/>
    <mergeCell ref="D4:N4"/>
    <mergeCell ref="E5:J5"/>
    <mergeCell ref="K5:M5"/>
    <mergeCell ref="C42:D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1"/>
  <sheetViews>
    <sheetView workbookViewId="0" topLeftCell="C51">
      <selection activeCell="J84" sqref="J84"/>
    </sheetView>
  </sheetViews>
  <sheetFormatPr defaultColWidth="9.140625" defaultRowHeight="12.75"/>
  <cols>
    <col min="1" max="1" width="44.8515625" style="63" customWidth="1"/>
    <col min="2" max="2" width="9.140625" style="63" customWidth="1"/>
    <col min="3" max="3" width="15.140625" style="63" customWidth="1"/>
    <col min="4" max="4" width="15.8515625" style="63" customWidth="1"/>
    <col min="5" max="5" width="13.28125" style="63" customWidth="1"/>
    <col min="6" max="6" width="28.28125" style="63" customWidth="1"/>
    <col min="7" max="7" width="14.57421875" style="63" customWidth="1"/>
    <col min="8" max="8" width="13.140625" style="63" customWidth="1"/>
    <col min="9" max="9" width="13.00390625" style="63" customWidth="1"/>
    <col min="10" max="10" width="14.57421875" style="0" customWidth="1"/>
    <col min="11" max="11" width="14.421875" style="0" customWidth="1"/>
  </cols>
  <sheetData>
    <row r="1" spans="1:5" ht="18.75" thickTop="1">
      <c r="A1" s="134" t="s">
        <v>152</v>
      </c>
      <c r="B1" s="135"/>
      <c r="C1" s="136"/>
      <c r="D1" s="137"/>
      <c r="E1" s="138"/>
    </row>
    <row r="2" spans="1:4" ht="18">
      <c r="A2" s="139" t="s">
        <v>153</v>
      </c>
      <c r="B2" s="140"/>
      <c r="C2" s="141"/>
      <c r="D2" s="142"/>
    </row>
    <row r="3" spans="1:5" ht="18.75" thickBot="1">
      <c r="A3" s="139" t="s">
        <v>154</v>
      </c>
      <c r="B3" s="140"/>
      <c r="C3" s="143"/>
      <c r="D3" s="142"/>
      <c r="E3" s="138"/>
    </row>
    <row r="4" spans="1:4" ht="12.75">
      <c r="A4" s="144" t="s">
        <v>155</v>
      </c>
      <c r="B4" s="145"/>
      <c r="C4" s="146" t="s">
        <v>156</v>
      </c>
      <c r="D4" s="147"/>
    </row>
    <row r="5" spans="1:4" ht="13.5" thickBot="1">
      <c r="A5" s="148" t="s">
        <v>157</v>
      </c>
      <c r="B5" s="149" t="s">
        <v>158</v>
      </c>
      <c r="C5" s="150" t="s">
        <v>159</v>
      </c>
      <c r="D5" s="151" t="s">
        <v>160</v>
      </c>
    </row>
    <row r="6" spans="1:7" ht="12.75">
      <c r="A6" s="152" t="s">
        <v>161</v>
      </c>
      <c r="B6" s="153" t="s">
        <v>162</v>
      </c>
      <c r="C6" s="154">
        <v>21199301.673634782</v>
      </c>
      <c r="D6" s="155">
        <v>3349489.6644342956</v>
      </c>
      <c r="G6" s="156"/>
    </row>
    <row r="7" spans="1:4" ht="12.75">
      <c r="A7" s="152" t="s">
        <v>8</v>
      </c>
      <c r="B7" s="153" t="s">
        <v>162</v>
      </c>
      <c r="C7" s="157">
        <v>847069463.738345</v>
      </c>
      <c r="D7" s="155">
        <v>171955101.13888407</v>
      </c>
    </row>
    <row r="8" spans="1:4" ht="12.75">
      <c r="A8" s="152" t="s">
        <v>45</v>
      </c>
      <c r="B8" s="153" t="s">
        <v>162</v>
      </c>
      <c r="C8" s="157">
        <v>160728821.90492278</v>
      </c>
      <c r="D8" s="155">
        <v>35842527.28479779</v>
      </c>
    </row>
    <row r="9" spans="1:4" ht="12.75">
      <c r="A9" s="152" t="s">
        <v>163</v>
      </c>
      <c r="B9" s="153" t="s">
        <v>162</v>
      </c>
      <c r="C9" s="157">
        <v>126094508.93211293</v>
      </c>
      <c r="D9" s="155">
        <v>31271438.21516401</v>
      </c>
    </row>
    <row r="10" spans="1:4" ht="12.75">
      <c r="A10" s="152" t="s">
        <v>164</v>
      </c>
      <c r="B10" s="153" t="s">
        <v>162</v>
      </c>
      <c r="C10" s="157">
        <v>59339246.454728365</v>
      </c>
      <c r="D10" s="155">
        <v>15843578.803412475</v>
      </c>
    </row>
    <row r="11" spans="1:4" ht="12.75">
      <c r="A11" s="152" t="s">
        <v>165</v>
      </c>
      <c r="B11" s="153" t="s">
        <v>162</v>
      </c>
      <c r="C11" s="157">
        <v>82951020.94542131</v>
      </c>
      <c r="D11" s="155">
        <v>26129571.597807713</v>
      </c>
    </row>
    <row r="12" spans="1:4" ht="12.75">
      <c r="A12" s="152" t="s">
        <v>166</v>
      </c>
      <c r="B12" s="153" t="s">
        <v>162</v>
      </c>
      <c r="C12" s="157">
        <v>80749723.58271196</v>
      </c>
      <c r="D12" s="155">
        <v>31411642.47367495</v>
      </c>
    </row>
    <row r="13" spans="1:4" ht="12.75">
      <c r="A13" s="152" t="s">
        <v>167</v>
      </c>
      <c r="B13" s="153" t="s">
        <v>162</v>
      </c>
      <c r="C13" s="157">
        <v>34556095.63088965</v>
      </c>
      <c r="D13" s="155">
        <v>16103140.563994575</v>
      </c>
    </row>
    <row r="14" spans="1:4" ht="12.75">
      <c r="A14" s="152" t="s">
        <v>168</v>
      </c>
      <c r="B14" s="153" t="s">
        <v>162</v>
      </c>
      <c r="C14" s="157">
        <v>25139669.523799494</v>
      </c>
      <c r="D14" s="155">
        <v>14053075.26380392</v>
      </c>
    </row>
    <row r="15" spans="1:4" ht="12.75">
      <c r="A15" s="152" t="s">
        <v>169</v>
      </c>
      <c r="B15" s="153" t="s">
        <v>162</v>
      </c>
      <c r="C15" s="157">
        <v>29023674.885031622</v>
      </c>
      <c r="D15" s="155">
        <v>18517104.576650176</v>
      </c>
    </row>
    <row r="16" spans="1:4" ht="12.75">
      <c r="A16" s="158" t="s">
        <v>170</v>
      </c>
      <c r="B16" s="153" t="s">
        <v>162</v>
      </c>
      <c r="C16" s="159">
        <v>1746993051.5031424</v>
      </c>
      <c r="D16" s="160">
        <v>337169658.9401065</v>
      </c>
    </row>
    <row r="17" spans="1:4" ht="12.75">
      <c r="A17" s="152" t="s">
        <v>171</v>
      </c>
      <c r="B17" s="153" t="s">
        <v>162</v>
      </c>
      <c r="C17" s="157">
        <v>88706.95011741841</v>
      </c>
      <c r="D17" s="155">
        <v>10556.12706397279</v>
      </c>
    </row>
    <row r="18" spans="1:4" ht="12.75">
      <c r="A18" s="152" t="s">
        <v>172</v>
      </c>
      <c r="B18" s="153" t="s">
        <v>162</v>
      </c>
      <c r="C18" s="157">
        <v>1739088.6855125597</v>
      </c>
      <c r="D18" s="155">
        <v>264341.48019790906</v>
      </c>
    </row>
    <row r="19" spans="1:4" ht="12.75">
      <c r="A19" s="152" t="s">
        <v>173</v>
      </c>
      <c r="B19" s="153" t="s">
        <v>162</v>
      </c>
      <c r="C19" s="157">
        <v>372805.97197167634</v>
      </c>
      <c r="D19" s="155">
        <v>62258.597319269946</v>
      </c>
    </row>
    <row r="20" spans="1:4" ht="12.75">
      <c r="A20" s="152" t="s">
        <v>174</v>
      </c>
      <c r="B20" s="153" t="s">
        <v>162</v>
      </c>
      <c r="C20" s="157">
        <v>5514794.060008644</v>
      </c>
      <c r="D20" s="155">
        <v>1025751.6951616079</v>
      </c>
    </row>
    <row r="21" spans="1:4" ht="12.75">
      <c r="A21" s="152" t="s">
        <v>175</v>
      </c>
      <c r="B21" s="153" t="s">
        <v>162</v>
      </c>
      <c r="C21" s="157">
        <v>1411719.7529568027</v>
      </c>
      <c r="D21" s="155">
        <v>376929.1740394663</v>
      </c>
    </row>
    <row r="22" spans="1:4" ht="12.75">
      <c r="A22" s="152" t="s">
        <v>176</v>
      </c>
      <c r="B22" s="153" t="s">
        <v>162</v>
      </c>
      <c r="C22" s="157">
        <v>430755.97378238523</v>
      </c>
      <c r="D22" s="155">
        <v>135688.13174145136</v>
      </c>
    </row>
    <row r="23" spans="1:4" ht="12.75">
      <c r="A23" s="152" t="s">
        <v>177</v>
      </c>
      <c r="B23" s="153" t="s">
        <v>162</v>
      </c>
      <c r="C23" s="157">
        <v>168724.2179787289</v>
      </c>
      <c r="D23" s="155">
        <v>65633.72079372556</v>
      </c>
    </row>
    <row r="24" spans="1:4" ht="12.75">
      <c r="A24" s="152" t="s">
        <v>178</v>
      </c>
      <c r="B24" s="153" t="s">
        <v>162</v>
      </c>
      <c r="C24" s="157">
        <v>41847.15739891185</v>
      </c>
      <c r="D24" s="155">
        <v>19500.77534789292</v>
      </c>
    </row>
    <row r="25" spans="1:4" ht="12.75">
      <c r="A25" s="152" t="s">
        <v>179</v>
      </c>
      <c r="B25" s="153" t="s">
        <v>162</v>
      </c>
      <c r="C25" s="157">
        <v>34352.637874518434</v>
      </c>
      <c r="D25" s="155">
        <v>19203.124571855806</v>
      </c>
    </row>
    <row r="26" spans="1:4" ht="12.75">
      <c r="A26" s="152" t="s">
        <v>180</v>
      </c>
      <c r="B26" s="153" t="s">
        <v>162</v>
      </c>
      <c r="C26" s="157">
        <v>17837.346534483462</v>
      </c>
      <c r="D26" s="155">
        <v>11380.227089000447</v>
      </c>
    </row>
    <row r="27" spans="1:4" ht="12.75">
      <c r="A27" s="152" t="s">
        <v>181</v>
      </c>
      <c r="B27" s="153" t="s">
        <v>162</v>
      </c>
      <c r="C27" s="157">
        <v>5909751.471123341</v>
      </c>
      <c r="D27" s="155">
        <v>1140582.0339268048</v>
      </c>
    </row>
    <row r="28" spans="1:4" ht="12.75">
      <c r="A28" s="152" t="s">
        <v>182</v>
      </c>
      <c r="B28" s="153" t="s">
        <v>162</v>
      </c>
      <c r="C28" s="157">
        <v>0</v>
      </c>
      <c r="D28" s="155">
        <v>0</v>
      </c>
    </row>
    <row r="29" spans="1:4" ht="12.75">
      <c r="A29" s="152" t="s">
        <v>183</v>
      </c>
      <c r="B29" s="153" t="s">
        <v>162</v>
      </c>
      <c r="C29" s="157">
        <v>0</v>
      </c>
      <c r="D29" s="155">
        <v>0</v>
      </c>
    </row>
    <row r="30" spans="1:4" ht="12.75">
      <c r="A30" s="152" t="s">
        <v>184</v>
      </c>
      <c r="B30" s="153" t="s">
        <v>162</v>
      </c>
      <c r="C30" s="157">
        <v>0</v>
      </c>
      <c r="D30" s="155">
        <v>0</v>
      </c>
    </row>
    <row r="31" spans="1:4" ht="12.75">
      <c r="A31" s="152" t="s">
        <v>185</v>
      </c>
      <c r="B31" s="153" t="s">
        <v>162</v>
      </c>
      <c r="C31" s="157">
        <v>0</v>
      </c>
      <c r="D31" s="155">
        <v>0</v>
      </c>
    </row>
    <row r="32" spans="1:13" ht="12.75">
      <c r="A32" s="152" t="s">
        <v>186</v>
      </c>
      <c r="B32" s="153" t="s">
        <v>162</v>
      </c>
      <c r="C32" s="157">
        <v>0</v>
      </c>
      <c r="D32" s="155">
        <v>0</v>
      </c>
      <c r="M32" t="s">
        <v>187</v>
      </c>
    </row>
    <row r="33" spans="1:16" ht="12.75">
      <c r="A33" s="152" t="s">
        <v>188</v>
      </c>
      <c r="B33" s="153" t="s">
        <v>162</v>
      </c>
      <c r="C33" s="157">
        <v>0</v>
      </c>
      <c r="D33" s="155">
        <v>0</v>
      </c>
      <c r="E33" s="74"/>
      <c r="G33" s="63" t="s">
        <v>69</v>
      </c>
      <c r="H33" s="63" t="s">
        <v>70</v>
      </c>
      <c r="I33" s="63" t="s">
        <v>71</v>
      </c>
      <c r="N33" s="63" t="s">
        <v>69</v>
      </c>
      <c r="O33" s="63" t="s">
        <v>70</v>
      </c>
      <c r="P33" s="63" t="s">
        <v>71</v>
      </c>
    </row>
    <row r="34" spans="1:16" ht="12.75">
      <c r="A34" s="152" t="s">
        <v>189</v>
      </c>
      <c r="B34" s="153" t="s">
        <v>190</v>
      </c>
      <c r="C34" s="157">
        <v>142410327.17734292</v>
      </c>
      <c r="D34" s="155">
        <v>53119052.03714891</v>
      </c>
      <c r="F34" s="74" t="str">
        <f>A34</f>
        <v>BASIC NON-AUTOMATION</v>
      </c>
      <c r="G34" s="74">
        <f>C34+C54</f>
        <v>142832596.17784426</v>
      </c>
      <c r="H34" s="74">
        <f>C121</f>
        <v>23317760.066816106</v>
      </c>
      <c r="I34" s="74">
        <f>C187</f>
        <v>2801011.9700118545</v>
      </c>
      <c r="M34" t="s">
        <v>72</v>
      </c>
      <c r="N34" s="37">
        <f>G34/SUM($G34:$I34)</f>
        <v>0.8454065669143261</v>
      </c>
      <c r="O34" s="37">
        <f>H34/SUM($G34:$I34)</f>
        <v>0.13801462700904676</v>
      </c>
      <c r="P34" s="37">
        <f>I34/SUM($G34:$I34)</f>
        <v>0.016578806076627005</v>
      </c>
    </row>
    <row r="35" spans="1:16" ht="12.75">
      <c r="A35" s="152" t="s">
        <v>191</v>
      </c>
      <c r="B35" s="153" t="s">
        <v>190</v>
      </c>
      <c r="C35" s="157">
        <v>30357785.037189964</v>
      </c>
      <c r="D35" s="155">
        <v>8530537.595450383</v>
      </c>
      <c r="F35" s="74" t="str">
        <f aca="true" t="shared" si="0" ref="F35:F45">A35</f>
        <v>BASIC AUTOMATION LETTER</v>
      </c>
      <c r="G35" s="74">
        <f aca="true" t="shared" si="1" ref="G35:G45">C35+C55</f>
        <v>30470137.037319146</v>
      </c>
      <c r="H35" s="74">
        <f aca="true" t="shared" si="2" ref="H35:H45">C122</f>
        <v>9376343.025866613</v>
      </c>
      <c r="I35" s="74">
        <f aca="true" t="shared" si="3" ref="I35:I45">C188</f>
        <v>173453.988930829</v>
      </c>
      <c r="M35" t="s">
        <v>73</v>
      </c>
      <c r="N35" s="37">
        <f aca="true" t="shared" si="4" ref="N35:P36">G36/SUM($G36:$I36)</f>
        <v>0.8412198964603748</v>
      </c>
      <c r="O35" s="37">
        <f t="shared" si="4"/>
        <v>0.15081539211820305</v>
      </c>
      <c r="P35" s="37">
        <f t="shared" si="4"/>
        <v>0.00796471142142221</v>
      </c>
    </row>
    <row r="36" spans="1:16" ht="12.75">
      <c r="A36" s="152" t="s">
        <v>192</v>
      </c>
      <c r="B36" s="153" t="s">
        <v>190</v>
      </c>
      <c r="C36" s="157">
        <v>131923682.16453171</v>
      </c>
      <c r="D36" s="155">
        <v>42875196.7034728</v>
      </c>
      <c r="F36" s="74" t="str">
        <f t="shared" si="0"/>
        <v>BASIC AUTOMATION FLAT</v>
      </c>
      <c r="G36" s="74">
        <f t="shared" si="1"/>
        <v>132738008.16555205</v>
      </c>
      <c r="H36" s="74">
        <f t="shared" si="2"/>
        <v>23797505.069377486</v>
      </c>
      <c r="I36" s="74">
        <f t="shared" si="3"/>
        <v>1256770.0004974941</v>
      </c>
      <c r="M36" t="s">
        <v>74</v>
      </c>
      <c r="N36" s="37">
        <f t="shared" si="4"/>
        <v>0.8421123176880763</v>
      </c>
      <c r="O36" s="37">
        <f t="shared" si="4"/>
        <v>0.12889410802371382</v>
      </c>
      <c r="P36" s="37">
        <f t="shared" si="4"/>
        <v>0.028993574288209804</v>
      </c>
    </row>
    <row r="37" spans="1:16" ht="12.75">
      <c r="A37" s="152" t="s">
        <v>193</v>
      </c>
      <c r="B37" s="153" t="s">
        <v>190</v>
      </c>
      <c r="C37" s="157">
        <v>156840667.19447035</v>
      </c>
      <c r="D37" s="155">
        <v>50816376.17100841</v>
      </c>
      <c r="F37" s="74" t="str">
        <f t="shared" si="0"/>
        <v>3-Digit NON-AUTOMATION</v>
      </c>
      <c r="G37" s="74">
        <f t="shared" si="1"/>
        <v>158036715.19591704</v>
      </c>
      <c r="H37" s="74">
        <f t="shared" si="2"/>
        <v>24189174.071338788</v>
      </c>
      <c r="I37" s="74">
        <f t="shared" si="3"/>
        <v>5441137.893430857</v>
      </c>
      <c r="M37" t="s">
        <v>75</v>
      </c>
      <c r="N37" s="37">
        <f aca="true" t="shared" si="5" ref="N37:P38">G39/SUM($G39:$I39)</f>
        <v>0.8459457207124482</v>
      </c>
      <c r="O37" s="37">
        <f t="shared" si="5"/>
        <v>0.14398594161696215</v>
      </c>
      <c r="P37" s="37">
        <f t="shared" si="5"/>
        <v>0.010068337670589579</v>
      </c>
    </row>
    <row r="38" spans="1:16" ht="12.75">
      <c r="A38" s="152" t="s">
        <v>194</v>
      </c>
      <c r="B38" s="153" t="s">
        <v>190</v>
      </c>
      <c r="C38" s="157">
        <v>18813777.023563463</v>
      </c>
      <c r="D38" s="155">
        <v>4684630.478867303</v>
      </c>
      <c r="F38" s="74" t="str">
        <f t="shared" si="0"/>
        <v>3-Digit AUTOMATION LETTER</v>
      </c>
      <c r="G38" s="74">
        <f t="shared" si="1"/>
        <v>18912585.023704898</v>
      </c>
      <c r="H38" s="74">
        <f t="shared" si="2"/>
        <v>9720007.026825944</v>
      </c>
      <c r="I38" s="74">
        <f t="shared" si="3"/>
        <v>358997.95634668175</v>
      </c>
      <c r="M38" t="s">
        <v>76</v>
      </c>
      <c r="N38" s="37">
        <f t="shared" si="5"/>
        <v>0.7913253057687215</v>
      </c>
      <c r="O38" s="37">
        <f t="shared" si="5"/>
        <v>0.19775081951437648</v>
      </c>
      <c r="P38" s="37">
        <f t="shared" si="5"/>
        <v>0.010923874716901925</v>
      </c>
    </row>
    <row r="39" spans="1:16" ht="12.75">
      <c r="A39" s="152" t="s">
        <v>195</v>
      </c>
      <c r="B39" s="153" t="s">
        <v>190</v>
      </c>
      <c r="C39" s="157">
        <v>890326744.1001815</v>
      </c>
      <c r="D39" s="155">
        <v>251962468.58035135</v>
      </c>
      <c r="F39" s="74" t="str">
        <f t="shared" si="0"/>
        <v>3-Digit AUTOMATION FLAT</v>
      </c>
      <c r="G39" s="74">
        <f t="shared" si="1"/>
        <v>892502129.103001</v>
      </c>
      <c r="H39" s="74">
        <f t="shared" si="2"/>
        <v>151910171.430161</v>
      </c>
      <c r="I39" s="74">
        <f t="shared" si="3"/>
        <v>10622446.083137823</v>
      </c>
      <c r="M39" t="s">
        <v>77</v>
      </c>
      <c r="N39" s="37">
        <f>G42/SUM($G42:$I42)</f>
        <v>0.8216664263560798</v>
      </c>
      <c r="O39" s="37">
        <f>H42/SUM($G42:$I42)</f>
        <v>0.17139818348219557</v>
      </c>
      <c r="P39" s="37">
        <f>I42/SUM($G42:$I42)</f>
        <v>0.006935390161724754</v>
      </c>
    </row>
    <row r="40" spans="1:16" ht="12.75">
      <c r="A40" s="152" t="s">
        <v>196</v>
      </c>
      <c r="B40" s="153" t="s">
        <v>190</v>
      </c>
      <c r="C40" s="157">
        <v>179050189.22324193</v>
      </c>
      <c r="D40" s="155">
        <v>45836848.44114993</v>
      </c>
      <c r="F40" s="74" t="str">
        <f t="shared" si="0"/>
        <v>5-Digit NON-AUTOMATION</v>
      </c>
      <c r="G40" s="74">
        <f t="shared" si="1"/>
        <v>181558357.2263146</v>
      </c>
      <c r="H40" s="74">
        <f t="shared" si="2"/>
        <v>45371118.134924136</v>
      </c>
      <c r="I40" s="74">
        <f t="shared" si="3"/>
        <v>2506327.9711750373</v>
      </c>
      <c r="M40" t="s">
        <v>78</v>
      </c>
      <c r="N40" s="37">
        <f>SUM(G43:G45)/SUM($G43:$I45)</f>
        <v>0.723129085772422</v>
      </c>
      <c r="O40" s="37">
        <f>SUM(H43:H45)/SUM($G43:$I45)</f>
        <v>0.27122931330962796</v>
      </c>
      <c r="P40" s="37">
        <f>SUM(I43:I45)/SUM($G43:$I45)</f>
        <v>0.005641600917950081</v>
      </c>
    </row>
    <row r="41" spans="1:9" ht="12.75">
      <c r="A41" s="152" t="s">
        <v>197</v>
      </c>
      <c r="B41" s="153" t="s">
        <v>190</v>
      </c>
      <c r="C41" s="157">
        <v>336912.0003941241</v>
      </c>
      <c r="D41" s="155">
        <v>65697.8400768542</v>
      </c>
      <c r="F41" s="74" t="str">
        <f t="shared" si="0"/>
        <v>5-Digit AUTOMATION LETTER</v>
      </c>
      <c r="G41" s="74">
        <f t="shared" si="1"/>
        <v>340991.0003993282</v>
      </c>
      <c r="H41" s="74">
        <f t="shared" si="2"/>
        <v>1063077.0028160666</v>
      </c>
      <c r="I41" s="74">
        <f t="shared" si="3"/>
        <v>0</v>
      </c>
    </row>
    <row r="42" spans="1:9" ht="12.75">
      <c r="A42" s="152" t="s">
        <v>198</v>
      </c>
      <c r="B42" s="153" t="s">
        <v>190</v>
      </c>
      <c r="C42" s="157">
        <v>2051829104.5324388</v>
      </c>
      <c r="D42" s="155">
        <v>463713377.62433124</v>
      </c>
      <c r="F42" s="74" t="str">
        <f t="shared" si="0"/>
        <v>5-Digit AUTOMATION FLAT</v>
      </c>
      <c r="G42" s="74">
        <f t="shared" si="1"/>
        <v>2056370137.5382288</v>
      </c>
      <c r="H42" s="74">
        <f t="shared" si="2"/>
        <v>428955224.2071806</v>
      </c>
      <c r="I42" s="74">
        <f t="shared" si="3"/>
        <v>17357079.178706404</v>
      </c>
    </row>
    <row r="43" spans="1:10" ht="12.75">
      <c r="A43" s="152" t="s">
        <v>199</v>
      </c>
      <c r="B43" s="153" t="s">
        <v>190</v>
      </c>
      <c r="C43" s="157">
        <v>2724193746.3887315</v>
      </c>
      <c r="D43" s="155">
        <v>444043580.6613632</v>
      </c>
      <c r="F43" s="74" t="str">
        <f t="shared" si="0"/>
        <v>CARRIER ROUTE BASIC</v>
      </c>
      <c r="G43" s="74">
        <f t="shared" si="1"/>
        <v>2739843487.4082484</v>
      </c>
      <c r="H43" s="74">
        <f t="shared" si="2"/>
        <v>964417063.6967571</v>
      </c>
      <c r="I43" s="74">
        <f t="shared" si="3"/>
        <v>21894428.957208406</v>
      </c>
      <c r="J43" s="64">
        <f>SUM(G43:I43)</f>
        <v>3726154980.062214</v>
      </c>
    </row>
    <row r="44" spans="1:10" ht="12.75">
      <c r="A44" s="152" t="s">
        <v>200</v>
      </c>
      <c r="B44" s="153" t="s">
        <v>190</v>
      </c>
      <c r="C44" s="157">
        <v>74512709.08521685</v>
      </c>
      <c r="D44" s="155">
        <v>9761164.890163409</v>
      </c>
      <c r="F44" s="74" t="str">
        <f t="shared" si="0"/>
        <v>CARRIER ROUTE HIGH DENSITY</v>
      </c>
      <c r="G44" s="74">
        <f t="shared" si="1"/>
        <v>74513076.08521774</v>
      </c>
      <c r="H44" s="74">
        <f t="shared" si="2"/>
        <v>73482927.1974386</v>
      </c>
      <c r="I44" s="74">
        <f t="shared" si="3"/>
        <v>279.999964716417</v>
      </c>
      <c r="J44" s="64">
        <f>SUM(G44:I44)</f>
        <v>147996283.28262106</v>
      </c>
    </row>
    <row r="45" spans="1:10" ht="12.75">
      <c r="A45" s="152" t="s">
        <v>201</v>
      </c>
      <c r="B45" s="153" t="s">
        <v>190</v>
      </c>
      <c r="C45" s="157">
        <v>31409713.03825315</v>
      </c>
      <c r="D45" s="155">
        <v>3517887.8602843527</v>
      </c>
      <c r="F45" s="74" t="str">
        <f t="shared" si="0"/>
        <v>CARRIER ROUTE SATURATION</v>
      </c>
      <c r="G45" s="74">
        <f t="shared" si="1"/>
        <v>31409713.03825315</v>
      </c>
      <c r="H45" s="74">
        <f t="shared" si="2"/>
        <v>29482373.07049754</v>
      </c>
      <c r="I45" s="74">
        <f t="shared" si="3"/>
        <v>306967.0005898947</v>
      </c>
      <c r="J45" s="64">
        <f>SUM(G45:I45)</f>
        <v>61199053.10934058</v>
      </c>
    </row>
    <row r="46" spans="1:9" ht="12.75">
      <c r="A46" s="152" t="s">
        <v>202</v>
      </c>
      <c r="B46" s="153" t="s">
        <v>203</v>
      </c>
      <c r="C46" s="157">
        <v>3749961599.273626</v>
      </c>
      <c r="D46" s="155">
        <v>-277497158.3462483</v>
      </c>
      <c r="E46" s="161"/>
      <c r="F46" s="74" t="s">
        <v>204</v>
      </c>
      <c r="G46" s="74">
        <f>C46+C66</f>
        <v>3761535045.2340603</v>
      </c>
      <c r="H46" s="74">
        <f>C145</f>
        <v>1370616949.8083196</v>
      </c>
      <c r="I46" s="74">
        <f>C200</f>
        <v>58929945.91556506</v>
      </c>
    </row>
    <row r="47" spans="1:4" ht="12.75">
      <c r="A47" s="152" t="s">
        <v>205</v>
      </c>
      <c r="B47" s="153" t="s">
        <v>203</v>
      </c>
      <c r="C47" s="157">
        <v>71988864.08950183</v>
      </c>
      <c r="D47" s="155">
        <v>-1295799.5536110327</v>
      </c>
    </row>
    <row r="48" spans="1:9" ht="12.75">
      <c r="A48" s="152" t="s">
        <v>206</v>
      </c>
      <c r="B48" s="153" t="s">
        <v>203</v>
      </c>
      <c r="C48" s="157">
        <v>3302930819.0887623</v>
      </c>
      <c r="D48" s="155">
        <v>-26423446.5527101</v>
      </c>
      <c r="F48" s="63" t="s">
        <v>207</v>
      </c>
      <c r="G48" s="74">
        <f>SUM(G34:G45)-G35-G38-G41</f>
        <v>6409804219.938577</v>
      </c>
      <c r="H48" s="74">
        <f>SUM(H34:H45)-H35-H38-H41</f>
        <v>1764923316.9444916</v>
      </c>
      <c r="I48" s="74">
        <f>SUM(I34:I45)-I35-I38-I41</f>
        <v>62186449.05472249</v>
      </c>
    </row>
    <row r="49" spans="1:4" ht="12.75">
      <c r="A49" s="152" t="s">
        <v>208</v>
      </c>
      <c r="B49" s="153" t="s">
        <v>203</v>
      </c>
      <c r="C49" s="157">
        <v>705288949.8696104</v>
      </c>
      <c r="D49" s="155">
        <v>-1410577.8997392207</v>
      </c>
    </row>
    <row r="50" spans="1:9" ht="12.75">
      <c r="A50" s="152" t="s">
        <v>209</v>
      </c>
      <c r="B50" s="153" t="s">
        <v>203</v>
      </c>
      <c r="C50" s="157">
        <v>3814046176.716099</v>
      </c>
      <c r="D50" s="155">
        <v>-57210692.65074147</v>
      </c>
      <c r="I50" s="74">
        <f>SUM(G48:I48)</f>
        <v>8236913985.937791</v>
      </c>
    </row>
    <row r="51" spans="1:4" ht="12.75">
      <c r="A51" s="152" t="s">
        <v>210</v>
      </c>
      <c r="B51" s="153" t="s">
        <v>203</v>
      </c>
      <c r="C51" s="157">
        <v>890348279.1021494</v>
      </c>
      <c r="D51" s="155">
        <v>-4451741.395510748</v>
      </c>
    </row>
    <row r="52" spans="1:9" ht="12.75">
      <c r="A52" s="162" t="s">
        <v>211</v>
      </c>
      <c r="B52" s="163" t="s">
        <v>203</v>
      </c>
      <c r="C52" s="157">
        <v>33095960.040579695</v>
      </c>
      <c r="D52" s="155">
        <v>-330959.60040579695</v>
      </c>
      <c r="G52" s="74">
        <f>G35+G38+G41</f>
        <v>49723713.06142337</v>
      </c>
      <c r="H52" s="74">
        <f>H35+H38+H41</f>
        <v>20159427.05550862</v>
      </c>
      <c r="I52" s="74">
        <f>I35+I38+I41</f>
        <v>532451.9452775107</v>
      </c>
    </row>
    <row r="53" spans="1:9" ht="12.75">
      <c r="A53" s="162" t="s">
        <v>212</v>
      </c>
      <c r="B53" s="163" t="s">
        <v>203</v>
      </c>
      <c r="C53" s="157">
        <v>77564404.09050149</v>
      </c>
      <c r="D53" s="155">
        <v>-542950.8286335104</v>
      </c>
      <c r="G53" s="63" t="s">
        <v>213</v>
      </c>
      <c r="I53" s="74">
        <f>SUM(G52:I52)</f>
        <v>70415592.0622095</v>
      </c>
    </row>
    <row r="54" spans="1:4" ht="12.75">
      <c r="A54" s="152" t="s">
        <v>214</v>
      </c>
      <c r="B54" s="153" t="s">
        <v>190</v>
      </c>
      <c r="C54" s="157">
        <v>422269.0005013225</v>
      </c>
      <c r="D54" s="155">
        <v>157506.3371869933</v>
      </c>
    </row>
    <row r="55" spans="1:4" ht="12.75">
      <c r="A55" s="152" t="s">
        <v>215</v>
      </c>
      <c r="B55" s="153" t="s">
        <v>190</v>
      </c>
      <c r="C55" s="157">
        <v>112352.00012918311</v>
      </c>
      <c r="D55" s="155">
        <v>31570.912036300462</v>
      </c>
    </row>
    <row r="56" spans="1:11" ht="12.75">
      <c r="A56" s="152" t="s">
        <v>216</v>
      </c>
      <c r="B56" s="153" t="s">
        <v>190</v>
      </c>
      <c r="C56" s="157">
        <v>814326.001020348</v>
      </c>
      <c r="D56" s="155">
        <v>264655.95033161313</v>
      </c>
      <c r="F56" s="63" t="s">
        <v>324</v>
      </c>
      <c r="K56" s="64"/>
    </row>
    <row r="57" spans="1:11" ht="12.75">
      <c r="A57" s="152" t="s">
        <v>217</v>
      </c>
      <c r="B57" s="153" t="s">
        <v>190</v>
      </c>
      <c r="C57" s="157">
        <v>1196048.0014467032</v>
      </c>
      <c r="D57" s="155">
        <v>387519.5524687319</v>
      </c>
      <c r="G57" s="63" t="s">
        <v>69</v>
      </c>
      <c r="H57" s="63" t="s">
        <v>70</v>
      </c>
      <c r="I57" s="63" t="s">
        <v>71</v>
      </c>
      <c r="J57" s="49" t="s">
        <v>5</v>
      </c>
      <c r="K57" s="64"/>
    </row>
    <row r="58" spans="1:11" ht="12.75">
      <c r="A58" s="152" t="s">
        <v>218</v>
      </c>
      <c r="B58" s="153" t="s">
        <v>190</v>
      </c>
      <c r="C58" s="157">
        <v>98808.00014143377</v>
      </c>
      <c r="D58" s="155">
        <v>24603.192035217005</v>
      </c>
      <c r="F58" t="s">
        <v>72</v>
      </c>
      <c r="G58" s="74">
        <f>G34</f>
        <v>142832596.17784426</v>
      </c>
      <c r="H58" s="74">
        <f>H34</f>
        <v>23317760.066816106</v>
      </c>
      <c r="I58" s="74">
        <f>I34</f>
        <v>2801011.9700118545</v>
      </c>
      <c r="J58" s="64">
        <f>SUM(G58:I58)</f>
        <v>168951368.21467224</v>
      </c>
      <c r="K58" s="64"/>
    </row>
    <row r="59" spans="1:11" ht="12.75">
      <c r="A59" s="152" t="s">
        <v>219</v>
      </c>
      <c r="B59" s="153" t="s">
        <v>190</v>
      </c>
      <c r="C59" s="157">
        <v>2175385.002819589</v>
      </c>
      <c r="D59" s="155">
        <v>615633.9557979435</v>
      </c>
      <c r="F59" t="s">
        <v>73</v>
      </c>
      <c r="G59" s="74">
        <f>G36</f>
        <v>132738008.16555205</v>
      </c>
      <c r="H59" s="74">
        <f>H36</f>
        <v>23797505.069377486</v>
      </c>
      <c r="I59" s="74">
        <f>I36</f>
        <v>1256770.0004974941</v>
      </c>
      <c r="J59" s="64">
        <f aca="true" t="shared" si="6" ref="J59:J64">SUM(G59:I59)</f>
        <v>157792283.23542702</v>
      </c>
      <c r="K59" s="64"/>
    </row>
    <row r="60" spans="1:11" ht="12.75">
      <c r="A60" s="152" t="s">
        <v>220</v>
      </c>
      <c r="B60" s="153" t="s">
        <v>190</v>
      </c>
      <c r="C60" s="157">
        <v>2508168.0030726665</v>
      </c>
      <c r="D60" s="155">
        <v>642091.0087866025</v>
      </c>
      <c r="F60" t="s">
        <v>74</v>
      </c>
      <c r="G60" s="74">
        <f>G37</f>
        <v>158036715.19591704</v>
      </c>
      <c r="H60" s="74">
        <f>H37</f>
        <v>24189174.071338788</v>
      </c>
      <c r="I60" s="74">
        <f>I37</f>
        <v>5441137.893430857</v>
      </c>
      <c r="J60" s="64">
        <f t="shared" si="6"/>
        <v>187667027.1606867</v>
      </c>
      <c r="K60" s="64"/>
    </row>
    <row r="61" spans="1:11" ht="12.75">
      <c r="A61" s="152" t="s">
        <v>221</v>
      </c>
      <c r="B61" s="153" t="s">
        <v>190</v>
      </c>
      <c r="C61" s="157">
        <v>4079.0000052040855</v>
      </c>
      <c r="D61" s="155">
        <v>795.4050010147967</v>
      </c>
      <c r="F61" t="s">
        <v>75</v>
      </c>
      <c r="G61" s="74">
        <f>G39</f>
        <v>892502129.103001</v>
      </c>
      <c r="H61" s="74">
        <f>H39</f>
        <v>151910171.430161</v>
      </c>
      <c r="I61" s="74">
        <f>I39</f>
        <v>10622446.083137823</v>
      </c>
      <c r="J61" s="64">
        <f t="shared" si="6"/>
        <v>1055034746.6162999</v>
      </c>
      <c r="K61" s="64"/>
    </row>
    <row r="62" spans="1:11" ht="12.75">
      <c r="A62" s="152" t="s">
        <v>222</v>
      </c>
      <c r="B62" s="153" t="s">
        <v>190</v>
      </c>
      <c r="C62" s="157">
        <v>4541033.005790021</v>
      </c>
      <c r="D62" s="155">
        <v>1026273.4593085449</v>
      </c>
      <c r="F62" t="s">
        <v>76</v>
      </c>
      <c r="G62" s="74">
        <f>G40</f>
        <v>181558357.2263146</v>
      </c>
      <c r="H62" s="74">
        <f>H40</f>
        <v>45371118.134924136</v>
      </c>
      <c r="I62" s="74">
        <f>I40</f>
        <v>2506327.9711750373</v>
      </c>
      <c r="J62" s="64">
        <f t="shared" si="6"/>
        <v>229435803.3324138</v>
      </c>
      <c r="K62" s="64"/>
    </row>
    <row r="63" spans="1:10" ht="12.75">
      <c r="A63" s="152" t="s">
        <v>223</v>
      </c>
      <c r="B63" s="153" t="s">
        <v>190</v>
      </c>
      <c r="C63" s="157">
        <v>15649741.01951671</v>
      </c>
      <c r="D63" s="155">
        <v>2550907.7861812236</v>
      </c>
      <c r="F63" t="s">
        <v>77</v>
      </c>
      <c r="G63" s="74">
        <f>G42</f>
        <v>2056370137.5382288</v>
      </c>
      <c r="H63" s="74">
        <f>H42</f>
        <v>428955224.2071806</v>
      </c>
      <c r="I63" s="74">
        <f>I42</f>
        <v>17357079.178706404</v>
      </c>
      <c r="J63" s="64">
        <f t="shared" si="6"/>
        <v>2502682440.9241157</v>
      </c>
    </row>
    <row r="64" spans="1:10" ht="12.75">
      <c r="A64" s="152" t="s">
        <v>224</v>
      </c>
      <c r="B64" s="153" t="s">
        <v>190</v>
      </c>
      <c r="C64" s="157">
        <v>367.0000008943349</v>
      </c>
      <c r="D64" s="155">
        <v>48.07700011715787</v>
      </c>
      <c r="F64" t="s">
        <v>78</v>
      </c>
      <c r="G64" s="74">
        <f>SUM(G43:G45)</f>
        <v>2845766276.5317197</v>
      </c>
      <c r="H64" s="74">
        <f>SUM(H43:H45)</f>
        <v>1067382363.9646932</v>
      </c>
      <c r="I64" s="74">
        <f>SUM(I43:I45)</f>
        <v>22201675.95776302</v>
      </c>
      <c r="J64" s="64">
        <f t="shared" si="6"/>
        <v>3935350316.454176</v>
      </c>
    </row>
    <row r="65" spans="1:4" ht="12.75">
      <c r="A65" s="152" t="s">
        <v>225</v>
      </c>
      <c r="B65" s="153" t="s">
        <v>190</v>
      </c>
      <c r="C65" s="157">
        <v>0</v>
      </c>
      <c r="D65" s="155">
        <v>0</v>
      </c>
    </row>
    <row r="66" spans="1:4" ht="12.75">
      <c r="A66" s="152" t="s">
        <v>226</v>
      </c>
      <c r="B66" s="153" t="s">
        <v>203</v>
      </c>
      <c r="C66" s="157">
        <v>11573445.960434254</v>
      </c>
      <c r="D66" s="155">
        <v>-856435.0010721347</v>
      </c>
    </row>
    <row r="67" spans="1:10" ht="12.75">
      <c r="A67" s="152" t="s">
        <v>227</v>
      </c>
      <c r="B67" s="153" t="s">
        <v>203</v>
      </c>
      <c r="C67" s="157">
        <v>184913.0002272508</v>
      </c>
      <c r="D67" s="155">
        <v>-3328.4340040905136</v>
      </c>
      <c r="F67" s="63" t="s">
        <v>326</v>
      </c>
      <c r="G67" s="74">
        <f>C50+C70</f>
        <v>3818858343.722525</v>
      </c>
      <c r="H67" s="74">
        <f>C149</f>
        <v>987515618.7374682</v>
      </c>
      <c r="I67" s="74">
        <f>C204</f>
        <v>22840652.98118499</v>
      </c>
      <c r="J67" s="64">
        <f>SUM(G67:I67)</f>
        <v>4829214615.441178</v>
      </c>
    </row>
    <row r="68" spans="1:10" ht="12.75">
      <c r="A68" s="152" t="s">
        <v>228</v>
      </c>
      <c r="B68" s="153" t="s">
        <v>203</v>
      </c>
      <c r="C68" s="157">
        <v>5221465.006715444</v>
      </c>
      <c r="D68" s="155">
        <v>-41771.72005372355</v>
      </c>
      <c r="F68" s="63" t="s">
        <v>327</v>
      </c>
      <c r="G68" s="74">
        <f>C51+C71</f>
        <v>894310753.1072816</v>
      </c>
      <c r="H68" s="74">
        <f>C150</f>
        <v>290134461.7813032</v>
      </c>
      <c r="I68" s="74">
        <f>C205</f>
        <v>10784835.963584019</v>
      </c>
      <c r="J68" s="64">
        <f>SUM(G68:I68)</f>
        <v>1195230050.8521688</v>
      </c>
    </row>
    <row r="69" spans="1:10" ht="12.75">
      <c r="A69" s="152" t="s">
        <v>229</v>
      </c>
      <c r="B69" s="153" t="s">
        <v>203</v>
      </c>
      <c r="C69" s="157">
        <v>1984656.0026145598</v>
      </c>
      <c r="D69" s="155">
        <v>-3969.3120052291197</v>
      </c>
      <c r="F69" s="63" t="s">
        <v>328</v>
      </c>
      <c r="G69" s="74">
        <f>G67+G68</f>
        <v>4713169096.829806</v>
      </c>
      <c r="H69" s="74">
        <f>H67+H68</f>
        <v>1277650080.5187714</v>
      </c>
      <c r="I69" s="74">
        <f>I67+I68</f>
        <v>33625488.94476901</v>
      </c>
      <c r="J69" s="64">
        <f>SUM(G69:I69)</f>
        <v>6024444666.293346</v>
      </c>
    </row>
    <row r="70" spans="1:10" ht="12.75">
      <c r="A70" s="152" t="s">
        <v>230</v>
      </c>
      <c r="B70" s="153" t="s">
        <v>203</v>
      </c>
      <c r="C70" s="157">
        <v>4812167.006426527</v>
      </c>
      <c r="D70" s="155">
        <v>-72182.5050963979</v>
      </c>
      <c r="F70" s="63" t="s">
        <v>330</v>
      </c>
      <c r="G70" s="72">
        <f>G69/G48</f>
        <v>0.7353062488506039</v>
      </c>
      <c r="H70" s="72">
        <f>H69/H48</f>
        <v>0.7239125169079256</v>
      </c>
      <c r="I70" s="72">
        <f>I69/I48</f>
        <v>0.5407205179890467</v>
      </c>
      <c r="J70" s="72">
        <f>J69/I50</f>
        <v>0.7313958451646317</v>
      </c>
    </row>
    <row r="71" spans="1:10" ht="12.75">
      <c r="A71" s="152" t="s">
        <v>231</v>
      </c>
      <c r="B71" s="153" t="s">
        <v>203</v>
      </c>
      <c r="C71" s="157">
        <v>3962474.005132177</v>
      </c>
      <c r="D71" s="155">
        <v>-19812.370025660886</v>
      </c>
      <c r="F71" s="63" t="s">
        <v>331</v>
      </c>
      <c r="G71" s="72">
        <f>G67/G48</f>
        <v>0.5957839292257073</v>
      </c>
      <c r="H71" s="72">
        <f>H67/H48</f>
        <v>0.5595232434500872</v>
      </c>
      <c r="I71" s="72">
        <f>I67/I48</f>
        <v>0.36729308922408155</v>
      </c>
      <c r="J71" s="72">
        <f>J67/I50</f>
        <v>0.5862893097688893</v>
      </c>
    </row>
    <row r="72" spans="1:10" ht="12.75">
      <c r="A72" s="152" t="s">
        <v>232</v>
      </c>
      <c r="B72" s="153" t="s">
        <v>190</v>
      </c>
      <c r="C72" s="157">
        <v>0</v>
      </c>
      <c r="D72" s="155">
        <v>0</v>
      </c>
      <c r="F72" s="63" t="s">
        <v>329</v>
      </c>
      <c r="G72" s="72">
        <f>G67/G69</f>
        <v>0.8102527758427304</v>
      </c>
      <c r="H72" s="72">
        <f>H67/H69</f>
        <v>0.7729155531665617</v>
      </c>
      <c r="I72" s="72">
        <f>I67/I69</f>
        <v>0.6792660478097887</v>
      </c>
      <c r="J72" s="72">
        <f>J67/J69</f>
        <v>0.8016032817863765</v>
      </c>
    </row>
    <row r="73" spans="1:4" ht="12.75">
      <c r="A73" s="152" t="s">
        <v>233</v>
      </c>
      <c r="B73" s="153" t="s">
        <v>203</v>
      </c>
      <c r="C73" s="157">
        <v>0</v>
      </c>
      <c r="D73" s="155">
        <v>0</v>
      </c>
    </row>
    <row r="74" spans="1:10" ht="13.5" thickBot="1">
      <c r="A74" s="152" t="s">
        <v>234</v>
      </c>
      <c r="B74" s="153" t="s">
        <v>155</v>
      </c>
      <c r="C74" s="157"/>
      <c r="D74" s="155"/>
      <c r="F74" s="49" t="s">
        <v>43</v>
      </c>
      <c r="G74" s="74">
        <f>C83</f>
        <v>72173777.08972907</v>
      </c>
      <c r="H74" s="74">
        <f>C146</f>
        <v>10505050.023971604</v>
      </c>
      <c r="I74" s="74">
        <f>C201</f>
        <v>138366.99784275505</v>
      </c>
      <c r="J74" s="64">
        <f>SUM(G74:I74)</f>
        <v>82817194.11154343</v>
      </c>
    </row>
    <row r="75" spans="1:10" ht="12.75">
      <c r="A75" s="164" t="s">
        <v>235</v>
      </c>
      <c r="B75" s="165"/>
      <c r="C75" s="166">
        <f>SUM(C34:C45)+SUM(C54:C65)+C72</f>
        <v>6459527933</v>
      </c>
      <c r="D75" s="166">
        <f>SUM(D6:D74)</f>
        <v>1719245751.9599288</v>
      </c>
      <c r="E75" s="167"/>
      <c r="F75" s="261" t="s">
        <v>44</v>
      </c>
      <c r="G75" s="74">
        <f>C84</f>
        <v>3308152284.095478</v>
      </c>
      <c r="H75" s="74">
        <f>C147</f>
        <v>859986968.370834</v>
      </c>
      <c r="I75" s="74">
        <f>C202</f>
        <v>18221429.019939423</v>
      </c>
      <c r="J75" s="64">
        <f>SUM(G75:I75)</f>
        <v>4186360681.4862514</v>
      </c>
    </row>
    <row r="76" spans="1:10" ht="12.75">
      <c r="A76" s="169" t="s">
        <v>236</v>
      </c>
      <c r="B76" s="170"/>
      <c r="C76" s="171">
        <f>SUM(C6:C33)</f>
        <v>3229574962.9999995</v>
      </c>
      <c r="D76" s="171">
        <f>SUM(D6:D33)</f>
        <v>704778153.6099834</v>
      </c>
      <c r="E76" s="168"/>
      <c r="F76" s="261" t="s">
        <v>45</v>
      </c>
      <c r="G76" s="74">
        <f>C85</f>
        <v>707273605.872225</v>
      </c>
      <c r="H76" s="74">
        <f>C148</f>
        <v>184883297.5379385</v>
      </c>
      <c r="I76" s="74">
        <f>C203</f>
        <v>4916599.962666499</v>
      </c>
      <c r="J76" s="64">
        <f>SUM(G76:I76)</f>
        <v>897073503.37283</v>
      </c>
    </row>
    <row r="77" spans="1:10" ht="12.75">
      <c r="A77" s="172" t="s">
        <v>237</v>
      </c>
      <c r="B77" s="170"/>
      <c r="C77" s="157">
        <v>156192071</v>
      </c>
      <c r="D77" s="155">
        <v>19367816.804</v>
      </c>
      <c r="E77" s="173"/>
      <c r="F77" s="173" t="s">
        <v>332</v>
      </c>
      <c r="G77" s="74">
        <f>SUM(G74:G76)</f>
        <v>4087599667.057432</v>
      </c>
      <c r="H77" s="74">
        <f>SUM(H74:H76)</f>
        <v>1055375315.932744</v>
      </c>
      <c r="I77" s="74">
        <f>SUM(I74:I76)</f>
        <v>23276395.980448678</v>
      </c>
      <c r="J77" s="74">
        <f>SUM(J74:J76)</f>
        <v>5166251378.970625</v>
      </c>
    </row>
    <row r="78" spans="1:6" ht="12.75">
      <c r="A78" s="172" t="s">
        <v>238</v>
      </c>
      <c r="B78" s="170"/>
      <c r="C78" s="174" t="s">
        <v>239</v>
      </c>
      <c r="D78" s="175">
        <f>D75+D77</f>
        <v>1738613568.7639287</v>
      </c>
      <c r="F78" s="49"/>
    </row>
    <row r="79" spans="1:10" ht="12.75">
      <c r="A79" s="172" t="s">
        <v>240</v>
      </c>
      <c r="B79" s="170"/>
      <c r="C79" s="174" t="s">
        <v>239</v>
      </c>
      <c r="D79" s="155">
        <v>1735586251</v>
      </c>
      <c r="F79" s="49" t="s">
        <v>333</v>
      </c>
      <c r="G79" s="74">
        <f>G77-G67</f>
        <v>268741323.33490705</v>
      </c>
      <c r="H79" s="74">
        <f>H77-H67</f>
        <v>67859697.19527578</v>
      </c>
      <c r="I79" s="74">
        <f>I77-I67</f>
        <v>435742.9992636889</v>
      </c>
      <c r="J79" s="74">
        <f>J77-J67</f>
        <v>337036763.5294466</v>
      </c>
    </row>
    <row r="80" spans="1:11" ht="12.75">
      <c r="A80" s="172" t="s">
        <v>241</v>
      </c>
      <c r="B80" s="170"/>
      <c r="C80" s="174" t="s">
        <v>239</v>
      </c>
      <c r="D80" s="176">
        <f>D79/D78</f>
        <v>0.9982587747971615</v>
      </c>
      <c r="F80" s="49" t="s">
        <v>334</v>
      </c>
      <c r="G80" s="74">
        <f>G48-G69</f>
        <v>1696635123.1087704</v>
      </c>
      <c r="H80" s="74">
        <f>H48-H69</f>
        <v>487273236.4257202</v>
      </c>
      <c r="I80" s="74">
        <f>I48-I69</f>
        <v>28560960.109953478</v>
      </c>
      <c r="J80" s="64">
        <f>SUM(G80:I80)</f>
        <v>2212469319.644444</v>
      </c>
      <c r="K80" s="74"/>
    </row>
    <row r="81" spans="1:4" ht="13.5" thickBot="1">
      <c r="A81" s="177" t="s">
        <v>242</v>
      </c>
      <c r="B81" s="178"/>
      <c r="C81" s="179" t="s">
        <v>239</v>
      </c>
      <c r="D81" s="180">
        <f>D76/D78</f>
        <v>0.4053679128427872</v>
      </c>
    </row>
    <row r="82" spans="1:10" ht="13.5" thickBot="1">
      <c r="A82" s="181" t="s">
        <v>243</v>
      </c>
      <c r="B82" s="182"/>
      <c r="C82" s="182"/>
      <c r="D82" s="183"/>
      <c r="F82" s="49" t="s">
        <v>336</v>
      </c>
      <c r="G82" s="72">
        <f>G79/G48</f>
        <v>0.041926604013731064</v>
      </c>
      <c r="H82" s="72">
        <f>H79/H48</f>
        <v>0.03844909098529975</v>
      </c>
      <c r="I82" s="72">
        <f>I79/I48</f>
        <v>0.007007041017573558</v>
      </c>
      <c r="J82" s="72">
        <f>J79/I50</f>
        <v>0.04091784424419654</v>
      </c>
    </row>
    <row r="83" spans="1:10" ht="12.75">
      <c r="A83" s="184" t="s">
        <v>244</v>
      </c>
      <c r="B83" s="166"/>
      <c r="C83" s="166">
        <v>72173777.08972907</v>
      </c>
      <c r="D83" s="185">
        <v>-1299127.9876151234</v>
      </c>
      <c r="E83" s="74"/>
      <c r="F83" s="49" t="s">
        <v>337</v>
      </c>
      <c r="G83" s="72">
        <f>1-G70</f>
        <v>0.2646937511493961</v>
      </c>
      <c r="H83" s="72">
        <f>1-H70</f>
        <v>0.2760874830920744</v>
      </c>
      <c r="I83" s="72">
        <f>1-I70</f>
        <v>0.45927948201095325</v>
      </c>
      <c r="J83" s="72">
        <f>1-J70</f>
        <v>0.26860415483536826</v>
      </c>
    </row>
    <row r="84" spans="1:10" ht="12.75">
      <c r="A84" s="186" t="s">
        <v>245</v>
      </c>
      <c r="B84" s="171"/>
      <c r="C84" s="171">
        <v>3308152284.095478</v>
      </c>
      <c r="D84" s="175">
        <v>-26465218.272763822</v>
      </c>
      <c r="F84" s="49" t="s">
        <v>335</v>
      </c>
      <c r="G84" s="72">
        <f>G79/G80</f>
        <v>0.1583966520995323</v>
      </c>
      <c r="H84" s="72">
        <f>H79/H80</f>
        <v>0.13926415842791787</v>
      </c>
      <c r="I84" s="72">
        <f>I79/I80</f>
        <v>0.015256594931899112</v>
      </c>
      <c r="J84" s="72">
        <f>J79/J80</f>
        <v>0.15233511286999915</v>
      </c>
    </row>
    <row r="85" spans="1:4" ht="12.75">
      <c r="A85" s="186" t="s">
        <v>246</v>
      </c>
      <c r="B85" s="171"/>
      <c r="C85" s="171">
        <v>707273605.872225</v>
      </c>
      <c r="D85" s="175">
        <v>-1414547.2117444503</v>
      </c>
    </row>
    <row r="86" spans="1:4" ht="12.75">
      <c r="A86" s="186" t="s">
        <v>247</v>
      </c>
      <c r="B86" s="171"/>
      <c r="C86" s="171">
        <v>3818858343.7225256</v>
      </c>
      <c r="D86" s="175">
        <v>-57282875.15583788</v>
      </c>
    </row>
    <row r="87" spans="1:4" ht="12.75">
      <c r="A87" s="186" t="s">
        <v>248</v>
      </c>
      <c r="B87" s="171"/>
      <c r="C87" s="171">
        <v>894310753.1072817</v>
      </c>
      <c r="D87" s="175">
        <v>-4471553.765536409</v>
      </c>
    </row>
    <row r="88" spans="1:4" ht="12.75">
      <c r="A88" s="186" t="s">
        <v>249</v>
      </c>
      <c r="B88" s="171"/>
      <c r="C88" s="171">
        <v>33095960.040579695</v>
      </c>
      <c r="D88" s="175">
        <v>-330959.60040579695</v>
      </c>
    </row>
    <row r="89" spans="1:4" ht="12.75">
      <c r="A89" s="186" t="s">
        <v>250</v>
      </c>
      <c r="B89" s="171"/>
      <c r="C89" s="171">
        <v>77564404.09050149</v>
      </c>
      <c r="D89" s="175">
        <v>-542950.8286335104</v>
      </c>
    </row>
    <row r="90" spans="1:4" ht="12.75">
      <c r="A90" s="186" t="s">
        <v>251</v>
      </c>
      <c r="B90" s="171"/>
      <c r="C90" s="171">
        <v>3761535045.2340603</v>
      </c>
      <c r="D90" s="175">
        <v>-278353593.34732044</v>
      </c>
    </row>
    <row r="91" spans="1:5" ht="12.75">
      <c r="A91" s="186" t="s">
        <v>252</v>
      </c>
      <c r="B91" s="171"/>
      <c r="C91" s="187">
        <v>0.5823235202710997</v>
      </c>
      <c r="D91" s="188"/>
      <c r="E91" s="189"/>
    </row>
    <row r="92" spans="1:5" ht="13.5" thickBot="1">
      <c r="A92" s="190" t="s">
        <v>253</v>
      </c>
      <c r="B92" s="191"/>
      <c r="C92" s="191"/>
      <c r="D92" s="192">
        <f>D75/C75</f>
        <v>0.2661565628003189</v>
      </c>
      <c r="E92" s="189"/>
    </row>
    <row r="93" spans="1:4" ht="13.5" thickBot="1">
      <c r="A93" s="193"/>
      <c r="B93" s="193"/>
      <c r="C93" s="193"/>
      <c r="D93" s="193"/>
    </row>
    <row r="94" spans="1:4" ht="18">
      <c r="A94" s="194" t="str">
        <f>A1</f>
        <v>FY 2005 BILLING DETERMINANTS</v>
      </c>
      <c r="B94" s="195"/>
      <c r="C94" s="196"/>
      <c r="D94" s="197"/>
    </row>
    <row r="95" spans="1:4" ht="18">
      <c r="A95" s="198" t="s">
        <v>153</v>
      </c>
      <c r="B95" s="140"/>
      <c r="C95" s="141"/>
      <c r="D95" s="199"/>
    </row>
    <row r="96" spans="1:4" ht="18.75" thickBot="1">
      <c r="A96" s="200" t="s">
        <v>254</v>
      </c>
      <c r="B96" s="201"/>
      <c r="C96" s="202"/>
      <c r="D96" s="203"/>
    </row>
    <row r="97" spans="1:4" ht="12.75">
      <c r="A97" s="204"/>
      <c r="B97" s="145"/>
      <c r="C97" s="146" t="s">
        <v>156</v>
      </c>
      <c r="D97" s="147"/>
    </row>
    <row r="98" spans="1:4" ht="13.5" thickBot="1">
      <c r="A98" s="148" t="s">
        <v>157</v>
      </c>
      <c r="B98" s="205" t="s">
        <v>158</v>
      </c>
      <c r="C98" s="150" t="s">
        <v>159</v>
      </c>
      <c r="D98" s="151" t="s">
        <v>160</v>
      </c>
    </row>
    <row r="99" spans="1:4" ht="12.75">
      <c r="A99" s="206" t="s">
        <v>255</v>
      </c>
      <c r="B99" s="207" t="s">
        <v>162</v>
      </c>
      <c r="C99" s="166">
        <v>337857.0846743134</v>
      </c>
      <c r="D99" s="185">
        <v>53381.41937854151</v>
      </c>
    </row>
    <row r="100" spans="1:4" ht="12.75">
      <c r="A100" s="208" t="s">
        <v>256</v>
      </c>
      <c r="B100" s="209" t="s">
        <v>162</v>
      </c>
      <c r="C100" s="171">
        <v>75397029.77740265</v>
      </c>
      <c r="D100" s="175">
        <v>15305597.04481274</v>
      </c>
    </row>
    <row r="101" spans="1:4" ht="12.75">
      <c r="A101" s="208" t="s">
        <v>257</v>
      </c>
      <c r="B101" s="209" t="s">
        <v>162</v>
      </c>
      <c r="C101" s="171">
        <v>14963069.185983496</v>
      </c>
      <c r="D101" s="175">
        <v>3336764.428474319</v>
      </c>
    </row>
    <row r="102" spans="1:4" ht="12.75">
      <c r="A102" s="208" t="s">
        <v>258</v>
      </c>
      <c r="B102" s="209" t="s">
        <v>162</v>
      </c>
      <c r="C102" s="171">
        <v>9136082.549715731</v>
      </c>
      <c r="D102" s="175">
        <v>2265748.472329502</v>
      </c>
    </row>
    <row r="103" spans="1:4" ht="12.75">
      <c r="A103" s="208" t="s">
        <v>259</v>
      </c>
      <c r="B103" s="209" t="s">
        <v>162</v>
      </c>
      <c r="C103" s="171">
        <v>4489190.506426821</v>
      </c>
      <c r="D103" s="175">
        <v>1198613.8652159614</v>
      </c>
    </row>
    <row r="104" spans="1:4" ht="12.75">
      <c r="A104" s="208" t="s">
        <v>260</v>
      </c>
      <c r="B104" s="209" t="s">
        <v>162</v>
      </c>
      <c r="C104" s="171">
        <v>6556954.276412494</v>
      </c>
      <c r="D104" s="175">
        <v>2065440.5970699354</v>
      </c>
    </row>
    <row r="105" spans="1:4" ht="12.75">
      <c r="A105" s="208" t="s">
        <v>261</v>
      </c>
      <c r="B105" s="209" t="s">
        <v>162</v>
      </c>
      <c r="C105" s="171">
        <v>6518298.977916791</v>
      </c>
      <c r="D105" s="175">
        <v>2535618.302409632</v>
      </c>
    </row>
    <row r="106" spans="1:4" ht="12.75">
      <c r="A106" s="208" t="s">
        <v>262</v>
      </c>
      <c r="B106" s="209" t="s">
        <v>162</v>
      </c>
      <c r="C106" s="171">
        <v>2553644.1561712306</v>
      </c>
      <c r="D106" s="175">
        <v>1189998.1767757935</v>
      </c>
    </row>
    <row r="107" spans="1:4" ht="12.75">
      <c r="A107" s="208" t="s">
        <v>263</v>
      </c>
      <c r="B107" s="209" t="s">
        <v>162</v>
      </c>
      <c r="C107" s="171">
        <v>1801861.952707156</v>
      </c>
      <c r="D107" s="175">
        <v>1007240.8315633005</v>
      </c>
    </row>
    <row r="108" spans="1:4" ht="12.75">
      <c r="A108" s="208" t="s">
        <v>264</v>
      </c>
      <c r="B108" s="209" t="s">
        <v>162</v>
      </c>
      <c r="C108" s="171">
        <v>3258640.760574096</v>
      </c>
      <c r="D108" s="175">
        <v>2079012.8052462733</v>
      </c>
    </row>
    <row r="109" spans="1:4" ht="12.75">
      <c r="A109" s="208" t="s">
        <v>170</v>
      </c>
      <c r="B109" s="209" t="s">
        <v>162</v>
      </c>
      <c r="C109" s="171">
        <v>384544597.7720153</v>
      </c>
      <c r="D109" s="175">
        <v>74217107.36999895</v>
      </c>
    </row>
    <row r="110" spans="1:4" ht="12.75">
      <c r="A110" s="208" t="s">
        <v>265</v>
      </c>
      <c r="B110" s="209" t="s">
        <v>162</v>
      </c>
      <c r="C110" s="171">
        <v>0</v>
      </c>
      <c r="D110" s="175">
        <v>0</v>
      </c>
    </row>
    <row r="111" spans="1:4" ht="12.75">
      <c r="A111" s="208" t="s">
        <v>266</v>
      </c>
      <c r="B111" s="209" t="s">
        <v>162</v>
      </c>
      <c r="C111" s="171">
        <v>0</v>
      </c>
      <c r="D111" s="175">
        <v>0</v>
      </c>
    </row>
    <row r="112" spans="1:4" ht="12.75">
      <c r="A112" s="208" t="s">
        <v>267</v>
      </c>
      <c r="B112" s="209" t="s">
        <v>162</v>
      </c>
      <c r="C112" s="171">
        <v>0</v>
      </c>
      <c r="D112" s="175">
        <v>0</v>
      </c>
    </row>
    <row r="113" spans="1:4" ht="12.75">
      <c r="A113" s="208" t="s">
        <v>268</v>
      </c>
      <c r="B113" s="209" t="s">
        <v>162</v>
      </c>
      <c r="C113" s="171">
        <v>0</v>
      </c>
      <c r="D113" s="175">
        <v>0</v>
      </c>
    </row>
    <row r="114" spans="1:4" ht="12.75">
      <c r="A114" s="208" t="s">
        <v>269</v>
      </c>
      <c r="B114" s="209" t="s">
        <v>162</v>
      </c>
      <c r="C114" s="171">
        <v>0</v>
      </c>
      <c r="D114" s="175">
        <v>0</v>
      </c>
    </row>
    <row r="115" spans="1:4" ht="12.75">
      <c r="A115" s="208" t="s">
        <v>270</v>
      </c>
      <c r="B115" s="209" t="s">
        <v>162</v>
      </c>
      <c r="C115" s="171">
        <v>0</v>
      </c>
      <c r="D115" s="175">
        <v>0</v>
      </c>
    </row>
    <row r="116" spans="1:4" ht="12.75">
      <c r="A116" s="208" t="s">
        <v>271</v>
      </c>
      <c r="B116" s="209" t="s">
        <v>162</v>
      </c>
      <c r="C116" s="171">
        <v>0</v>
      </c>
      <c r="D116" s="175">
        <v>0</v>
      </c>
    </row>
    <row r="117" spans="1:4" ht="12.75">
      <c r="A117" s="208" t="s">
        <v>272</v>
      </c>
      <c r="B117" s="209" t="s">
        <v>162</v>
      </c>
      <c r="C117" s="171">
        <v>0</v>
      </c>
      <c r="D117" s="175">
        <v>0</v>
      </c>
    </row>
    <row r="118" spans="1:4" ht="12.75">
      <c r="A118" s="208" t="s">
        <v>273</v>
      </c>
      <c r="B118" s="209" t="s">
        <v>162</v>
      </c>
      <c r="C118" s="171">
        <v>0</v>
      </c>
      <c r="D118" s="175">
        <v>0</v>
      </c>
    </row>
    <row r="119" spans="1:4" ht="12.75">
      <c r="A119" s="208" t="s">
        <v>274</v>
      </c>
      <c r="B119" s="209" t="s">
        <v>162</v>
      </c>
      <c r="C119" s="171">
        <v>0</v>
      </c>
      <c r="D119" s="175">
        <v>0</v>
      </c>
    </row>
    <row r="120" spans="1:4" ht="12.75">
      <c r="A120" s="208" t="s">
        <v>275</v>
      </c>
      <c r="B120" s="209" t="s">
        <v>162</v>
      </c>
      <c r="C120" s="171">
        <v>0</v>
      </c>
      <c r="D120" s="175">
        <v>0</v>
      </c>
    </row>
    <row r="121" spans="1:4" ht="12.75">
      <c r="A121" s="208" t="s">
        <v>276</v>
      </c>
      <c r="B121" s="209" t="s">
        <v>190</v>
      </c>
      <c r="C121" s="171">
        <v>23317760.066816106</v>
      </c>
      <c r="D121" s="175">
        <v>8697524.504922409</v>
      </c>
    </row>
    <row r="122" spans="1:4" ht="12.75">
      <c r="A122" s="208" t="s">
        <v>277</v>
      </c>
      <c r="B122" s="209" t="s">
        <v>190</v>
      </c>
      <c r="C122" s="171">
        <v>9376343.025866613</v>
      </c>
      <c r="D122" s="175">
        <v>2634752.3902685186</v>
      </c>
    </row>
    <row r="123" spans="1:4" ht="12.75">
      <c r="A123" s="208" t="s">
        <v>278</v>
      </c>
      <c r="B123" s="209" t="s">
        <v>190</v>
      </c>
      <c r="C123" s="171">
        <v>23797505.069377486</v>
      </c>
      <c r="D123" s="175">
        <v>7734189.147547684</v>
      </c>
    </row>
    <row r="124" spans="1:4" ht="12.75">
      <c r="A124" s="208" t="s">
        <v>279</v>
      </c>
      <c r="B124" s="209" t="s">
        <v>190</v>
      </c>
      <c r="C124" s="171">
        <v>24189174.071338788</v>
      </c>
      <c r="D124" s="175">
        <v>7837292.399113769</v>
      </c>
    </row>
    <row r="125" spans="1:4" ht="12.75">
      <c r="A125" s="208" t="s">
        <v>280</v>
      </c>
      <c r="B125" s="209" t="s">
        <v>190</v>
      </c>
      <c r="C125" s="171">
        <v>9720007.026825944</v>
      </c>
      <c r="D125" s="175">
        <v>2420281.74967966</v>
      </c>
    </row>
    <row r="126" spans="1:4" ht="12.75">
      <c r="A126" s="208" t="s">
        <v>281</v>
      </c>
      <c r="B126" s="209" t="s">
        <v>190</v>
      </c>
      <c r="C126" s="171">
        <v>151910171.430161</v>
      </c>
      <c r="D126" s="175">
        <v>42990578.51473556</v>
      </c>
    </row>
    <row r="127" spans="1:4" ht="12.75">
      <c r="A127" s="208" t="s">
        <v>282</v>
      </c>
      <c r="B127" s="209" t="s">
        <v>190</v>
      </c>
      <c r="C127" s="171">
        <v>45371118.134924136</v>
      </c>
      <c r="D127" s="175">
        <v>11615006.24254058</v>
      </c>
    </row>
    <row r="128" spans="1:4" ht="12.75">
      <c r="A128" s="208" t="s">
        <v>283</v>
      </c>
      <c r="B128" s="209" t="s">
        <v>190</v>
      </c>
      <c r="C128" s="171">
        <v>1063077.0028160666</v>
      </c>
      <c r="D128" s="175">
        <v>207300.01554913298</v>
      </c>
    </row>
    <row r="129" spans="1:4" ht="12.75">
      <c r="A129" s="208" t="s">
        <v>284</v>
      </c>
      <c r="B129" s="209" t="s">
        <v>190</v>
      </c>
      <c r="C129" s="171">
        <v>428955224.2071806</v>
      </c>
      <c r="D129" s="175">
        <v>96943880.67082283</v>
      </c>
    </row>
    <row r="130" spans="1:4" ht="12.75">
      <c r="A130" s="208" t="s">
        <v>285</v>
      </c>
      <c r="B130" s="209" t="s">
        <v>190</v>
      </c>
      <c r="C130" s="171">
        <v>964417063.6967571</v>
      </c>
      <c r="D130" s="175">
        <v>157199981.3825714</v>
      </c>
    </row>
    <row r="131" spans="1:4" ht="12.75">
      <c r="A131" s="208" t="s">
        <v>286</v>
      </c>
      <c r="B131" s="209" t="s">
        <v>190</v>
      </c>
      <c r="C131" s="171">
        <v>73482927.1974386</v>
      </c>
      <c r="D131" s="175">
        <v>9626263.462864459</v>
      </c>
    </row>
    <row r="132" spans="1:4" ht="12.75">
      <c r="A132" s="208" t="s">
        <v>287</v>
      </c>
      <c r="B132" s="209" t="s">
        <v>190</v>
      </c>
      <c r="C132" s="171">
        <v>29482373.07049754</v>
      </c>
      <c r="D132" s="175">
        <v>3302025.7838957245</v>
      </c>
    </row>
    <row r="133" spans="1:4" ht="12.75">
      <c r="A133" s="208" t="s">
        <v>288</v>
      </c>
      <c r="B133" s="209" t="s">
        <v>190</v>
      </c>
      <c r="C133" s="171">
        <v>0</v>
      </c>
      <c r="D133" s="175">
        <v>0</v>
      </c>
    </row>
    <row r="134" spans="1:4" ht="12.75">
      <c r="A134" s="208" t="s">
        <v>289</v>
      </c>
      <c r="B134" s="209" t="s">
        <v>190</v>
      </c>
      <c r="C134" s="171">
        <v>0</v>
      </c>
      <c r="D134" s="175">
        <v>0</v>
      </c>
    </row>
    <row r="135" spans="1:4" ht="12.75">
      <c r="A135" s="208" t="s">
        <v>290</v>
      </c>
      <c r="B135" s="209" t="s">
        <v>190</v>
      </c>
      <c r="C135" s="171">
        <v>0</v>
      </c>
      <c r="D135" s="175">
        <v>0</v>
      </c>
    </row>
    <row r="136" spans="1:4" ht="12.75">
      <c r="A136" s="208" t="s">
        <v>291</v>
      </c>
      <c r="B136" s="209" t="s">
        <v>190</v>
      </c>
      <c r="C136" s="171">
        <v>0</v>
      </c>
      <c r="D136" s="175">
        <v>0</v>
      </c>
    </row>
    <row r="137" spans="1:4" ht="12.75">
      <c r="A137" s="208" t="s">
        <v>292</v>
      </c>
      <c r="B137" s="209" t="s">
        <v>190</v>
      </c>
      <c r="C137" s="171">
        <v>0</v>
      </c>
      <c r="D137" s="175">
        <v>0</v>
      </c>
    </row>
    <row r="138" spans="1:4" ht="12.75">
      <c r="A138" s="208" t="s">
        <v>293</v>
      </c>
      <c r="B138" s="209" t="s">
        <v>190</v>
      </c>
      <c r="C138" s="171">
        <v>0</v>
      </c>
      <c r="D138" s="175">
        <v>0</v>
      </c>
    </row>
    <row r="139" spans="1:4" ht="12.75">
      <c r="A139" s="208" t="s">
        <v>294</v>
      </c>
      <c r="B139" s="209" t="s">
        <v>190</v>
      </c>
      <c r="C139" s="171">
        <v>0</v>
      </c>
      <c r="D139" s="175">
        <v>0</v>
      </c>
    </row>
    <row r="140" spans="1:4" ht="12.75">
      <c r="A140" s="208" t="s">
        <v>295</v>
      </c>
      <c r="B140" s="209" t="s">
        <v>190</v>
      </c>
      <c r="C140" s="171">
        <v>0</v>
      </c>
      <c r="D140" s="175">
        <v>0</v>
      </c>
    </row>
    <row r="141" spans="1:4" ht="12.75">
      <c r="A141" s="208" t="s">
        <v>296</v>
      </c>
      <c r="B141" s="209" t="s">
        <v>190</v>
      </c>
      <c r="C141" s="171">
        <v>0</v>
      </c>
      <c r="D141" s="175">
        <v>0</v>
      </c>
    </row>
    <row r="142" spans="1:4" ht="12.75">
      <c r="A142" s="208" t="s">
        <v>297</v>
      </c>
      <c r="B142" s="209" t="s">
        <v>190</v>
      </c>
      <c r="C142" s="171">
        <v>0</v>
      </c>
      <c r="D142" s="175">
        <v>0</v>
      </c>
    </row>
    <row r="143" spans="1:4" ht="12.75">
      <c r="A143" s="208" t="s">
        <v>298</v>
      </c>
      <c r="B143" s="209" t="s">
        <v>190</v>
      </c>
      <c r="C143" s="171">
        <v>0</v>
      </c>
      <c r="D143" s="175">
        <v>0</v>
      </c>
    </row>
    <row r="144" spans="1:4" ht="12.75">
      <c r="A144" s="208" t="s">
        <v>299</v>
      </c>
      <c r="B144" s="209" t="s">
        <v>190</v>
      </c>
      <c r="C144" s="171">
        <v>0</v>
      </c>
      <c r="D144" s="175">
        <v>0</v>
      </c>
    </row>
    <row r="145" spans="1:4" ht="12.75">
      <c r="A145" s="208" t="s">
        <v>300</v>
      </c>
      <c r="B145" s="209" t="s">
        <v>301</v>
      </c>
      <c r="C145" s="171">
        <v>1370616949.8083196</v>
      </c>
      <c r="D145" s="175">
        <v>-101425654.28581564</v>
      </c>
    </row>
    <row r="146" spans="1:4" ht="12.75">
      <c r="A146" s="208" t="s">
        <v>302</v>
      </c>
      <c r="B146" s="209" t="s">
        <v>301</v>
      </c>
      <c r="C146" s="171">
        <v>10505050.023971604</v>
      </c>
      <c r="D146" s="175">
        <v>-189090.90043148887</v>
      </c>
    </row>
    <row r="147" spans="1:4" ht="12.75">
      <c r="A147" s="208" t="s">
        <v>303</v>
      </c>
      <c r="B147" s="209" t="s">
        <v>301</v>
      </c>
      <c r="C147" s="171">
        <v>859986968.370834</v>
      </c>
      <c r="D147" s="175">
        <v>-6879895.746966672</v>
      </c>
    </row>
    <row r="148" spans="1:4" ht="12.75">
      <c r="A148" s="208" t="s">
        <v>304</v>
      </c>
      <c r="B148" s="209" t="s">
        <v>301</v>
      </c>
      <c r="C148" s="171">
        <v>184883297.5379385</v>
      </c>
      <c r="D148" s="175">
        <v>-369766.59507587703</v>
      </c>
    </row>
    <row r="149" spans="1:4" ht="12.75">
      <c r="A149" s="186" t="s">
        <v>247</v>
      </c>
      <c r="B149" s="209" t="s">
        <v>301</v>
      </c>
      <c r="C149" s="171">
        <v>987515618.7374682</v>
      </c>
      <c r="D149" s="175">
        <v>-14812734.281062024</v>
      </c>
    </row>
    <row r="150" spans="1:4" ht="12.75">
      <c r="A150" s="186" t="s">
        <v>248</v>
      </c>
      <c r="B150" s="209" t="s">
        <v>301</v>
      </c>
      <c r="C150" s="171">
        <v>290134461.7813032</v>
      </c>
      <c r="D150" s="175">
        <v>-1450672.3089065163</v>
      </c>
    </row>
    <row r="151" spans="1:4" ht="12.75">
      <c r="A151" s="186" t="s">
        <v>249</v>
      </c>
      <c r="B151" s="210" t="s">
        <v>203</v>
      </c>
      <c r="C151" s="171">
        <v>6691876.017572977</v>
      </c>
      <c r="D151" s="175">
        <v>-66918.76017572977</v>
      </c>
    </row>
    <row r="152" spans="1:4" ht="12.75">
      <c r="A152" s="186" t="s">
        <v>250</v>
      </c>
      <c r="B152" s="210" t="s">
        <v>203</v>
      </c>
      <c r="C152" s="171">
        <v>6165477.015501212</v>
      </c>
      <c r="D152" s="175">
        <v>-43158.33910850849</v>
      </c>
    </row>
    <row r="153" spans="1:4" ht="12.75">
      <c r="A153" s="208" t="s">
        <v>305</v>
      </c>
      <c r="B153" s="209" t="s">
        <v>301</v>
      </c>
      <c r="C153" s="171">
        <v>0</v>
      </c>
      <c r="D153" s="175">
        <v>0</v>
      </c>
    </row>
    <row r="154" spans="1:4" ht="12.75">
      <c r="A154" s="208" t="s">
        <v>306</v>
      </c>
      <c r="B154" s="209" t="s">
        <v>301</v>
      </c>
      <c r="C154" s="171">
        <v>0</v>
      </c>
      <c r="D154" s="175">
        <v>0</v>
      </c>
    </row>
    <row r="155" spans="1:4" ht="12.75">
      <c r="A155" s="208" t="s">
        <v>307</v>
      </c>
      <c r="B155" s="209" t="s">
        <v>301</v>
      </c>
      <c r="C155" s="171">
        <v>0</v>
      </c>
      <c r="D155" s="175">
        <v>0</v>
      </c>
    </row>
    <row r="156" spans="1:4" ht="12.75">
      <c r="A156" s="211" t="s">
        <v>308</v>
      </c>
      <c r="B156" s="212" t="s">
        <v>301</v>
      </c>
      <c r="C156" s="213">
        <v>0</v>
      </c>
      <c r="D156" s="214">
        <v>0</v>
      </c>
    </row>
    <row r="157" spans="1:4" ht="12.75">
      <c r="A157" s="215" t="s">
        <v>309</v>
      </c>
      <c r="B157" s="216" t="s">
        <v>301</v>
      </c>
      <c r="C157" s="217">
        <v>0</v>
      </c>
      <c r="D157" s="218">
        <v>0</v>
      </c>
    </row>
    <row r="158" spans="1:4" ht="13.5" thickBot="1">
      <c r="A158" s="219" t="s">
        <v>310</v>
      </c>
      <c r="B158" s="220" t="s">
        <v>301</v>
      </c>
      <c r="C158" s="221">
        <v>0</v>
      </c>
      <c r="D158" s="222">
        <v>0</v>
      </c>
    </row>
    <row r="159" spans="1:7" ht="12.75">
      <c r="A159" s="184" t="s">
        <v>235</v>
      </c>
      <c r="B159" s="166"/>
      <c r="C159" s="166">
        <f>SUM(C121:C144)</f>
        <v>1785082744</v>
      </c>
      <c r="D159" s="185">
        <f>SUM(D99:D158)</f>
        <v>331225708.3602442</v>
      </c>
      <c r="F159" s="74"/>
      <c r="G159" s="74"/>
    </row>
    <row r="160" spans="1:7" ht="12.75">
      <c r="A160" s="169" t="s">
        <v>236</v>
      </c>
      <c r="B160" s="171"/>
      <c r="C160" s="171">
        <f>SUM(C99:C120)</f>
        <v>509557227.00000006</v>
      </c>
      <c r="D160" s="175">
        <f>SUM(D99:D120)</f>
        <v>105254523.31327495</v>
      </c>
      <c r="F160" s="74"/>
      <c r="G160" s="74"/>
    </row>
    <row r="161" spans="1:7" ht="12.75">
      <c r="A161" s="186" t="s">
        <v>311</v>
      </c>
      <c r="B161" s="171"/>
      <c r="C161" s="171"/>
      <c r="D161" s="223">
        <v>-15002747.8019</v>
      </c>
      <c r="E161" s="224"/>
      <c r="F161" s="74"/>
      <c r="G161" s="74"/>
    </row>
    <row r="162" spans="1:7" ht="12.75">
      <c r="A162" s="186" t="s">
        <v>312</v>
      </c>
      <c r="B162" s="171"/>
      <c r="C162" s="171"/>
      <c r="D162" s="175">
        <f>D159+D161</f>
        <v>316222960.55834424</v>
      </c>
      <c r="E162" s="224"/>
      <c r="F162" s="74"/>
      <c r="G162" s="74"/>
    </row>
    <row r="163" spans="1:8" ht="12.75">
      <c r="A163" s="186" t="s">
        <v>313</v>
      </c>
      <c r="B163" s="225"/>
      <c r="C163" s="171">
        <v>10439495</v>
      </c>
      <c r="D163" s="226">
        <v>1294497.38</v>
      </c>
      <c r="E163" s="161"/>
      <c r="F163" s="173"/>
      <c r="G163" s="173"/>
      <c r="H163" s="49"/>
    </row>
    <row r="164" spans="1:8" ht="12.75">
      <c r="A164" s="186" t="s">
        <v>238</v>
      </c>
      <c r="B164" s="171"/>
      <c r="C164" s="171"/>
      <c r="D164" s="175">
        <f>D163+D162</f>
        <v>317517457.93834424</v>
      </c>
      <c r="F164" s="173"/>
      <c r="G164" s="173"/>
      <c r="H164" s="49"/>
    </row>
    <row r="165" spans="1:8" ht="12.75">
      <c r="A165" s="186" t="s">
        <v>240</v>
      </c>
      <c r="B165" s="171"/>
      <c r="C165" s="171"/>
      <c r="D165" s="227">
        <v>317538868</v>
      </c>
      <c r="F165" s="173"/>
      <c r="G165" s="173"/>
      <c r="H165" s="49"/>
    </row>
    <row r="166" spans="1:8" ht="12.75">
      <c r="A166" s="228" t="s">
        <v>241</v>
      </c>
      <c r="B166" s="229"/>
      <c r="C166" s="171"/>
      <c r="D166" s="230">
        <f>D165/D164</f>
        <v>1.0000674295574006</v>
      </c>
      <c r="F166" s="173"/>
      <c r="G166" s="173"/>
      <c r="H166" s="49"/>
    </row>
    <row r="167" spans="1:8" ht="12.75">
      <c r="A167" s="228" t="s">
        <v>314</v>
      </c>
      <c r="B167" s="231"/>
      <c r="C167" s="187">
        <v>0.7678170406471194</v>
      </c>
      <c r="D167" s="232"/>
      <c r="F167" s="90"/>
      <c r="G167" s="90"/>
      <c r="H167" s="49"/>
    </row>
    <row r="168" spans="1:8" ht="12.75">
      <c r="A168" s="233" t="s">
        <v>242</v>
      </c>
      <c r="B168" s="234"/>
      <c r="C168" s="234"/>
      <c r="D168" s="235">
        <v>0.3177728076553742</v>
      </c>
      <c r="F168" s="90"/>
      <c r="G168" s="90"/>
      <c r="H168" s="49"/>
    </row>
    <row r="169" spans="1:8" ht="13.5" thickBot="1">
      <c r="A169" s="236" t="s">
        <v>315</v>
      </c>
      <c r="B169" s="191"/>
      <c r="C169" s="191"/>
      <c r="D169" s="237">
        <f>D162/C159</f>
        <v>0.177147508495743</v>
      </c>
      <c r="F169" s="90"/>
      <c r="G169" s="90"/>
      <c r="H169" s="49"/>
    </row>
    <row r="170" spans="1:8" ht="13.5" thickBot="1">
      <c r="A170" s="193"/>
      <c r="B170" s="193"/>
      <c r="C170" s="193"/>
      <c r="D170" s="193"/>
      <c r="F170" s="49"/>
      <c r="G170" s="49"/>
      <c r="H170" s="49"/>
    </row>
    <row r="171" spans="1:8" ht="18">
      <c r="A171" s="194" t="str">
        <f>A1</f>
        <v>FY 2005 BILLING DETERMINANTS</v>
      </c>
      <c r="B171" s="195"/>
      <c r="C171" s="196"/>
      <c r="D171" s="197"/>
      <c r="F171" s="49"/>
      <c r="G171" s="49"/>
      <c r="H171" s="49"/>
    </row>
    <row r="172" spans="1:8" ht="18">
      <c r="A172" s="198" t="s">
        <v>153</v>
      </c>
      <c r="B172" s="140"/>
      <c r="C172" s="141"/>
      <c r="D172" s="199"/>
      <c r="F172" s="49"/>
      <c r="G172" s="49"/>
      <c r="H172" s="49"/>
    </row>
    <row r="173" spans="1:4" ht="18.75" thickBot="1">
      <c r="A173" s="200" t="s">
        <v>316</v>
      </c>
      <c r="B173" s="201"/>
      <c r="C173" s="202"/>
      <c r="D173" s="203"/>
    </row>
    <row r="174" spans="1:4" ht="12.75">
      <c r="A174" s="204"/>
      <c r="B174" s="145"/>
      <c r="C174" s="146" t="s">
        <v>156</v>
      </c>
      <c r="D174" s="147"/>
    </row>
    <row r="175" spans="1:4" ht="13.5" thickBot="1">
      <c r="A175" s="148" t="s">
        <v>157</v>
      </c>
      <c r="B175" s="238" t="s">
        <v>158</v>
      </c>
      <c r="C175" s="150" t="s">
        <v>159</v>
      </c>
      <c r="D175" s="151" t="s">
        <v>160</v>
      </c>
    </row>
    <row r="176" spans="1:4" ht="12.75">
      <c r="A176" s="206" t="s">
        <v>255</v>
      </c>
      <c r="B176" s="239" t="s">
        <v>162</v>
      </c>
      <c r="C176" s="166">
        <v>5522.166280321326</v>
      </c>
      <c r="D176" s="185">
        <v>872.5022722907696</v>
      </c>
    </row>
    <row r="177" spans="1:4" ht="12.75">
      <c r="A177" s="208" t="s">
        <v>256</v>
      </c>
      <c r="B177" s="212" t="s">
        <v>162</v>
      </c>
      <c r="C177" s="171">
        <v>914732.0407151673</v>
      </c>
      <c r="D177" s="175">
        <v>185690.60426517896</v>
      </c>
    </row>
    <row r="178" spans="1:4" ht="12.75">
      <c r="A178" s="208" t="s">
        <v>257</v>
      </c>
      <c r="B178" s="212" t="s">
        <v>162</v>
      </c>
      <c r="C178" s="171">
        <v>150372.6412012989</v>
      </c>
      <c r="D178" s="175">
        <v>33533.09898788965</v>
      </c>
    </row>
    <row r="179" spans="1:4" ht="12.75">
      <c r="A179" s="208" t="s">
        <v>258</v>
      </c>
      <c r="B179" s="212" t="s">
        <v>162</v>
      </c>
      <c r="C179" s="171">
        <v>140737.22600226698</v>
      </c>
      <c r="D179" s="175">
        <v>34902.83204856221</v>
      </c>
    </row>
    <row r="180" spans="1:4" ht="12.75">
      <c r="A180" s="208" t="s">
        <v>259</v>
      </c>
      <c r="B180" s="212" t="s">
        <v>162</v>
      </c>
      <c r="C180" s="171">
        <v>365722.5539162151</v>
      </c>
      <c r="D180" s="175">
        <v>97647.92189562944</v>
      </c>
    </row>
    <row r="181" spans="1:4" ht="12.75">
      <c r="A181" s="208" t="s">
        <v>260</v>
      </c>
      <c r="B181" s="212" t="s">
        <v>162</v>
      </c>
      <c r="C181" s="171">
        <v>769731.4170795418</v>
      </c>
      <c r="D181" s="175">
        <v>242465.39638005567</v>
      </c>
    </row>
    <row r="182" spans="1:4" ht="12.75">
      <c r="A182" s="208" t="s">
        <v>261</v>
      </c>
      <c r="B182" s="212" t="s">
        <v>162</v>
      </c>
      <c r="C182" s="171">
        <v>634626.2499602276</v>
      </c>
      <c r="D182" s="175">
        <v>246869.61123452854</v>
      </c>
    </row>
    <row r="183" spans="1:4" ht="12.75">
      <c r="A183" s="208" t="s">
        <v>262</v>
      </c>
      <c r="B183" s="212" t="s">
        <v>162</v>
      </c>
      <c r="C183" s="171">
        <v>126799.33069698061</v>
      </c>
      <c r="D183" s="175">
        <v>59088.48810479297</v>
      </c>
    </row>
    <row r="184" spans="1:4" ht="12.75">
      <c r="A184" s="208" t="s">
        <v>263</v>
      </c>
      <c r="B184" s="212" t="s">
        <v>162</v>
      </c>
      <c r="C184" s="171">
        <v>126391.1576848308</v>
      </c>
      <c r="D184" s="175">
        <v>70652.65714582043</v>
      </c>
    </row>
    <row r="185" spans="1:4" ht="12.75">
      <c r="A185" s="208" t="s">
        <v>264</v>
      </c>
      <c r="B185" s="212" t="s">
        <v>162</v>
      </c>
      <c r="C185" s="171">
        <v>269572.4721867344</v>
      </c>
      <c r="D185" s="175">
        <v>171987.2372551365</v>
      </c>
    </row>
    <row r="186" spans="1:4" ht="12.75">
      <c r="A186" s="208" t="s">
        <v>170</v>
      </c>
      <c r="B186" s="212" t="s">
        <v>162</v>
      </c>
      <c r="C186" s="171">
        <v>30149927.101045463</v>
      </c>
      <c r="D186" s="175">
        <v>5818935.930501775</v>
      </c>
    </row>
    <row r="187" spans="1:4" ht="12.75">
      <c r="A187" s="208" t="s">
        <v>276</v>
      </c>
      <c r="B187" s="212" t="s">
        <v>190</v>
      </c>
      <c r="C187" s="171">
        <v>2801011.9700118545</v>
      </c>
      <c r="D187" s="175">
        <v>1044777.4648144218</v>
      </c>
    </row>
    <row r="188" spans="1:4" ht="12.75">
      <c r="A188" s="208" t="s">
        <v>277</v>
      </c>
      <c r="B188" s="212" t="s">
        <v>190</v>
      </c>
      <c r="C188" s="171">
        <v>173453.988930829</v>
      </c>
      <c r="D188" s="175">
        <v>48740.570889562965</v>
      </c>
    </row>
    <row r="189" spans="1:4" ht="12.75">
      <c r="A189" s="208" t="s">
        <v>278</v>
      </c>
      <c r="B189" s="212" t="s">
        <v>190</v>
      </c>
      <c r="C189" s="171">
        <v>1256770.0004974941</v>
      </c>
      <c r="D189" s="175">
        <v>408450.2501616856</v>
      </c>
    </row>
    <row r="190" spans="1:4" ht="12.75">
      <c r="A190" s="208" t="s">
        <v>279</v>
      </c>
      <c r="B190" s="212" t="s">
        <v>190</v>
      </c>
      <c r="C190" s="171">
        <v>5441137.893430857</v>
      </c>
      <c r="D190" s="175">
        <v>1762928.677471598</v>
      </c>
    </row>
    <row r="191" spans="1:4" ht="12.75">
      <c r="A191" s="208" t="s">
        <v>280</v>
      </c>
      <c r="B191" s="212" t="s">
        <v>190</v>
      </c>
      <c r="C191" s="171">
        <v>358997.95634668175</v>
      </c>
      <c r="D191" s="175">
        <v>89390.49113032376</v>
      </c>
    </row>
    <row r="192" spans="1:4" ht="12.75">
      <c r="A192" s="208" t="s">
        <v>281</v>
      </c>
      <c r="B192" s="212" t="s">
        <v>190</v>
      </c>
      <c r="C192" s="171">
        <v>10622446.083137823</v>
      </c>
      <c r="D192" s="175">
        <v>3006152.2415280035</v>
      </c>
    </row>
    <row r="193" spans="1:4" ht="12.75">
      <c r="A193" s="208" t="s">
        <v>282</v>
      </c>
      <c r="B193" s="212" t="s">
        <v>190</v>
      </c>
      <c r="C193" s="171">
        <v>2506327.9711750373</v>
      </c>
      <c r="D193" s="175">
        <v>641619.9606208097</v>
      </c>
    </row>
    <row r="194" spans="1:4" ht="12.75">
      <c r="A194" s="208" t="s">
        <v>283</v>
      </c>
      <c r="B194" s="212" t="s">
        <v>190</v>
      </c>
      <c r="C194" s="171">
        <v>0</v>
      </c>
      <c r="D194" s="175">
        <v>0</v>
      </c>
    </row>
    <row r="195" spans="1:4" ht="12.75">
      <c r="A195" s="208" t="s">
        <v>284</v>
      </c>
      <c r="B195" s="212" t="s">
        <v>190</v>
      </c>
      <c r="C195" s="171">
        <v>17357079.178706404</v>
      </c>
      <c r="D195" s="175">
        <v>3922699.8943876475</v>
      </c>
    </row>
    <row r="196" spans="1:4" ht="12.75">
      <c r="A196" s="208" t="s">
        <v>285</v>
      </c>
      <c r="B196" s="212" t="s">
        <v>190</v>
      </c>
      <c r="C196" s="171">
        <v>21894428.957208406</v>
      </c>
      <c r="D196" s="175">
        <v>3568791.9200249705</v>
      </c>
    </row>
    <row r="197" spans="1:4" ht="12.75">
      <c r="A197" s="208" t="s">
        <v>286</v>
      </c>
      <c r="B197" s="212" t="s">
        <v>190</v>
      </c>
      <c r="C197" s="171">
        <v>279.999964716417</v>
      </c>
      <c r="D197" s="175">
        <v>36.67999537785063</v>
      </c>
    </row>
    <row r="198" spans="1:4" ht="12.75">
      <c r="A198" s="208" t="s">
        <v>287</v>
      </c>
      <c r="B198" s="212" t="s">
        <v>190</v>
      </c>
      <c r="C198" s="171">
        <v>306967.0005898947</v>
      </c>
      <c r="D198" s="175">
        <v>34380.30406606821</v>
      </c>
    </row>
    <row r="199" spans="1:4" ht="12.75">
      <c r="A199" s="240" t="s">
        <v>317</v>
      </c>
      <c r="B199" s="241" t="s">
        <v>190</v>
      </c>
      <c r="C199" s="171">
        <v>0</v>
      </c>
      <c r="D199" s="175">
        <v>0</v>
      </c>
    </row>
    <row r="200" spans="1:4" ht="12.75">
      <c r="A200" s="208" t="s">
        <v>300</v>
      </c>
      <c r="B200" s="212" t="s">
        <v>301</v>
      </c>
      <c r="C200" s="171">
        <v>58929945.91556506</v>
      </c>
      <c r="D200" s="175">
        <v>-4360815.997751813</v>
      </c>
    </row>
    <row r="201" spans="1:4" ht="12.75">
      <c r="A201" s="208" t="s">
        <v>318</v>
      </c>
      <c r="B201" s="212" t="s">
        <v>301</v>
      </c>
      <c r="C201" s="171">
        <v>138366.99784275505</v>
      </c>
      <c r="D201" s="175">
        <v>-2490.605961169591</v>
      </c>
    </row>
    <row r="202" spans="1:4" ht="12.75">
      <c r="A202" s="208" t="s">
        <v>303</v>
      </c>
      <c r="B202" s="212" t="s">
        <v>301</v>
      </c>
      <c r="C202" s="171">
        <v>18221429.019939423</v>
      </c>
      <c r="D202" s="175">
        <v>-145771.43215951536</v>
      </c>
    </row>
    <row r="203" spans="1:4" ht="12.75">
      <c r="A203" s="242" t="s">
        <v>319</v>
      </c>
      <c r="B203" s="212" t="s">
        <v>301</v>
      </c>
      <c r="C203" s="243">
        <v>4916599.962666499</v>
      </c>
      <c r="D203" s="244">
        <v>-9833.199925332998</v>
      </c>
    </row>
    <row r="204" spans="1:4" ht="12.75">
      <c r="A204" s="242" t="s">
        <v>320</v>
      </c>
      <c r="B204" s="212" t="s">
        <v>301</v>
      </c>
      <c r="C204" s="243">
        <v>22840652.98118499</v>
      </c>
      <c r="D204" s="244">
        <v>-342609.79471777484</v>
      </c>
    </row>
    <row r="205" spans="1:4" ht="12.75">
      <c r="A205" s="242" t="s">
        <v>321</v>
      </c>
      <c r="B205" s="212" t="s">
        <v>301</v>
      </c>
      <c r="C205" s="243">
        <v>10784835.963584019</v>
      </c>
      <c r="D205" s="244">
        <v>-53924.1798179201</v>
      </c>
    </row>
    <row r="206" spans="1:4" ht="12.75">
      <c r="A206" s="186" t="s">
        <v>249</v>
      </c>
      <c r="B206" s="170" t="s">
        <v>203</v>
      </c>
      <c r="C206" s="171">
        <v>0</v>
      </c>
      <c r="D206" s="223">
        <v>0</v>
      </c>
    </row>
    <row r="207" spans="1:4" ht="12.75">
      <c r="A207" s="186" t="s">
        <v>250</v>
      </c>
      <c r="B207" s="170" t="s">
        <v>203</v>
      </c>
      <c r="C207" s="171">
        <v>0</v>
      </c>
      <c r="D207" s="223">
        <v>0</v>
      </c>
    </row>
    <row r="208" spans="1:4" ht="13.5" thickBot="1">
      <c r="A208" s="245" t="s">
        <v>322</v>
      </c>
      <c r="B208" s="246" t="s">
        <v>301</v>
      </c>
      <c r="C208" s="243">
        <v>0</v>
      </c>
      <c r="D208" s="244">
        <v>0</v>
      </c>
    </row>
    <row r="209" spans="1:7" ht="12.75">
      <c r="A209" s="184" t="s">
        <v>235</v>
      </c>
      <c r="B209" s="166"/>
      <c r="C209" s="247">
        <f>SUM(C187:C199)</f>
        <v>62718901</v>
      </c>
      <c r="D209" s="185">
        <f>SUM(D176:D208)</f>
        <v>16575169.524848603</v>
      </c>
      <c r="E209" s="189"/>
      <c r="F209" s="74"/>
      <c r="G209" s="74"/>
    </row>
    <row r="210" spans="1:7" ht="12.75">
      <c r="A210" s="169" t="s">
        <v>236</v>
      </c>
      <c r="B210" s="171"/>
      <c r="C210" s="248">
        <f>SUM(C176:C186)</f>
        <v>33654134.35676905</v>
      </c>
      <c r="D210" s="249">
        <f>SUM(D176:D186)</f>
        <v>6962646.28009166</v>
      </c>
      <c r="E210" s="189"/>
      <c r="F210" s="74"/>
      <c r="G210" s="74"/>
    </row>
    <row r="211" spans="1:7" ht="12.75">
      <c r="A211" s="186" t="s">
        <v>311</v>
      </c>
      <c r="B211" s="171"/>
      <c r="C211" s="225"/>
      <c r="D211" s="175">
        <v>-782296.9606000001</v>
      </c>
      <c r="E211" s="189"/>
      <c r="F211" s="74"/>
      <c r="G211" s="74"/>
    </row>
    <row r="212" spans="1:7" ht="12.75">
      <c r="A212" s="186" t="s">
        <v>312</v>
      </c>
      <c r="B212" s="171"/>
      <c r="C212" s="171"/>
      <c r="D212" s="175">
        <f>D209+D211</f>
        <v>15792872.564248603</v>
      </c>
      <c r="F212" s="74"/>
      <c r="G212" s="74"/>
    </row>
    <row r="213" spans="1:7" ht="12.75">
      <c r="A213" s="186" t="s">
        <v>313</v>
      </c>
      <c r="B213" s="225"/>
      <c r="C213" s="171">
        <v>126017</v>
      </c>
      <c r="D213" s="223">
        <v>16128.184000000001</v>
      </c>
      <c r="F213" s="74"/>
      <c r="G213" s="74"/>
    </row>
    <row r="214" spans="1:7" ht="12.75">
      <c r="A214" s="186" t="s">
        <v>238</v>
      </c>
      <c r="B214" s="171"/>
      <c r="C214" s="171"/>
      <c r="D214" s="175">
        <f>D212+D213</f>
        <v>15809000.748248603</v>
      </c>
      <c r="F214" s="74"/>
      <c r="G214" s="74"/>
    </row>
    <row r="215" spans="1:7" ht="12.75">
      <c r="A215" s="186" t="s">
        <v>240</v>
      </c>
      <c r="B215" s="171"/>
      <c r="C215" s="171"/>
      <c r="D215" s="227">
        <v>15821084</v>
      </c>
      <c r="F215" s="74"/>
      <c r="G215" s="74"/>
    </row>
    <row r="216" spans="1:7" ht="12.75">
      <c r="A216" s="228" t="s">
        <v>241</v>
      </c>
      <c r="B216" s="229"/>
      <c r="C216" s="250"/>
      <c r="D216" s="235">
        <f>D215/D214</f>
        <v>1.0007643273565368</v>
      </c>
      <c r="F216" s="74"/>
      <c r="G216" s="74"/>
    </row>
    <row r="217" spans="1:7" ht="12.75">
      <c r="A217" s="228" t="s">
        <v>314</v>
      </c>
      <c r="B217" s="231"/>
      <c r="C217" s="251">
        <v>0.9395883055343246</v>
      </c>
      <c r="D217" s="232"/>
      <c r="F217" s="252"/>
      <c r="G217" s="72"/>
    </row>
    <row r="218" spans="1:7" ht="12.75">
      <c r="A218" s="233" t="s">
        <v>242</v>
      </c>
      <c r="B218" s="234"/>
      <c r="C218" s="234"/>
      <c r="D218" s="253">
        <f>D210/D209</f>
        <v>0.4200648608542818</v>
      </c>
      <c r="F218" s="254"/>
      <c r="G218" s="255"/>
    </row>
    <row r="219" spans="1:7" ht="13.5" thickBot="1">
      <c r="A219" s="236" t="s">
        <v>315</v>
      </c>
      <c r="B219" s="191"/>
      <c r="C219" s="191"/>
      <c r="D219" s="192">
        <f>D212/C209</f>
        <v>0.25180403853454963</v>
      </c>
      <c r="F219" s="256"/>
      <c r="G219" s="254"/>
    </row>
    <row r="220" spans="1:4" ht="12.75">
      <c r="A220" s="257" t="s">
        <v>323</v>
      </c>
      <c r="B220" s="258"/>
      <c r="C220" s="258"/>
      <c r="D220" s="258"/>
    </row>
    <row r="221" spans="1:4" ht="12.75">
      <c r="A221" s="259"/>
      <c r="B221" s="259"/>
      <c r="C221" s="259"/>
      <c r="D221" s="259"/>
    </row>
  </sheetData>
  <printOptions horizontalCentered="1" verticalCentered="1"/>
  <pageMargins left="0.17" right="0.17" top="0.17" bottom="0.17" header="0.17" footer="0.5"/>
  <pageSetup horizontalDpi="600" verticalDpi="600" orientation="portrait" scale="65" r:id="rId1"/>
  <headerFooter alignWithMargins="0">
    <oddHeader>&amp;R&amp;8USPS-LR-L-126
Outside County
Worksheet &amp;A
</oddHeader>
    <oddFooter>&amp;R&amp;8Page &amp;P of &amp;N</oddFooter>
  </headerFooter>
  <rowBreaks count="2" manualBreakCount="2">
    <brk id="93" max="3" man="1"/>
    <brk id="170" max="3" man="1"/>
  </rowBreaks>
  <ignoredErrors>
    <ignoredError sqref="C159:C160 C209:C210 D210 D1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G. Yacobucci and Peter M. Kiesel</dc:creator>
  <cp:keywords/>
  <dc:description>This is a modification of David G. Yacobucci's R2000-1 Flats Cost Model.  It modifies the bundle breakage rate to reflect the difference in bundle breakage rates between sacks and palettes.  The modifications were made by Peter M. Kiesel.</dc:description>
  <cp:lastModifiedBy> </cp:lastModifiedBy>
  <cp:lastPrinted>2006-09-04T19:22:00Z</cp:lastPrinted>
  <dcterms:created xsi:type="dcterms:W3CDTF">1999-01-15T19:28:44Z</dcterms:created>
  <dcterms:modified xsi:type="dcterms:W3CDTF">2006-10-19T07:58:25Z</dcterms:modified>
  <cp:category/>
  <cp:version/>
  <cp:contentType/>
  <cp:contentStatus/>
</cp:coreProperties>
</file>