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65" windowHeight="12360" activeTab="0"/>
  </bookViews>
  <sheets>
    <sheet name="FY09_$3.67B_OldFormula" sheetId="1" r:id="rId1"/>
    <sheet name="FY09_$840M_NewFormula" sheetId="2" r:id="rId2"/>
    <sheet name="States_Territories" sheetId="3" r:id="rId3"/>
    <sheet name="Tribes" sheetId="4" r:id="rId4"/>
  </sheets>
  <externalReferences>
    <externalReference r:id="rId7"/>
  </externalReferences>
  <definedNames>
    <definedName name="_Fill" localSheetId="3" hidden="1">#REF!</definedName>
    <definedName name="_Fill" hidden="1">#REF!</definedName>
    <definedName name="Colorado_River_AZ" localSheetId="3">'Tribes'!$G$28</definedName>
    <definedName name="Colorado_River_AZ">'[1]Tribes'!$G$29</definedName>
    <definedName name="Colorado_River_CA" localSheetId="3">'Tribes'!$G$39</definedName>
    <definedName name="Colorado_River_CA">'[1]Tribes'!$G$40</definedName>
    <definedName name="Navajo_AZ" localSheetId="3">'Tribes'!$G$31</definedName>
    <definedName name="Navajo_AZ">'[1]Tribes'!$G$32</definedName>
    <definedName name="Navajo_NM" localSheetId="3">'Tribes'!$G$99</definedName>
    <definedName name="Navajo_NM">'[1]Tribes'!$G$100</definedName>
    <definedName name="Navajo_UT" localSheetId="3">'Tribes'!$G$165</definedName>
    <definedName name="Navajo_UT">'[1]Tribes'!$G$166</definedName>
    <definedName name="NCIDC_AZ" localSheetId="3">'Tribes'!$G$30</definedName>
    <definedName name="NCIDC_AZ">'[1]Tribes'!$G$31</definedName>
    <definedName name="NCIDC_CA" localSheetId="3">'Tribes'!$G$46</definedName>
    <definedName name="NCIDC_CA">'[1]Tribes'!$G$47</definedName>
    <definedName name="Poarch_AL" localSheetId="3">'Tribes'!$G$15</definedName>
    <definedName name="Poarch_AL">'[1]Tribes'!$G$15</definedName>
    <definedName name="Poarch_FL" localSheetId="3">'Tribes'!$G$61</definedName>
    <definedName name="Poarch_FL">'[1]Tribes'!$G$62</definedName>
    <definedName name="Pokagon_IA" localSheetId="3">'Tribes'!$G$67</definedName>
    <definedName name="Pokagon_IA">'[1]Tribes'!$G$68</definedName>
    <definedName name="Pokagon_MI" localSheetId="3">'Tribes'!$G$83</definedName>
    <definedName name="Pokagon_MI">'[1]Tribes'!$G$84</definedName>
    <definedName name="_xlnm.Print_Area" localSheetId="0">'FY09_$3.67B_OldFormula'!$A$1:$C$84</definedName>
    <definedName name="_xlnm.Print_Area" localSheetId="1">'FY09_$840M_NewFormula'!$A$1:$P$60,'FY09_$840M_NewFormula'!$A$61:$E$82</definedName>
    <definedName name="Print_Area_MI" localSheetId="0">'FY09_$3.67B_OldFormula'!$A$7:$N$82</definedName>
    <definedName name="Print_Area_MI" localSheetId="1">'FY09_$840M_NewFormula'!$A$5:$N$80</definedName>
    <definedName name="PRINT_AREA_MI" localSheetId="3">#REF!</definedName>
    <definedName name="PRINT_AREA_MI">#REF!</definedName>
    <definedName name="_xlnm.Print_Titles" localSheetId="0">'FY09_$3.67B_OldFormula'!$A:$A,'FY09_$3.67B_OldFormula'!$1:$9</definedName>
    <definedName name="_xlnm.Print_Titles" localSheetId="1">'FY09_$840M_NewFormula'!$A:$A</definedName>
    <definedName name="_xlnm.Print_Titles" localSheetId="2">'States_Territories'!$A:$A,'States_Territories'!$1:$2</definedName>
    <definedName name="_xlnm.Print_Titles" localSheetId="3">'Tribes'!$1:$10</definedName>
    <definedName name="Quechan_AZ" localSheetId="3">'Tribes'!$G$33</definedName>
    <definedName name="Quechan_AZ">'[1]Tribes'!$G$34</definedName>
    <definedName name="Quechan_CA" localSheetId="3">'Tribes'!$G$50</definedName>
    <definedName name="Quechan_CA">'[1]Tribes'!$G$51</definedName>
    <definedName name="solver_adj" localSheetId="0" hidden="1">'FY09_$3.67B_OldFormula'!$C$3</definedName>
    <definedName name="solver_adj" localSheetId="1" hidden="1">'FY09_$840M_NewFormula'!$C$3</definedName>
    <definedName name="solver_cvg" localSheetId="0" hidden="1">0.0000001</definedName>
    <definedName name="solver_cvg" localSheetId="1" hidden="1">0.0000001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'FY09_$3.67B_OldFormula'!$B$73</definedName>
    <definedName name="solver_lhs1" localSheetId="1" hidden="1">'FY09_$840M_NewFormula'!$E$71</definedName>
    <definedName name="solver_lhs2" localSheetId="0" hidden="1">'FY09_$3.67B_OldFormula'!$E$83</definedName>
    <definedName name="solver_lhs2" localSheetId="1" hidden="1">'FY09_$840M_NewFormula'!$E$81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'FY09_$3.67B_OldFormula'!$E$2</definedName>
    <definedName name="solver_opt" localSheetId="1" hidden="1">'FY09_$840M_NewFormula'!$E$2</definedName>
    <definedName name="solver_pre" localSheetId="0" hidden="1">0.000000001</definedName>
    <definedName name="solver_pre" localSheetId="1" hidden="1">0.000000001</definedName>
    <definedName name="solver_rel1" localSheetId="0" hidden="1">2</definedName>
    <definedName name="solver_rel1" localSheetId="1" hidden="1">2</definedName>
    <definedName name="solver_rel2" localSheetId="0" hidden="1">3</definedName>
    <definedName name="solver_rel2" localSheetId="1" hidden="1">3</definedName>
    <definedName name="solver_rhs1" localSheetId="0" hidden="1">'FY09_$3.67B_OldFormula'!$F$63</definedName>
    <definedName name="solver_rhs1" localSheetId="1" hidden="1">'FY09_$840M_NewFormula'!$F$60</definedName>
    <definedName name="solver_rhs2" localSheetId="0" hidden="1">0</definedName>
    <definedName name="solver_rhs2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0.001</definedName>
    <definedName name="solver_tol" localSheetId="1" hidden="1">0.001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tanding_Rock_ND" localSheetId="3">'Tribes'!$G$111</definedName>
    <definedName name="Standing_Rock_ND">'[1]Tribes'!$G$112</definedName>
    <definedName name="Standing_Rock_SD" localSheetId="3">'Tribes'!$G$162</definedName>
    <definedName name="Standing_Rock_SD">'[1]Tribes'!$G$163</definedName>
    <definedName name="United_Tribes_KS" localSheetId="3">'Tribes'!$G$69</definedName>
    <definedName name="United_Tribes_KS">'[1]Tribes'!$G$70</definedName>
    <definedName name="United_Tribes_NE" localSheetId="3">'Tribes'!$G$95</definedName>
    <definedName name="United_Tribes_NE">'[1]Tribes'!$G$96</definedName>
  </definedNames>
  <calcPr fullCalcOnLoad="1"/>
</workbook>
</file>

<file path=xl/sharedStrings.xml><?xml version="1.0" encoding="utf-8"?>
<sst xmlns="http://schemas.openxmlformats.org/spreadsheetml/2006/main" count="633" uniqueCount="297">
  <si>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</si>
  <si>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</si>
  <si>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</si>
  <si>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</si>
  <si>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</si>
  <si>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</si>
  <si>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</si>
  <si>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</si>
  <si>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</si>
  <si>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</si>
  <si>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</si>
  <si>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</si>
  <si>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</si>
  <si>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</si>
  <si>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</si>
  <si>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</si>
  <si>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</si>
  <si>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</si>
  <si>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</si>
  <si>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</si>
  <si>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</si>
  <si>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</si>
  <si>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</si>
  <si>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</si>
  <si>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</si>
  <si>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</si>
  <si>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</si>
  <si>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</si>
  <si>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</si>
  <si>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</si>
  <si>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</si>
  <si>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</si>
  <si>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</si>
  <si>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</si>
  <si>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</si>
  <si>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</si>
  <si>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</si>
  <si>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</si>
  <si>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</si>
  <si>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</si>
  <si>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</si>
  <si>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</si>
  <si>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</si>
  <si>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</si>
  <si>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</si>
  <si>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</si>
  <si>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</si>
  <si>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</si>
  <si>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</si>
  <si>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</si>
  <si>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</si>
  <si>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</si>
  <si>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</si>
  <si>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American Samoa</t>
  </si>
  <si>
    <t>Guam</t>
  </si>
  <si>
    <t>Northern Marianas</t>
  </si>
  <si>
    <t>Puerto Rico</t>
  </si>
  <si>
    <t>Virgin Islands</t>
  </si>
  <si>
    <t>CAP/Floor + or -</t>
  </si>
  <si>
    <t>Ceiling Ratio</t>
  </si>
  <si>
    <t>old percents</t>
  </si>
  <si>
    <t>floor</t>
  </si>
  <si>
    <t>ceiling</t>
  </si>
  <si>
    <t>new percents</t>
  </si>
  <si>
    <t>new % amounts</t>
  </si>
  <si>
    <t>Floor Amount 1</t>
  </si>
  <si>
    <t>Floor Amount 2</t>
  </si>
  <si>
    <t>new % amount</t>
  </si>
  <si>
    <t xml:space="preserve"> </t>
  </si>
  <si>
    <t>FY 1984 Percents</t>
  </si>
  <si>
    <t>FY 1984 Allocations At $1.975B</t>
  </si>
  <si>
    <t>State Share at Appropriation of $2.14B</t>
  </si>
  <si>
    <t>State Share at Appropriation of $2.25B</t>
  </si>
  <si>
    <t>States Being Capped to  Fund Floor</t>
  </si>
  <si>
    <t>States at Floor Amounts</t>
  </si>
  <si>
    <t>States at $2.14 B  Amounts</t>
  </si>
  <si>
    <t>States Getting Their % of Home Energy $</t>
  </si>
  <si>
    <t xml:space="preserve">            </t>
  </si>
  <si>
    <t>Figures for $1.975B Hold Harmless Provision</t>
  </si>
  <si>
    <t>Appropriation</t>
  </si>
  <si>
    <t>Leveraging</t>
  </si>
  <si>
    <t xml:space="preserve">    Difference</t>
  </si>
  <si>
    <t>T&amp;TA</t>
  </si>
  <si>
    <t>Territory Allocation Ratio</t>
  </si>
  <si>
    <t>Territories</t>
  </si>
  <si>
    <t>Total to States</t>
  </si>
  <si>
    <t>Ratios by Territory</t>
  </si>
  <si>
    <t>Amount Appropriated under Old Formula</t>
  </si>
  <si>
    <t>2.14 B %</t>
  </si>
  <si>
    <t>2.25 B %</t>
  </si>
  <si>
    <t>2.14 B % amt</t>
  </si>
  <si>
    <t>2.14 B PCT X Allocation FOR &lt; 1%</t>
  </si>
  <si>
    <t>Block Grant Allocations from Appropriation</t>
  </si>
  <si>
    <t>Difference</t>
  </si>
  <si>
    <t>Territorial Allocations at $1.975B</t>
  </si>
  <si>
    <t>FY08 Territorial Allocations of $840M</t>
  </si>
  <si>
    <t>Col. B</t>
  </si>
  <si>
    <t>Block Grant Allocations of $840m</t>
  </si>
  <si>
    <t>FY 2009 Percents</t>
  </si>
  <si>
    <t>Amount Appropriated under New Formula Plus Amount Needed to Trigger New Formula</t>
  </si>
  <si>
    <t>Allocations at New-Formula Trigger</t>
  </si>
  <si>
    <r>
      <t xml:space="preserve">(I) </t>
    </r>
    <r>
      <rPr>
        <i/>
        <u val="single"/>
        <sz val="10"/>
        <rFont val="Arial"/>
        <family val="2"/>
      </rPr>
      <t>ceiling amt</t>
    </r>
  </si>
  <si>
    <t>Tribal Set-Asides</t>
  </si>
  <si>
    <t>Territory</t>
  </si>
  <si>
    <t xml:space="preserve"> Net State Allocations</t>
  </si>
  <si>
    <t>Amt. Appropriated under New Formula</t>
  </si>
  <si>
    <t>State and Territorial Allocations of Low Income Home Energy Assistance Program (LIHEAP) Regular Block Grant Funds from the FY 2009 Appropriation of $4.5 Billion</t>
  </si>
  <si>
    <t>Total Amount Appropriated</t>
  </si>
  <si>
    <t>Total Territorial Block Grant Allocations</t>
  </si>
  <si>
    <t>Total Gross State Block Grant Allocations</t>
  </si>
  <si>
    <t>Block Grant Allocations under New Formula</t>
  </si>
  <si>
    <t>Block Grant Allocations under Old Formula Percentages</t>
  </si>
  <si>
    <t>Block Grant Allocations to Territories under Old Formula Percentages</t>
  </si>
  <si>
    <t>Block Grant Appropriation</t>
  </si>
  <si>
    <t>State and Territorial Allocations of $840 Million in Low Income Home Energy Assistance Program (LIHEAP) Regular Block Grant Funds under the New Formula</t>
  </si>
  <si>
    <t>Tribal Allocations of Low Income Home Energy Assistance Program (LIHEAP) Regular Block Grant Funds from the FY 2009 Appropriation of $4.5 Billion</t>
  </si>
  <si>
    <t>Appropriation Amount</t>
  </si>
  <si>
    <t>Regular Block Grant Funds Only</t>
  </si>
  <si>
    <t>Tribal Allocations and State Allocations Net of Tribal Set-asides</t>
  </si>
  <si>
    <t>SOURCE FOR Allocation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</si>
  <si>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</si>
  <si>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</si>
  <si>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</si>
  <si>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</si>
  <si>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Allocation</t>
  </si>
  <si>
    <t xml:space="preserve">  Household Number </t>
  </si>
  <si>
    <t xml:space="preserve">      $=Dollar Amount</t>
  </si>
  <si>
    <t>TRIBES</t>
  </si>
  <si>
    <t>STATE HHLD #</t>
  </si>
  <si>
    <t>TRIBAL HHLD #</t>
  </si>
  <si>
    <t>SOURCE</t>
  </si>
  <si>
    <t>STATE GROSS ALLOCATION</t>
  </si>
  <si>
    <t>PERCENTAGE OF STATE SHARE</t>
  </si>
  <si>
    <t>TRIBAL GRANT AMOUNT</t>
  </si>
  <si>
    <t>STATE TRIBAL SET-ASIDE</t>
  </si>
  <si>
    <t>STATE NET ALLOCATION</t>
  </si>
  <si>
    <t>TRIBAL % OF STATE GROSS ALLOCATION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</si>
  <si>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</si>
  <si>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</si>
  <si>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</si>
  <si>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</si>
  <si>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</si>
  <si>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</si>
  <si>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</si>
  <si>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</si>
  <si>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</si>
  <si>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</si>
  <si>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</si>
  <si>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</si>
  <si>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</si>
  <si>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Yakutat Tlingit Tribe </t>
  </si>
  <si>
    <t xml:space="preserve">  Cocopah Tribe</t>
  </si>
  <si>
    <t xml:space="preserve">  Colorado River Indian Tribes</t>
  </si>
  <si>
    <t xml:space="preserve">  Gila River Pima-Maricopa Community</t>
  </si>
  <si>
    <t xml:space="preserve">  N. Cal. Ind. Devel. Council, Inc.(NCIDC) (Calif.)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</si>
  <si>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</si>
  <si>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</si>
  <si>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</si>
  <si>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</si>
  <si>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</si>
  <si>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</si>
  <si>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Bishop Paiute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</si>
  <si>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</si>
  <si>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</si>
  <si>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</si>
  <si>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</si>
  <si>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</si>
  <si>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</si>
  <si>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</si>
  <si>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</si>
  <si>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</si>
  <si>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</si>
  <si>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</si>
  <si>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</si>
  <si>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</si>
  <si>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</si>
  <si>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</si>
  <si>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</si>
  <si>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</si>
  <si>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</si>
  <si>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</si>
  <si>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</si>
  <si>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</si>
  <si>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Poarch Band of Creek Indians (Ala.)</t>
  </si>
  <si>
    <t xml:space="preserve">  Coeur d'Alene Tribe</t>
  </si>
  <si>
    <t xml:space="preserve">  Nez Perce Tribe</t>
  </si>
  <si>
    <t xml:space="preserve">  Shoshone-Bannock Tribes (Fort Hall) </t>
  </si>
  <si>
    <t xml:space="preserve">  Pokagon Band (Mich.)</t>
  </si>
  <si>
    <t>A/$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</si>
  <si>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</si>
  <si>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</si>
  <si>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</si>
  <si>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</si>
  <si>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</si>
  <si>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</si>
  <si>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</si>
  <si>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</si>
  <si>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</si>
  <si>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</si>
  <si>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</si>
  <si>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</si>
  <si>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</si>
  <si>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</si>
  <si>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>C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</si>
  <si>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</si>
  <si>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</si>
  <si>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</si>
  <si>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</si>
  <si>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</si>
  <si>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</si>
  <si>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</si>
  <si>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</si>
  <si>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</si>
  <si>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</si>
  <si>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</si>
  <si>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Laguna</t>
  </si>
  <si>
    <t xml:space="preserve">  Pueblo of Nambe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</si>
  <si>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</si>
  <si>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</si>
  <si>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</si>
  <si>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</si>
  <si>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</si>
  <si>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</si>
  <si>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</si>
  <si>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</si>
  <si>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</si>
  <si>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</si>
  <si>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</si>
  <si>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</si>
  <si>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</si>
  <si>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</si>
  <si>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</si>
  <si>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</si>
  <si>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</si>
  <si>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</si>
  <si>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</si>
  <si>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</si>
  <si>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Kialegee Tribal Town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</si>
  <si>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</si>
  <si>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</si>
  <si>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</si>
  <si>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</si>
  <si>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</si>
  <si>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</si>
  <si>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</si>
  <si>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</si>
  <si>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</si>
  <si>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</si>
  <si>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</si>
  <si>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</si>
  <si>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</si>
  <si>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</si>
  <si>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</si>
  <si>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</si>
  <si>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</si>
  <si>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</si>
  <si>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Wyandotte Nation</t>
  </si>
  <si>
    <t xml:space="preserve">  Conf. Tribe of Coos-Lower Umpqua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</si>
  <si>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</si>
  <si>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</si>
  <si>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</si>
  <si>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</si>
  <si>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</si>
  <si>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</si>
  <si>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</si>
  <si>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</si>
  <si>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</si>
  <si>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</si>
  <si>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</si>
  <si>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</si>
  <si>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</si>
  <si>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</si>
  <si>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</si>
  <si>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</si>
  <si>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</si>
  <si>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</si>
  <si>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</si>
  <si>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</si>
  <si>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</si>
  <si>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</si>
  <si>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</si>
  <si>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</si>
  <si>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</si>
  <si>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</si>
  <si>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</si>
  <si>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</si>
  <si>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</si>
  <si>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</si>
  <si>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</si>
  <si>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</si>
  <si>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Tribe</t>
  </si>
  <si>
    <t xml:space="preserve">  Swinomish Indians</t>
  </si>
  <si>
    <t xml:space="preserve">  Tulalip Tribe</t>
  </si>
  <si>
    <t xml:space="preserve">  Yakama Indian Nation</t>
  </si>
  <si>
    <t xml:space="preserve">  Northern Arapaho Nation</t>
  </si>
  <si>
    <t xml:space="preserve"> TOTALS FOR STATES WITH TRIBES FUNDED DIRECTLY BY HHS</t>
  </si>
  <si>
    <t>ATTACHMENT 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</si>
</sst>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0.00000000_)"/>
    <numFmt numFmtId="167" formatCode="0.00000000"/>
    <numFmt numFmtId="168" formatCode="0.000000%"/>
    <numFmt numFmtId="169" formatCode="&quot;$&quot;#,##0.00000000"/>
    <numFmt numFmtId="170" formatCode="#,##0.00000000_);\(#,##0.00000000\)"/>
    <numFmt numFmtId="171" formatCode="0_)"/>
    <numFmt numFmtId="172" formatCode="0.000000000"/>
    <numFmt numFmtId="173" formatCode="#,##0.000000000000000"/>
    <numFmt numFmtId="174" formatCode="&quot;$&quot;#,##0.0_);\(&quot;$&quot;#,##0.0\)"/>
    <numFmt numFmtId="175" formatCode="&quot;$&quot;#,##0.00000000_);\(&quot;$&quot;#,##0.00000000\)"/>
    <numFmt numFmtId="176" formatCode="0.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"/>
    <numFmt numFmtId="182" formatCode="0.000%"/>
    <numFmt numFmtId="183" formatCode="#,##0.0000000000"/>
    <numFmt numFmtId="184" formatCode="0.0%"/>
    <numFmt numFmtId="185" formatCode="&quot;$&quot;#,##0.000000000_);\(&quot;$&quot;#,##0.000000000\)"/>
    <numFmt numFmtId="186" formatCode="0.000_)"/>
    <numFmt numFmtId="187" formatCode="0.00_)"/>
    <numFmt numFmtId="188" formatCode="0.0000_)"/>
    <numFmt numFmtId="189" formatCode="0.00000_)"/>
    <numFmt numFmtId="190" formatCode="&quot;$&quot;#,##0.000_);\(&quot;$&quot;#,##0.000\)"/>
    <numFmt numFmtId="191" formatCode="00000"/>
    <numFmt numFmtId="192" formatCode="dd\-mmm\-yy"/>
    <numFmt numFmtId="193" formatCode="dd\-mmm\-yy_)"/>
    <numFmt numFmtId="194" formatCode="General_)"/>
    <numFmt numFmtId="195" formatCode="_(* #,##0.0_);_(* \(#,##0.0\);_(* &quot;-&quot;??_);_(@_)"/>
    <numFmt numFmtId="196" formatCode="_(* #,##0_);_(* \(#,##0\);_(* &quot;-&quot;??_);_(@_)"/>
    <numFmt numFmtId="197" formatCode="&quot;$&quot;#,##0.0000_);\(&quot;$&quot;#,##0.0000\)"/>
    <numFmt numFmtId="198" formatCode="#,##0.0_);\(#,##0.0\)"/>
    <numFmt numFmtId="199" formatCode="#,##0.000_);\(#,##0.000\)"/>
    <numFmt numFmtId="200" formatCode="#,##0.0000_);\(#,##0.0000\)"/>
    <numFmt numFmtId="201" formatCode="#,##0.00000_);\(#,##0.00000\)"/>
    <numFmt numFmtId="202" formatCode="#,##0.000000_);\(#,##0.000000\)"/>
    <numFmt numFmtId="203" formatCode="#,##0.0000000_);\(#,##0.000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.000_);_(* \(#,##0.000\);_(* &quot;-&quot;??_);_(@_)"/>
    <numFmt numFmtId="209" formatCode="&quot;$&quot;#,##0.000000_);\(&quot;$&quot;#,##0.000000\)"/>
    <numFmt numFmtId="210" formatCode="[$-409]dddd\,\ mmmm\ dd\,\ yyyy"/>
    <numFmt numFmtId="211" formatCode="[$-409]d\-mmm\-yy;@"/>
    <numFmt numFmtId="212" formatCode="0.00%;\(0.00%\);"/>
    <numFmt numFmtId="213" formatCode="0.000000%;\(0.000000%\);"/>
    <numFmt numFmtId="214" formatCode="d\-mmm\-yyyy"/>
  </numFmts>
  <fonts count="17">
    <font>
      <sz val="10"/>
      <name val="Times New Roman"/>
      <family val="0"/>
    </font>
    <font>
      <sz val="10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sz val="10"/>
      <name val="Courier"/>
      <family val="0"/>
    </font>
    <font>
      <sz val="8"/>
      <name val="Times New Roman"/>
      <family val="0"/>
    </font>
    <font>
      <b/>
      <sz val="10"/>
      <name val="Arial"/>
      <family val="2"/>
    </font>
    <font>
      <sz val="8"/>
      <name val="Courier"/>
      <family val="0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24" applyFont="1" applyFill="1" applyAlignment="1">
      <alignment horizontal="left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11" fontId="6" fillId="0" borderId="0" xfId="24" applyNumberFormat="1" applyFont="1" applyAlignment="1" quotePrefix="1">
      <alignment horizontal="right"/>
      <protection/>
    </xf>
    <xf numFmtId="0" fontId="1" fillId="0" borderId="0" xfId="24" applyFont="1" applyFill="1" applyAlignment="1" applyProtection="1">
      <alignment horizontal="center" vertical="top"/>
      <protection/>
    </xf>
    <xf numFmtId="0" fontId="1" fillId="0" borderId="0" xfId="24" applyFont="1" applyFill="1" applyAlignment="1" applyProtection="1">
      <alignment horizontal="left"/>
      <protection/>
    </xf>
    <xf numFmtId="5" fontId="1" fillId="0" borderId="0" xfId="0" applyNumberFormat="1" applyFont="1" applyAlignment="1">
      <alignment/>
    </xf>
    <xf numFmtId="0" fontId="1" fillId="0" borderId="1" xfId="24" applyFont="1" applyFill="1" applyBorder="1" applyAlignment="1" applyProtection="1">
      <alignment horizontal="center"/>
      <protection/>
    </xf>
    <xf numFmtId="5" fontId="1" fillId="0" borderId="1" xfId="0" applyNumberFormat="1" applyFont="1" applyBorder="1" applyAlignment="1">
      <alignment/>
    </xf>
    <xf numFmtId="37" fontId="1" fillId="0" borderId="0" xfId="26" applyNumberFormat="1" applyFont="1" applyBorder="1" applyAlignment="1" applyProtection="1">
      <alignment horizontal="left"/>
      <protection/>
    </xf>
    <xf numFmtId="5" fontId="6" fillId="0" borderId="0" xfId="0" applyNumberFormat="1" applyFont="1" applyAlignment="1">
      <alignment/>
    </xf>
    <xf numFmtId="5" fontId="6" fillId="0" borderId="1" xfId="0" applyNumberFormat="1" applyFont="1" applyBorder="1" applyAlignment="1">
      <alignment/>
    </xf>
    <xf numFmtId="0" fontId="6" fillId="0" borderId="0" xfId="24" applyFont="1" applyAlignment="1" quotePrefix="1">
      <alignment horizontal="right"/>
      <protection/>
    </xf>
    <xf numFmtId="5" fontId="6" fillId="0" borderId="0" xfId="26" applyNumberFormat="1" applyFont="1" applyBorder="1" applyAlignment="1" applyProtection="1">
      <alignment horizontal="center" wrapText="1"/>
      <protection/>
    </xf>
    <xf numFmtId="170" fontId="1" fillId="0" borderId="0" xfId="26" applyNumberFormat="1" applyFont="1" applyBorder="1" applyProtection="1">
      <alignment/>
      <protection/>
    </xf>
    <xf numFmtId="5" fontId="6" fillId="0" borderId="0" xfId="26" applyNumberFormat="1" applyFont="1" applyBorder="1" applyAlignment="1" applyProtection="1">
      <alignment horizontal="right"/>
      <protection/>
    </xf>
    <xf numFmtId="37" fontId="1" fillId="0" borderId="1" xfId="26" applyNumberFormat="1" applyFont="1" applyBorder="1" applyAlignment="1" applyProtection="1">
      <alignment horizontal="center"/>
      <protection/>
    </xf>
    <xf numFmtId="37" fontId="1" fillId="0" borderId="1" xfId="26" applyNumberFormat="1" applyFont="1" applyBorder="1" applyAlignment="1" applyProtection="1">
      <alignment horizontal="left"/>
      <protection/>
    </xf>
    <xf numFmtId="5" fontId="1" fillId="0" borderId="0" xfId="26" applyNumberFormat="1" applyFont="1" applyBorder="1" applyAlignment="1" applyProtection="1">
      <alignment horizontal="center" wrapText="1"/>
      <protection/>
    </xf>
    <xf numFmtId="5" fontId="1" fillId="0" borderId="0" xfId="26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24" applyFont="1" applyFill="1" applyAlignment="1">
      <alignment horizontal="left" wrapText="1" indent="2"/>
      <protection/>
    </xf>
    <xf numFmtId="0" fontId="6" fillId="0" borderId="0" xfId="24" applyFont="1" applyFill="1" applyAlignment="1">
      <alignment horizontal="left" wrapText="1"/>
      <protection/>
    </xf>
    <xf numFmtId="0" fontId="1" fillId="0" borderId="0" xfId="24" applyFont="1" applyFill="1">
      <alignment/>
      <protection/>
    </xf>
    <xf numFmtId="0" fontId="1" fillId="0" borderId="0" xfId="24" applyFont="1" applyFill="1" applyAlignment="1">
      <alignment wrapText="1"/>
      <protection/>
    </xf>
    <xf numFmtId="164" fontId="1" fillId="0" borderId="0" xfId="24" applyNumberFormat="1" applyFont="1" applyFill="1">
      <alignment/>
      <protection/>
    </xf>
    <xf numFmtId="0" fontId="6" fillId="0" borderId="0" xfId="24" applyFont="1" applyFill="1">
      <alignment/>
      <protection/>
    </xf>
    <xf numFmtId="0" fontId="1" fillId="0" borderId="0" xfId="24" applyFont="1" applyFill="1" applyAlignment="1">
      <alignment vertical="top"/>
      <protection/>
    </xf>
    <xf numFmtId="0" fontId="1" fillId="0" borderId="0" xfId="24" applyFont="1" applyFill="1" applyAlignment="1">
      <alignment vertical="top" wrapText="1"/>
      <protection/>
    </xf>
    <xf numFmtId="37" fontId="1" fillId="0" borderId="0" xfId="26" applyNumberFormat="1" applyFont="1" applyBorder="1" applyAlignment="1" applyProtection="1">
      <alignment horizontal="center"/>
      <protection/>
    </xf>
    <xf numFmtId="37" fontId="1" fillId="0" borderId="0" xfId="24" applyNumberFormat="1" applyFont="1" applyFill="1">
      <alignment/>
      <protection/>
    </xf>
    <xf numFmtId="164" fontId="1" fillId="0" borderId="0" xfId="24" applyNumberFormat="1" applyFont="1" applyFill="1" applyAlignment="1">
      <alignment horizontal="right"/>
      <protection/>
    </xf>
    <xf numFmtId="173" fontId="1" fillId="0" borderId="0" xfId="24" applyNumberFormat="1" applyFont="1" applyFill="1">
      <alignment/>
      <protection/>
    </xf>
    <xf numFmtId="1" fontId="1" fillId="0" borderId="0" xfId="24" applyNumberFormat="1" applyFont="1" applyFill="1">
      <alignment/>
      <protection/>
    </xf>
    <xf numFmtId="0" fontId="10" fillId="0" borderId="0" xfId="24" applyFont="1" applyFill="1" applyAlignment="1" applyProtection="1">
      <alignment horizontal="center" wrapText="1"/>
      <protection/>
    </xf>
    <xf numFmtId="0" fontId="8" fillId="0" borderId="0" xfId="24" applyFont="1" applyFill="1" applyAlignment="1">
      <alignment horizontal="center" wrapText="1"/>
      <protection/>
    </xf>
    <xf numFmtId="164" fontId="1" fillId="0" borderId="0" xfId="24" applyNumberFormat="1" applyFont="1" applyFill="1" applyAlignment="1" applyProtection="1">
      <alignment horizontal="center" wrapText="1"/>
      <protection/>
    </xf>
    <xf numFmtId="0" fontId="8" fillId="0" borderId="0" xfId="24" applyFont="1" applyFill="1" applyAlignment="1" applyProtection="1">
      <alignment horizontal="center" wrapText="1"/>
      <protection/>
    </xf>
    <xf numFmtId="0" fontId="9" fillId="0" borderId="0" xfId="24" applyFont="1" applyFill="1" applyAlignment="1" applyProtection="1">
      <alignment horizontal="center" wrapText="1"/>
      <protection/>
    </xf>
    <xf numFmtId="0" fontId="1" fillId="0" borderId="0" xfId="24" applyFont="1" applyFill="1" applyAlignment="1" applyProtection="1">
      <alignment horizontal="center" vertical="top" wrapText="1"/>
      <protection/>
    </xf>
    <xf numFmtId="10" fontId="1" fillId="0" borderId="0" xfId="24" applyNumberFormat="1" applyFont="1" applyFill="1" applyAlignment="1" applyProtection="1">
      <alignment horizontal="center" vertical="top" wrapText="1"/>
      <protection/>
    </xf>
    <xf numFmtId="164" fontId="1" fillId="0" borderId="0" xfId="24" applyNumberFormat="1" applyFont="1" applyFill="1" applyAlignment="1" applyProtection="1">
      <alignment horizontal="center" vertical="top" wrapText="1"/>
      <protection/>
    </xf>
    <xf numFmtId="5" fontId="1" fillId="0" borderId="0" xfId="24" applyNumberFormat="1" applyFont="1" applyFill="1" applyAlignment="1" applyProtection="1">
      <alignment horizontal="center" vertical="top" wrapText="1"/>
      <protection/>
    </xf>
    <xf numFmtId="5" fontId="6" fillId="0" borderId="0" xfId="24" applyNumberFormat="1" applyFont="1" applyFill="1" applyAlignment="1" applyProtection="1">
      <alignment horizontal="center" vertical="top" wrapText="1"/>
      <protection/>
    </xf>
    <xf numFmtId="0" fontId="1" fillId="0" borderId="0" xfId="24" applyFont="1" applyFill="1" applyAlignment="1">
      <alignment horizontal="left"/>
      <protection/>
    </xf>
    <xf numFmtId="164" fontId="1" fillId="0" borderId="0" xfId="24" applyNumberFormat="1" applyFont="1" applyFill="1" applyAlignment="1" applyProtection="1">
      <alignment horizontal="left"/>
      <protection/>
    </xf>
    <xf numFmtId="5" fontId="1" fillId="0" borderId="0" xfId="24" applyNumberFormat="1" applyFont="1" applyFill="1" applyAlignment="1" applyProtection="1">
      <alignment horizontal="left"/>
      <protection/>
    </xf>
    <xf numFmtId="166" fontId="1" fillId="0" borderId="0" xfId="24" applyNumberFormat="1" applyFont="1" applyFill="1" applyAlignment="1" applyProtection="1">
      <alignment horizontal="left"/>
      <protection/>
    </xf>
    <xf numFmtId="167" fontId="1" fillId="0" borderId="0" xfId="24" applyNumberFormat="1" applyFont="1" applyFill="1" applyAlignment="1" applyProtection="1">
      <alignment horizontal="left"/>
      <protection/>
    </xf>
    <xf numFmtId="165" fontId="1" fillId="0" borderId="0" xfId="24" applyNumberFormat="1" applyFont="1" applyFill="1" applyAlignment="1">
      <alignment horizontal="left"/>
      <protection/>
    </xf>
    <xf numFmtId="5" fontId="6" fillId="0" borderId="0" xfId="24" applyNumberFormat="1" applyFont="1" applyFill="1" applyAlignment="1">
      <alignment horizontal="left"/>
      <protection/>
    </xf>
    <xf numFmtId="164" fontId="1" fillId="0" borderId="0" xfId="24" applyNumberFormat="1" applyFont="1" applyFill="1" applyAlignment="1">
      <alignment horizontal="left"/>
      <protection/>
    </xf>
    <xf numFmtId="3" fontId="1" fillId="0" borderId="0" xfId="24" applyNumberFormat="1" applyFont="1" applyFill="1" applyAlignment="1">
      <alignment horizontal="left"/>
      <protection/>
    </xf>
    <xf numFmtId="3" fontId="1" fillId="0" borderId="0" xfId="24" applyNumberFormat="1" applyFont="1" applyFill="1" applyAlignment="1" applyProtection="1">
      <alignment horizontal="left"/>
      <protection/>
    </xf>
    <xf numFmtId="37" fontId="1" fillId="0" borderId="0" xfId="24" applyNumberFormat="1" applyFont="1" applyFill="1" applyAlignment="1" applyProtection="1">
      <alignment horizontal="left"/>
      <protection/>
    </xf>
    <xf numFmtId="171" fontId="1" fillId="0" borderId="0" xfId="24" applyNumberFormat="1" applyFont="1" applyFill="1" applyAlignment="1" applyProtection="1">
      <alignment horizontal="left"/>
      <protection/>
    </xf>
    <xf numFmtId="5" fontId="6" fillId="0" borderId="0" xfId="24" applyNumberFormat="1" applyFont="1" applyFill="1" applyAlignment="1" applyProtection="1">
      <alignment horizontal="left"/>
      <protection/>
    </xf>
    <xf numFmtId="5" fontId="1" fillId="0" borderId="0" xfId="24" applyNumberFormat="1" applyFont="1" applyFill="1">
      <alignment/>
      <protection/>
    </xf>
    <xf numFmtId="0" fontId="1" fillId="0" borderId="0" xfId="24" applyFont="1" applyFill="1" applyAlignment="1">
      <alignment horizontal="left" wrapText="1"/>
      <protection/>
    </xf>
    <xf numFmtId="164" fontId="1" fillId="0" borderId="0" xfId="24" applyNumberFormat="1" applyFont="1" applyFill="1" applyAlignment="1" quotePrefix="1">
      <alignment horizontal="left"/>
      <protection/>
    </xf>
    <xf numFmtId="169" fontId="1" fillId="0" borderId="0" xfId="24" applyNumberFormat="1" applyFont="1" applyFill="1" applyAlignment="1">
      <alignment horizontal="left"/>
      <protection/>
    </xf>
    <xf numFmtId="5" fontId="6" fillId="0" borderId="0" xfId="24" applyNumberFormat="1" applyFont="1" applyFill="1">
      <alignment/>
      <protection/>
    </xf>
    <xf numFmtId="5" fontId="1" fillId="0" borderId="0" xfId="24" applyNumberFormat="1" applyFont="1" applyFill="1" applyAlignment="1" applyProtection="1">
      <alignment horizontal="right"/>
      <protection/>
    </xf>
    <xf numFmtId="172" fontId="1" fillId="0" borderId="0" xfId="24" applyNumberFormat="1" applyFont="1" applyFill="1" applyAlignment="1">
      <alignment horizontal="left"/>
      <protection/>
    </xf>
    <xf numFmtId="168" fontId="1" fillId="0" borderId="0" xfId="24" applyNumberFormat="1" applyFont="1" applyFill="1" applyAlignment="1" applyProtection="1">
      <alignment horizontal="left"/>
      <protection/>
    </xf>
    <xf numFmtId="166" fontId="6" fillId="0" borderId="0" xfId="24" applyNumberFormat="1" applyFont="1" applyFill="1" applyAlignment="1" applyProtection="1">
      <alignment horizontal="right"/>
      <protection/>
    </xf>
    <xf numFmtId="3" fontId="1" fillId="0" borderId="0" xfId="24" applyNumberFormat="1" applyFont="1" applyFill="1">
      <alignment/>
      <protection/>
    </xf>
    <xf numFmtId="5" fontId="1" fillId="0" borderId="1" xfId="26" applyNumberFormat="1" applyFont="1" applyBorder="1" applyAlignment="1" applyProtection="1">
      <alignment horizontal="right"/>
      <protection/>
    </xf>
    <xf numFmtId="170" fontId="1" fillId="0" borderId="0" xfId="24" applyNumberFormat="1" applyFont="1" applyFill="1">
      <alignment/>
      <protection/>
    </xf>
    <xf numFmtId="0" fontId="6" fillId="0" borderId="0" xfId="24" applyFont="1" applyFill="1" applyAlignment="1" applyProtection="1">
      <alignment horizontal="center" vertical="top" wrapText="1"/>
      <protection/>
    </xf>
    <xf numFmtId="5" fontId="1" fillId="0" borderId="0" xfId="24" applyNumberFormat="1" applyFont="1" applyFill="1" applyAlignment="1">
      <alignment horizontal="left"/>
      <protection/>
    </xf>
    <xf numFmtId="5" fontId="6" fillId="0" borderId="0" xfId="24" applyNumberFormat="1" applyFont="1" applyFill="1" applyBorder="1">
      <alignment/>
      <protection/>
    </xf>
    <xf numFmtId="0" fontId="11" fillId="0" borderId="0" xfId="24" applyFont="1" applyFill="1" applyAlignment="1">
      <alignment wrapText="1"/>
      <protection/>
    </xf>
    <xf numFmtId="164" fontId="11" fillId="0" borderId="0" xfId="24" applyNumberFormat="1" applyFont="1" applyFill="1">
      <alignment/>
      <protection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24" applyFont="1" applyFill="1" applyBorder="1" applyAlignment="1" applyProtection="1">
      <alignment horizontal="left"/>
      <protection/>
    </xf>
    <xf numFmtId="0" fontId="1" fillId="0" borderId="0" xfId="28" applyFont="1" applyFill="1" applyBorder="1" applyAlignment="1">
      <alignment horizontal="center" wrapText="1"/>
      <protection/>
    </xf>
    <xf numFmtId="0" fontId="6" fillId="0" borderId="0" xfId="28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wrapText="1"/>
    </xf>
    <xf numFmtId="5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/>
    </xf>
    <xf numFmtId="166" fontId="1" fillId="0" borderId="0" xfId="24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5" fontId="1" fillId="0" borderId="2" xfId="26" applyNumberFormat="1" applyFont="1" applyBorder="1" applyAlignment="1" applyProtection="1">
      <alignment horizontal="left"/>
      <protection/>
    </xf>
    <xf numFmtId="37" fontId="6" fillId="0" borderId="0" xfId="27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164" fontId="6" fillId="0" borderId="0" xfId="25" applyNumberFormat="1" applyFont="1">
      <alignment/>
      <protection/>
    </xf>
    <xf numFmtId="37" fontId="1" fillId="0" borderId="3" xfId="26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>
      <alignment horizontal="center"/>
    </xf>
    <xf numFmtId="15" fontId="6" fillId="0" borderId="0" xfId="0" applyNumberFormat="1" applyFont="1" applyAlignment="1" quotePrefix="1">
      <alignment horizontal="center" wrapText="1"/>
    </xf>
    <xf numFmtId="5" fontId="6" fillId="0" borderId="2" xfId="26" applyNumberFormat="1" applyFont="1" applyBorder="1" applyAlignment="1" applyProtection="1">
      <alignment horizontal="right"/>
      <protection/>
    </xf>
    <xf numFmtId="166" fontId="1" fillId="0" borderId="0" xfId="24" applyNumberFormat="1" applyFont="1" applyFill="1" applyAlignment="1" applyProtection="1">
      <alignment horizontal="right"/>
      <protection/>
    </xf>
    <xf numFmtId="5" fontId="6" fillId="0" borderId="0" xfId="24" applyNumberFormat="1" applyFont="1" applyFill="1" applyAlignment="1">
      <alignment horizontal="right"/>
      <protection/>
    </xf>
    <xf numFmtId="0" fontId="1" fillId="0" borderId="0" xfId="24" applyFont="1" applyFill="1" applyAlignment="1">
      <alignment horizontal="right"/>
      <protection/>
    </xf>
    <xf numFmtId="5" fontId="6" fillId="0" borderId="0" xfId="24" applyNumberFormat="1" applyFont="1" applyFill="1" applyAlignment="1" applyProtection="1">
      <alignment horizontal="right"/>
      <protection/>
    </xf>
    <xf numFmtId="0" fontId="12" fillId="0" borderId="0" xfId="24" applyFont="1" applyFill="1" applyAlignment="1">
      <alignment horizontal="right"/>
      <protection/>
    </xf>
    <xf numFmtId="164" fontId="6" fillId="0" borderId="0" xfId="24" applyNumberFormat="1" applyFont="1" applyFill="1">
      <alignment/>
      <protection/>
    </xf>
    <xf numFmtId="15" fontId="6" fillId="0" borderId="0" xfId="0" applyNumberFormat="1" applyFont="1" applyFill="1" applyAlignment="1" quotePrefix="1">
      <alignment horizontal="center"/>
    </xf>
    <xf numFmtId="0" fontId="13" fillId="0" borderId="0" xfId="24" applyFont="1" applyFill="1" applyAlignment="1" applyProtection="1">
      <alignment horizontal="center" vertical="top" wrapText="1"/>
      <protection/>
    </xf>
    <xf numFmtId="10" fontId="13" fillId="0" borderId="0" xfId="24" applyNumberFormat="1" applyFont="1" applyFill="1" applyAlignment="1" applyProtection="1">
      <alignment horizontal="center" vertical="top" wrapText="1"/>
      <protection/>
    </xf>
    <xf numFmtId="164" fontId="13" fillId="0" borderId="0" xfId="24" applyNumberFormat="1" applyFont="1" applyFill="1" applyAlignment="1" applyProtection="1">
      <alignment horizontal="center" vertical="top" wrapText="1"/>
      <protection/>
    </xf>
    <xf numFmtId="5" fontId="13" fillId="0" borderId="0" xfId="24" applyNumberFormat="1" applyFont="1" applyFill="1" applyAlignment="1" applyProtection="1">
      <alignment horizontal="center" vertical="top" wrapText="1"/>
      <protection/>
    </xf>
    <xf numFmtId="5" fontId="14" fillId="0" borderId="0" xfId="24" applyNumberFormat="1" applyFont="1" applyFill="1" applyAlignment="1" applyProtection="1">
      <alignment horizontal="center" vertical="top" wrapText="1"/>
      <protection/>
    </xf>
    <xf numFmtId="170" fontId="1" fillId="0" borderId="0" xfId="26" applyNumberFormat="1" applyFont="1" applyBorder="1" applyAlignment="1" applyProtection="1">
      <alignment horizontal="left"/>
      <protection/>
    </xf>
    <xf numFmtId="5" fontId="1" fillId="0" borderId="0" xfId="26" applyNumberFormat="1" applyFont="1" applyBorder="1" applyAlignment="1" applyProtection="1">
      <alignment horizontal="left"/>
      <protection/>
    </xf>
    <xf numFmtId="5" fontId="1" fillId="0" borderId="1" xfId="26" applyNumberFormat="1" applyFont="1" applyBorder="1" applyAlignment="1" applyProtection="1">
      <alignment horizontal="left"/>
      <protection/>
    </xf>
    <xf numFmtId="5" fontId="6" fillId="0" borderId="1" xfId="26" applyNumberFormat="1" applyFont="1" applyBorder="1" applyAlignment="1" applyProtection="1">
      <alignment horizontal="left"/>
      <protection/>
    </xf>
    <xf numFmtId="167" fontId="1" fillId="0" borderId="2" xfId="24" applyNumberFormat="1" applyFont="1" applyFill="1" applyBorder="1" applyAlignment="1" applyProtection="1">
      <alignment horizontal="left"/>
      <protection/>
    </xf>
    <xf numFmtId="5" fontId="1" fillId="0" borderId="2" xfId="24" applyNumberFormat="1" applyFont="1" applyFill="1" applyBorder="1" applyAlignment="1" applyProtection="1">
      <alignment horizontal="left"/>
      <protection/>
    </xf>
    <xf numFmtId="165" fontId="1" fillId="0" borderId="2" xfId="24" applyNumberFormat="1" applyFont="1" applyFill="1" applyBorder="1" applyAlignment="1">
      <alignment horizontal="left"/>
      <protection/>
    </xf>
    <xf numFmtId="164" fontId="1" fillId="0" borderId="2" xfId="24" applyNumberFormat="1" applyFont="1" applyFill="1" applyBorder="1" applyAlignment="1" applyProtection="1">
      <alignment horizontal="left"/>
      <protection/>
    </xf>
    <xf numFmtId="5" fontId="6" fillId="0" borderId="2" xfId="24" applyNumberFormat="1" applyFont="1" applyFill="1" applyBorder="1" applyAlignment="1">
      <alignment horizontal="left"/>
      <protection/>
    </xf>
    <xf numFmtId="167" fontId="1" fillId="0" borderId="1" xfId="24" applyNumberFormat="1" applyFont="1" applyFill="1" applyBorder="1" applyAlignment="1" applyProtection="1">
      <alignment horizontal="left"/>
      <protection/>
    </xf>
    <xf numFmtId="5" fontId="1" fillId="0" borderId="1" xfId="24" applyNumberFormat="1" applyFont="1" applyFill="1" applyBorder="1" applyAlignment="1" applyProtection="1">
      <alignment horizontal="left"/>
      <protection/>
    </xf>
    <xf numFmtId="165" fontId="1" fillId="0" borderId="1" xfId="24" applyNumberFormat="1" applyFont="1" applyFill="1" applyBorder="1" applyAlignment="1">
      <alignment horizontal="left"/>
      <protection/>
    </xf>
    <xf numFmtId="164" fontId="1" fillId="0" borderId="1" xfId="24" applyNumberFormat="1" applyFont="1" applyFill="1" applyBorder="1" applyAlignment="1" applyProtection="1">
      <alignment horizontal="left"/>
      <protection/>
    </xf>
    <xf numFmtId="0" fontId="1" fillId="0" borderId="1" xfId="24" applyFont="1" applyFill="1" applyBorder="1" applyAlignment="1" applyProtection="1">
      <alignment horizontal="left"/>
      <protection/>
    </xf>
    <xf numFmtId="171" fontId="1" fillId="0" borderId="1" xfId="24" applyNumberFormat="1" applyFont="1" applyFill="1" applyBorder="1" applyAlignment="1" applyProtection="1">
      <alignment horizontal="left"/>
      <protection/>
    </xf>
    <xf numFmtId="5" fontId="6" fillId="0" borderId="1" xfId="24" applyNumberFormat="1" applyFont="1" applyFill="1" applyBorder="1" applyAlignment="1" applyProtection="1">
      <alignment horizontal="left"/>
      <protection/>
    </xf>
    <xf numFmtId="5" fontId="1" fillId="0" borderId="0" xfId="24" applyNumberFormat="1" applyFont="1" applyFill="1" applyBorder="1" applyAlignment="1" applyProtection="1">
      <alignment horizontal="left"/>
      <protection/>
    </xf>
    <xf numFmtId="165" fontId="1" fillId="0" borderId="0" xfId="24" applyNumberFormat="1" applyFont="1" applyFill="1" applyBorder="1" applyAlignment="1">
      <alignment horizontal="left"/>
      <protection/>
    </xf>
    <xf numFmtId="164" fontId="1" fillId="0" borderId="0" xfId="24" applyNumberFormat="1" applyFont="1" applyFill="1" applyBorder="1" applyAlignment="1" applyProtection="1">
      <alignment horizontal="left"/>
      <protection/>
    </xf>
    <xf numFmtId="171" fontId="1" fillId="0" borderId="0" xfId="24" applyNumberFormat="1" applyFont="1" applyFill="1" applyBorder="1" applyAlignment="1" applyProtection="1">
      <alignment horizontal="left"/>
      <protection/>
    </xf>
    <xf numFmtId="5" fontId="6" fillId="0" borderId="0" xfId="24" applyNumberFormat="1" applyFont="1" applyFill="1" applyBorder="1" applyAlignment="1" applyProtection="1">
      <alignment horizontal="left"/>
      <protection/>
    </xf>
    <xf numFmtId="37" fontId="1" fillId="0" borderId="0" xfId="27" applyFont="1" applyFill="1">
      <alignment/>
      <protection/>
    </xf>
    <xf numFmtId="37" fontId="6" fillId="0" borderId="0" xfId="26" applyFont="1" applyFill="1">
      <alignment/>
      <protection/>
    </xf>
    <xf numFmtId="164" fontId="1" fillId="0" borderId="0" xfId="26" applyNumberFormat="1" applyFont="1" applyFill="1" applyProtection="1">
      <alignment/>
      <protection/>
    </xf>
    <xf numFmtId="37" fontId="1" fillId="0" borderId="0" xfId="26" applyNumberFormat="1" applyFont="1" applyFill="1" applyAlignment="1" applyProtection="1">
      <alignment horizontal="left"/>
      <protection/>
    </xf>
    <xf numFmtId="15" fontId="16" fillId="0" borderId="0" xfId="29" applyNumberFormat="1" applyFont="1" applyFill="1" applyAlignment="1">
      <alignment horizontal="left"/>
      <protection/>
    </xf>
    <xf numFmtId="37" fontId="1" fillId="0" borderId="0" xfId="27" applyNumberFormat="1" applyFont="1" applyFill="1" applyAlignment="1" applyProtection="1">
      <alignment horizontal="left"/>
      <protection/>
    </xf>
    <xf numFmtId="37" fontId="6" fillId="0" borderId="0" xfId="27" applyFont="1" applyFill="1">
      <alignment/>
      <protection/>
    </xf>
    <xf numFmtId="0" fontId="13" fillId="0" borderId="0" xfId="24" applyFont="1" applyFill="1" applyAlignment="1" applyProtection="1">
      <alignment horizontal="center" vertical="top"/>
      <protection/>
    </xf>
    <xf numFmtId="0" fontId="14" fillId="0" borderId="0" xfId="24" applyFont="1" applyFill="1" applyAlignment="1" applyProtection="1">
      <alignment horizontal="center" vertical="top"/>
      <protection/>
    </xf>
    <xf numFmtId="37" fontId="1" fillId="0" borderId="0" xfId="27" applyNumberFormat="1" applyFont="1" applyFill="1" applyBorder="1" applyAlignment="1" applyProtection="1">
      <alignment horizontal="center" wrapText="1"/>
      <protection/>
    </xf>
    <xf numFmtId="37" fontId="1" fillId="0" borderId="0" xfId="27" applyFont="1" applyFill="1" applyBorder="1" applyAlignment="1">
      <alignment horizontal="center" wrapText="1"/>
      <protection/>
    </xf>
    <xf numFmtId="37" fontId="1" fillId="0" borderId="0" xfId="27" applyFont="1" applyFill="1" applyBorder="1">
      <alignment/>
      <protection/>
    </xf>
    <xf numFmtId="37" fontId="6" fillId="0" borderId="0" xfId="27" applyNumberFormat="1" applyFont="1" applyFill="1" applyAlignment="1" applyProtection="1">
      <alignment horizontal="left"/>
      <protection/>
    </xf>
    <xf numFmtId="5" fontId="1" fillId="0" borderId="0" xfId="27" applyNumberFormat="1" applyFont="1" applyFill="1" applyProtection="1">
      <alignment/>
      <protection/>
    </xf>
    <xf numFmtId="37" fontId="1" fillId="0" borderId="0" xfId="27" applyNumberFormat="1" applyFont="1" applyFill="1" applyAlignment="1" applyProtection="1">
      <alignment horizontal="center"/>
      <protection/>
    </xf>
    <xf numFmtId="168" fontId="1" fillId="0" borderId="0" xfId="27" applyNumberFormat="1" applyFont="1" applyFill="1">
      <alignment/>
      <protection/>
    </xf>
    <xf numFmtId="5" fontId="6" fillId="0" borderId="0" xfId="27" applyNumberFormat="1" applyFont="1" applyFill="1" applyProtection="1">
      <alignment/>
      <protection/>
    </xf>
    <xf numFmtId="165" fontId="1" fillId="0" borderId="0" xfId="27" applyNumberFormat="1" applyFont="1" applyFill="1">
      <alignment/>
      <protection/>
    </xf>
    <xf numFmtId="37" fontId="1" fillId="0" borderId="0" xfId="27" applyNumberFormat="1" applyFont="1" applyFill="1" applyProtection="1">
      <alignment/>
      <protection/>
    </xf>
    <xf numFmtId="168" fontId="1" fillId="0" borderId="0" xfId="27" applyNumberFormat="1" applyFont="1" applyFill="1" applyProtection="1">
      <alignment/>
      <protection/>
    </xf>
    <xf numFmtId="3" fontId="1" fillId="0" borderId="0" xfId="27" applyNumberFormat="1" applyFont="1" applyFill="1" applyProtection="1">
      <alignment/>
      <protection/>
    </xf>
    <xf numFmtId="0" fontId="1" fillId="0" borderId="0" xfId="29" applyFont="1" applyFill="1">
      <alignment/>
      <protection/>
    </xf>
    <xf numFmtId="0" fontId="1" fillId="0" borderId="0" xfId="29" applyFont="1" applyFill="1" applyAlignment="1">
      <alignment horizontal="center"/>
      <protection/>
    </xf>
    <xf numFmtId="165" fontId="1" fillId="0" borderId="0" xfId="27" applyNumberFormat="1" applyFont="1" applyFill="1" applyProtection="1">
      <alignment/>
      <protection/>
    </xf>
    <xf numFmtId="168" fontId="1" fillId="0" borderId="0" xfId="27" applyNumberFormat="1" applyFont="1" applyFill="1" applyAlignment="1" applyProtection="1">
      <alignment horizontal="right"/>
      <protection/>
    </xf>
    <xf numFmtId="5" fontId="1" fillId="0" borderId="0" xfId="27" applyNumberFormat="1" applyFont="1" applyFill="1">
      <alignment/>
      <protection/>
    </xf>
    <xf numFmtId="37" fontId="1" fillId="0" borderId="0" xfId="27" applyFont="1" applyFill="1" applyAlignment="1">
      <alignment wrapText="1"/>
      <protection/>
    </xf>
    <xf numFmtId="37" fontId="1" fillId="0" borderId="0" xfId="29" applyNumberFormat="1" applyFont="1" applyFill="1" applyProtection="1">
      <alignment/>
      <protection/>
    </xf>
    <xf numFmtId="37" fontId="1" fillId="0" borderId="0" xfId="29" applyNumberFormat="1" applyFont="1" applyFill="1" applyAlignment="1" applyProtection="1">
      <alignment horizontal="center"/>
      <protection/>
    </xf>
    <xf numFmtId="5" fontId="1" fillId="0" borderId="0" xfId="27" applyNumberFormat="1" applyFont="1" applyFill="1" applyAlignment="1" applyProtection="1">
      <alignment horizontal="left"/>
      <protection/>
    </xf>
    <xf numFmtId="37" fontId="1" fillId="0" borderId="0" xfId="29" applyNumberFormat="1" applyFont="1" applyFill="1" applyAlignment="1" applyProtection="1">
      <alignment horizontal="left"/>
      <protection/>
    </xf>
    <xf numFmtId="168" fontId="1" fillId="0" borderId="0" xfId="27" applyNumberFormat="1" applyFont="1" applyFill="1" applyAlignment="1" applyProtection="1">
      <alignment horizontal="left"/>
      <protection/>
    </xf>
    <xf numFmtId="37" fontId="1" fillId="0" borderId="0" xfId="27" applyNumberFormat="1" applyFont="1" applyFill="1" applyAlignment="1" applyProtection="1">
      <alignment horizontal="right"/>
      <protection/>
    </xf>
    <xf numFmtId="5" fontId="6" fillId="0" borderId="0" xfId="27" applyNumberFormat="1" applyFont="1" applyFill="1" applyAlignment="1" applyProtection="1">
      <alignment horizontal="right"/>
      <protection/>
    </xf>
    <xf numFmtId="5" fontId="1" fillId="0" borderId="0" xfId="27" applyNumberFormat="1" applyFont="1" applyFill="1" applyAlignment="1" applyProtection="1">
      <alignment horizontal="right"/>
      <protection/>
    </xf>
    <xf numFmtId="168" fontId="1" fillId="0" borderId="0" xfId="29" applyNumberFormat="1" applyFont="1" applyFill="1" applyProtection="1">
      <alignment/>
      <protection/>
    </xf>
    <xf numFmtId="37" fontId="1" fillId="0" borderId="1" xfId="27" applyNumberFormat="1" applyFont="1" applyFill="1" applyBorder="1" applyAlignment="1" applyProtection="1">
      <alignment horizontal="left"/>
      <protection/>
    </xf>
    <xf numFmtId="37" fontId="1" fillId="0" borderId="1" xfId="27" applyFont="1" applyFill="1" applyBorder="1">
      <alignment/>
      <protection/>
    </xf>
    <xf numFmtId="5" fontId="1" fillId="0" borderId="1" xfId="27" applyNumberFormat="1" applyFont="1" applyFill="1" applyBorder="1" applyProtection="1">
      <alignment/>
      <protection/>
    </xf>
    <xf numFmtId="5" fontId="6" fillId="0" borderId="1" xfId="27" applyNumberFormat="1" applyFont="1" applyFill="1" applyBorder="1" applyProtection="1">
      <alignment/>
      <protection/>
    </xf>
    <xf numFmtId="37" fontId="1" fillId="0" borderId="0" xfId="27" applyNumberFormat="1" applyFont="1" applyFill="1" applyBorder="1" applyAlignment="1" applyProtection="1">
      <alignment horizontal="left"/>
      <protection/>
    </xf>
    <xf numFmtId="5" fontId="1" fillId="0" borderId="0" xfId="27" applyNumberFormat="1" applyFont="1" applyFill="1" applyBorder="1" applyProtection="1">
      <alignment/>
      <protection/>
    </xf>
    <xf numFmtId="37" fontId="1" fillId="0" borderId="0" xfId="26" applyFont="1" applyFill="1">
      <alignment/>
      <protection/>
    </xf>
    <xf numFmtId="166" fontId="1" fillId="0" borderId="0" xfId="27" applyNumberFormat="1" applyFont="1" applyFill="1" applyProtection="1">
      <alignment/>
      <protection/>
    </xf>
    <xf numFmtId="15" fontId="6" fillId="0" borderId="0" xfId="30" applyNumberFormat="1" applyFont="1" applyAlignment="1">
      <alignment horizontal="right"/>
      <protection/>
    </xf>
    <xf numFmtId="0" fontId="6" fillId="0" borderId="0" xfId="24" applyFont="1" applyFill="1" applyAlignment="1">
      <alignment horizontal="left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37" fontId="6" fillId="0" borderId="0" xfId="27" applyFont="1" applyFill="1" applyAlignment="1">
      <alignment horizontal="center"/>
      <protection/>
    </xf>
    <xf numFmtId="0" fontId="6" fillId="0" borderId="0" xfId="29" applyFont="1" applyFill="1" applyAlignment="1">
      <alignment horizontal="left" wrapText="1"/>
      <protection/>
    </xf>
  </cellXfs>
  <cellStyles count="18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$0.25B-1B_BG" xfId="24"/>
    <cellStyle name="Normal_$1B Contingency 2000 fuel user data (50_50 &amp; 60_40)" xfId="25"/>
    <cellStyle name="Normal_2005-LIHEAP Allocations-$1.884B-FINAL" xfId="26"/>
    <cellStyle name="Normal_2006-LIHEAP Alloc-$2 0B (2)" xfId="27"/>
    <cellStyle name="Normal_2008-$1 98B New Formula NO LEV SetAside_StAngelo" xfId="28"/>
    <cellStyle name="Normal_2008-$1 98B_BG_200803Mar13(NCIDC_Corr)" xfId="29"/>
    <cellStyle name="Normal_2009-$4 5B Block-StatesTribes 10 3 08_noLevorT&amp;TA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IM-XX_AttB(Trib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es"/>
    </sheetNames>
    <sheetDataSet>
      <sheetData sheetId="0">
        <row r="15">
          <cell r="G15">
            <v>143610</v>
          </cell>
        </row>
        <row r="29">
          <cell r="G29">
            <v>57498</v>
          </cell>
        </row>
        <row r="31">
          <cell r="G31">
            <v>12007</v>
          </cell>
        </row>
        <row r="32">
          <cell r="G32">
            <v>1650881</v>
          </cell>
        </row>
        <row r="34">
          <cell r="G34">
            <v>4228</v>
          </cell>
        </row>
        <row r="40">
          <cell r="G40">
            <v>3266</v>
          </cell>
        </row>
        <row r="47">
          <cell r="G47">
            <v>787631</v>
          </cell>
        </row>
        <row r="51">
          <cell r="G51">
            <v>51039</v>
          </cell>
        </row>
        <row r="62">
          <cell r="G62">
            <v>24362</v>
          </cell>
        </row>
        <row r="68">
          <cell r="G68">
            <v>6664</v>
          </cell>
        </row>
        <row r="70">
          <cell r="G70">
            <v>41400</v>
          </cell>
        </row>
        <row r="84">
          <cell r="G84">
            <v>144137</v>
          </cell>
        </row>
        <row r="96">
          <cell r="G96">
            <v>15000</v>
          </cell>
        </row>
        <row r="100">
          <cell r="G100">
            <v>1596837</v>
          </cell>
        </row>
        <row r="112">
          <cell r="G112">
            <v>1352417</v>
          </cell>
        </row>
        <row r="163">
          <cell r="G163">
            <v>323387</v>
          </cell>
        </row>
        <row r="166">
          <cell r="G166">
            <v>288570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P84"/>
  <sheetViews>
    <sheetView tabSelected="1" workbookViewId="0" topLeftCell="A1">
      <pane xSplit="1" ySplit="9" topLeftCell="B10" activePane="bottomRight" state="frozen"/>
      <selection pane="topLeft" activeCell="A3" sqref="A3:J3"/>
      <selection pane="topRight" activeCell="A3" sqref="A3:J3"/>
      <selection pane="bottomLeft" activeCell="A3" sqref="A3:J3"/>
      <selection pane="bottomRight" activeCell="B10" sqref="B10"/>
    </sheetView>
  </sheetViews>
  <sheetFormatPr defaultColWidth="20.83203125" defaultRowHeight="12.75"/>
  <cols>
    <col min="1" max="1" width="38.16015625" style="26" customWidth="1"/>
    <col min="2" max="3" width="42.66015625" style="26" customWidth="1"/>
    <col min="4" max="4" width="23" style="26" bestFit="1" customWidth="1"/>
    <col min="5" max="5" width="24.16015625" style="26" bestFit="1" customWidth="1"/>
    <col min="6" max="6" width="23" style="26" bestFit="1" customWidth="1"/>
    <col min="7" max="7" width="14.16015625" style="26" bestFit="1" customWidth="1"/>
    <col min="8" max="8" width="14.16015625" style="26" customWidth="1"/>
    <col min="9" max="9" width="20.5" style="26" bestFit="1" customWidth="1"/>
    <col min="10" max="10" width="21" style="28" bestFit="1" customWidth="1"/>
    <col min="11" max="11" width="14.83203125" style="26" bestFit="1" customWidth="1"/>
    <col min="12" max="12" width="20.5" style="26" bestFit="1" customWidth="1"/>
    <col min="13" max="13" width="21.83203125" style="26" bestFit="1" customWidth="1"/>
    <col min="14" max="14" width="23" style="26" bestFit="1" customWidth="1"/>
    <col min="15" max="18" width="21.83203125" style="26" customWidth="1"/>
    <col min="19" max="16384" width="20.83203125" style="26" customWidth="1"/>
  </cols>
  <sheetData>
    <row r="1" spans="1:16" s="29" customFormat="1" ht="30.75" customHeight="1">
      <c r="A1" s="179" t="str">
        <f>"State and Territorial Allocations of "&amp;TEXT(C5/1000000000,"$0.00")&amp;" Billion in Low Income Home Energy Assistance Program (LIHEAP) Regular Block Grant Funds under the Old-Formula Percents"</f>
        <v>State and Territorial Allocations of $3.67 Billion in Low Income Home Energy Assistance Program (LIHEAP) Regular Block Grant Funds under the Old-Formula Percents</v>
      </c>
      <c r="B1" s="179"/>
      <c r="C1" s="17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7"/>
      <c r="P1" s="27"/>
    </row>
    <row r="2" spans="1:16" ht="12.75">
      <c r="A2" s="26" t="s">
        <v>113</v>
      </c>
      <c r="C2" s="107" t="str">
        <f>TEXT(States_Territories!$F$3,"dd-MMM-yy")</f>
        <v>24-Oct-08</v>
      </c>
      <c r="E2" s="33"/>
      <c r="F2" s="34"/>
      <c r="H2" s="13"/>
      <c r="O2" s="28"/>
      <c r="P2" s="28"/>
    </row>
    <row r="3" spans="1:6" ht="12.75">
      <c r="A3" s="180" t="s">
        <v>296</v>
      </c>
      <c r="B3" s="180"/>
      <c r="C3" s="181"/>
      <c r="D3" s="92"/>
      <c r="F3" s="36"/>
    </row>
    <row r="4" spans="2:6" ht="12.75">
      <c r="B4" s="92"/>
      <c r="C4" s="105" t="s">
        <v>87</v>
      </c>
      <c r="D4" s="92"/>
      <c r="E4" s="92"/>
      <c r="F4" s="36"/>
    </row>
    <row r="5" spans="3:6" ht="12.75">
      <c r="C5" s="106">
        <v>3669880000</v>
      </c>
      <c r="D5" s="92"/>
      <c r="F5" s="36"/>
    </row>
    <row r="6" spans="1:6" ht="12.75">
      <c r="A6" s="92"/>
      <c r="B6" s="92"/>
      <c r="C6" s="92"/>
      <c r="D6" s="92"/>
      <c r="F6" s="36"/>
    </row>
    <row r="7" spans="1:16" s="30" customFormat="1" ht="12.75">
      <c r="A7" s="5" t="str">
        <f>IF(COLUMN()&lt;=26,CHAR(64+COLUMN()),CHAR(64+ROUNDDOWN((COLUMN()-1)/26,0))&amp;CHAR(65+MOD((COLUMN()-1),26)))</f>
        <v>A</v>
      </c>
      <c r="B7" s="5" t="str">
        <f>IF(COLUMN()&lt;=26,CHAR(64+COLUMN()),CHAR(64+ROUNDDOWN((COLUMN()-1)/26,0))&amp;CHAR(65+MOD((COLUMN()-1),26)))</f>
        <v>B</v>
      </c>
      <c r="C7" s="5" t="str">
        <f>IF(COLUMN()&lt;=26,CHAR(64+COLUMN()),CHAR(64+ROUNDDOWN((COLUMN()-1)/26,0))&amp;CHAR(65+MOD((COLUMN()-1),26)))</f>
        <v>C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7" customFormat="1" ht="25.5">
      <c r="A8" s="37" t="s">
        <v>0</v>
      </c>
      <c r="B8" s="38" t="s">
        <v>60</v>
      </c>
      <c r="C8" s="41" t="s">
        <v>92</v>
      </c>
      <c r="D8" s="38"/>
      <c r="E8" s="38"/>
      <c r="F8" s="38"/>
      <c r="G8" s="38"/>
      <c r="H8" s="38"/>
      <c r="I8" s="38"/>
      <c r="J8" s="39"/>
      <c r="K8" s="40"/>
      <c r="L8" s="40"/>
      <c r="M8" s="40"/>
      <c r="N8" s="41"/>
      <c r="O8" s="41"/>
      <c r="P8" s="41"/>
    </row>
    <row r="9" spans="1:16" s="31" customFormat="1" ht="12.75">
      <c r="A9" s="42" t="s">
        <v>68</v>
      </c>
      <c r="B9" s="42" t="s">
        <v>69</v>
      </c>
      <c r="C9" s="72" t="str">
        <f>"Col. "&amp;B7&amp;" X "&amp;TEXT($B$73/1000000000,"$0.00")&amp;" Billion"</f>
        <v>Col. B X $3.64 Billion</v>
      </c>
      <c r="D9" s="42"/>
      <c r="E9" s="42"/>
      <c r="F9" s="42"/>
      <c r="G9" s="42"/>
      <c r="H9" s="42"/>
      <c r="I9" s="43"/>
      <c r="J9" s="44"/>
      <c r="K9" s="42"/>
      <c r="L9" s="42"/>
      <c r="M9" s="42"/>
      <c r="N9" s="45"/>
      <c r="O9" s="45"/>
      <c r="P9" s="46"/>
    </row>
    <row r="10" spans="1:14" ht="12.75">
      <c r="A10" s="47"/>
      <c r="B10" s="47"/>
      <c r="C10" s="47"/>
      <c r="D10" s="6"/>
      <c r="E10" s="47"/>
      <c r="F10" s="47"/>
      <c r="G10" s="47"/>
      <c r="I10" s="47"/>
      <c r="J10" s="48"/>
      <c r="K10" s="47"/>
      <c r="L10" s="47"/>
      <c r="M10" s="47"/>
      <c r="N10" s="49"/>
    </row>
    <row r="11" spans="1:16" ht="12.75">
      <c r="A11" s="6" t="s">
        <v>1</v>
      </c>
      <c r="B11" s="101">
        <v>0.00860045</v>
      </c>
      <c r="C11" s="102">
        <f>ROUND(B11*$B$73,0)</f>
        <v>31285401</v>
      </c>
      <c r="D11" s="49"/>
      <c r="E11" s="51"/>
      <c r="F11" s="49"/>
      <c r="G11" s="52"/>
      <c r="H11" s="52"/>
      <c r="I11" s="49"/>
      <c r="J11" s="48"/>
      <c r="K11" s="49"/>
      <c r="L11" s="49"/>
      <c r="M11" s="49"/>
      <c r="N11" s="49"/>
      <c r="O11" s="49"/>
      <c r="P11" s="53"/>
    </row>
    <row r="12" spans="1:16" ht="12.75">
      <c r="A12" s="6" t="s">
        <v>2</v>
      </c>
      <c r="B12" s="101">
        <v>0.00548986</v>
      </c>
      <c r="C12" s="102">
        <f aca="true" t="shared" si="0" ref="C12:C60">ROUND(B12*$B$73,0)</f>
        <v>19970172</v>
      </c>
      <c r="D12" s="49"/>
      <c r="E12" s="51"/>
      <c r="F12" s="49"/>
      <c r="G12" s="52"/>
      <c r="H12" s="52"/>
      <c r="I12" s="49"/>
      <c r="J12" s="48"/>
      <c r="K12" s="49"/>
      <c r="L12" s="49"/>
      <c r="M12" s="49"/>
      <c r="N12" s="49"/>
      <c r="O12" s="49"/>
      <c r="P12" s="53"/>
    </row>
    <row r="13" spans="1:16" ht="12.75">
      <c r="A13" s="6" t="s">
        <v>3</v>
      </c>
      <c r="B13" s="101">
        <v>0.00415928</v>
      </c>
      <c r="C13" s="102">
        <f t="shared" si="0"/>
        <v>15129992</v>
      </c>
      <c r="D13" s="49"/>
      <c r="E13" s="51"/>
      <c r="F13" s="49"/>
      <c r="G13" s="52"/>
      <c r="H13" s="52"/>
      <c r="I13" s="49"/>
      <c r="J13" s="48"/>
      <c r="K13" s="49"/>
      <c r="L13" s="49"/>
      <c r="M13" s="49"/>
      <c r="N13" s="49"/>
      <c r="O13" s="49"/>
      <c r="P13" s="53"/>
    </row>
    <row r="14" spans="1:16" ht="12.75">
      <c r="A14" s="6" t="s">
        <v>4</v>
      </c>
      <c r="B14" s="101">
        <v>0.00656255</v>
      </c>
      <c r="C14" s="102">
        <f t="shared" si="0"/>
        <v>23872240</v>
      </c>
      <c r="D14" s="49"/>
      <c r="E14" s="51"/>
      <c r="F14" s="49"/>
      <c r="G14" s="52"/>
      <c r="H14" s="52"/>
      <c r="I14" s="49"/>
      <c r="J14" s="48"/>
      <c r="K14" s="49"/>
      <c r="L14" s="49"/>
      <c r="M14" s="49"/>
      <c r="N14" s="49"/>
      <c r="O14" s="49"/>
      <c r="P14" s="53"/>
    </row>
    <row r="15" spans="1:16" ht="12.75">
      <c r="A15" s="6" t="s">
        <v>5</v>
      </c>
      <c r="B15" s="101">
        <v>0.04613891</v>
      </c>
      <c r="C15" s="102">
        <f t="shared" si="0"/>
        <v>167837064</v>
      </c>
      <c r="D15" s="49"/>
      <c r="E15" s="51"/>
      <c r="F15" s="49"/>
      <c r="G15" s="52"/>
      <c r="H15" s="52"/>
      <c r="I15" s="49"/>
      <c r="J15" s="48"/>
      <c r="K15" s="49"/>
      <c r="L15" s="49"/>
      <c r="M15" s="49"/>
      <c r="N15" s="49"/>
      <c r="O15" s="49"/>
      <c r="P15" s="53"/>
    </row>
    <row r="16" spans="1:16" ht="12.75">
      <c r="A16" s="6" t="s">
        <v>6</v>
      </c>
      <c r="B16" s="101">
        <v>0.0160872</v>
      </c>
      <c r="C16" s="102">
        <f t="shared" si="0"/>
        <v>58519554</v>
      </c>
      <c r="D16" s="49"/>
      <c r="E16" s="51"/>
      <c r="F16" s="49"/>
      <c r="G16" s="52"/>
      <c r="H16" s="52"/>
      <c r="I16" s="49"/>
      <c r="J16" s="48"/>
      <c r="K16" s="49"/>
      <c r="L16" s="49"/>
      <c r="M16" s="49"/>
      <c r="N16" s="49"/>
      <c r="O16" s="49"/>
      <c r="P16" s="53"/>
    </row>
    <row r="17" spans="1:16" ht="12.75">
      <c r="A17" s="6" t="s">
        <v>7</v>
      </c>
      <c r="B17" s="101">
        <v>0.02098632</v>
      </c>
      <c r="C17" s="102">
        <f t="shared" si="0"/>
        <v>76340822</v>
      </c>
      <c r="D17" s="49"/>
      <c r="E17" s="51"/>
      <c r="F17" s="49"/>
      <c r="G17" s="52"/>
      <c r="H17" s="52"/>
      <c r="I17" s="49"/>
      <c r="J17" s="48"/>
      <c r="K17" s="49"/>
      <c r="L17" s="49"/>
      <c r="M17" s="49"/>
      <c r="N17" s="49"/>
      <c r="O17" s="49"/>
      <c r="P17" s="53"/>
    </row>
    <row r="18" spans="1:16" ht="12.75">
      <c r="A18" s="6" t="s">
        <v>8</v>
      </c>
      <c r="B18" s="101">
        <v>0.00278553</v>
      </c>
      <c r="C18" s="102">
        <f t="shared" si="0"/>
        <v>10132775</v>
      </c>
      <c r="D18" s="49"/>
      <c r="E18" s="51"/>
      <c r="F18" s="49"/>
      <c r="G18" s="52"/>
      <c r="H18" s="52"/>
      <c r="I18" s="49"/>
      <c r="J18" s="48"/>
      <c r="K18" s="49"/>
      <c r="L18" s="49"/>
      <c r="M18" s="49"/>
      <c r="N18" s="49"/>
      <c r="O18" s="49"/>
      <c r="P18" s="53"/>
    </row>
    <row r="19" spans="1:16" ht="12.75">
      <c r="A19" s="6" t="s">
        <v>9</v>
      </c>
      <c r="B19" s="101">
        <v>0.00325921</v>
      </c>
      <c r="C19" s="102">
        <f t="shared" si="0"/>
        <v>11855855</v>
      </c>
      <c r="D19" s="49"/>
      <c r="E19" s="51"/>
      <c r="F19" s="49"/>
      <c r="G19" s="52"/>
      <c r="H19" s="52"/>
      <c r="I19" s="49"/>
      <c r="J19" s="48"/>
      <c r="K19" s="49"/>
      <c r="L19" s="49"/>
      <c r="M19" s="49"/>
      <c r="N19" s="49"/>
      <c r="O19" s="49"/>
      <c r="P19" s="53"/>
    </row>
    <row r="20" spans="1:16" ht="12.75">
      <c r="A20" s="6" t="s">
        <v>10</v>
      </c>
      <c r="B20" s="101">
        <v>0.01360848</v>
      </c>
      <c r="C20" s="102">
        <f t="shared" si="0"/>
        <v>49502845</v>
      </c>
      <c r="D20" s="49"/>
      <c r="E20" s="51"/>
      <c r="F20" s="49"/>
      <c r="G20" s="52"/>
      <c r="H20" s="52"/>
      <c r="I20" s="49"/>
      <c r="J20" s="48"/>
      <c r="K20" s="49"/>
      <c r="L20" s="49"/>
      <c r="M20" s="49"/>
      <c r="N20" s="49"/>
      <c r="O20" s="49"/>
      <c r="P20" s="53"/>
    </row>
    <row r="21" spans="1:16" ht="12.75">
      <c r="A21" s="6" t="s">
        <v>11</v>
      </c>
      <c r="B21" s="101">
        <v>0.01075959</v>
      </c>
      <c r="C21" s="102">
        <f t="shared" si="0"/>
        <v>39139589</v>
      </c>
      <c r="D21" s="49"/>
      <c r="E21" s="51"/>
      <c r="F21" s="49"/>
      <c r="G21" s="52"/>
      <c r="H21" s="52"/>
      <c r="I21" s="49"/>
      <c r="J21" s="48"/>
      <c r="K21" s="49"/>
      <c r="L21" s="49"/>
      <c r="M21" s="49"/>
      <c r="N21" s="49"/>
      <c r="O21" s="49"/>
      <c r="P21" s="53"/>
    </row>
    <row r="22" spans="1:16" ht="12.75">
      <c r="A22" s="6" t="s">
        <v>12</v>
      </c>
      <c r="B22" s="101">
        <v>0.00108355</v>
      </c>
      <c r="C22" s="102">
        <f t="shared" si="0"/>
        <v>3941572</v>
      </c>
      <c r="D22" s="49"/>
      <c r="E22" s="51"/>
      <c r="F22" s="49"/>
      <c r="G22" s="52"/>
      <c r="H22" s="52"/>
      <c r="I22" s="49"/>
      <c r="J22" s="48"/>
      <c r="K22" s="49"/>
      <c r="L22" s="49"/>
      <c r="M22" s="49"/>
      <c r="N22" s="49"/>
      <c r="O22" s="49"/>
      <c r="P22" s="53"/>
    </row>
    <row r="23" spans="1:16" ht="12.75">
      <c r="A23" s="6" t="s">
        <v>13</v>
      </c>
      <c r="B23" s="101">
        <v>0.00627508</v>
      </c>
      <c r="C23" s="102">
        <f t="shared" si="0"/>
        <v>22826525</v>
      </c>
      <c r="D23" s="49"/>
      <c r="E23" s="51"/>
      <c r="F23" s="49"/>
      <c r="G23" s="52"/>
      <c r="H23" s="52"/>
      <c r="I23" s="49"/>
      <c r="J23" s="48"/>
      <c r="K23" s="49"/>
      <c r="L23" s="49"/>
      <c r="M23" s="49"/>
      <c r="N23" s="49"/>
      <c r="O23" s="49"/>
      <c r="P23" s="53"/>
    </row>
    <row r="24" spans="1:16" ht="12.75">
      <c r="A24" s="6" t="s">
        <v>14</v>
      </c>
      <c r="B24" s="101">
        <v>0.05808651</v>
      </c>
      <c r="C24" s="102">
        <f t="shared" si="0"/>
        <v>211298215</v>
      </c>
      <c r="D24" s="49"/>
      <c r="E24" s="51"/>
      <c r="F24" s="49"/>
      <c r="G24" s="52"/>
      <c r="H24" s="52"/>
      <c r="I24" s="49"/>
      <c r="J24" s="48"/>
      <c r="K24" s="49"/>
      <c r="L24" s="49"/>
      <c r="M24" s="49"/>
      <c r="N24" s="49"/>
      <c r="O24" s="49"/>
      <c r="P24" s="53"/>
    </row>
    <row r="25" spans="1:16" ht="12.75">
      <c r="A25" s="6" t="s">
        <v>15</v>
      </c>
      <c r="B25" s="101">
        <v>0.02629994</v>
      </c>
      <c r="C25" s="102">
        <f t="shared" si="0"/>
        <v>95669896</v>
      </c>
      <c r="D25" s="49"/>
      <c r="E25" s="51"/>
      <c r="F25" s="49"/>
      <c r="G25" s="52"/>
      <c r="H25" s="52"/>
      <c r="I25" s="49"/>
      <c r="J25" s="48"/>
      <c r="K25" s="49"/>
      <c r="L25" s="49"/>
      <c r="M25" s="49"/>
      <c r="N25" s="49"/>
      <c r="O25" s="49"/>
      <c r="P25" s="53"/>
    </row>
    <row r="26" spans="1:16" ht="12.75">
      <c r="A26" s="6" t="s">
        <v>16</v>
      </c>
      <c r="B26" s="101">
        <v>0.01863912</v>
      </c>
      <c r="C26" s="102">
        <f t="shared" si="0"/>
        <v>67802538</v>
      </c>
      <c r="D26" s="49"/>
      <c r="E26" s="51"/>
      <c r="F26" s="49"/>
      <c r="G26" s="52"/>
      <c r="H26" s="52"/>
      <c r="I26" s="49"/>
      <c r="J26" s="48"/>
      <c r="K26" s="49"/>
      <c r="L26" s="49"/>
      <c r="M26" s="49"/>
      <c r="N26" s="49"/>
      <c r="O26" s="49"/>
      <c r="P26" s="53"/>
    </row>
    <row r="27" spans="1:16" ht="12.75">
      <c r="A27" s="6" t="s">
        <v>17</v>
      </c>
      <c r="B27" s="101">
        <v>0.00855992</v>
      </c>
      <c r="C27" s="102">
        <f t="shared" si="0"/>
        <v>31137967</v>
      </c>
      <c r="D27" s="49"/>
      <c r="E27" s="51"/>
      <c r="F27" s="49"/>
      <c r="G27" s="52"/>
      <c r="H27" s="52"/>
      <c r="I27" s="49"/>
      <c r="J27" s="48"/>
      <c r="K27" s="49"/>
      <c r="L27" s="49"/>
      <c r="M27" s="49"/>
      <c r="N27" s="49"/>
      <c r="O27" s="49"/>
      <c r="P27" s="53"/>
    </row>
    <row r="28" spans="1:16" ht="12.75">
      <c r="A28" s="6" t="s">
        <v>18</v>
      </c>
      <c r="B28" s="101">
        <v>0.0136864</v>
      </c>
      <c r="C28" s="102">
        <f t="shared" si="0"/>
        <v>49786291</v>
      </c>
      <c r="D28" s="49"/>
      <c r="E28" s="51"/>
      <c r="F28" s="49"/>
      <c r="G28" s="52"/>
      <c r="H28" s="52"/>
      <c r="I28" s="49"/>
      <c r="J28" s="48"/>
      <c r="K28" s="49"/>
      <c r="L28" s="49"/>
      <c r="M28" s="49"/>
      <c r="N28" s="49"/>
      <c r="O28" s="49"/>
      <c r="P28" s="53"/>
    </row>
    <row r="29" spans="1:16" ht="12.75">
      <c r="A29" s="6" t="s">
        <v>19</v>
      </c>
      <c r="B29" s="101">
        <v>0.00879264</v>
      </c>
      <c r="C29" s="102">
        <f t="shared" si="0"/>
        <v>31984520</v>
      </c>
      <c r="D29" s="49"/>
      <c r="E29" s="51"/>
      <c r="F29" s="49"/>
      <c r="G29" s="52"/>
      <c r="H29" s="52"/>
      <c r="I29" s="49"/>
      <c r="J29" s="48"/>
      <c r="K29" s="49"/>
      <c r="L29" s="49"/>
      <c r="M29" s="49"/>
      <c r="N29" s="49"/>
      <c r="O29" s="49"/>
      <c r="P29" s="53"/>
    </row>
    <row r="30" spans="1:16" ht="12.75">
      <c r="A30" s="6" t="s">
        <v>20</v>
      </c>
      <c r="B30" s="101">
        <v>0.01359579</v>
      </c>
      <c r="C30" s="102">
        <f t="shared" si="0"/>
        <v>49456684</v>
      </c>
      <c r="D30" s="49"/>
      <c r="E30" s="51"/>
      <c r="F30" s="49"/>
      <c r="G30" s="52"/>
      <c r="H30" s="52"/>
      <c r="I30" s="49"/>
      <c r="J30" s="48"/>
      <c r="K30" s="49"/>
      <c r="L30" s="49"/>
      <c r="M30" s="49"/>
      <c r="N30" s="49"/>
      <c r="O30" s="49"/>
      <c r="P30" s="53"/>
    </row>
    <row r="31" spans="1:16" ht="12.75">
      <c r="A31" s="6" t="s">
        <v>21</v>
      </c>
      <c r="B31" s="101">
        <v>0.01606896</v>
      </c>
      <c r="C31" s="102">
        <f t="shared" si="0"/>
        <v>58453203</v>
      </c>
      <c r="D31" s="49"/>
      <c r="E31" s="51"/>
      <c r="F31" s="49"/>
      <c r="G31" s="52"/>
      <c r="H31" s="52"/>
      <c r="I31" s="49"/>
      <c r="J31" s="48"/>
      <c r="K31" s="49"/>
      <c r="L31" s="49"/>
      <c r="M31" s="49"/>
      <c r="N31" s="49"/>
      <c r="O31" s="49"/>
      <c r="P31" s="53"/>
    </row>
    <row r="32" spans="1:16" ht="12.75">
      <c r="A32" s="6" t="s">
        <v>22</v>
      </c>
      <c r="B32" s="101">
        <v>0.04197959</v>
      </c>
      <c r="C32" s="102">
        <f t="shared" si="0"/>
        <v>152706927</v>
      </c>
      <c r="D32" s="49"/>
      <c r="E32" s="51"/>
      <c r="F32" s="49"/>
      <c r="G32" s="52"/>
      <c r="H32" s="52"/>
      <c r="I32" s="49"/>
      <c r="J32" s="48"/>
      <c r="K32" s="49"/>
      <c r="L32" s="49"/>
      <c r="M32" s="49"/>
      <c r="N32" s="49"/>
      <c r="O32" s="49"/>
      <c r="P32" s="53"/>
    </row>
    <row r="33" spans="1:16" ht="12.75">
      <c r="A33" s="6" t="s">
        <v>23</v>
      </c>
      <c r="B33" s="101">
        <v>0.05514805</v>
      </c>
      <c r="C33" s="102">
        <f t="shared" si="0"/>
        <v>200609135</v>
      </c>
      <c r="D33" s="49"/>
      <c r="E33" s="51"/>
      <c r="F33" s="49"/>
      <c r="G33" s="52"/>
      <c r="H33" s="52"/>
      <c r="I33" s="49"/>
      <c r="J33" s="48"/>
      <c r="K33" s="49"/>
      <c r="L33" s="49"/>
      <c r="M33" s="49"/>
      <c r="N33" s="49"/>
      <c r="O33" s="49"/>
      <c r="P33" s="53"/>
    </row>
    <row r="34" spans="1:16" ht="12.75">
      <c r="A34" s="6" t="s">
        <v>24</v>
      </c>
      <c r="B34" s="101">
        <v>0.03973105</v>
      </c>
      <c r="C34" s="102">
        <f t="shared" si="0"/>
        <v>144527532</v>
      </c>
      <c r="D34" s="49"/>
      <c r="E34" s="51"/>
      <c r="F34" s="49"/>
      <c r="G34" s="52"/>
      <c r="H34" s="52"/>
      <c r="I34" s="49"/>
      <c r="J34" s="48"/>
      <c r="K34" s="49"/>
      <c r="L34" s="49"/>
      <c r="M34" s="49"/>
      <c r="N34" s="49"/>
      <c r="O34" s="49"/>
      <c r="P34" s="53"/>
    </row>
    <row r="35" spans="1:16" ht="12.75">
      <c r="A35" s="6" t="s">
        <v>25</v>
      </c>
      <c r="B35" s="101">
        <v>0.00737355</v>
      </c>
      <c r="C35" s="102">
        <f t="shared" si="0"/>
        <v>26822371</v>
      </c>
      <c r="D35" s="49"/>
      <c r="E35" s="51"/>
      <c r="F35" s="49"/>
      <c r="G35" s="52"/>
      <c r="H35" s="52"/>
      <c r="I35" s="49"/>
      <c r="J35" s="48"/>
      <c r="K35" s="49"/>
      <c r="L35" s="49"/>
      <c r="M35" s="49"/>
      <c r="N35" s="49"/>
      <c r="O35" s="49"/>
      <c r="P35" s="53"/>
    </row>
    <row r="36" spans="1:16" ht="12.75">
      <c r="A36" s="6" t="s">
        <v>26</v>
      </c>
      <c r="B36" s="101">
        <v>0.02320202</v>
      </c>
      <c r="C36" s="102">
        <f t="shared" si="0"/>
        <v>84400757</v>
      </c>
      <c r="D36" s="49"/>
      <c r="E36" s="51"/>
      <c r="F36" s="49"/>
      <c r="G36" s="52"/>
      <c r="H36" s="52"/>
      <c r="I36" s="49"/>
      <c r="J36" s="48"/>
      <c r="K36" s="49"/>
      <c r="L36" s="49"/>
      <c r="M36" s="49"/>
      <c r="N36" s="49"/>
      <c r="O36" s="49"/>
      <c r="P36" s="53"/>
    </row>
    <row r="37" spans="1:16" ht="12.75">
      <c r="A37" s="6" t="s">
        <v>27</v>
      </c>
      <c r="B37" s="101">
        <v>0.00736027</v>
      </c>
      <c r="C37" s="102">
        <f t="shared" si="0"/>
        <v>26774064</v>
      </c>
      <c r="D37" s="49"/>
      <c r="E37" s="51"/>
      <c r="F37" s="49"/>
      <c r="G37" s="52"/>
      <c r="H37" s="52"/>
      <c r="I37" s="49"/>
      <c r="J37" s="48"/>
      <c r="K37" s="49"/>
      <c r="L37" s="49"/>
      <c r="M37" s="49"/>
      <c r="N37" s="49"/>
      <c r="O37" s="49"/>
      <c r="P37" s="53"/>
    </row>
    <row r="38" spans="1:16" ht="12.75">
      <c r="A38" s="6" t="s">
        <v>28</v>
      </c>
      <c r="B38" s="101">
        <v>0.00921776</v>
      </c>
      <c r="C38" s="102">
        <f t="shared" si="0"/>
        <v>33530956</v>
      </c>
      <c r="D38" s="49"/>
      <c r="E38" s="51"/>
      <c r="F38" s="49"/>
      <c r="G38" s="52"/>
      <c r="H38" s="52"/>
      <c r="I38" s="49"/>
      <c r="J38" s="48"/>
      <c r="K38" s="49"/>
      <c r="L38" s="49"/>
      <c r="M38" s="49"/>
      <c r="N38" s="49"/>
      <c r="O38" s="49"/>
      <c r="P38" s="53"/>
    </row>
    <row r="39" spans="1:16" ht="12.75">
      <c r="A39" s="6" t="s">
        <v>29</v>
      </c>
      <c r="B39" s="101">
        <v>0.00195349</v>
      </c>
      <c r="C39" s="102">
        <f t="shared" si="0"/>
        <v>7106107</v>
      </c>
      <c r="D39" s="49"/>
      <c r="E39" s="51"/>
      <c r="F39" s="49"/>
      <c r="G39" s="52"/>
      <c r="H39" s="52"/>
      <c r="I39" s="49"/>
      <c r="J39" s="48"/>
      <c r="K39" s="49"/>
      <c r="L39" s="49"/>
      <c r="M39" s="49"/>
      <c r="N39" s="49"/>
      <c r="O39" s="49"/>
      <c r="P39" s="53"/>
    </row>
    <row r="40" spans="1:16" ht="12.75">
      <c r="A40" s="6" t="s">
        <v>30</v>
      </c>
      <c r="B40" s="101">
        <v>0.00794588</v>
      </c>
      <c r="C40" s="102">
        <f t="shared" si="0"/>
        <v>28904306</v>
      </c>
      <c r="D40" s="49"/>
      <c r="E40" s="51"/>
      <c r="F40" s="49"/>
      <c r="G40" s="52"/>
      <c r="H40" s="52"/>
      <c r="I40" s="49"/>
      <c r="J40" s="48"/>
      <c r="K40" s="49"/>
      <c r="L40" s="49"/>
      <c r="M40" s="49"/>
      <c r="N40" s="49"/>
      <c r="O40" s="49"/>
      <c r="P40" s="53"/>
    </row>
    <row r="41" spans="1:16" ht="12.75">
      <c r="A41" s="6" t="s">
        <v>31</v>
      </c>
      <c r="B41" s="101">
        <v>0.03897152</v>
      </c>
      <c r="C41" s="102">
        <f t="shared" si="0"/>
        <v>141764630</v>
      </c>
      <c r="D41" s="49"/>
      <c r="E41" s="51"/>
      <c r="F41" s="49"/>
      <c r="G41" s="52"/>
      <c r="H41" s="52"/>
      <c r="I41" s="49"/>
      <c r="J41" s="48"/>
      <c r="K41" s="49"/>
      <c r="L41" s="49"/>
      <c r="M41" s="49"/>
      <c r="N41" s="49"/>
      <c r="O41" s="49"/>
      <c r="P41" s="53"/>
    </row>
    <row r="42" spans="1:16" ht="12.75">
      <c r="A42" s="6" t="s">
        <v>32</v>
      </c>
      <c r="B42" s="101">
        <v>0.00520713</v>
      </c>
      <c r="C42" s="102">
        <f t="shared" si="0"/>
        <v>18941700</v>
      </c>
      <c r="D42" s="49"/>
      <c r="E42" s="51"/>
      <c r="F42" s="49"/>
      <c r="G42" s="52"/>
      <c r="H42" s="52"/>
      <c r="I42" s="49"/>
      <c r="J42" s="48"/>
      <c r="K42" s="49"/>
      <c r="L42" s="49"/>
      <c r="M42" s="49"/>
      <c r="N42" s="49"/>
      <c r="O42" s="49"/>
      <c r="P42" s="53"/>
    </row>
    <row r="43" spans="1:16" ht="12.75">
      <c r="A43" s="6" t="s">
        <v>33</v>
      </c>
      <c r="B43" s="101">
        <v>0.12724791</v>
      </c>
      <c r="C43" s="102">
        <f>ROUND(B43*$B$73,0)-2</f>
        <v>462882967</v>
      </c>
      <c r="D43" s="49"/>
      <c r="E43" s="51"/>
      <c r="F43" s="49"/>
      <c r="G43" s="52"/>
      <c r="H43" s="52"/>
      <c r="I43" s="49"/>
      <c r="J43" s="48"/>
      <c r="K43" s="49"/>
      <c r="L43" s="49"/>
      <c r="M43" s="49"/>
      <c r="N43" s="49"/>
      <c r="O43" s="49"/>
      <c r="P43" s="53"/>
    </row>
    <row r="44" spans="1:16" ht="12.75">
      <c r="A44" s="6" t="s">
        <v>34</v>
      </c>
      <c r="B44" s="101">
        <v>0.0189638</v>
      </c>
      <c r="C44" s="102">
        <f t="shared" si="0"/>
        <v>68983609</v>
      </c>
      <c r="D44" s="49"/>
      <c r="E44" s="51"/>
      <c r="F44" s="49"/>
      <c r="G44" s="52"/>
      <c r="H44" s="52"/>
      <c r="I44" s="49"/>
      <c r="J44" s="48"/>
      <c r="K44" s="49"/>
      <c r="L44" s="49"/>
      <c r="M44" s="49"/>
      <c r="N44" s="49"/>
      <c r="O44" s="49"/>
      <c r="P44" s="53"/>
    </row>
    <row r="45" spans="1:16" ht="12.75">
      <c r="A45" s="6" t="s">
        <v>35</v>
      </c>
      <c r="B45" s="101">
        <v>0.00799548</v>
      </c>
      <c r="C45" s="102">
        <f t="shared" si="0"/>
        <v>29084733</v>
      </c>
      <c r="D45" s="49"/>
      <c r="E45" s="51"/>
      <c r="F45" s="49"/>
      <c r="G45" s="52"/>
      <c r="H45" s="52"/>
      <c r="I45" s="49"/>
      <c r="J45" s="48"/>
      <c r="K45" s="49"/>
      <c r="L45" s="49"/>
      <c r="M45" s="49"/>
      <c r="N45" s="49"/>
      <c r="O45" s="49"/>
      <c r="P45" s="53"/>
    </row>
    <row r="46" spans="1:16" ht="12.75">
      <c r="A46" s="6" t="s">
        <v>36</v>
      </c>
      <c r="B46" s="101">
        <v>0.0513862</v>
      </c>
      <c r="C46" s="102">
        <f t="shared" si="0"/>
        <v>186924853</v>
      </c>
      <c r="D46" s="49"/>
      <c r="E46" s="51"/>
      <c r="F46" s="49"/>
      <c r="G46" s="52"/>
      <c r="H46" s="52"/>
      <c r="I46" s="49"/>
      <c r="J46" s="48"/>
      <c r="K46" s="49"/>
      <c r="L46" s="49"/>
      <c r="M46" s="49"/>
      <c r="N46" s="49"/>
      <c r="O46" s="49"/>
      <c r="P46" s="53"/>
    </row>
    <row r="47" spans="1:16" ht="12.75">
      <c r="A47" s="6" t="s">
        <v>37</v>
      </c>
      <c r="B47" s="101">
        <v>0.00790558</v>
      </c>
      <c r="C47" s="102">
        <f t="shared" si="0"/>
        <v>28757709</v>
      </c>
      <c r="D47" s="49"/>
      <c r="E47" s="51"/>
      <c r="F47" s="49"/>
      <c r="G47" s="52"/>
      <c r="H47" s="52"/>
      <c r="I47" s="49"/>
      <c r="J47" s="48"/>
      <c r="K47" s="49"/>
      <c r="L47" s="49"/>
      <c r="M47" s="49"/>
      <c r="N47" s="49"/>
      <c r="O47" s="49"/>
      <c r="P47" s="53"/>
    </row>
    <row r="48" spans="1:16" ht="12.75">
      <c r="A48" s="6" t="s">
        <v>38</v>
      </c>
      <c r="B48" s="101">
        <v>0.01246826</v>
      </c>
      <c r="C48" s="102">
        <f t="shared" si="0"/>
        <v>45355128</v>
      </c>
      <c r="D48" s="49"/>
      <c r="E48" s="51"/>
      <c r="F48" s="49"/>
      <c r="G48" s="52"/>
      <c r="H48" s="52"/>
      <c r="I48" s="49"/>
      <c r="J48" s="48"/>
      <c r="K48" s="49"/>
      <c r="L48" s="49"/>
      <c r="M48" s="49"/>
      <c r="N48" s="49"/>
      <c r="O48" s="49"/>
      <c r="P48" s="53"/>
    </row>
    <row r="49" spans="1:16" ht="12.75">
      <c r="A49" s="6" t="s">
        <v>39</v>
      </c>
      <c r="B49" s="101">
        <v>0.0683509</v>
      </c>
      <c r="C49" s="102">
        <f t="shared" si="0"/>
        <v>248636441</v>
      </c>
      <c r="D49" s="49"/>
      <c r="E49" s="51"/>
      <c r="F49" s="49"/>
      <c r="G49" s="52"/>
      <c r="H49" s="52"/>
      <c r="I49" s="49"/>
      <c r="J49" s="48"/>
      <c r="K49" s="49"/>
      <c r="L49" s="49"/>
      <c r="M49" s="49"/>
      <c r="N49" s="49"/>
      <c r="O49" s="49"/>
      <c r="P49" s="53"/>
    </row>
    <row r="50" spans="1:16" ht="12.75">
      <c r="A50" s="6" t="s">
        <v>40</v>
      </c>
      <c r="B50" s="101">
        <v>0.00691008</v>
      </c>
      <c r="C50" s="102">
        <f t="shared" si="0"/>
        <v>25136431</v>
      </c>
      <c r="D50" s="49"/>
      <c r="E50" s="51"/>
      <c r="F50" s="49"/>
      <c r="G50" s="52"/>
      <c r="H50" s="52"/>
      <c r="I50" s="49"/>
      <c r="J50" s="48"/>
      <c r="K50" s="49"/>
      <c r="L50" s="49"/>
      <c r="M50" s="49"/>
      <c r="N50" s="49"/>
      <c r="O50" s="49"/>
      <c r="P50" s="53"/>
    </row>
    <row r="51" spans="1:16" ht="12.75">
      <c r="A51" s="6" t="s">
        <v>41</v>
      </c>
      <c r="B51" s="101">
        <v>0.00683051</v>
      </c>
      <c r="C51" s="102">
        <f t="shared" si="0"/>
        <v>24846984</v>
      </c>
      <c r="D51" s="49"/>
      <c r="E51" s="51"/>
      <c r="F51" s="49"/>
      <c r="G51" s="52"/>
      <c r="H51" s="52"/>
      <c r="I51" s="49"/>
      <c r="J51" s="48"/>
      <c r="K51" s="49"/>
      <c r="L51" s="49"/>
      <c r="M51" s="49"/>
      <c r="N51" s="49"/>
      <c r="O51" s="49"/>
      <c r="P51" s="53"/>
    </row>
    <row r="52" spans="1:16" ht="12.75">
      <c r="A52" s="6" t="s">
        <v>42</v>
      </c>
      <c r="B52" s="101">
        <v>0.00649373</v>
      </c>
      <c r="C52" s="102">
        <f t="shared" si="0"/>
        <v>23621897</v>
      </c>
      <c r="D52" s="49"/>
      <c r="E52" s="51"/>
      <c r="F52" s="49"/>
      <c r="G52" s="52"/>
      <c r="H52" s="52"/>
      <c r="I52" s="49"/>
      <c r="J52" s="48"/>
      <c r="K52" s="49"/>
      <c r="L52" s="49"/>
      <c r="M52" s="49"/>
      <c r="N52" s="49"/>
      <c r="O52" s="49"/>
      <c r="P52" s="53"/>
    </row>
    <row r="53" spans="1:16" ht="12.75">
      <c r="A53" s="6" t="s">
        <v>43</v>
      </c>
      <c r="B53" s="101">
        <v>0.01386403</v>
      </c>
      <c r="C53" s="102">
        <f t="shared" si="0"/>
        <v>50432446</v>
      </c>
      <c r="D53" s="49"/>
      <c r="E53" s="51"/>
      <c r="F53" s="49"/>
      <c r="G53" s="52"/>
      <c r="H53" s="52"/>
      <c r="I53" s="49"/>
      <c r="J53" s="48"/>
      <c r="K53" s="49"/>
      <c r="L53" s="49"/>
      <c r="M53" s="49"/>
      <c r="N53" s="49"/>
      <c r="O53" s="49"/>
      <c r="P53" s="53"/>
    </row>
    <row r="54" spans="1:16" ht="12.75">
      <c r="A54" s="6" t="s">
        <v>44</v>
      </c>
      <c r="B54" s="101">
        <v>0.02263997</v>
      </c>
      <c r="C54" s="102">
        <f t="shared" si="0"/>
        <v>82356217</v>
      </c>
      <c r="D54" s="49"/>
      <c r="E54" s="51"/>
      <c r="F54" s="49"/>
      <c r="G54" s="52"/>
      <c r="H54" s="52"/>
      <c r="I54" s="49"/>
      <c r="J54" s="48"/>
      <c r="K54" s="49"/>
      <c r="L54" s="49"/>
      <c r="M54" s="49"/>
      <c r="N54" s="49"/>
      <c r="O54" s="49"/>
      <c r="P54" s="53"/>
    </row>
    <row r="55" spans="1:16" ht="12.75">
      <c r="A55" s="6" t="s">
        <v>45</v>
      </c>
      <c r="B55" s="101">
        <v>0.00747576</v>
      </c>
      <c r="C55" s="102">
        <f t="shared" si="0"/>
        <v>27194175</v>
      </c>
      <c r="D55" s="49"/>
      <c r="E55" s="51"/>
      <c r="F55" s="49"/>
      <c r="G55" s="52"/>
      <c r="H55" s="52"/>
      <c r="I55" s="49"/>
      <c r="J55" s="48"/>
      <c r="K55" s="49"/>
      <c r="L55" s="49"/>
      <c r="M55" s="49"/>
      <c r="N55" s="49"/>
      <c r="O55" s="49"/>
      <c r="P55" s="53"/>
    </row>
    <row r="56" spans="1:16" ht="12.75">
      <c r="A56" s="6" t="s">
        <v>46</v>
      </c>
      <c r="B56" s="101">
        <v>0.00595572</v>
      </c>
      <c r="C56" s="102">
        <f t="shared" si="0"/>
        <v>21664807</v>
      </c>
      <c r="D56" s="49"/>
      <c r="E56" s="51"/>
      <c r="F56" s="49"/>
      <c r="G56" s="52"/>
      <c r="H56" s="52"/>
      <c r="I56" s="49"/>
      <c r="J56" s="48"/>
      <c r="K56" s="49"/>
      <c r="L56" s="49"/>
      <c r="M56" s="49"/>
      <c r="N56" s="49"/>
      <c r="O56" s="49"/>
      <c r="P56" s="53"/>
    </row>
    <row r="57" spans="1:16" ht="12.75">
      <c r="A57" s="6" t="s">
        <v>47</v>
      </c>
      <c r="B57" s="101">
        <v>0.01957379</v>
      </c>
      <c r="C57" s="102">
        <f t="shared" si="0"/>
        <v>71202537</v>
      </c>
      <c r="D57" s="49"/>
      <c r="E57" s="51"/>
      <c r="F57" s="49"/>
      <c r="G57" s="52"/>
      <c r="H57" s="52"/>
      <c r="I57" s="49"/>
      <c r="J57" s="48"/>
      <c r="K57" s="49"/>
      <c r="L57" s="49"/>
      <c r="M57" s="49"/>
      <c r="N57" s="49"/>
      <c r="O57" s="49"/>
      <c r="P57" s="53"/>
    </row>
    <row r="58" spans="1:16" ht="12.75">
      <c r="A58" s="6" t="s">
        <v>48</v>
      </c>
      <c r="B58" s="101">
        <v>0.02050857</v>
      </c>
      <c r="C58" s="102">
        <f t="shared" si="0"/>
        <v>74602937</v>
      </c>
      <c r="D58" s="49"/>
      <c r="E58" s="51"/>
      <c r="F58" s="49"/>
      <c r="G58" s="52"/>
      <c r="H58" s="52"/>
      <c r="I58" s="49"/>
      <c r="J58" s="48"/>
      <c r="K58" s="49"/>
      <c r="L58" s="49"/>
      <c r="M58" s="49"/>
      <c r="N58" s="49"/>
      <c r="O58" s="49"/>
      <c r="P58" s="53"/>
    </row>
    <row r="59" spans="1:16" ht="12.75">
      <c r="A59" s="6" t="s">
        <v>49</v>
      </c>
      <c r="B59" s="101">
        <v>0.00905733</v>
      </c>
      <c r="C59" s="102">
        <f t="shared" si="0"/>
        <v>32947369</v>
      </c>
      <c r="D59" s="49"/>
      <c r="E59" s="51"/>
      <c r="F59" s="49"/>
      <c r="G59" s="52"/>
      <c r="H59" s="52"/>
      <c r="I59" s="49"/>
      <c r="J59" s="48"/>
      <c r="K59" s="49"/>
      <c r="L59" s="49"/>
      <c r="M59" s="49"/>
      <c r="N59" s="49"/>
      <c r="O59" s="49"/>
      <c r="P59" s="53"/>
    </row>
    <row r="60" spans="1:16" ht="12.75">
      <c r="A60" s="6" t="s">
        <v>50</v>
      </c>
      <c r="B60" s="101">
        <v>0.03576365</v>
      </c>
      <c r="C60" s="102">
        <f t="shared" si="0"/>
        <v>130095532</v>
      </c>
      <c r="D60" s="49"/>
      <c r="E60" s="51"/>
      <c r="F60" s="49"/>
      <c r="G60" s="52"/>
      <c r="H60" s="52"/>
      <c r="I60" s="49"/>
      <c r="J60" s="48"/>
      <c r="K60" s="49"/>
      <c r="L60" s="49"/>
      <c r="M60" s="49"/>
      <c r="N60" s="49"/>
      <c r="O60" s="49"/>
      <c r="P60" s="53"/>
    </row>
    <row r="61" spans="1:16" ht="12.75">
      <c r="A61" s="6" t="s">
        <v>51</v>
      </c>
      <c r="B61" s="101">
        <v>0.00299313</v>
      </c>
      <c r="C61" s="102">
        <f>ROUND(B61*$B$73,0)</f>
        <v>10887950</v>
      </c>
      <c r="D61" s="49"/>
      <c r="E61" s="51"/>
      <c r="F61" s="49"/>
      <c r="G61" s="52"/>
      <c r="H61" s="52"/>
      <c r="I61" s="49"/>
      <c r="J61" s="48"/>
      <c r="K61" s="49"/>
      <c r="L61" s="49"/>
      <c r="M61" s="49"/>
      <c r="N61" s="49"/>
      <c r="O61" s="49"/>
      <c r="P61" s="53"/>
    </row>
    <row r="62" spans="1:16" ht="12.75">
      <c r="A62" s="47"/>
      <c r="B62" s="103"/>
      <c r="C62" s="103"/>
      <c r="D62" s="49"/>
      <c r="E62" s="47"/>
      <c r="F62" s="47"/>
      <c r="G62" s="47"/>
      <c r="H62" s="47"/>
      <c r="I62" s="47"/>
      <c r="J62" s="54"/>
      <c r="K62" s="55"/>
      <c r="L62" s="55"/>
      <c r="M62" s="56"/>
      <c r="N62" s="59"/>
      <c r="P62" s="29"/>
    </row>
    <row r="63" spans="1:16" ht="12.75">
      <c r="A63" s="47"/>
      <c r="B63" s="103"/>
      <c r="C63" s="104">
        <f>SUM(C11:C61)</f>
        <v>3637646927</v>
      </c>
      <c r="D63" s="57"/>
      <c r="E63" s="51"/>
      <c r="F63" s="49"/>
      <c r="G63" s="52"/>
      <c r="H63" s="52"/>
      <c r="I63" s="49"/>
      <c r="J63" s="48"/>
      <c r="K63" s="6"/>
      <c r="L63" s="6"/>
      <c r="M63" s="58"/>
      <c r="N63" s="49"/>
      <c r="O63" s="49"/>
      <c r="P63" s="59"/>
    </row>
    <row r="64" spans="1:14" ht="12.75">
      <c r="A64" s="6" t="s">
        <v>77</v>
      </c>
      <c r="B64" s="47"/>
      <c r="C64" s="73"/>
      <c r="D64" s="47"/>
      <c r="E64" s="47"/>
      <c r="F64" s="47"/>
      <c r="G64" s="47"/>
      <c r="H64" s="47"/>
      <c r="I64" s="47"/>
      <c r="J64" s="54"/>
      <c r="K64" s="47"/>
      <c r="L64" s="47"/>
      <c r="M64" s="47"/>
      <c r="N64" s="49"/>
    </row>
    <row r="65" spans="1:13" ht="12.75">
      <c r="A65" s="6"/>
      <c r="B65" s="61"/>
      <c r="C65" s="61"/>
      <c r="D65" s="47"/>
      <c r="E65" s="47"/>
      <c r="F65" s="47"/>
      <c r="G65" s="54"/>
      <c r="H65" s="47"/>
      <c r="I65" s="47"/>
      <c r="J65" s="47"/>
      <c r="L65" s="61"/>
      <c r="M65" s="25"/>
    </row>
    <row r="66" spans="1:13" ht="12.75">
      <c r="A66" s="6" t="s">
        <v>79</v>
      </c>
      <c r="B66" s="54">
        <f>+C5</f>
        <v>3669880000</v>
      </c>
      <c r="C66" s="49"/>
      <c r="D66" s="63"/>
      <c r="E66" s="63"/>
      <c r="F66" s="54"/>
      <c r="G66" s="54"/>
      <c r="H66" s="47"/>
      <c r="I66" s="47"/>
      <c r="J66" s="47"/>
      <c r="L66" s="54"/>
      <c r="M66" s="64"/>
    </row>
    <row r="67" spans="1:13" ht="12.75">
      <c r="A67" s="6" t="s">
        <v>80</v>
      </c>
      <c r="B67" s="49">
        <v>27000000</v>
      </c>
      <c r="C67" s="49"/>
      <c r="D67" s="54"/>
      <c r="E67" s="54"/>
      <c r="F67" s="54"/>
      <c r="G67" s="54"/>
      <c r="H67" s="47"/>
      <c r="I67" s="47"/>
      <c r="J67" s="47"/>
      <c r="L67" s="54"/>
      <c r="M67" s="64"/>
    </row>
    <row r="68" spans="1:13" ht="12.75">
      <c r="A68" s="47" t="s">
        <v>81</v>
      </c>
      <c r="B68" s="49">
        <f>B66-B67</f>
        <v>3642880000</v>
      </c>
      <c r="C68" s="49"/>
      <c r="D68" s="49"/>
      <c r="E68" s="49"/>
      <c r="F68" s="49"/>
      <c r="G68" s="54"/>
      <c r="H68" s="47"/>
      <c r="I68" s="47"/>
      <c r="J68" s="47"/>
      <c r="L68" s="49"/>
      <c r="M68" s="64"/>
    </row>
    <row r="69" spans="1:13" ht="12.75">
      <c r="A69" s="47" t="s">
        <v>82</v>
      </c>
      <c r="B69" s="49">
        <v>300000</v>
      </c>
      <c r="D69" s="49"/>
      <c r="E69" s="49"/>
      <c r="F69" s="49"/>
      <c r="G69" s="54"/>
      <c r="H69" s="47"/>
      <c r="I69" s="47"/>
      <c r="J69" s="47"/>
      <c r="L69" s="54"/>
      <c r="M69" s="64"/>
    </row>
    <row r="70" spans="1:13" ht="12.75">
      <c r="A70" s="47" t="s">
        <v>81</v>
      </c>
      <c r="B70" s="49">
        <f>B68-B69</f>
        <v>3642580000</v>
      </c>
      <c r="D70" s="49"/>
      <c r="E70" s="49"/>
      <c r="F70" s="49"/>
      <c r="G70" s="54"/>
      <c r="H70" s="47"/>
      <c r="I70" s="47"/>
      <c r="J70" s="47"/>
      <c r="L70" s="49"/>
      <c r="M70" s="64"/>
    </row>
    <row r="71" spans="1:13" ht="12.75">
      <c r="A71" s="24" t="s">
        <v>83</v>
      </c>
      <c r="B71" s="50">
        <v>0.00135428</v>
      </c>
      <c r="D71" s="66"/>
      <c r="E71" s="67"/>
      <c r="F71" s="49"/>
      <c r="G71" s="54"/>
      <c r="H71" s="47"/>
      <c r="I71" s="47"/>
      <c r="J71" s="47"/>
      <c r="L71" s="50"/>
      <c r="M71" s="68"/>
    </row>
    <row r="72" spans="1:13" ht="12.75">
      <c r="A72" s="47" t="s">
        <v>84</v>
      </c>
      <c r="B72" s="49">
        <f>ROUND(B70*B71,0)</f>
        <v>4933073</v>
      </c>
      <c r="C72" s="49"/>
      <c r="D72" s="49"/>
      <c r="E72" s="49"/>
      <c r="F72" s="49"/>
      <c r="G72" s="54"/>
      <c r="H72" s="47"/>
      <c r="I72" s="47"/>
      <c r="J72" s="47"/>
      <c r="L72" s="49"/>
      <c r="M72" s="64"/>
    </row>
    <row r="73" spans="1:13" ht="12.75">
      <c r="A73" s="47" t="s">
        <v>85</v>
      </c>
      <c r="B73" s="49">
        <f>B70-B72</f>
        <v>3637646927</v>
      </c>
      <c r="D73" s="49"/>
      <c r="E73" s="49"/>
      <c r="F73" s="49"/>
      <c r="G73" s="54"/>
      <c r="H73" s="47"/>
      <c r="I73" s="47"/>
      <c r="J73" s="47"/>
      <c r="L73" s="49"/>
      <c r="M73" s="64"/>
    </row>
    <row r="74" spans="1:13" ht="12.75">
      <c r="A74" s="47"/>
      <c r="B74" s="47"/>
      <c r="C74" s="49"/>
      <c r="D74" s="49"/>
      <c r="E74" s="49"/>
      <c r="F74" s="49"/>
      <c r="G74" s="49"/>
      <c r="H74" s="49"/>
      <c r="I74" s="49"/>
      <c r="J74" s="54"/>
      <c r="K74" s="47"/>
      <c r="L74" s="47"/>
      <c r="M74" s="47"/>
    </row>
    <row r="75" spans="1:13" ht="12.75">
      <c r="A75" s="47"/>
      <c r="B75" s="47"/>
      <c r="C75" s="49"/>
      <c r="D75" s="49"/>
      <c r="E75" s="49"/>
      <c r="F75" s="49"/>
      <c r="G75" s="49"/>
      <c r="H75" s="49"/>
      <c r="I75" s="49"/>
      <c r="J75" s="54"/>
      <c r="K75" s="47"/>
      <c r="L75" s="47"/>
      <c r="M75" s="47"/>
    </row>
    <row r="76" spans="1:10" ht="12.75">
      <c r="A76" s="32" t="s">
        <v>84</v>
      </c>
      <c r="B76" s="32" t="s">
        <v>86</v>
      </c>
      <c r="C76" s="14" t="str">
        <f>"Territory Allocations at $3.67B"</f>
        <v>Territory Allocations at $3.67B</v>
      </c>
      <c r="D76" s="19"/>
      <c r="E76" s="14"/>
      <c r="J76" s="26"/>
    </row>
    <row r="77" spans="1:10" ht="12.75">
      <c r="A77" s="10" t="s">
        <v>53</v>
      </c>
      <c r="B77" s="15">
        <v>0.01654258</v>
      </c>
      <c r="C77" s="16">
        <f>ROUND(B77*$B$72,0)</f>
        <v>81606</v>
      </c>
      <c r="D77" s="20"/>
      <c r="E77" s="74"/>
      <c r="J77" s="26"/>
    </row>
    <row r="78" spans="1:10" ht="12.75">
      <c r="A78" s="10" t="s">
        <v>54</v>
      </c>
      <c r="B78" s="15">
        <v>0.03626904</v>
      </c>
      <c r="C78" s="16">
        <f>ROUND(B78*$B$72,0)</f>
        <v>178918</v>
      </c>
      <c r="D78" s="20"/>
      <c r="E78" s="74"/>
      <c r="J78" s="26"/>
    </row>
    <row r="79" spans="1:10" ht="12.75">
      <c r="A79" s="10" t="s">
        <v>55</v>
      </c>
      <c r="B79" s="15">
        <v>0.01259719</v>
      </c>
      <c r="C79" s="16">
        <f>ROUND(B79*$B$72,0)</f>
        <v>62143</v>
      </c>
      <c r="D79" s="20"/>
      <c r="E79" s="74"/>
      <c r="J79" s="26"/>
    </row>
    <row r="80" spans="1:10" ht="12.75">
      <c r="A80" s="10" t="s">
        <v>56</v>
      </c>
      <c r="B80" s="15">
        <v>0.90029483</v>
      </c>
      <c r="C80" s="16">
        <f>ROUND(B80*$B$72,0)</f>
        <v>4441220</v>
      </c>
      <c r="D80" s="20"/>
      <c r="E80" s="74"/>
      <c r="J80" s="26"/>
    </row>
    <row r="81" spans="1:10" ht="13.5" thickBot="1">
      <c r="A81" s="10" t="s">
        <v>57</v>
      </c>
      <c r="B81" s="15">
        <v>0.03429636</v>
      </c>
      <c r="C81" s="100">
        <f>ROUND(B81*$B$72,0)</f>
        <v>169186</v>
      </c>
      <c r="D81" s="20"/>
      <c r="E81" s="74"/>
      <c r="J81" s="26"/>
    </row>
    <row r="82" spans="1:10" ht="13.5" thickTop="1">
      <c r="A82" s="17" t="s">
        <v>52</v>
      </c>
      <c r="B82" s="18"/>
      <c r="C82" s="16">
        <f>SUM(C77:C81)</f>
        <v>4933073</v>
      </c>
      <c r="D82" s="20"/>
      <c r="E82" s="16"/>
      <c r="J82" s="26"/>
    </row>
    <row r="83" ht="12.75">
      <c r="E83" s="71"/>
    </row>
    <row r="84" ht="12.75">
      <c r="A84" s="10" t="str">
        <f>"DEA/PE "&amp;TEXT('FY09_$840M_NewFormula'!$G$2,"dd-MMM-yy")</f>
        <v>DEA/PE 24-Oct-08</v>
      </c>
    </row>
  </sheetData>
  <mergeCells count="2">
    <mergeCell ref="A1:C1"/>
    <mergeCell ref="A3:C3"/>
  </mergeCells>
  <printOptions gridLines="1" horizontalCentered="1"/>
  <pageMargins left="0.25" right="0.25" top="0.25" bottom="0.75" header="0.5" footer="0.5"/>
  <pageSetup fitToHeight="2" horizontalDpi="600" verticalDpi="600" orientation="portrait" scale="66" r:id="rId1"/>
  <headerFooter alignWithMargins="0">
    <oddFooter>&amp;L&amp;"Arial,Regular"'&amp;F' [&amp;A]&amp;R&amp;"Arial,Regular"Page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Q82"/>
  <sheetViews>
    <sheetView workbookViewId="0" topLeftCell="A1">
      <pane xSplit="1" ySplit="7" topLeftCell="B8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B8" sqref="B8"/>
    </sheetView>
  </sheetViews>
  <sheetFormatPr defaultColWidth="20.83203125" defaultRowHeight="12.75"/>
  <cols>
    <col min="1" max="1" width="22.66015625" style="26" customWidth="1"/>
    <col min="2" max="2" width="18.33203125" style="26" customWidth="1"/>
    <col min="3" max="3" width="21.33203125" style="26" customWidth="1"/>
    <col min="4" max="4" width="22.5" style="26" customWidth="1"/>
    <col min="5" max="5" width="18.33203125" style="26" customWidth="1"/>
    <col min="6" max="6" width="26.33203125" style="26" customWidth="1"/>
    <col min="7" max="8" width="17" style="26" customWidth="1"/>
    <col min="9" max="9" width="28.33203125" style="26" customWidth="1"/>
    <col min="10" max="10" width="28.33203125" style="28" customWidth="1"/>
    <col min="11" max="13" width="28.33203125" style="26" customWidth="1"/>
    <col min="14" max="16" width="38.16015625" style="26" customWidth="1"/>
    <col min="17" max="16384" width="12.83203125" style="26" customWidth="1"/>
  </cols>
  <sheetData>
    <row r="1" spans="2:16" s="29" customFormat="1" ht="25.5" customHeight="1">
      <c r="B1" s="179" t="s">
        <v>114</v>
      </c>
      <c r="C1" s="179"/>
      <c r="D1" s="179"/>
      <c r="E1" s="179"/>
      <c r="F1" s="179"/>
      <c r="G1" s="179"/>
      <c r="H1" s="179"/>
      <c r="I1" s="179" t="s">
        <v>114</v>
      </c>
      <c r="J1" s="182"/>
      <c r="K1" s="182"/>
      <c r="L1" s="182"/>
      <c r="M1" s="182"/>
      <c r="N1" s="179" t="s">
        <v>114</v>
      </c>
      <c r="O1" s="183"/>
      <c r="P1" s="183"/>
    </row>
    <row r="2" spans="2:17" ht="36.75">
      <c r="B2" s="75" t="s">
        <v>99</v>
      </c>
      <c r="C2" s="76">
        <v>2814792000</v>
      </c>
      <c r="D2" s="26" t="s">
        <v>58</v>
      </c>
      <c r="E2" s="33">
        <f>F60-N60</f>
        <v>0</v>
      </c>
      <c r="F2" s="34"/>
      <c r="G2" s="4" t="str">
        <f>TEXT(States_Territories!$F$3,"dd-MMM-yy")</f>
        <v>24-Oct-08</v>
      </c>
      <c r="H2" s="13"/>
      <c r="L2" s="4" t="str">
        <f>TEXT(States_Territories!$F$3,"dd-MMM-yy")</f>
        <v>24-Oct-08</v>
      </c>
      <c r="N2" s="4" t="str">
        <f>TEXT(States_Territories!$F$3,"dd-MMM-yy")</f>
        <v>24-Oct-08</v>
      </c>
      <c r="O2" s="27" t="s">
        <v>100</v>
      </c>
      <c r="P2" s="27" t="s">
        <v>105</v>
      </c>
      <c r="Q2" s="28"/>
    </row>
    <row r="3" spans="2:16" ht="12.75">
      <c r="B3" s="26" t="s">
        <v>59</v>
      </c>
      <c r="C3" s="35">
        <v>2.6964842640574984</v>
      </c>
      <c r="E3" s="92"/>
      <c r="F3" s="92"/>
      <c r="H3" s="92"/>
      <c r="O3" s="28">
        <f>C2-P3</f>
        <v>1975000000</v>
      </c>
      <c r="P3" s="28">
        <v>839792000</v>
      </c>
    </row>
    <row r="4" spans="2:16" ht="12.75">
      <c r="B4" s="180" t="s">
        <v>296</v>
      </c>
      <c r="C4" s="181"/>
      <c r="D4" s="181"/>
      <c r="E4" s="181"/>
      <c r="F4" s="181"/>
      <c r="G4" s="181"/>
      <c r="H4" s="181"/>
      <c r="I4" s="180" t="s">
        <v>296</v>
      </c>
      <c r="J4" s="181"/>
      <c r="K4" s="181"/>
      <c r="L4" s="181"/>
      <c r="M4" s="181"/>
      <c r="N4" s="180" t="s">
        <v>296</v>
      </c>
      <c r="O4" s="181"/>
      <c r="P4" s="181"/>
    </row>
    <row r="5" spans="1:16" s="30" customFormat="1" ht="12.75">
      <c r="A5" s="5" t="str">
        <f aca="true" t="shared" si="0" ref="A5:M5">IF(COLUMN()&lt;=26,CHAR(64+COLUMN()),CHAR(64+ROUNDDOWN((COLUMN()-1)/26,0))&amp;CHAR(65+MOD((COLUMN()-1),26)))</f>
        <v>A</v>
      </c>
      <c r="B5" s="5" t="str">
        <f t="shared" si="0"/>
        <v>B</v>
      </c>
      <c r="C5" s="5" t="str">
        <f t="shared" si="0"/>
        <v>C</v>
      </c>
      <c r="D5" s="5" t="str">
        <f t="shared" si="0"/>
        <v>D</v>
      </c>
      <c r="E5" s="5" t="str">
        <f t="shared" si="0"/>
        <v>E</v>
      </c>
      <c r="F5" s="5" t="str">
        <f t="shared" si="0"/>
        <v>F</v>
      </c>
      <c r="G5" s="5" t="str">
        <f t="shared" si="0"/>
        <v>G</v>
      </c>
      <c r="H5" s="5" t="str">
        <f t="shared" si="0"/>
        <v>H</v>
      </c>
      <c r="I5" s="5" t="str">
        <f t="shared" si="0"/>
        <v>I</v>
      </c>
      <c r="J5" s="5" t="str">
        <f t="shared" si="0"/>
        <v>J</v>
      </c>
      <c r="K5" s="5" t="str">
        <f t="shared" si="0"/>
        <v>K</v>
      </c>
      <c r="L5" s="5" t="str">
        <f t="shared" si="0"/>
        <v>L</v>
      </c>
      <c r="M5" s="5" t="str">
        <f t="shared" si="0"/>
        <v>M</v>
      </c>
      <c r="N5" s="5" t="str">
        <f>IF(COLUMN()&lt;=26,CHAR(64+COLUMN()),CHAR(64+ROUNDDOWN((COLUMN()-1)/26,0))&amp;CHAR(65+MOD((COLUMN()-1),26)))</f>
        <v>N</v>
      </c>
      <c r="O5" s="5" t="str">
        <f>IF(COLUMN()&lt;=26,CHAR(64+COLUMN()),CHAR(64+ROUNDDOWN((COLUMN()-1)/26,0))&amp;CHAR(65+MOD((COLUMN()-1),26)))</f>
        <v>O</v>
      </c>
      <c r="P5" s="5" t="str">
        <f>IF(COLUMN()&lt;=26,CHAR(64+COLUMN()),CHAR(64+ROUNDDOWN((COLUMN()-1)/26,0))&amp;CHAR(65+MOD((COLUMN()-1),26)))</f>
        <v>P</v>
      </c>
    </row>
    <row r="6" spans="1:16" s="27" customFormat="1" ht="12.75">
      <c r="A6" s="37"/>
      <c r="B6" s="38" t="s">
        <v>60</v>
      </c>
      <c r="C6" s="38" t="s">
        <v>61</v>
      </c>
      <c r="D6" s="38" t="s">
        <v>62</v>
      </c>
      <c r="E6" s="38" t="s">
        <v>63</v>
      </c>
      <c r="F6" s="38" t="s">
        <v>64</v>
      </c>
      <c r="G6" s="38" t="s">
        <v>88</v>
      </c>
      <c r="H6" s="38" t="s">
        <v>89</v>
      </c>
      <c r="I6" s="38" t="s">
        <v>90</v>
      </c>
      <c r="J6" s="39" t="s">
        <v>101</v>
      </c>
      <c r="K6" s="40" t="s">
        <v>65</v>
      </c>
      <c r="L6" s="40" t="s">
        <v>66</v>
      </c>
      <c r="M6" s="40" t="s">
        <v>67</v>
      </c>
      <c r="N6" s="40" t="str">
        <f>"Allocations under New-Formula"</f>
        <v>Allocations under New-Formula</v>
      </c>
      <c r="O6" s="40" t="s">
        <v>70</v>
      </c>
      <c r="P6" s="41" t="s">
        <v>97</v>
      </c>
    </row>
    <row r="7" spans="1:16" s="31" customFormat="1" ht="36">
      <c r="A7" s="42" t="s">
        <v>68</v>
      </c>
      <c r="B7" s="108" t="s">
        <v>69</v>
      </c>
      <c r="C7" s="108" t="s">
        <v>70</v>
      </c>
      <c r="D7" s="108" t="str">
        <f>"Ceiling Levels Based on FY 1984 Allocations (Col "&amp;C5&amp;" X Ceiling Ratio)"</f>
        <v>Ceiling Levels Based on FY 1984 Allocations (Col C X Ceiling Ratio)</v>
      </c>
      <c r="E7" s="108" t="s">
        <v>98</v>
      </c>
      <c r="F7" s="108" t="str">
        <f>"Home Energy Percents X Allocation (Col "&amp;E5&amp;" X Total to States for FY09)"</f>
        <v>Home Energy Percents X Allocation (Col E X Total to States for FY09)</v>
      </c>
      <c r="G7" s="108" t="s">
        <v>71</v>
      </c>
      <c r="H7" s="108" t="s">
        <v>72</v>
      </c>
      <c r="I7" s="109" t="s">
        <v>91</v>
      </c>
      <c r="J7" s="110" t="s">
        <v>73</v>
      </c>
      <c r="K7" s="108" t="s">
        <v>74</v>
      </c>
      <c r="L7" s="108" t="s">
        <v>75</v>
      </c>
      <c r="M7" s="108" t="s">
        <v>76</v>
      </c>
      <c r="N7" s="111" t="str">
        <f>"Sum  of Columns "&amp;J5&amp;", "&amp;K5&amp;", "&amp;L5&amp;" and "&amp;M5</f>
        <v>Sum  of Columns J, K, L and M</v>
      </c>
      <c r="O7" s="108" t="s">
        <v>96</v>
      </c>
      <c r="P7" s="112" t="str">
        <f>"Col. "&amp;N5&amp;" Minus Col. "&amp;O5</f>
        <v>Col. N Minus Col. O</v>
      </c>
    </row>
    <row r="8" spans="1:14" ht="12.75">
      <c r="A8" s="47"/>
      <c r="B8" s="47"/>
      <c r="C8" s="47"/>
      <c r="D8" s="6"/>
      <c r="E8" s="47"/>
      <c r="F8" s="47"/>
      <c r="G8" s="47"/>
      <c r="I8" s="47"/>
      <c r="J8" s="48"/>
      <c r="K8" s="47"/>
      <c r="L8" s="47"/>
      <c r="M8" s="47"/>
      <c r="N8" s="49"/>
    </row>
    <row r="9" spans="1:16" ht="12.75">
      <c r="A9" s="6" t="s">
        <v>1</v>
      </c>
      <c r="B9" s="50">
        <v>0.00860045</v>
      </c>
      <c r="C9" s="49">
        <f aca="true" t="shared" si="1" ref="C9:C40">ROUND(B9*$C$71,0)</f>
        <v>16962885</v>
      </c>
      <c r="D9" s="49">
        <f aca="true" t="shared" si="2" ref="D9:D40">ROUND(C9*$C$3,0)</f>
        <v>45740152</v>
      </c>
      <c r="E9" s="51">
        <v>0.016500435084886314</v>
      </c>
      <c r="F9" s="49">
        <f aca="true" t="shared" si="3" ref="F9:F19">ROUND(E9*$E$71,0)</f>
        <v>46382393</v>
      </c>
      <c r="G9" s="52">
        <v>0.010274406682838856</v>
      </c>
      <c r="H9" s="52">
        <v>0.011719456253654378</v>
      </c>
      <c r="I9" s="49">
        <f aca="true" t="shared" si="4" ref="I9:I40">IF(AND($C$2&gt;=2250000000,H9&lt;0.01),ROUND(MAX(G9,H9)*$E$71,0),0)</f>
        <v>0</v>
      </c>
      <c r="J9" s="48">
        <f aca="true" t="shared" si="5" ref="J9:J40">IF(AND(F9&gt;C9,F9&gt;I9,D9&lt;F9),D9,0)</f>
        <v>45740152</v>
      </c>
      <c r="K9" s="49">
        <f aca="true" t="shared" si="6" ref="K9:K40">IF(AND(C9&gt;F9,C9&gt;I9),C9,0)</f>
        <v>0</v>
      </c>
      <c r="L9" s="49">
        <f aca="true" t="shared" si="7" ref="L9:L40">IF(AND(I9&gt;C9,I9&gt;F9),I9,0)</f>
        <v>0</v>
      </c>
      <c r="M9" s="49">
        <f aca="true" t="shared" si="8" ref="M9:M40">IF(AND(J9=0,K9=0,L9=0),F9,0)</f>
        <v>0</v>
      </c>
      <c r="N9" s="49">
        <f aca="true" t="shared" si="9" ref="N9:N19">SUM(J9+K9+L9+M9)</f>
        <v>45740152</v>
      </c>
      <c r="O9" s="49">
        <v>16962885</v>
      </c>
      <c r="P9" s="53">
        <f>N9-O9</f>
        <v>28777267</v>
      </c>
    </row>
    <row r="10" spans="1:16" ht="12.75">
      <c r="A10" s="6" t="s">
        <v>2</v>
      </c>
      <c r="B10" s="50">
        <v>0.00548986</v>
      </c>
      <c r="C10" s="49">
        <f t="shared" si="1"/>
        <v>10827790</v>
      </c>
      <c r="D10" s="49">
        <f t="shared" si="2"/>
        <v>29196965</v>
      </c>
      <c r="E10" s="51">
        <v>0.003173142030417604</v>
      </c>
      <c r="F10" s="49">
        <f t="shared" si="3"/>
        <v>8919639</v>
      </c>
      <c r="G10" s="52">
        <v>0.0051320460754079415</v>
      </c>
      <c r="H10" s="52">
        <v>0.004878064401215564</v>
      </c>
      <c r="I10" s="49">
        <f t="shared" si="4"/>
        <v>14426079</v>
      </c>
      <c r="J10" s="48">
        <f t="shared" si="5"/>
        <v>0</v>
      </c>
      <c r="K10" s="49">
        <f t="shared" si="6"/>
        <v>0</v>
      </c>
      <c r="L10" s="49">
        <f t="shared" si="7"/>
        <v>14426079</v>
      </c>
      <c r="M10" s="49">
        <f t="shared" si="8"/>
        <v>0</v>
      </c>
      <c r="N10" s="49">
        <f t="shared" si="9"/>
        <v>14426079</v>
      </c>
      <c r="O10" s="49">
        <v>10827790</v>
      </c>
      <c r="P10" s="53">
        <f aca="true" t="shared" si="10" ref="P10:P58">N10-O10</f>
        <v>3598289</v>
      </c>
    </row>
    <row r="11" spans="1:16" ht="12.75">
      <c r="A11" s="6" t="s">
        <v>3</v>
      </c>
      <c r="B11" s="50">
        <v>0.00415928</v>
      </c>
      <c r="C11" s="49">
        <f t="shared" si="1"/>
        <v>8203453</v>
      </c>
      <c r="D11" s="49">
        <f t="shared" si="2"/>
        <v>22120482</v>
      </c>
      <c r="E11" s="51">
        <v>0.008132345671080904</v>
      </c>
      <c r="F11" s="49">
        <f t="shared" si="3"/>
        <v>22859861</v>
      </c>
      <c r="G11" s="52">
        <v>0.004968825549802794</v>
      </c>
      <c r="H11" s="52">
        <v>0.005667668411125702</v>
      </c>
      <c r="I11" s="49">
        <f t="shared" si="4"/>
        <v>15931702</v>
      </c>
      <c r="J11" s="48">
        <f t="shared" si="5"/>
        <v>22120482</v>
      </c>
      <c r="K11" s="49">
        <f t="shared" si="6"/>
        <v>0</v>
      </c>
      <c r="L11" s="49">
        <f t="shared" si="7"/>
        <v>0</v>
      </c>
      <c r="M11" s="49">
        <f t="shared" si="8"/>
        <v>0</v>
      </c>
      <c r="N11" s="49">
        <f t="shared" si="9"/>
        <v>22120482</v>
      </c>
      <c r="O11" s="49">
        <v>8203453</v>
      </c>
      <c r="P11" s="53">
        <f t="shared" si="10"/>
        <v>13917029</v>
      </c>
    </row>
    <row r="12" spans="1:16" ht="12.75">
      <c r="A12" s="6" t="s">
        <v>4</v>
      </c>
      <c r="B12" s="50">
        <v>0.00656255</v>
      </c>
      <c r="C12" s="49">
        <f t="shared" si="1"/>
        <v>12943483</v>
      </c>
      <c r="D12" s="49">
        <f t="shared" si="2"/>
        <v>34901898</v>
      </c>
      <c r="E12" s="51">
        <v>0.00909600615194088</v>
      </c>
      <c r="F12" s="49">
        <f t="shared" si="3"/>
        <v>25568691</v>
      </c>
      <c r="G12" s="52">
        <v>0.007839858143703606</v>
      </c>
      <c r="H12" s="52">
        <v>0.008942498913323405</v>
      </c>
      <c r="I12" s="49">
        <f t="shared" si="4"/>
        <v>25137185</v>
      </c>
      <c r="J12" s="48">
        <f t="shared" si="5"/>
        <v>0</v>
      </c>
      <c r="K12" s="49">
        <f t="shared" si="6"/>
        <v>0</v>
      </c>
      <c r="L12" s="49">
        <f t="shared" si="7"/>
        <v>0</v>
      </c>
      <c r="M12" s="49">
        <f t="shared" si="8"/>
        <v>25568691</v>
      </c>
      <c r="N12" s="49">
        <f t="shared" si="9"/>
        <v>25568691</v>
      </c>
      <c r="O12" s="49">
        <v>12943483</v>
      </c>
      <c r="P12" s="53">
        <f t="shared" si="10"/>
        <v>12625208</v>
      </c>
    </row>
    <row r="13" spans="1:16" ht="12.75">
      <c r="A13" s="6" t="s">
        <v>5</v>
      </c>
      <c r="B13" s="50">
        <v>0.04613891</v>
      </c>
      <c r="C13" s="49">
        <f t="shared" si="1"/>
        <v>91000939</v>
      </c>
      <c r="D13" s="49">
        <f t="shared" si="2"/>
        <v>245382600</v>
      </c>
      <c r="E13" s="51">
        <v>0.05302706124495922</v>
      </c>
      <c r="F13" s="49">
        <f t="shared" si="3"/>
        <v>149058008</v>
      </c>
      <c r="G13" s="52">
        <v>0.05302706126678882</v>
      </c>
      <c r="H13" s="52">
        <v>0.05302706115641178</v>
      </c>
      <c r="I13" s="49">
        <f t="shared" si="4"/>
        <v>0</v>
      </c>
      <c r="J13" s="48">
        <f t="shared" si="5"/>
        <v>0</v>
      </c>
      <c r="K13" s="49">
        <f t="shared" si="6"/>
        <v>0</v>
      </c>
      <c r="L13" s="49">
        <f t="shared" si="7"/>
        <v>0</v>
      </c>
      <c r="M13" s="49">
        <f t="shared" si="8"/>
        <v>149058008</v>
      </c>
      <c r="N13" s="49">
        <f t="shared" si="9"/>
        <v>149058008</v>
      </c>
      <c r="O13" s="49">
        <v>91000939</v>
      </c>
      <c r="P13" s="53">
        <f t="shared" si="10"/>
        <v>58057069</v>
      </c>
    </row>
    <row r="14" spans="1:16" ht="12.75">
      <c r="A14" s="6" t="s">
        <v>6</v>
      </c>
      <c r="B14" s="50">
        <v>0.0160872</v>
      </c>
      <c r="C14" s="49">
        <f t="shared" si="1"/>
        <v>31729192</v>
      </c>
      <c r="D14" s="49">
        <f t="shared" si="2"/>
        <v>85557267</v>
      </c>
      <c r="E14" s="51">
        <v>0.013050192409412655</v>
      </c>
      <c r="F14" s="49">
        <f t="shared" si="3"/>
        <v>36683830</v>
      </c>
      <c r="G14" s="52">
        <v>0.015038680587586669</v>
      </c>
      <c r="H14" s="52">
        <v>0.014294425914663442</v>
      </c>
      <c r="I14" s="49">
        <f t="shared" si="4"/>
        <v>0</v>
      </c>
      <c r="J14" s="48">
        <f t="shared" si="5"/>
        <v>0</v>
      </c>
      <c r="K14" s="49">
        <f t="shared" si="6"/>
        <v>0</v>
      </c>
      <c r="L14" s="49">
        <f t="shared" si="7"/>
        <v>0</v>
      </c>
      <c r="M14" s="49">
        <f t="shared" si="8"/>
        <v>36683830</v>
      </c>
      <c r="N14" s="49">
        <f t="shared" si="9"/>
        <v>36683830</v>
      </c>
      <c r="O14" s="49">
        <v>31729192</v>
      </c>
      <c r="P14" s="53">
        <f t="shared" si="10"/>
        <v>4954638</v>
      </c>
    </row>
    <row r="15" spans="1:16" ht="12.75">
      <c r="A15" s="6" t="s">
        <v>7</v>
      </c>
      <c r="B15" s="50">
        <v>0.02098632</v>
      </c>
      <c r="C15" s="49">
        <f t="shared" si="1"/>
        <v>41391850</v>
      </c>
      <c r="D15" s="49">
        <f t="shared" si="2"/>
        <v>111612472</v>
      </c>
      <c r="E15" s="51">
        <v>0.021641444776576313</v>
      </c>
      <c r="F15" s="49">
        <f t="shared" si="3"/>
        <v>60833668</v>
      </c>
      <c r="G15" s="52">
        <v>0.021641444701207133</v>
      </c>
      <c r="H15" s="52">
        <v>0.021641444714959414</v>
      </c>
      <c r="I15" s="49">
        <f t="shared" si="4"/>
        <v>0</v>
      </c>
      <c r="J15" s="48">
        <f t="shared" si="5"/>
        <v>0</v>
      </c>
      <c r="K15" s="49">
        <f t="shared" si="6"/>
        <v>0</v>
      </c>
      <c r="L15" s="49">
        <f t="shared" si="7"/>
        <v>0</v>
      </c>
      <c r="M15" s="49">
        <f t="shared" si="8"/>
        <v>60833668</v>
      </c>
      <c r="N15" s="49">
        <f t="shared" si="9"/>
        <v>60833668</v>
      </c>
      <c r="O15" s="49">
        <v>41391850</v>
      </c>
      <c r="P15" s="53">
        <f t="shared" si="10"/>
        <v>19441818</v>
      </c>
    </row>
    <row r="16" spans="1:16" ht="12.75">
      <c r="A16" s="6" t="s">
        <v>8</v>
      </c>
      <c r="B16" s="50">
        <v>0.00278553</v>
      </c>
      <c r="C16" s="49">
        <f t="shared" si="1"/>
        <v>5493971</v>
      </c>
      <c r="D16" s="49">
        <f t="shared" si="2"/>
        <v>14814406</v>
      </c>
      <c r="E16" s="51">
        <v>0.004534179341245737</v>
      </c>
      <c r="F16" s="49">
        <f t="shared" si="3"/>
        <v>12745487</v>
      </c>
      <c r="G16" s="52">
        <v>0.0033276940194388203</v>
      </c>
      <c r="H16" s="52">
        <v>0.00379571949223706</v>
      </c>
      <c r="I16" s="49">
        <f t="shared" si="4"/>
        <v>10669692</v>
      </c>
      <c r="J16" s="48">
        <f t="shared" si="5"/>
        <v>0</v>
      </c>
      <c r="K16" s="49">
        <f t="shared" si="6"/>
        <v>0</v>
      </c>
      <c r="L16" s="49">
        <f t="shared" si="7"/>
        <v>0</v>
      </c>
      <c r="M16" s="49">
        <f t="shared" si="8"/>
        <v>12745487</v>
      </c>
      <c r="N16" s="49">
        <f t="shared" si="9"/>
        <v>12745487</v>
      </c>
      <c r="O16" s="49">
        <v>5493971</v>
      </c>
      <c r="P16" s="53">
        <f t="shared" si="10"/>
        <v>7251516</v>
      </c>
    </row>
    <row r="17" spans="1:16" ht="12.75">
      <c r="A17" s="6" t="s">
        <v>9</v>
      </c>
      <c r="B17" s="50">
        <v>0.00325921</v>
      </c>
      <c r="C17" s="49">
        <f t="shared" si="1"/>
        <v>6428222</v>
      </c>
      <c r="D17" s="49">
        <f t="shared" si="2"/>
        <v>17333599</v>
      </c>
      <c r="E17" s="51">
        <v>0.0032818275314183323</v>
      </c>
      <c r="F17" s="49">
        <f t="shared" si="3"/>
        <v>9225151</v>
      </c>
      <c r="G17" s="52">
        <v>0.0032818274824295782</v>
      </c>
      <c r="H17" s="52">
        <v>0.0032818274256895034</v>
      </c>
      <c r="I17" s="49">
        <f t="shared" si="4"/>
        <v>9225151</v>
      </c>
      <c r="J17" s="48">
        <f t="shared" si="5"/>
        <v>0</v>
      </c>
      <c r="K17" s="49">
        <f t="shared" si="6"/>
        <v>0</v>
      </c>
      <c r="L17" s="49">
        <f t="shared" si="7"/>
        <v>0</v>
      </c>
      <c r="M17" s="49">
        <f t="shared" si="8"/>
        <v>9225151</v>
      </c>
      <c r="N17" s="49">
        <f t="shared" si="9"/>
        <v>9225151</v>
      </c>
      <c r="O17" s="49">
        <v>6428222</v>
      </c>
      <c r="P17" s="53">
        <f t="shared" si="10"/>
        <v>2796929</v>
      </c>
    </row>
    <row r="18" spans="1:16" ht="12.75">
      <c r="A18" s="6" t="s">
        <v>10</v>
      </c>
      <c r="B18" s="50">
        <v>0.01360848</v>
      </c>
      <c r="C18" s="49">
        <f t="shared" si="1"/>
        <v>26840349</v>
      </c>
      <c r="D18" s="49">
        <f t="shared" si="2"/>
        <v>72374579</v>
      </c>
      <c r="E18" s="51">
        <v>0.03780988221446987</v>
      </c>
      <c r="F18" s="49">
        <f t="shared" si="3"/>
        <v>106282822</v>
      </c>
      <c r="G18" s="52">
        <v>0.016257179358279254</v>
      </c>
      <c r="H18" s="52">
        <v>0.01854367904072248</v>
      </c>
      <c r="I18" s="49">
        <f t="shared" si="4"/>
        <v>0</v>
      </c>
      <c r="J18" s="48">
        <f t="shared" si="5"/>
        <v>72374579</v>
      </c>
      <c r="K18" s="49">
        <f t="shared" si="6"/>
        <v>0</v>
      </c>
      <c r="L18" s="49">
        <f t="shared" si="7"/>
        <v>0</v>
      </c>
      <c r="M18" s="49">
        <f t="shared" si="8"/>
        <v>0</v>
      </c>
      <c r="N18" s="49">
        <f t="shared" si="9"/>
        <v>72374579</v>
      </c>
      <c r="O18" s="49">
        <v>26840349</v>
      </c>
      <c r="P18" s="53">
        <f t="shared" si="10"/>
        <v>45534230</v>
      </c>
    </row>
    <row r="19" spans="1:16" ht="12.75">
      <c r="A19" s="6" t="s">
        <v>11</v>
      </c>
      <c r="B19" s="50">
        <v>0.01075959</v>
      </c>
      <c r="C19" s="49">
        <f t="shared" si="1"/>
        <v>21221412</v>
      </c>
      <c r="D19" s="49">
        <f t="shared" si="2"/>
        <v>57223204</v>
      </c>
      <c r="E19" s="51">
        <v>0.027340526449571228</v>
      </c>
      <c r="F19" s="49">
        <f t="shared" si="3"/>
        <v>76853673</v>
      </c>
      <c r="G19" s="52">
        <v>0.012853793300654386</v>
      </c>
      <c r="H19" s="52">
        <v>0.014661622261007761</v>
      </c>
      <c r="I19" s="49">
        <f t="shared" si="4"/>
        <v>0</v>
      </c>
      <c r="J19" s="48">
        <f t="shared" si="5"/>
        <v>57223204</v>
      </c>
      <c r="K19" s="49">
        <f t="shared" si="6"/>
        <v>0</v>
      </c>
      <c r="L19" s="49">
        <f t="shared" si="7"/>
        <v>0</v>
      </c>
      <c r="M19" s="49">
        <f t="shared" si="8"/>
        <v>0</v>
      </c>
      <c r="N19" s="49">
        <f t="shared" si="9"/>
        <v>57223204</v>
      </c>
      <c r="O19" s="49">
        <v>21221412</v>
      </c>
      <c r="P19" s="53">
        <f t="shared" si="10"/>
        <v>36001792</v>
      </c>
    </row>
    <row r="20" spans="1:16" ht="12.75">
      <c r="A20" s="6" t="s">
        <v>12</v>
      </c>
      <c r="B20" s="50">
        <v>0.00108355</v>
      </c>
      <c r="C20" s="49">
        <f t="shared" si="1"/>
        <v>2137113</v>
      </c>
      <c r="D20" s="49">
        <f t="shared" si="2"/>
        <v>5762692</v>
      </c>
      <c r="E20" s="51">
        <v>0.0009915425485316437</v>
      </c>
      <c r="F20" s="49">
        <f>ROUND(E20*$E$71,0)</f>
        <v>2787206</v>
      </c>
      <c r="G20" s="52">
        <v>0.0010129285644154087</v>
      </c>
      <c r="H20" s="52">
        <v>0.0009915443853258847</v>
      </c>
      <c r="I20" s="49">
        <f t="shared" si="4"/>
        <v>2847322</v>
      </c>
      <c r="J20" s="48">
        <f t="shared" si="5"/>
        <v>0</v>
      </c>
      <c r="K20" s="49">
        <f t="shared" si="6"/>
        <v>0</v>
      </c>
      <c r="L20" s="49">
        <f t="shared" si="7"/>
        <v>2847322</v>
      </c>
      <c r="M20" s="49">
        <f t="shared" si="8"/>
        <v>0</v>
      </c>
      <c r="N20" s="49">
        <f>SUM(J20+K20+L20+M20)</f>
        <v>2847322</v>
      </c>
      <c r="O20" s="49">
        <v>2137113</v>
      </c>
      <c r="P20" s="53">
        <f t="shared" si="10"/>
        <v>710209</v>
      </c>
    </row>
    <row r="21" spans="1:16" ht="12.75">
      <c r="A21" s="6" t="s">
        <v>13</v>
      </c>
      <c r="B21" s="50">
        <v>0.00627508</v>
      </c>
      <c r="C21" s="49">
        <f t="shared" si="1"/>
        <v>12376499</v>
      </c>
      <c r="D21" s="49">
        <f t="shared" si="2"/>
        <v>33373035</v>
      </c>
      <c r="E21" s="51">
        <v>0.0033091993668426284</v>
      </c>
      <c r="F21" s="49">
        <f aca="true" t="shared" si="11" ref="F21:F59">ROUND(E21*$E$71,0)</f>
        <v>9302093</v>
      </c>
      <c r="G21" s="52">
        <v>0.00586608745831239</v>
      </c>
      <c r="H21" s="52">
        <v>0.005575778546091125</v>
      </c>
      <c r="I21" s="49">
        <f t="shared" si="4"/>
        <v>16489454</v>
      </c>
      <c r="J21" s="48">
        <f t="shared" si="5"/>
        <v>0</v>
      </c>
      <c r="K21" s="49">
        <f t="shared" si="6"/>
        <v>0</v>
      </c>
      <c r="L21" s="49">
        <f t="shared" si="7"/>
        <v>16489454</v>
      </c>
      <c r="M21" s="49">
        <f t="shared" si="8"/>
        <v>0</v>
      </c>
      <c r="N21" s="49">
        <f aca="true" t="shared" si="12" ref="N21:N58">SUM(J21+K21+L21+M21)</f>
        <v>16489454</v>
      </c>
      <c r="O21" s="49">
        <v>12376499</v>
      </c>
      <c r="P21" s="53">
        <f t="shared" si="10"/>
        <v>4112955</v>
      </c>
    </row>
    <row r="22" spans="1:16" ht="12.75">
      <c r="A22" s="6" t="s">
        <v>14</v>
      </c>
      <c r="B22" s="50">
        <v>0.05808651</v>
      </c>
      <c r="C22" s="49">
        <f t="shared" si="1"/>
        <v>114565493</v>
      </c>
      <c r="D22" s="49">
        <f t="shared" si="2"/>
        <v>308924049</v>
      </c>
      <c r="E22" s="51">
        <v>0.04998389643209187</v>
      </c>
      <c r="F22" s="49">
        <f t="shared" si="11"/>
        <v>140503732</v>
      </c>
      <c r="G22" s="52">
        <v>0.05430059030770139</v>
      </c>
      <c r="H22" s="52">
        <v>0.0516132888623635</v>
      </c>
      <c r="I22" s="49">
        <f t="shared" si="4"/>
        <v>0</v>
      </c>
      <c r="J22" s="48">
        <f t="shared" si="5"/>
        <v>0</v>
      </c>
      <c r="K22" s="49">
        <f t="shared" si="6"/>
        <v>0</v>
      </c>
      <c r="L22" s="49">
        <f t="shared" si="7"/>
        <v>0</v>
      </c>
      <c r="M22" s="49">
        <f t="shared" si="8"/>
        <v>140503732</v>
      </c>
      <c r="N22" s="49">
        <f t="shared" si="12"/>
        <v>140503732</v>
      </c>
      <c r="O22" s="49">
        <v>114565493</v>
      </c>
      <c r="P22" s="53">
        <f t="shared" si="10"/>
        <v>25938239</v>
      </c>
    </row>
    <row r="23" spans="1:16" ht="12.75">
      <c r="A23" s="6" t="s">
        <v>15</v>
      </c>
      <c r="B23" s="50">
        <v>0.02629994</v>
      </c>
      <c r="C23" s="49">
        <f t="shared" si="1"/>
        <v>51872037</v>
      </c>
      <c r="D23" s="49">
        <f t="shared" si="2"/>
        <v>139872132</v>
      </c>
      <c r="E23" s="51">
        <v>0.021277540134230336</v>
      </c>
      <c r="F23" s="49">
        <f t="shared" si="11"/>
        <v>59810739</v>
      </c>
      <c r="G23" s="52">
        <v>0.024585781947125455</v>
      </c>
      <c r="H23" s="52">
        <v>0.023369047340984318</v>
      </c>
      <c r="I23" s="49">
        <f t="shared" si="4"/>
        <v>0</v>
      </c>
      <c r="J23" s="48">
        <f t="shared" si="5"/>
        <v>0</v>
      </c>
      <c r="K23" s="49">
        <f t="shared" si="6"/>
        <v>0</v>
      </c>
      <c r="L23" s="49">
        <f t="shared" si="7"/>
        <v>0</v>
      </c>
      <c r="M23" s="49">
        <f t="shared" si="8"/>
        <v>59810739</v>
      </c>
      <c r="N23" s="49">
        <f t="shared" si="12"/>
        <v>59810739</v>
      </c>
      <c r="O23" s="49">
        <v>51872037</v>
      </c>
      <c r="P23" s="53">
        <f t="shared" si="10"/>
        <v>7938702</v>
      </c>
    </row>
    <row r="24" spans="1:16" ht="12.75">
      <c r="A24" s="6" t="s">
        <v>16</v>
      </c>
      <c r="B24" s="50">
        <v>0.01863912</v>
      </c>
      <c r="C24" s="49">
        <f t="shared" si="1"/>
        <v>36762408</v>
      </c>
      <c r="D24" s="49">
        <f t="shared" si="2"/>
        <v>99129255</v>
      </c>
      <c r="E24" s="51">
        <v>0.010638885852211817</v>
      </c>
      <c r="F24" s="49">
        <f t="shared" si="11"/>
        <v>29905695</v>
      </c>
      <c r="G24" s="52">
        <v>0.017424273254186266</v>
      </c>
      <c r="H24" s="52">
        <v>0.016561957127702167</v>
      </c>
      <c r="I24" s="49">
        <f t="shared" si="4"/>
        <v>0</v>
      </c>
      <c r="J24" s="48">
        <f t="shared" si="5"/>
        <v>0</v>
      </c>
      <c r="K24" s="49">
        <f t="shared" si="6"/>
        <v>36762408</v>
      </c>
      <c r="L24" s="49">
        <f t="shared" si="7"/>
        <v>0</v>
      </c>
      <c r="M24" s="49">
        <f t="shared" si="8"/>
        <v>0</v>
      </c>
      <c r="N24" s="49">
        <f t="shared" si="12"/>
        <v>36762408</v>
      </c>
      <c r="O24" s="49">
        <v>36762408</v>
      </c>
      <c r="P24" s="53">
        <f t="shared" si="10"/>
        <v>0</v>
      </c>
    </row>
    <row r="25" spans="1:16" ht="12.75">
      <c r="A25" s="6" t="s">
        <v>17</v>
      </c>
      <c r="B25" s="50">
        <v>0.00855992</v>
      </c>
      <c r="C25" s="49">
        <f t="shared" si="1"/>
        <v>16882947</v>
      </c>
      <c r="D25" s="49">
        <f t="shared" si="2"/>
        <v>45524601</v>
      </c>
      <c r="E25" s="51">
        <v>0.011061720370351177</v>
      </c>
      <c r="F25" s="49">
        <f t="shared" si="11"/>
        <v>31094275</v>
      </c>
      <c r="G25" s="52">
        <v>0.010225988292120779</v>
      </c>
      <c r="H25" s="52">
        <v>0.01106172021667521</v>
      </c>
      <c r="I25" s="49">
        <f t="shared" si="4"/>
        <v>0</v>
      </c>
      <c r="J25" s="48">
        <f t="shared" si="5"/>
        <v>0</v>
      </c>
      <c r="K25" s="49">
        <f t="shared" si="6"/>
        <v>0</v>
      </c>
      <c r="L25" s="49">
        <f t="shared" si="7"/>
        <v>0</v>
      </c>
      <c r="M25" s="49">
        <f t="shared" si="8"/>
        <v>31094275</v>
      </c>
      <c r="N25" s="49">
        <f t="shared" si="12"/>
        <v>31094275</v>
      </c>
      <c r="O25" s="49">
        <v>16882947</v>
      </c>
      <c r="P25" s="53">
        <f t="shared" si="10"/>
        <v>14211328</v>
      </c>
    </row>
    <row r="26" spans="1:16" ht="12.75">
      <c r="A26" s="6" t="s">
        <v>18</v>
      </c>
      <c r="B26" s="50">
        <v>0.0136864</v>
      </c>
      <c r="C26" s="49">
        <f t="shared" si="1"/>
        <v>26994033</v>
      </c>
      <c r="D26" s="49">
        <f t="shared" si="2"/>
        <v>72788985</v>
      </c>
      <c r="E26" s="51">
        <v>0.016208233609249664</v>
      </c>
      <c r="F26" s="49">
        <f t="shared" si="11"/>
        <v>45561020</v>
      </c>
      <c r="G26" s="52">
        <v>0.016208233439110594</v>
      </c>
      <c r="H26" s="52">
        <v>0.016208233384346855</v>
      </c>
      <c r="I26" s="49">
        <f t="shared" si="4"/>
        <v>0</v>
      </c>
      <c r="J26" s="48">
        <f t="shared" si="5"/>
        <v>0</v>
      </c>
      <c r="K26" s="49">
        <f t="shared" si="6"/>
        <v>0</v>
      </c>
      <c r="L26" s="49">
        <f t="shared" si="7"/>
        <v>0</v>
      </c>
      <c r="M26" s="49">
        <f t="shared" si="8"/>
        <v>45561020</v>
      </c>
      <c r="N26" s="49">
        <f t="shared" si="12"/>
        <v>45561020</v>
      </c>
      <c r="O26" s="49">
        <v>26994033</v>
      </c>
      <c r="P26" s="53">
        <f t="shared" si="10"/>
        <v>18566987</v>
      </c>
    </row>
    <row r="27" spans="1:16" ht="12.75">
      <c r="A27" s="6" t="s">
        <v>19</v>
      </c>
      <c r="B27" s="50">
        <v>0.00879264</v>
      </c>
      <c r="C27" s="49">
        <f t="shared" si="1"/>
        <v>17341946</v>
      </c>
      <c r="D27" s="49">
        <f t="shared" si="2"/>
        <v>46762284</v>
      </c>
      <c r="E27" s="51">
        <v>0.015138408868269271</v>
      </c>
      <c r="F27" s="49">
        <f t="shared" si="11"/>
        <v>42553764</v>
      </c>
      <c r="G27" s="52">
        <v>0.010504003843065143</v>
      </c>
      <c r="H27" s="52">
        <v>0.011981345094608943</v>
      </c>
      <c r="I27" s="49">
        <f t="shared" si="4"/>
        <v>0</v>
      </c>
      <c r="J27" s="48">
        <f t="shared" si="5"/>
        <v>0</v>
      </c>
      <c r="K27" s="49">
        <f t="shared" si="6"/>
        <v>0</v>
      </c>
      <c r="L27" s="49">
        <f t="shared" si="7"/>
        <v>0</v>
      </c>
      <c r="M27" s="49">
        <f t="shared" si="8"/>
        <v>42553764</v>
      </c>
      <c r="N27" s="49">
        <f t="shared" si="12"/>
        <v>42553764</v>
      </c>
      <c r="O27" s="49">
        <v>17341946</v>
      </c>
      <c r="P27" s="53">
        <f t="shared" si="10"/>
        <v>25211818</v>
      </c>
    </row>
    <row r="28" spans="1:16" ht="12.75">
      <c r="A28" s="6" t="s">
        <v>20</v>
      </c>
      <c r="B28" s="50">
        <v>0.01359579</v>
      </c>
      <c r="C28" s="49">
        <f t="shared" si="1"/>
        <v>26815321</v>
      </c>
      <c r="D28" s="49">
        <f t="shared" si="2"/>
        <v>72307091</v>
      </c>
      <c r="E28" s="51">
        <v>0.009083318519814051</v>
      </c>
      <c r="F28" s="49">
        <f t="shared" si="11"/>
        <v>25533027</v>
      </c>
      <c r="G28" s="52">
        <v>0.012709653853542982</v>
      </c>
      <c r="H28" s="52">
        <v>0.012080661222397935</v>
      </c>
      <c r="I28" s="49">
        <f t="shared" si="4"/>
        <v>0</v>
      </c>
      <c r="J28" s="48">
        <f t="shared" si="5"/>
        <v>0</v>
      </c>
      <c r="K28" s="49">
        <f t="shared" si="6"/>
        <v>26815321</v>
      </c>
      <c r="L28" s="49">
        <f t="shared" si="7"/>
        <v>0</v>
      </c>
      <c r="M28" s="49">
        <f t="shared" si="8"/>
        <v>0</v>
      </c>
      <c r="N28" s="49">
        <f t="shared" si="12"/>
        <v>26815321</v>
      </c>
      <c r="O28" s="49">
        <v>26815321</v>
      </c>
      <c r="P28" s="53">
        <f t="shared" si="10"/>
        <v>0</v>
      </c>
    </row>
    <row r="29" spans="1:16" ht="12.75">
      <c r="A29" s="6" t="s">
        <v>21</v>
      </c>
      <c r="B29" s="50">
        <v>0.01606896</v>
      </c>
      <c r="C29" s="49">
        <f t="shared" si="1"/>
        <v>31693216</v>
      </c>
      <c r="D29" s="49">
        <f t="shared" si="2"/>
        <v>85460258</v>
      </c>
      <c r="E29" s="51">
        <v>0.026516027937289206</v>
      </c>
      <c r="F29" s="49">
        <f t="shared" si="11"/>
        <v>74536024</v>
      </c>
      <c r="G29" s="52">
        <v>0.019196557457586215</v>
      </c>
      <c r="H29" s="52">
        <v>0.021896467731819264</v>
      </c>
      <c r="I29" s="49">
        <f t="shared" si="4"/>
        <v>0</v>
      </c>
      <c r="J29" s="48">
        <f t="shared" si="5"/>
        <v>0</v>
      </c>
      <c r="K29" s="49">
        <f t="shared" si="6"/>
        <v>0</v>
      </c>
      <c r="L29" s="49">
        <f t="shared" si="7"/>
        <v>0</v>
      </c>
      <c r="M29" s="49">
        <f t="shared" si="8"/>
        <v>74536024</v>
      </c>
      <c r="N29" s="49">
        <f t="shared" si="12"/>
        <v>74536024</v>
      </c>
      <c r="O29" s="49">
        <v>31693216</v>
      </c>
      <c r="P29" s="53">
        <f t="shared" si="10"/>
        <v>42842808</v>
      </c>
    </row>
    <row r="30" spans="1:16" ht="12.75">
      <c r="A30" s="6" t="s">
        <v>22</v>
      </c>
      <c r="B30" s="50">
        <v>0.04197959</v>
      </c>
      <c r="C30" s="49">
        <f t="shared" si="1"/>
        <v>82797407</v>
      </c>
      <c r="D30" s="49">
        <f t="shared" si="2"/>
        <v>223261905</v>
      </c>
      <c r="E30" s="51">
        <v>0.0331099182457358</v>
      </c>
      <c r="F30" s="49">
        <f t="shared" si="11"/>
        <v>93071317</v>
      </c>
      <c r="G30" s="52">
        <v>0.039243475136505605</v>
      </c>
      <c r="H30" s="52">
        <v>0.037301340679829986</v>
      </c>
      <c r="I30" s="49">
        <f t="shared" si="4"/>
        <v>0</v>
      </c>
      <c r="J30" s="48">
        <f t="shared" si="5"/>
        <v>0</v>
      </c>
      <c r="K30" s="49">
        <f t="shared" si="6"/>
        <v>0</v>
      </c>
      <c r="L30" s="49">
        <f t="shared" si="7"/>
        <v>0</v>
      </c>
      <c r="M30" s="49">
        <f t="shared" si="8"/>
        <v>93071317</v>
      </c>
      <c r="N30" s="49">
        <f t="shared" si="12"/>
        <v>93071317</v>
      </c>
      <c r="O30" s="49">
        <v>82797407</v>
      </c>
      <c r="P30" s="53">
        <f t="shared" si="10"/>
        <v>10273910</v>
      </c>
    </row>
    <row r="31" spans="1:16" ht="12.75">
      <c r="A31" s="6" t="s">
        <v>23</v>
      </c>
      <c r="B31" s="50">
        <v>0.05514805</v>
      </c>
      <c r="C31" s="49">
        <f t="shared" si="1"/>
        <v>108769894</v>
      </c>
      <c r="D31" s="49">
        <f t="shared" si="2"/>
        <v>293296308</v>
      </c>
      <c r="E31" s="51">
        <v>0.046451140678832964</v>
      </c>
      <c r="F31" s="49">
        <f t="shared" si="11"/>
        <v>130573227</v>
      </c>
      <c r="G31" s="52">
        <v>0.051553651079789854</v>
      </c>
      <c r="H31" s="52">
        <v>0.04900229389795982</v>
      </c>
      <c r="I31" s="49">
        <f t="shared" si="4"/>
        <v>0</v>
      </c>
      <c r="J31" s="48">
        <f t="shared" si="5"/>
        <v>0</v>
      </c>
      <c r="K31" s="49">
        <f t="shared" si="6"/>
        <v>0</v>
      </c>
      <c r="L31" s="49">
        <f t="shared" si="7"/>
        <v>0</v>
      </c>
      <c r="M31" s="49">
        <f t="shared" si="8"/>
        <v>130573227</v>
      </c>
      <c r="N31" s="49">
        <f t="shared" si="12"/>
        <v>130573227</v>
      </c>
      <c r="O31" s="49">
        <v>108769894</v>
      </c>
      <c r="P31" s="53">
        <f t="shared" si="10"/>
        <v>21803333</v>
      </c>
    </row>
    <row r="32" spans="1:16" ht="12.75">
      <c r="A32" s="6" t="s">
        <v>24</v>
      </c>
      <c r="B32" s="50">
        <v>0.03973105</v>
      </c>
      <c r="C32" s="49">
        <f t="shared" si="1"/>
        <v>78362555</v>
      </c>
      <c r="D32" s="49">
        <f t="shared" si="2"/>
        <v>211303396</v>
      </c>
      <c r="E32" s="51">
        <v>0.01916530560619649</v>
      </c>
      <c r="F32" s="49">
        <f t="shared" si="11"/>
        <v>53873290</v>
      </c>
      <c r="G32" s="52">
        <v>0.0371414889692808</v>
      </c>
      <c r="H32" s="52">
        <v>0.035303380462106924</v>
      </c>
      <c r="I32" s="49">
        <f t="shared" si="4"/>
        <v>0</v>
      </c>
      <c r="J32" s="48">
        <f t="shared" si="5"/>
        <v>0</v>
      </c>
      <c r="K32" s="49">
        <f t="shared" si="6"/>
        <v>78362555</v>
      </c>
      <c r="L32" s="49">
        <f t="shared" si="7"/>
        <v>0</v>
      </c>
      <c r="M32" s="49">
        <f t="shared" si="8"/>
        <v>0</v>
      </c>
      <c r="N32" s="49">
        <f t="shared" si="12"/>
        <v>78362555</v>
      </c>
      <c r="O32" s="49">
        <v>78362555</v>
      </c>
      <c r="P32" s="53">
        <f t="shared" si="10"/>
        <v>0</v>
      </c>
    </row>
    <row r="33" spans="1:16" ht="12.75">
      <c r="A33" s="6" t="s">
        <v>25</v>
      </c>
      <c r="B33" s="50">
        <v>0.00737355</v>
      </c>
      <c r="C33" s="49">
        <f t="shared" si="1"/>
        <v>14543039</v>
      </c>
      <c r="D33" s="49">
        <f t="shared" si="2"/>
        <v>39215076</v>
      </c>
      <c r="E33" s="51">
        <v>0.00950975071349729</v>
      </c>
      <c r="F33" s="49">
        <f t="shared" si="11"/>
        <v>26731719</v>
      </c>
      <c r="G33" s="52">
        <v>0.0088087079854095</v>
      </c>
      <c r="H33" s="52">
        <v>0.009509750687051169</v>
      </c>
      <c r="I33" s="49">
        <f t="shared" si="4"/>
        <v>26731719</v>
      </c>
      <c r="J33" s="48">
        <f t="shared" si="5"/>
        <v>0</v>
      </c>
      <c r="K33" s="49">
        <f t="shared" si="6"/>
        <v>0</v>
      </c>
      <c r="L33" s="49">
        <f t="shared" si="7"/>
        <v>0</v>
      </c>
      <c r="M33" s="49">
        <f t="shared" si="8"/>
        <v>26731719</v>
      </c>
      <c r="N33" s="49">
        <f t="shared" si="12"/>
        <v>26731719</v>
      </c>
      <c r="O33" s="49">
        <v>14543039</v>
      </c>
      <c r="P33" s="53">
        <f t="shared" si="10"/>
        <v>12188680</v>
      </c>
    </row>
    <row r="34" spans="1:16" ht="12.75">
      <c r="A34" s="6" t="s">
        <v>26</v>
      </c>
      <c r="B34" s="50">
        <v>0.02320202</v>
      </c>
      <c r="C34" s="49">
        <f t="shared" si="1"/>
        <v>45761931</v>
      </c>
      <c r="D34" s="49">
        <f t="shared" si="2"/>
        <v>123396327</v>
      </c>
      <c r="E34" s="51">
        <v>0.023088849293413195</v>
      </c>
      <c r="F34" s="49">
        <f t="shared" si="11"/>
        <v>64902293</v>
      </c>
      <c r="G34" s="52">
        <v>0.023088849110104982</v>
      </c>
      <c r="H34" s="52">
        <v>0.023088849185263785</v>
      </c>
      <c r="I34" s="49">
        <f t="shared" si="4"/>
        <v>0</v>
      </c>
      <c r="J34" s="48">
        <f t="shared" si="5"/>
        <v>0</v>
      </c>
      <c r="K34" s="49">
        <f t="shared" si="6"/>
        <v>0</v>
      </c>
      <c r="L34" s="49">
        <f t="shared" si="7"/>
        <v>0</v>
      </c>
      <c r="M34" s="49">
        <f t="shared" si="8"/>
        <v>64902293</v>
      </c>
      <c r="N34" s="49">
        <f t="shared" si="12"/>
        <v>64902293</v>
      </c>
      <c r="O34" s="49">
        <v>45761931</v>
      </c>
      <c r="P34" s="53">
        <f t="shared" si="10"/>
        <v>19140362</v>
      </c>
    </row>
    <row r="35" spans="1:16" ht="12.75">
      <c r="A35" s="6" t="s">
        <v>27</v>
      </c>
      <c r="B35" s="50">
        <v>0.00736027</v>
      </c>
      <c r="C35" s="49">
        <f t="shared" si="1"/>
        <v>14516847</v>
      </c>
      <c r="D35" s="49">
        <f t="shared" si="2"/>
        <v>39144449</v>
      </c>
      <c r="E35" s="51">
        <v>0.004406690350813241</v>
      </c>
      <c r="F35" s="49">
        <f t="shared" si="11"/>
        <v>12387118</v>
      </c>
      <c r="G35" s="52">
        <v>0.006880547893304871</v>
      </c>
      <c r="H35" s="52">
        <v>0.006540033983720866</v>
      </c>
      <c r="I35" s="49">
        <f t="shared" si="4"/>
        <v>19341082</v>
      </c>
      <c r="J35" s="48">
        <f t="shared" si="5"/>
        <v>0</v>
      </c>
      <c r="K35" s="49">
        <f t="shared" si="6"/>
        <v>0</v>
      </c>
      <c r="L35" s="49">
        <f t="shared" si="7"/>
        <v>19341082</v>
      </c>
      <c r="M35" s="49">
        <f t="shared" si="8"/>
        <v>0</v>
      </c>
      <c r="N35" s="49">
        <f t="shared" si="12"/>
        <v>19341082</v>
      </c>
      <c r="O35" s="49">
        <v>14516847</v>
      </c>
      <c r="P35" s="53">
        <f t="shared" si="10"/>
        <v>4824235</v>
      </c>
    </row>
    <row r="36" spans="1:16" ht="12.75">
      <c r="A36" s="6" t="s">
        <v>28</v>
      </c>
      <c r="B36" s="50">
        <v>0.00921776</v>
      </c>
      <c r="C36" s="49">
        <f t="shared" si="1"/>
        <v>18180421</v>
      </c>
      <c r="D36" s="49">
        <f t="shared" si="2"/>
        <v>49023219</v>
      </c>
      <c r="E36" s="51">
        <v>0.0055770274538544</v>
      </c>
      <c r="F36" s="49">
        <f t="shared" si="11"/>
        <v>15676913</v>
      </c>
      <c r="G36" s="52">
        <v>0.008616971537341795</v>
      </c>
      <c r="H36" s="52">
        <v>0.008190523133456768</v>
      </c>
      <c r="I36" s="49">
        <f t="shared" si="4"/>
        <v>24222135</v>
      </c>
      <c r="J36" s="48">
        <f t="shared" si="5"/>
        <v>0</v>
      </c>
      <c r="K36" s="49">
        <f t="shared" si="6"/>
        <v>0</v>
      </c>
      <c r="L36" s="49">
        <f t="shared" si="7"/>
        <v>24222135</v>
      </c>
      <c r="M36" s="49">
        <f t="shared" si="8"/>
        <v>0</v>
      </c>
      <c r="N36" s="49">
        <f t="shared" si="12"/>
        <v>24222135</v>
      </c>
      <c r="O36" s="49">
        <v>18180421</v>
      </c>
      <c r="P36" s="53">
        <f t="shared" si="10"/>
        <v>6041714</v>
      </c>
    </row>
    <row r="37" spans="1:16" ht="12.75">
      <c r="A37" s="6" t="s">
        <v>29</v>
      </c>
      <c r="B37" s="50">
        <v>0.00195349</v>
      </c>
      <c r="C37" s="49">
        <f t="shared" si="1"/>
        <v>3852918</v>
      </c>
      <c r="D37" s="49">
        <f t="shared" si="2"/>
        <v>10389333</v>
      </c>
      <c r="E37" s="51">
        <v>0.005764038752809477</v>
      </c>
      <c r="F37" s="49">
        <f t="shared" si="11"/>
        <v>16202598</v>
      </c>
      <c r="G37" s="52">
        <v>0.0023337095562285495</v>
      </c>
      <c r="H37" s="52">
        <v>0.002661935414668623</v>
      </c>
      <c r="I37" s="49">
        <f t="shared" si="4"/>
        <v>7482647</v>
      </c>
      <c r="J37" s="48">
        <f t="shared" si="5"/>
        <v>10389333</v>
      </c>
      <c r="K37" s="49">
        <f t="shared" si="6"/>
        <v>0</v>
      </c>
      <c r="L37" s="49">
        <f t="shared" si="7"/>
        <v>0</v>
      </c>
      <c r="M37" s="49">
        <f t="shared" si="8"/>
        <v>0</v>
      </c>
      <c r="N37" s="49">
        <f t="shared" si="12"/>
        <v>10389333</v>
      </c>
      <c r="O37" s="49">
        <v>3852918</v>
      </c>
      <c r="P37" s="53">
        <f t="shared" si="10"/>
        <v>6536415</v>
      </c>
    </row>
    <row r="38" spans="1:16" ht="12.75">
      <c r="A38" s="6" t="s">
        <v>30</v>
      </c>
      <c r="B38" s="50">
        <v>0.00794588</v>
      </c>
      <c r="C38" s="49">
        <f t="shared" si="1"/>
        <v>15671860</v>
      </c>
      <c r="D38" s="49">
        <f t="shared" si="2"/>
        <v>42258924</v>
      </c>
      <c r="E38" s="51">
        <v>0.005028556972534821</v>
      </c>
      <c r="F38" s="49">
        <f t="shared" si="11"/>
        <v>14135173</v>
      </c>
      <c r="G38" s="52">
        <v>0.0074279892394794045</v>
      </c>
      <c r="H38" s="52">
        <v>0.0070603828082031654</v>
      </c>
      <c r="I38" s="49">
        <f t="shared" si="4"/>
        <v>20879929</v>
      </c>
      <c r="J38" s="48">
        <f t="shared" si="5"/>
        <v>0</v>
      </c>
      <c r="K38" s="49">
        <f t="shared" si="6"/>
        <v>0</v>
      </c>
      <c r="L38" s="49">
        <f t="shared" si="7"/>
        <v>20879929</v>
      </c>
      <c r="M38" s="49">
        <f t="shared" si="8"/>
        <v>0</v>
      </c>
      <c r="N38" s="49">
        <f t="shared" si="12"/>
        <v>20879929</v>
      </c>
      <c r="O38" s="49">
        <v>15671860</v>
      </c>
      <c r="P38" s="53">
        <f t="shared" si="10"/>
        <v>5208069</v>
      </c>
    </row>
    <row r="39" spans="1:16" ht="12.75">
      <c r="A39" s="6" t="s">
        <v>31</v>
      </c>
      <c r="B39" s="50">
        <v>0.03897152</v>
      </c>
      <c r="C39" s="49">
        <f t="shared" si="1"/>
        <v>76864515</v>
      </c>
      <c r="D39" s="49">
        <f t="shared" si="2"/>
        <v>207263955</v>
      </c>
      <c r="E39" s="51">
        <v>0.0362116331931015</v>
      </c>
      <c r="F39" s="49">
        <f t="shared" si="11"/>
        <v>101790176</v>
      </c>
      <c r="G39" s="52">
        <v>0.0364314631650489</v>
      </c>
      <c r="H39" s="52">
        <v>0.03621163303048534</v>
      </c>
      <c r="I39" s="49">
        <f t="shared" si="4"/>
        <v>0</v>
      </c>
      <c r="J39" s="48">
        <f t="shared" si="5"/>
        <v>0</v>
      </c>
      <c r="K39" s="49">
        <f t="shared" si="6"/>
        <v>0</v>
      </c>
      <c r="L39" s="49">
        <f t="shared" si="7"/>
        <v>0</v>
      </c>
      <c r="M39" s="49">
        <f t="shared" si="8"/>
        <v>101790176</v>
      </c>
      <c r="N39" s="49">
        <f t="shared" si="12"/>
        <v>101790176</v>
      </c>
      <c r="O39" s="49">
        <v>76864515</v>
      </c>
      <c r="P39" s="53">
        <f t="shared" si="10"/>
        <v>24925661</v>
      </c>
    </row>
    <row r="40" spans="1:16" ht="12.75">
      <c r="A40" s="6" t="s">
        <v>32</v>
      </c>
      <c r="B40" s="50">
        <v>0.00520713</v>
      </c>
      <c r="C40" s="49">
        <f t="shared" si="1"/>
        <v>10270154</v>
      </c>
      <c r="D40" s="49">
        <f t="shared" si="2"/>
        <v>27693309</v>
      </c>
      <c r="E40" s="51">
        <v>0.005773690252772034</v>
      </c>
      <c r="F40" s="49">
        <f t="shared" si="11"/>
        <v>16229728</v>
      </c>
      <c r="G40" s="52">
        <v>0.005773690352524574</v>
      </c>
      <c r="H40" s="52">
        <v>0.005773690430755235</v>
      </c>
      <c r="I40" s="49">
        <f t="shared" si="4"/>
        <v>16229728</v>
      </c>
      <c r="J40" s="48">
        <f t="shared" si="5"/>
        <v>0</v>
      </c>
      <c r="K40" s="49">
        <f t="shared" si="6"/>
        <v>0</v>
      </c>
      <c r="L40" s="49">
        <f t="shared" si="7"/>
        <v>0</v>
      </c>
      <c r="M40" s="49">
        <f t="shared" si="8"/>
        <v>16229728</v>
      </c>
      <c r="N40" s="49">
        <f t="shared" si="12"/>
        <v>16229728</v>
      </c>
      <c r="O40" s="49">
        <v>10270154</v>
      </c>
      <c r="P40" s="53">
        <f t="shared" si="10"/>
        <v>5959574</v>
      </c>
    </row>
    <row r="41" spans="1:16" ht="12.75">
      <c r="A41" s="6" t="s">
        <v>33</v>
      </c>
      <c r="B41" s="50">
        <v>0.12724791</v>
      </c>
      <c r="C41" s="49">
        <f>ROUND(B41*$C$71,0)</f>
        <v>250974272</v>
      </c>
      <c r="D41" s="49">
        <f aca="true" t="shared" si="13" ref="D41:D59">ROUND(C41*$C$3,0)</f>
        <v>676748175</v>
      </c>
      <c r="E41" s="51">
        <v>0.0939266680990415</v>
      </c>
      <c r="F41" s="49">
        <f>ROUND(E41*$E$71,0)-1</f>
        <v>264025983</v>
      </c>
      <c r="G41" s="52">
        <v>0.11895423975215305</v>
      </c>
      <c r="H41" s="52">
        <v>0.11306726969289793</v>
      </c>
      <c r="I41" s="49">
        <f aca="true" t="shared" si="14" ref="I41:I59">IF(AND($C$2&gt;=2250000000,H41&lt;0.01),ROUND(MAX(G41,H41)*$E$71,0),0)</f>
        <v>0</v>
      </c>
      <c r="J41" s="48">
        <f aca="true" t="shared" si="15" ref="J41:J59">IF(AND(F41&gt;C41,F41&gt;I41,D41&lt;F41),D41,0)</f>
        <v>0</v>
      </c>
      <c r="K41" s="49">
        <f aca="true" t="shared" si="16" ref="K41:K59">IF(AND(C41&gt;F41,C41&gt;I41),C41,0)</f>
        <v>0</v>
      </c>
      <c r="L41" s="49">
        <f aca="true" t="shared" si="17" ref="L41:L59">IF(AND(I41&gt;C41,I41&gt;F41),I41,0)</f>
        <v>0</v>
      </c>
      <c r="M41" s="49">
        <f aca="true" t="shared" si="18" ref="M41:M59">IF(AND(J41=0,K41=0,L41=0),F41,0)</f>
        <v>264025983</v>
      </c>
      <c r="N41" s="49">
        <f t="shared" si="12"/>
        <v>264025983</v>
      </c>
      <c r="O41" s="49">
        <v>250974272</v>
      </c>
      <c r="P41" s="53">
        <f t="shared" si="10"/>
        <v>13051711</v>
      </c>
    </row>
    <row r="42" spans="1:16" ht="12.75">
      <c r="A42" s="6" t="s">
        <v>34</v>
      </c>
      <c r="B42" s="50">
        <v>0.0189638</v>
      </c>
      <c r="C42" s="49">
        <f aca="true" t="shared" si="19" ref="C42:C58">ROUND(B42*$C$71,0)</f>
        <v>37402782</v>
      </c>
      <c r="D42" s="49">
        <f t="shared" si="13"/>
        <v>100856013</v>
      </c>
      <c r="E42" s="51">
        <v>0.03260847774178984</v>
      </c>
      <c r="F42" s="49">
        <f t="shared" si="11"/>
        <v>91661778</v>
      </c>
      <c r="G42" s="52">
        <v>0.022654837282112317</v>
      </c>
      <c r="H42" s="52">
        <v>0.025841139115326907</v>
      </c>
      <c r="I42" s="49">
        <f t="shared" si="14"/>
        <v>0</v>
      </c>
      <c r="J42" s="48">
        <f t="shared" si="15"/>
        <v>0</v>
      </c>
      <c r="K42" s="49">
        <f t="shared" si="16"/>
        <v>0</v>
      </c>
      <c r="L42" s="49">
        <f t="shared" si="17"/>
        <v>0</v>
      </c>
      <c r="M42" s="49">
        <f t="shared" si="18"/>
        <v>91661778</v>
      </c>
      <c r="N42" s="49">
        <f t="shared" si="12"/>
        <v>91661778</v>
      </c>
      <c r="O42" s="49">
        <v>37402782</v>
      </c>
      <c r="P42" s="53">
        <f t="shared" si="10"/>
        <v>54258996</v>
      </c>
    </row>
    <row r="43" spans="1:16" ht="12.75">
      <c r="A43" s="6" t="s">
        <v>35</v>
      </c>
      <c r="B43" s="50">
        <v>0.00799548</v>
      </c>
      <c r="C43" s="49">
        <f t="shared" si="19"/>
        <v>15769687</v>
      </c>
      <c r="D43" s="49">
        <f t="shared" si="13"/>
        <v>42522713</v>
      </c>
      <c r="E43" s="51">
        <v>0.0027277043042167374</v>
      </c>
      <c r="F43" s="49">
        <f t="shared" si="11"/>
        <v>7667522</v>
      </c>
      <c r="G43" s="52">
        <v>0.007474356288657394</v>
      </c>
      <c r="H43" s="52">
        <v>0.007104455181806432</v>
      </c>
      <c r="I43" s="49">
        <f t="shared" si="14"/>
        <v>21010266</v>
      </c>
      <c r="J43" s="48">
        <f t="shared" si="15"/>
        <v>0</v>
      </c>
      <c r="K43" s="49">
        <f t="shared" si="16"/>
        <v>0</v>
      </c>
      <c r="L43" s="49">
        <f t="shared" si="17"/>
        <v>21010266</v>
      </c>
      <c r="M43" s="49">
        <f t="shared" si="18"/>
        <v>0</v>
      </c>
      <c r="N43" s="49">
        <f t="shared" si="12"/>
        <v>21010266</v>
      </c>
      <c r="O43" s="49">
        <v>15769687</v>
      </c>
      <c r="P43" s="53">
        <f t="shared" si="10"/>
        <v>5240579</v>
      </c>
    </row>
    <row r="44" spans="1:16" ht="12.75">
      <c r="A44" s="6" t="s">
        <v>36</v>
      </c>
      <c r="B44" s="50">
        <v>0.0513862</v>
      </c>
      <c r="C44" s="49">
        <f t="shared" si="19"/>
        <v>101350302</v>
      </c>
      <c r="D44" s="49">
        <f t="shared" si="13"/>
        <v>273289495</v>
      </c>
      <c r="E44" s="51">
        <v>0.04803088523563409</v>
      </c>
      <c r="F44" s="49">
        <f t="shared" si="11"/>
        <v>135013857</v>
      </c>
      <c r="G44" s="52">
        <v>0.048036988122277</v>
      </c>
      <c r="H44" s="52">
        <v>0.04803088520869124</v>
      </c>
      <c r="I44" s="49">
        <f t="shared" si="14"/>
        <v>0</v>
      </c>
      <c r="J44" s="48">
        <f t="shared" si="15"/>
        <v>0</v>
      </c>
      <c r="K44" s="49">
        <f t="shared" si="16"/>
        <v>0</v>
      </c>
      <c r="L44" s="49">
        <f t="shared" si="17"/>
        <v>0</v>
      </c>
      <c r="M44" s="49">
        <f t="shared" si="18"/>
        <v>135013857</v>
      </c>
      <c r="N44" s="49">
        <f t="shared" si="12"/>
        <v>135013857</v>
      </c>
      <c r="O44" s="49">
        <v>101350302</v>
      </c>
      <c r="P44" s="53">
        <f t="shared" si="10"/>
        <v>33663555</v>
      </c>
    </row>
    <row r="45" spans="1:16" ht="12.75">
      <c r="A45" s="6" t="s">
        <v>37</v>
      </c>
      <c r="B45" s="50">
        <v>0.00790558</v>
      </c>
      <c r="C45" s="49">
        <f t="shared" si="19"/>
        <v>15592375</v>
      </c>
      <c r="D45" s="49">
        <f t="shared" si="13"/>
        <v>42044594</v>
      </c>
      <c r="E45" s="51">
        <v>0.01275065083787214</v>
      </c>
      <c r="F45" s="49">
        <f t="shared" si="11"/>
        <v>35841824</v>
      </c>
      <c r="G45" s="52">
        <v>0.009444290188058077</v>
      </c>
      <c r="H45" s="52">
        <v>0.010772587028850313</v>
      </c>
      <c r="I45" s="49">
        <f t="shared" si="14"/>
        <v>0</v>
      </c>
      <c r="J45" s="48">
        <f t="shared" si="15"/>
        <v>0</v>
      </c>
      <c r="K45" s="49">
        <f t="shared" si="16"/>
        <v>0</v>
      </c>
      <c r="L45" s="49">
        <f t="shared" si="17"/>
        <v>0</v>
      </c>
      <c r="M45" s="49">
        <f t="shared" si="18"/>
        <v>35841824</v>
      </c>
      <c r="N45" s="49">
        <f t="shared" si="12"/>
        <v>35841824</v>
      </c>
      <c r="O45" s="49">
        <v>15592375</v>
      </c>
      <c r="P45" s="53">
        <f t="shared" si="10"/>
        <v>20249449</v>
      </c>
    </row>
    <row r="46" spans="1:16" ht="12.75">
      <c r="A46" s="6" t="s">
        <v>38</v>
      </c>
      <c r="B46" s="50">
        <v>0.01246826</v>
      </c>
      <c r="C46" s="49">
        <f t="shared" si="19"/>
        <v>24591465</v>
      </c>
      <c r="D46" s="49">
        <f t="shared" si="13"/>
        <v>66310498</v>
      </c>
      <c r="E46" s="51">
        <v>0.007501688276528692</v>
      </c>
      <c r="F46" s="49">
        <f t="shared" si="11"/>
        <v>21087096</v>
      </c>
      <c r="G46" s="52">
        <v>0.011655613143751565</v>
      </c>
      <c r="H46" s="52">
        <v>0.011078784312425573</v>
      </c>
      <c r="I46" s="49">
        <f t="shared" si="14"/>
        <v>0</v>
      </c>
      <c r="J46" s="48">
        <f t="shared" si="15"/>
        <v>0</v>
      </c>
      <c r="K46" s="49">
        <f t="shared" si="16"/>
        <v>24591465</v>
      </c>
      <c r="L46" s="49">
        <f t="shared" si="17"/>
        <v>0</v>
      </c>
      <c r="M46" s="49">
        <f t="shared" si="18"/>
        <v>0</v>
      </c>
      <c r="N46" s="49">
        <f t="shared" si="12"/>
        <v>24591465</v>
      </c>
      <c r="O46" s="49">
        <v>24591465</v>
      </c>
      <c r="P46" s="53">
        <f t="shared" si="10"/>
        <v>0</v>
      </c>
    </row>
    <row r="47" spans="1:16" ht="12.75">
      <c r="A47" s="6" t="s">
        <v>39</v>
      </c>
      <c r="B47" s="50">
        <v>0.0683509</v>
      </c>
      <c r="C47" s="49">
        <f t="shared" si="19"/>
        <v>134810209</v>
      </c>
      <c r="D47" s="49">
        <f t="shared" si="13"/>
        <v>363513607</v>
      </c>
      <c r="E47" s="51">
        <v>0.057310664739203716</v>
      </c>
      <c r="F47" s="49">
        <f t="shared" si="11"/>
        <v>161099131</v>
      </c>
      <c r="G47" s="52">
        <v>0.06389597545051894</v>
      </c>
      <c r="H47" s="52">
        <v>0.06073380453844506</v>
      </c>
      <c r="I47" s="49">
        <f t="shared" si="14"/>
        <v>0</v>
      </c>
      <c r="J47" s="48">
        <f t="shared" si="15"/>
        <v>0</v>
      </c>
      <c r="K47" s="49">
        <f t="shared" si="16"/>
        <v>0</v>
      </c>
      <c r="L47" s="49">
        <f t="shared" si="17"/>
        <v>0</v>
      </c>
      <c r="M47" s="49">
        <f t="shared" si="18"/>
        <v>161099131</v>
      </c>
      <c r="N47" s="49">
        <f t="shared" si="12"/>
        <v>161099131</v>
      </c>
      <c r="O47" s="49">
        <v>134810209</v>
      </c>
      <c r="P47" s="53">
        <f t="shared" si="10"/>
        <v>26288922</v>
      </c>
    </row>
    <row r="48" spans="1:16" ht="12.75">
      <c r="A48" s="6" t="s">
        <v>40</v>
      </c>
      <c r="B48" s="50">
        <v>0.00691008</v>
      </c>
      <c r="C48" s="49">
        <f t="shared" si="19"/>
        <v>13628926</v>
      </c>
      <c r="D48" s="49">
        <f t="shared" si="13"/>
        <v>36750184</v>
      </c>
      <c r="E48" s="51">
        <v>0.006652894019378319</v>
      </c>
      <c r="F48" s="49">
        <f t="shared" si="11"/>
        <v>18701152</v>
      </c>
      <c r="G48" s="52">
        <v>0.006652894009491331</v>
      </c>
      <c r="H48" s="52">
        <v>0.006652893895614809</v>
      </c>
      <c r="I48" s="49">
        <f t="shared" si="14"/>
        <v>18701152</v>
      </c>
      <c r="J48" s="48">
        <f t="shared" si="15"/>
        <v>0</v>
      </c>
      <c r="K48" s="49">
        <f t="shared" si="16"/>
        <v>0</v>
      </c>
      <c r="L48" s="49">
        <f t="shared" si="17"/>
        <v>0</v>
      </c>
      <c r="M48" s="49">
        <f t="shared" si="18"/>
        <v>18701152</v>
      </c>
      <c r="N48" s="49">
        <f t="shared" si="12"/>
        <v>18701152</v>
      </c>
      <c r="O48" s="49">
        <v>13628926</v>
      </c>
      <c r="P48" s="53">
        <f t="shared" si="10"/>
        <v>5072226</v>
      </c>
    </row>
    <row r="49" spans="1:16" ht="12.75">
      <c r="A49" s="6" t="s">
        <v>41</v>
      </c>
      <c r="B49" s="50">
        <v>0.00683051</v>
      </c>
      <c r="C49" s="49">
        <f t="shared" si="19"/>
        <v>13471988</v>
      </c>
      <c r="D49" s="49">
        <f t="shared" si="13"/>
        <v>36327004</v>
      </c>
      <c r="E49" s="51">
        <v>0.013490604431374306</v>
      </c>
      <c r="F49" s="49">
        <f t="shared" si="11"/>
        <v>37921819</v>
      </c>
      <c r="G49" s="52">
        <v>0.008159973119235626</v>
      </c>
      <c r="H49" s="52">
        <v>0.009307636863979486</v>
      </c>
      <c r="I49" s="49">
        <f t="shared" si="14"/>
        <v>26163581</v>
      </c>
      <c r="J49" s="48">
        <f t="shared" si="15"/>
        <v>36327004</v>
      </c>
      <c r="K49" s="49">
        <f t="shared" si="16"/>
        <v>0</v>
      </c>
      <c r="L49" s="49">
        <f t="shared" si="17"/>
        <v>0</v>
      </c>
      <c r="M49" s="49">
        <f t="shared" si="18"/>
        <v>0</v>
      </c>
      <c r="N49" s="49">
        <f t="shared" si="12"/>
        <v>36327004</v>
      </c>
      <c r="O49" s="49">
        <v>13471988</v>
      </c>
      <c r="P49" s="53">
        <f t="shared" si="10"/>
        <v>22855016</v>
      </c>
    </row>
    <row r="50" spans="1:16" ht="12.75">
      <c r="A50" s="6" t="s">
        <v>42</v>
      </c>
      <c r="B50" s="50">
        <v>0.00649373</v>
      </c>
      <c r="C50" s="49">
        <f t="shared" si="19"/>
        <v>12807748</v>
      </c>
      <c r="D50" s="49">
        <f t="shared" si="13"/>
        <v>34535891</v>
      </c>
      <c r="E50" s="51">
        <v>0.002345908463344638</v>
      </c>
      <c r="F50" s="49">
        <f t="shared" si="11"/>
        <v>6594302</v>
      </c>
      <c r="G50" s="52">
        <v>0.006070486485073493</v>
      </c>
      <c r="H50" s="52">
        <v>0.005770061995895731</v>
      </c>
      <c r="I50" s="49">
        <f t="shared" si="14"/>
        <v>17064016</v>
      </c>
      <c r="J50" s="48">
        <f t="shared" si="15"/>
        <v>0</v>
      </c>
      <c r="K50" s="49">
        <f t="shared" si="16"/>
        <v>0</v>
      </c>
      <c r="L50" s="49">
        <f t="shared" si="17"/>
        <v>17064016</v>
      </c>
      <c r="M50" s="49">
        <f t="shared" si="18"/>
        <v>0</v>
      </c>
      <c r="N50" s="49">
        <f t="shared" si="12"/>
        <v>17064016</v>
      </c>
      <c r="O50" s="49">
        <v>12807748</v>
      </c>
      <c r="P50" s="53">
        <f t="shared" si="10"/>
        <v>4256268</v>
      </c>
    </row>
    <row r="51" spans="1:16" ht="12.75">
      <c r="A51" s="6" t="s">
        <v>43</v>
      </c>
      <c r="B51" s="50">
        <v>0.01386403</v>
      </c>
      <c r="C51" s="49">
        <f t="shared" si="19"/>
        <v>27344377</v>
      </c>
      <c r="D51" s="49">
        <f t="shared" si="13"/>
        <v>73733682</v>
      </c>
      <c r="E51" s="51">
        <v>0.0180132045870658</v>
      </c>
      <c r="F51" s="49">
        <f t="shared" si="11"/>
        <v>50634758</v>
      </c>
      <c r="G51" s="52">
        <v>0.016562469030661442</v>
      </c>
      <c r="H51" s="52">
        <v>0.018013204477240655</v>
      </c>
      <c r="I51" s="49">
        <f t="shared" si="14"/>
        <v>0</v>
      </c>
      <c r="J51" s="48">
        <f t="shared" si="15"/>
        <v>0</v>
      </c>
      <c r="K51" s="49">
        <f t="shared" si="16"/>
        <v>0</v>
      </c>
      <c r="L51" s="49">
        <f t="shared" si="17"/>
        <v>0</v>
      </c>
      <c r="M51" s="49">
        <f t="shared" si="18"/>
        <v>50634758</v>
      </c>
      <c r="N51" s="49">
        <f t="shared" si="12"/>
        <v>50634758</v>
      </c>
      <c r="O51" s="49">
        <v>27344377</v>
      </c>
      <c r="P51" s="53">
        <f t="shared" si="10"/>
        <v>23290381</v>
      </c>
    </row>
    <row r="52" spans="1:16" ht="12.75">
      <c r="A52" s="6" t="s">
        <v>44</v>
      </c>
      <c r="B52" s="50">
        <v>0.02263997</v>
      </c>
      <c r="C52" s="49">
        <f t="shared" si="19"/>
        <v>44653386</v>
      </c>
      <c r="D52" s="49">
        <f t="shared" si="13"/>
        <v>120407153</v>
      </c>
      <c r="E52" s="51">
        <v>0.06524055385169238</v>
      </c>
      <c r="F52" s="49">
        <f t="shared" si="11"/>
        <v>183389891</v>
      </c>
      <c r="G52" s="52">
        <v>0.027046522534515532</v>
      </c>
      <c r="H52" s="52">
        <v>0.030850495282845017</v>
      </c>
      <c r="I52" s="49">
        <f t="shared" si="14"/>
        <v>0</v>
      </c>
      <c r="J52" s="48">
        <f t="shared" si="15"/>
        <v>120407153</v>
      </c>
      <c r="K52" s="49">
        <f t="shared" si="16"/>
        <v>0</v>
      </c>
      <c r="L52" s="49">
        <f t="shared" si="17"/>
        <v>0</v>
      </c>
      <c r="M52" s="49">
        <f t="shared" si="18"/>
        <v>0</v>
      </c>
      <c r="N52" s="49">
        <f t="shared" si="12"/>
        <v>120407153</v>
      </c>
      <c r="O52" s="49">
        <v>44653386</v>
      </c>
      <c r="P52" s="53">
        <f t="shared" si="10"/>
        <v>75753767</v>
      </c>
    </row>
    <row r="53" spans="1:16" ht="12.75">
      <c r="A53" s="6" t="s">
        <v>45</v>
      </c>
      <c r="B53" s="50">
        <v>0.00747576</v>
      </c>
      <c r="C53" s="49">
        <f t="shared" si="19"/>
        <v>14744631</v>
      </c>
      <c r="D53" s="49">
        <f t="shared" si="13"/>
        <v>39758665</v>
      </c>
      <c r="E53" s="51">
        <v>0.005988489869124835</v>
      </c>
      <c r="F53" s="49">
        <f t="shared" si="11"/>
        <v>16833525</v>
      </c>
      <c r="G53" s="52">
        <v>0.0069885106431587865</v>
      </c>
      <c r="H53" s="52">
        <v>0.0066426537262137</v>
      </c>
      <c r="I53" s="49">
        <f t="shared" si="14"/>
        <v>19644564</v>
      </c>
      <c r="J53" s="48">
        <f t="shared" si="15"/>
        <v>0</v>
      </c>
      <c r="K53" s="49">
        <f t="shared" si="16"/>
        <v>0</v>
      </c>
      <c r="L53" s="49">
        <f t="shared" si="17"/>
        <v>19644564</v>
      </c>
      <c r="M53" s="49">
        <f t="shared" si="18"/>
        <v>0</v>
      </c>
      <c r="N53" s="49">
        <f t="shared" si="12"/>
        <v>19644564</v>
      </c>
      <c r="O53" s="49">
        <v>14744631</v>
      </c>
      <c r="P53" s="53">
        <f t="shared" si="10"/>
        <v>4899933</v>
      </c>
    </row>
    <row r="54" spans="1:16" ht="12.75">
      <c r="A54" s="6" t="s">
        <v>46</v>
      </c>
      <c r="B54" s="50">
        <v>0.00595572</v>
      </c>
      <c r="C54" s="49">
        <f t="shared" si="19"/>
        <v>11746617</v>
      </c>
      <c r="D54" s="49">
        <f t="shared" si="13"/>
        <v>31674568</v>
      </c>
      <c r="E54" s="51">
        <v>0.0031853641645897077</v>
      </c>
      <c r="F54" s="49">
        <f t="shared" si="11"/>
        <v>8953995</v>
      </c>
      <c r="G54" s="52">
        <v>0.005567542376992</v>
      </c>
      <c r="H54" s="52">
        <v>0.0052920082696850945</v>
      </c>
      <c r="I54" s="49">
        <f t="shared" si="14"/>
        <v>15650250</v>
      </c>
      <c r="J54" s="48">
        <f t="shared" si="15"/>
        <v>0</v>
      </c>
      <c r="K54" s="49">
        <f t="shared" si="16"/>
        <v>0</v>
      </c>
      <c r="L54" s="49">
        <f t="shared" si="17"/>
        <v>15650250</v>
      </c>
      <c r="M54" s="49">
        <f t="shared" si="18"/>
        <v>0</v>
      </c>
      <c r="N54" s="49">
        <f t="shared" si="12"/>
        <v>15650250</v>
      </c>
      <c r="O54" s="49">
        <v>11746617</v>
      </c>
      <c r="P54" s="53">
        <f t="shared" si="10"/>
        <v>3903633</v>
      </c>
    </row>
    <row r="55" spans="1:16" ht="12.75">
      <c r="A55" s="6" t="s">
        <v>47</v>
      </c>
      <c r="B55" s="50">
        <v>0.01957379</v>
      </c>
      <c r="C55" s="49">
        <f t="shared" si="19"/>
        <v>38605881</v>
      </c>
      <c r="D55" s="49">
        <f t="shared" si="13"/>
        <v>104100151</v>
      </c>
      <c r="E55" s="51">
        <v>0.030411877718134073</v>
      </c>
      <c r="F55" s="49">
        <f t="shared" si="11"/>
        <v>85487180</v>
      </c>
      <c r="G55" s="52">
        <v>0.023383553613675983</v>
      </c>
      <c r="H55" s="52">
        <v>0.026672345784425136</v>
      </c>
      <c r="I55" s="49">
        <f t="shared" si="14"/>
        <v>0</v>
      </c>
      <c r="J55" s="48">
        <f t="shared" si="15"/>
        <v>0</v>
      </c>
      <c r="K55" s="49">
        <f t="shared" si="16"/>
        <v>0</v>
      </c>
      <c r="L55" s="49">
        <f t="shared" si="17"/>
        <v>0</v>
      </c>
      <c r="M55" s="49">
        <f t="shared" si="18"/>
        <v>85487180</v>
      </c>
      <c r="N55" s="49">
        <f t="shared" si="12"/>
        <v>85487180</v>
      </c>
      <c r="O55" s="49">
        <v>38605881</v>
      </c>
      <c r="P55" s="53">
        <f t="shared" si="10"/>
        <v>46881299</v>
      </c>
    </row>
    <row r="56" spans="1:16" ht="12.75">
      <c r="A56" s="6" t="s">
        <v>48</v>
      </c>
      <c r="B56" s="50">
        <v>0.02050857</v>
      </c>
      <c r="C56" s="49">
        <f t="shared" si="19"/>
        <v>40449571</v>
      </c>
      <c r="D56" s="49">
        <f t="shared" si="13"/>
        <v>109071632</v>
      </c>
      <c r="E56" s="51">
        <v>0.012037321515844442</v>
      </c>
      <c r="F56" s="49">
        <f t="shared" si="11"/>
        <v>33836670</v>
      </c>
      <c r="G56" s="52">
        <v>0.019171877373174478</v>
      </c>
      <c r="H56" s="52">
        <v>0.018223073437842942</v>
      </c>
      <c r="I56" s="49">
        <f t="shared" si="14"/>
        <v>0</v>
      </c>
      <c r="J56" s="48">
        <f t="shared" si="15"/>
        <v>0</v>
      </c>
      <c r="K56" s="49">
        <f t="shared" si="16"/>
        <v>40449571</v>
      </c>
      <c r="L56" s="49">
        <f t="shared" si="17"/>
        <v>0</v>
      </c>
      <c r="M56" s="49">
        <f t="shared" si="18"/>
        <v>0</v>
      </c>
      <c r="N56" s="49">
        <f t="shared" si="12"/>
        <v>40449571</v>
      </c>
      <c r="O56" s="49">
        <v>40449571</v>
      </c>
      <c r="P56" s="53">
        <f t="shared" si="10"/>
        <v>0</v>
      </c>
    </row>
    <row r="57" spans="1:16" ht="12.75">
      <c r="A57" s="6" t="s">
        <v>49</v>
      </c>
      <c r="B57" s="50">
        <v>0.00905733</v>
      </c>
      <c r="C57" s="49">
        <f t="shared" si="19"/>
        <v>17864001</v>
      </c>
      <c r="D57" s="49">
        <f t="shared" si="13"/>
        <v>48169998</v>
      </c>
      <c r="E57" s="51">
        <v>0.009071691054050611</v>
      </c>
      <c r="F57" s="49">
        <f t="shared" si="11"/>
        <v>25500342</v>
      </c>
      <c r="G57" s="52">
        <v>0.009071691108376629</v>
      </c>
      <c r="H57" s="52">
        <v>0.009071690836705644</v>
      </c>
      <c r="I57" s="49">
        <f t="shared" si="14"/>
        <v>25500342</v>
      </c>
      <c r="J57" s="48">
        <f t="shared" si="15"/>
        <v>0</v>
      </c>
      <c r="K57" s="49">
        <f t="shared" si="16"/>
        <v>0</v>
      </c>
      <c r="L57" s="49">
        <f t="shared" si="17"/>
        <v>0</v>
      </c>
      <c r="M57" s="49">
        <f t="shared" si="18"/>
        <v>25500342</v>
      </c>
      <c r="N57" s="49">
        <f t="shared" si="12"/>
        <v>25500342</v>
      </c>
      <c r="O57" s="49">
        <v>17864001</v>
      </c>
      <c r="P57" s="53">
        <f t="shared" si="10"/>
        <v>7636341</v>
      </c>
    </row>
    <row r="58" spans="1:16" ht="12.75">
      <c r="A58" s="6" t="s">
        <v>50</v>
      </c>
      <c r="B58" s="50">
        <v>0.03576365</v>
      </c>
      <c r="C58" s="49">
        <f t="shared" si="19"/>
        <v>70537552</v>
      </c>
      <c r="D58" s="49">
        <f t="shared" si="13"/>
        <v>190203399</v>
      </c>
      <c r="E58" s="51">
        <v>0.020799600855262865</v>
      </c>
      <c r="F58" s="49">
        <f t="shared" si="11"/>
        <v>58467262</v>
      </c>
      <c r="G58" s="52">
        <v>0.033432673418166</v>
      </c>
      <c r="H58" s="52">
        <v>0.03177811181784018</v>
      </c>
      <c r="I58" s="49">
        <f t="shared" si="14"/>
        <v>0</v>
      </c>
      <c r="J58" s="48">
        <f t="shared" si="15"/>
        <v>0</v>
      </c>
      <c r="K58" s="49">
        <f t="shared" si="16"/>
        <v>70537552</v>
      </c>
      <c r="L58" s="49">
        <f t="shared" si="17"/>
        <v>0</v>
      </c>
      <c r="M58" s="49">
        <f t="shared" si="18"/>
        <v>0</v>
      </c>
      <c r="N58" s="49">
        <f t="shared" si="12"/>
        <v>70537552</v>
      </c>
      <c r="O58" s="49">
        <v>70537552</v>
      </c>
      <c r="P58" s="53">
        <f t="shared" si="10"/>
        <v>0</v>
      </c>
    </row>
    <row r="59" spans="1:16" ht="13.5" thickBot="1">
      <c r="A59" s="10" t="s">
        <v>51</v>
      </c>
      <c r="B59" s="113">
        <v>0.00299313</v>
      </c>
      <c r="C59" s="93">
        <f>ROUND(B59*$C$71,0)+1</f>
        <v>5903427</v>
      </c>
      <c r="D59" s="114">
        <f t="shared" si="13"/>
        <v>15918498</v>
      </c>
      <c r="E59" s="117">
        <v>0.002023332177429795</v>
      </c>
      <c r="F59" s="118">
        <f t="shared" si="11"/>
        <v>5687546</v>
      </c>
      <c r="G59" s="119">
        <v>0.00279804644962705</v>
      </c>
      <c r="H59" s="119">
        <v>0.002659572922440756</v>
      </c>
      <c r="I59" s="118">
        <f t="shared" si="14"/>
        <v>7865253</v>
      </c>
      <c r="J59" s="120">
        <f t="shared" si="15"/>
        <v>0</v>
      </c>
      <c r="K59" s="118">
        <f t="shared" si="16"/>
        <v>0</v>
      </c>
      <c r="L59" s="118">
        <f t="shared" si="17"/>
        <v>7865253</v>
      </c>
      <c r="M59" s="118">
        <f t="shared" si="18"/>
        <v>0</v>
      </c>
      <c r="N59" s="118">
        <f>SUM(J59+K59+L59+M59)</f>
        <v>7865253</v>
      </c>
      <c r="O59" s="118">
        <v>5903427</v>
      </c>
      <c r="P59" s="121">
        <f>N59-O59</f>
        <v>1961826</v>
      </c>
    </row>
    <row r="60" spans="1:16" ht="13.5" thickTop="1">
      <c r="A60" s="17" t="s">
        <v>52</v>
      </c>
      <c r="B60" s="18"/>
      <c r="C60" s="114">
        <f>SUM(C9:C59)</f>
        <v>1972325297</v>
      </c>
      <c r="D60" s="70"/>
      <c r="E60" s="122">
        <f>SUM(E9:E59)</f>
        <v>1.0000000000000004</v>
      </c>
      <c r="F60" s="123">
        <f>SUM(F9:F59)</f>
        <v>2810979983</v>
      </c>
      <c r="G60" s="124">
        <f>SUM(G9:G59)</f>
        <v>1</v>
      </c>
      <c r="H60" s="124"/>
      <c r="I60" s="123"/>
      <c r="J60" s="125"/>
      <c r="K60" s="126"/>
      <c r="L60" s="126"/>
      <c r="M60" s="127"/>
      <c r="N60" s="123">
        <f>SUM(N9:N59)</f>
        <v>2810979983</v>
      </c>
      <c r="O60" s="123">
        <f>SUM(O9:O59)</f>
        <v>1972325297</v>
      </c>
      <c r="P60" s="128">
        <f>SUM(P9:P59)</f>
        <v>838654686</v>
      </c>
    </row>
    <row r="61" spans="1:16" ht="36" customHeight="1">
      <c r="A61" s="179" t="s">
        <v>114</v>
      </c>
      <c r="B61" s="179"/>
      <c r="C61" s="179"/>
      <c r="D61" s="179"/>
      <c r="E61" s="179"/>
      <c r="F61" s="25"/>
      <c r="G61" s="25"/>
      <c r="H61" s="130"/>
      <c r="I61" s="129"/>
      <c r="J61" s="131"/>
      <c r="K61" s="83"/>
      <c r="L61" s="83"/>
      <c r="M61" s="132"/>
      <c r="N61" s="129"/>
      <c r="O61" s="129"/>
      <c r="P61" s="133"/>
    </row>
    <row r="62" spans="1:16" ht="12.75">
      <c r="A62" s="6"/>
      <c r="B62" s="180" t="s">
        <v>296</v>
      </c>
      <c r="C62" s="181"/>
      <c r="D62" s="181"/>
      <c r="E62" s="181"/>
      <c r="F62" s="47"/>
      <c r="G62" s="47"/>
      <c r="H62" s="47"/>
      <c r="I62" s="47"/>
      <c r="J62" s="54"/>
      <c r="K62" s="47"/>
      <c r="L62" s="47"/>
      <c r="M62" s="47"/>
      <c r="N62" s="49"/>
      <c r="P62" s="60"/>
    </row>
    <row r="63" spans="1:16" ht="63.75">
      <c r="A63" s="4" t="str">
        <f>TEXT(States_Territories!$F$3,"dd-MMM-yy")</f>
        <v>24-Oct-08</v>
      </c>
      <c r="B63" s="47"/>
      <c r="C63" s="61" t="s">
        <v>78</v>
      </c>
      <c r="D63" s="47"/>
      <c r="E63" s="61" t="str">
        <f>"Leveraging, T&amp;TA, and Territory Allocations from "&amp;TEXT(C$2/1000000000,"$0.00")&amp;" Billion"</f>
        <v>Leveraging, T&amp;TA, and Territory Allocations from $2.81 Billion</v>
      </c>
      <c r="F63" s="61"/>
      <c r="G63" s="47"/>
      <c r="H63" s="47"/>
      <c r="I63" s="47"/>
      <c r="J63" s="54"/>
      <c r="K63" s="47"/>
      <c r="L63" s="47"/>
      <c r="M63" s="47"/>
      <c r="O63" s="61"/>
      <c r="P63" s="25"/>
    </row>
    <row r="64" spans="1:16" ht="12.75">
      <c r="A64" s="6" t="s">
        <v>79</v>
      </c>
      <c r="B64" s="47"/>
      <c r="C64" s="62">
        <v>1975000000</v>
      </c>
      <c r="D64" s="47"/>
      <c r="E64" s="54">
        <f>+C2</f>
        <v>2814792000</v>
      </c>
      <c r="F64" s="49"/>
      <c r="G64" s="63"/>
      <c r="H64" s="63"/>
      <c r="I64" s="54"/>
      <c r="J64" s="54"/>
      <c r="K64" s="47"/>
      <c r="L64" s="47"/>
      <c r="M64" s="47"/>
      <c r="O64" s="54"/>
      <c r="P64" s="64"/>
    </row>
    <row r="65" spans="1:16" ht="12.75">
      <c r="A65" s="6" t="s">
        <v>80</v>
      </c>
      <c r="B65" s="47"/>
      <c r="C65" s="54"/>
      <c r="D65" s="47"/>
      <c r="E65" s="49">
        <v>0</v>
      </c>
      <c r="F65" s="49"/>
      <c r="G65" s="54"/>
      <c r="H65" s="54"/>
      <c r="I65" s="54"/>
      <c r="J65" s="54"/>
      <c r="K65" s="47"/>
      <c r="L65" s="47"/>
      <c r="M65" s="47"/>
      <c r="O65" s="54"/>
      <c r="P65" s="64"/>
    </row>
    <row r="66" spans="1:16" ht="12.75">
      <c r="A66" s="47" t="s">
        <v>81</v>
      </c>
      <c r="B66" s="47"/>
      <c r="C66" s="49">
        <f>C64-C65</f>
        <v>1975000000</v>
      </c>
      <c r="D66" s="49"/>
      <c r="E66" s="49">
        <f>E64-E65</f>
        <v>2814792000</v>
      </c>
      <c r="F66" s="49"/>
      <c r="G66" s="49"/>
      <c r="H66" s="49"/>
      <c r="I66" s="49"/>
      <c r="J66" s="54"/>
      <c r="K66" s="47"/>
      <c r="L66" s="47"/>
      <c r="M66" s="47"/>
      <c r="O66" s="49"/>
      <c r="P66" s="64"/>
    </row>
    <row r="67" spans="1:16" ht="12.75">
      <c r="A67" s="47" t="s">
        <v>82</v>
      </c>
      <c r="B67" s="47"/>
      <c r="C67" s="54"/>
      <c r="D67" s="49"/>
      <c r="E67" s="49">
        <v>0</v>
      </c>
      <c r="G67" s="49"/>
      <c r="H67" s="49"/>
      <c r="I67" s="49"/>
      <c r="J67" s="54"/>
      <c r="K67" s="47"/>
      <c r="L67" s="47"/>
      <c r="M67" s="47"/>
      <c r="O67" s="54"/>
      <c r="P67" s="64"/>
    </row>
    <row r="68" spans="1:16" ht="12.75">
      <c r="A68" s="47" t="s">
        <v>81</v>
      </c>
      <c r="B68" s="47"/>
      <c r="C68" s="49">
        <f>C66-C67</f>
        <v>1975000000</v>
      </c>
      <c r="D68" s="65"/>
      <c r="E68" s="49">
        <f>E66-E67</f>
        <v>2814792000</v>
      </c>
      <c r="G68" s="49"/>
      <c r="H68" s="49"/>
      <c r="I68" s="49"/>
      <c r="J68" s="54"/>
      <c r="K68" s="47"/>
      <c r="L68" s="47"/>
      <c r="M68" s="47"/>
      <c r="O68" s="49"/>
      <c r="P68" s="64"/>
    </row>
    <row r="69" spans="1:16" ht="25.5">
      <c r="A69" s="24" t="s">
        <v>83</v>
      </c>
      <c r="B69" s="47"/>
      <c r="C69" s="50">
        <v>0.00135428</v>
      </c>
      <c r="D69" s="65"/>
      <c r="E69" s="50">
        <f>C69</f>
        <v>0.00135428</v>
      </c>
      <c r="G69" s="66"/>
      <c r="H69" s="67"/>
      <c r="I69" s="49"/>
      <c r="J69" s="54"/>
      <c r="K69" s="47"/>
      <c r="L69" s="47"/>
      <c r="M69" s="47"/>
      <c r="O69" s="50"/>
      <c r="P69" s="68"/>
    </row>
    <row r="70" spans="1:16" ht="12.75">
      <c r="A70" s="47" t="s">
        <v>84</v>
      </c>
      <c r="B70" s="47"/>
      <c r="C70" s="49">
        <f>C68*C69</f>
        <v>2674703</v>
      </c>
      <c r="D70" s="49"/>
      <c r="E70" s="49">
        <f>ROUND(E68*E69,0)</f>
        <v>3812017</v>
      </c>
      <c r="F70" s="49"/>
      <c r="G70" s="49"/>
      <c r="H70" s="49"/>
      <c r="I70" s="49"/>
      <c r="J70" s="54"/>
      <c r="K70" s="47"/>
      <c r="L70" s="47"/>
      <c r="M70" s="47"/>
      <c r="O70" s="49"/>
      <c r="P70" s="64"/>
    </row>
    <row r="71" spans="1:16" ht="12.75">
      <c r="A71" s="47" t="s">
        <v>85</v>
      </c>
      <c r="B71" s="47"/>
      <c r="C71" s="49">
        <f>C68-C70</f>
        <v>1972325297</v>
      </c>
      <c r="D71" s="49"/>
      <c r="E71" s="49">
        <f>E68-E70</f>
        <v>2810979983</v>
      </c>
      <c r="G71" s="49"/>
      <c r="H71" s="49"/>
      <c r="I71" s="49"/>
      <c r="J71" s="54"/>
      <c r="K71" s="47"/>
      <c r="L71" s="47"/>
      <c r="M71" s="47"/>
      <c r="O71" s="49"/>
      <c r="P71" s="64"/>
    </row>
    <row r="72" spans="1:13" ht="12.75">
      <c r="A72" s="47"/>
      <c r="B72" s="47"/>
      <c r="C72" s="49"/>
      <c r="D72" s="49"/>
      <c r="E72" s="49"/>
      <c r="F72" s="49"/>
      <c r="G72" s="49"/>
      <c r="H72" s="49"/>
      <c r="I72" s="49"/>
      <c r="J72" s="54"/>
      <c r="K72" s="47"/>
      <c r="L72" s="47"/>
      <c r="M72" s="47"/>
    </row>
    <row r="73" spans="1:13" ht="12.75">
      <c r="A73" s="47"/>
      <c r="B73" s="47"/>
      <c r="C73" s="49"/>
      <c r="D73" s="49"/>
      <c r="E73" s="49"/>
      <c r="F73" s="49"/>
      <c r="G73" s="49"/>
      <c r="H73" s="49"/>
      <c r="I73" s="49"/>
      <c r="J73" s="54"/>
      <c r="K73" s="47"/>
      <c r="L73" s="47"/>
      <c r="M73" s="47"/>
    </row>
    <row r="74" spans="1:10" ht="38.25">
      <c r="A74" s="32"/>
      <c r="B74" s="32" t="s">
        <v>86</v>
      </c>
      <c r="C74" s="19" t="str">
        <f>"Territory Allocations at $2.814B"</f>
        <v>Territory Allocations at $2.814B</v>
      </c>
      <c r="D74" s="19" t="s">
        <v>94</v>
      </c>
      <c r="E74" s="14" t="s">
        <v>95</v>
      </c>
      <c r="G74" s="69"/>
      <c r="J74" s="26"/>
    </row>
    <row r="75" spans="1:10" ht="12.75">
      <c r="A75" s="10" t="s">
        <v>53</v>
      </c>
      <c r="B75" s="113">
        <v>0.01654258</v>
      </c>
      <c r="C75" s="114">
        <f>ROUND(B75*$E$70,0)</f>
        <v>63061</v>
      </c>
      <c r="D75" s="114">
        <v>44246</v>
      </c>
      <c r="E75" s="53">
        <f>C75-D75</f>
        <v>18815</v>
      </c>
      <c r="G75" s="69"/>
      <c r="J75" s="26"/>
    </row>
    <row r="76" spans="1:10" ht="12.75">
      <c r="A76" s="10" t="s">
        <v>54</v>
      </c>
      <c r="B76" s="113">
        <v>0.03626904</v>
      </c>
      <c r="C76" s="114">
        <f>ROUND(B76*$E$70,0)</f>
        <v>138258</v>
      </c>
      <c r="D76" s="114">
        <v>97009</v>
      </c>
      <c r="E76" s="53">
        <f>C76-D76</f>
        <v>41249</v>
      </c>
      <c r="J76" s="26"/>
    </row>
    <row r="77" spans="1:10" ht="12.75">
      <c r="A77" s="10" t="s">
        <v>55</v>
      </c>
      <c r="B77" s="113">
        <v>0.01259719</v>
      </c>
      <c r="C77" s="114">
        <f>ROUND(B77*$E$70,0)</f>
        <v>48021</v>
      </c>
      <c r="D77" s="114">
        <v>33694</v>
      </c>
      <c r="E77" s="53">
        <f>C77-D77</f>
        <v>14327</v>
      </c>
      <c r="J77" s="26"/>
    </row>
    <row r="78" spans="1:10" ht="12.75">
      <c r="A78" s="10" t="s">
        <v>56</v>
      </c>
      <c r="B78" s="113">
        <v>0.90029483</v>
      </c>
      <c r="C78" s="114">
        <f>ROUND(B78*$E$70,0)</f>
        <v>3431939</v>
      </c>
      <c r="D78" s="114">
        <v>2408021</v>
      </c>
      <c r="E78" s="53">
        <f>C78-D78</f>
        <v>1023918</v>
      </c>
      <c r="J78" s="26"/>
    </row>
    <row r="79" spans="1:10" ht="13.5" thickBot="1">
      <c r="A79" s="10" t="s">
        <v>57</v>
      </c>
      <c r="B79" s="113">
        <v>0.03429636</v>
      </c>
      <c r="C79" s="93">
        <f>ROUND(B79*$E$70,0)</f>
        <v>130738</v>
      </c>
      <c r="D79" s="114">
        <v>91733</v>
      </c>
      <c r="E79" s="53">
        <f>C79-D79</f>
        <v>39005</v>
      </c>
      <c r="J79" s="26"/>
    </row>
    <row r="80" spans="1:10" ht="13.5" thickTop="1">
      <c r="A80" s="17" t="s">
        <v>52</v>
      </c>
      <c r="B80" s="18"/>
      <c r="C80" s="114">
        <f>SUM(C75:C79)</f>
        <v>3812017</v>
      </c>
      <c r="D80" s="115">
        <f>SUM(D75:D79)</f>
        <v>2674703</v>
      </c>
      <c r="E80" s="116">
        <f>SUM(E75:E79)</f>
        <v>1137314</v>
      </c>
      <c r="J80" s="26"/>
    </row>
    <row r="81" ht="12.75">
      <c r="E81" s="71"/>
    </row>
    <row r="82" ht="12.75">
      <c r="A82" s="10" t="str">
        <f>"DEA/PE "&amp;TEXT('FY09_$840M_NewFormula'!$G$2,"dd-MMM-yyyy")</f>
        <v>DEA/PE 24-Oct-2008</v>
      </c>
    </row>
  </sheetData>
  <mergeCells count="8">
    <mergeCell ref="B1:H1"/>
    <mergeCell ref="I1:M1"/>
    <mergeCell ref="N1:P1"/>
    <mergeCell ref="B4:H4"/>
    <mergeCell ref="B62:E62"/>
    <mergeCell ref="I4:M4"/>
    <mergeCell ref="N4:P4"/>
    <mergeCell ref="A61:E61"/>
  </mergeCells>
  <printOptions gridLines="1" horizontalCentered="1"/>
  <pageMargins left="0.15" right="0.15" top="0.5" bottom="0.6" header="0.5" footer="0.35"/>
  <pageSetup fitToHeight="2" horizontalDpi="600" verticalDpi="600" orientation="portrait" scale="70" r:id="rId1"/>
  <headerFooter alignWithMargins="0">
    <oddFooter>&amp;L&amp;"Arial,Regular"'&amp;F' [&amp;A]&amp;R&amp;"Arial,Regular"Page &amp;P of &amp;N</oddFooter>
  </headerFooter>
  <colBreaks count="2" manualBreakCount="2">
    <brk id="8" max="60" man="1"/>
    <brk id="13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F113"/>
  <sheetViews>
    <sheetView workbookViewId="0" topLeftCell="A1">
      <pane xSplit="1" ySplit="5" topLeftCell="B6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B6" sqref="B6"/>
    </sheetView>
  </sheetViews>
  <sheetFormatPr defaultColWidth="9.33203125" defaultRowHeight="12.75"/>
  <cols>
    <col min="1" max="1" width="23.83203125" style="2" customWidth="1"/>
    <col min="2" max="6" width="25" style="2" customWidth="1"/>
    <col min="7" max="7" width="10.5" style="2" bestFit="1" customWidth="1"/>
    <col min="8" max="16384" width="9.33203125" style="2" customWidth="1"/>
  </cols>
  <sheetData>
    <row r="1" spans="1:6" ht="29.25" customHeight="1">
      <c r="A1" s="179" t="s">
        <v>106</v>
      </c>
      <c r="B1" s="184"/>
      <c r="C1" s="184"/>
      <c r="D1" s="184"/>
      <c r="E1" s="183"/>
      <c r="F1" s="183"/>
    </row>
    <row r="2" spans="1:6" ht="12.75">
      <c r="A2" s="180" t="s">
        <v>296</v>
      </c>
      <c r="B2" s="180"/>
      <c r="C2" s="180"/>
      <c r="D2" s="180"/>
      <c r="E2" s="185"/>
      <c r="F2" s="185"/>
    </row>
    <row r="3" spans="1:6" ht="12.75">
      <c r="A3" s="95" t="s">
        <v>107</v>
      </c>
      <c r="C3" s="96">
        <f>'FY09_$3.67B_OldFormula'!C5+'FY09_$840M_NewFormula'!P3</f>
        <v>4509672000</v>
      </c>
      <c r="F3" s="99">
        <v>39745</v>
      </c>
    </row>
    <row r="4" spans="1:6" ht="25.5">
      <c r="A4" s="81"/>
      <c r="B4" s="77" t="str">
        <f>"Block Grant ("&amp;TEXT('FY09_$3.67B_OldFormula'!$C$5/1000000000,"$0.00")&amp;" Billion)"</f>
        <v>Block Grant ($3.67 Billion)</v>
      </c>
      <c r="C4" s="21" t="str">
        <f>"Block Grant ("&amp;TEXT('FY09_$840M_NewFormula'!$P$3/1000000,"$0")&amp;" Million)"</f>
        <v>Block Grant ($840 Million)</v>
      </c>
      <c r="D4" s="21" t="str">
        <f>"Total ("&amp;TEXT(('FY09_$3.67B_OldFormula'!$C$5+'FY09_$840M_NewFormula'!$P$3)/1000000000,"$0.00")&amp;" Billion)"</f>
        <v>Total ($4.51 Billion)</v>
      </c>
      <c r="E4" s="21" t="str">
        <f>"Total ("&amp;TEXT($E$58/1000000,"$0")&amp;" Million)"</f>
        <v>Total ($47 Million)</v>
      </c>
      <c r="F4" s="22" t="str">
        <f>"Total ("&amp;TEXT($F$58/1000000000,"$0.00")&amp;" Billion)"</f>
        <v>Total ($4.43 Billion)</v>
      </c>
    </row>
    <row r="5" spans="1:6" ht="38.25" customHeight="1">
      <c r="A5" s="97" t="s">
        <v>0</v>
      </c>
      <c r="B5" s="78" t="s">
        <v>111</v>
      </c>
      <c r="C5" s="78" t="s">
        <v>110</v>
      </c>
      <c r="D5" s="78" t="s">
        <v>109</v>
      </c>
      <c r="E5" s="84" t="s">
        <v>102</v>
      </c>
      <c r="F5" s="85" t="s">
        <v>104</v>
      </c>
    </row>
    <row r="6" spans="1:6" ht="12.75">
      <c r="A6" s="82"/>
      <c r="B6" s="79"/>
      <c r="F6" s="3"/>
    </row>
    <row r="7" spans="1:6" ht="12.75">
      <c r="A7" s="83" t="s">
        <v>1</v>
      </c>
      <c r="B7" s="80">
        <f>'FY09_$3.67B_OldFormula'!C11</f>
        <v>31285401</v>
      </c>
      <c r="C7" s="7">
        <f>'FY09_$840M_NewFormula'!P9</f>
        <v>28777267</v>
      </c>
      <c r="D7" s="7">
        <f>SUM(B7:C7)</f>
        <v>60062668</v>
      </c>
      <c r="E7" s="7">
        <f>Tribes!H12</f>
        <v>346834</v>
      </c>
      <c r="F7" s="11">
        <f>D7-E7</f>
        <v>59715834</v>
      </c>
    </row>
    <row r="8" spans="1:6" ht="12.75">
      <c r="A8" s="83" t="s">
        <v>2</v>
      </c>
      <c r="B8" s="80">
        <f>'FY09_$3.67B_OldFormula'!C12</f>
        <v>19970172</v>
      </c>
      <c r="C8" s="7">
        <f>'FY09_$840M_NewFormula'!P10</f>
        <v>3598289</v>
      </c>
      <c r="D8" s="7">
        <f aca="true" t="shared" si="0" ref="D8:D57">SUM(B8:C8)</f>
        <v>23568461</v>
      </c>
      <c r="E8" s="7">
        <f>Tribes!H16</f>
        <v>7235517</v>
      </c>
      <c r="F8" s="11">
        <f aca="true" t="shared" si="1" ref="F8:F57">D8-E8</f>
        <v>16332944</v>
      </c>
    </row>
    <row r="9" spans="1:6" ht="12.75">
      <c r="A9" s="83" t="s">
        <v>3</v>
      </c>
      <c r="B9" s="80">
        <f>'FY09_$3.67B_OldFormula'!C13</f>
        <v>15129992</v>
      </c>
      <c r="C9" s="7">
        <f>'FY09_$840M_NewFormula'!P11</f>
        <v>13917029</v>
      </c>
      <c r="D9" s="7">
        <f t="shared" si="0"/>
        <v>29047021</v>
      </c>
      <c r="E9" s="7">
        <f>Tribes!H26</f>
        <v>2202950</v>
      </c>
      <c r="F9" s="11">
        <f t="shared" si="1"/>
        <v>26844071</v>
      </c>
    </row>
    <row r="10" spans="1:6" ht="12.75">
      <c r="A10" s="83" t="s">
        <v>4</v>
      </c>
      <c r="B10" s="80">
        <f>'FY09_$3.67B_OldFormula'!C14</f>
        <v>23872240</v>
      </c>
      <c r="C10" s="7">
        <f>'FY09_$840M_NewFormula'!P12</f>
        <v>12625208</v>
      </c>
      <c r="D10" s="7">
        <f t="shared" si="0"/>
        <v>36497448</v>
      </c>
      <c r="E10" s="7"/>
      <c r="F10" s="11">
        <f t="shared" si="1"/>
        <v>36497448</v>
      </c>
    </row>
    <row r="11" spans="1:6" ht="12.75">
      <c r="A11" s="83" t="s">
        <v>5</v>
      </c>
      <c r="B11" s="80">
        <f>'FY09_$3.67B_OldFormula'!C15</f>
        <v>167837064</v>
      </c>
      <c r="C11" s="7">
        <f>'FY09_$840M_NewFormula'!P13</f>
        <v>58057069</v>
      </c>
      <c r="D11" s="7">
        <f t="shared" si="0"/>
        <v>225894133</v>
      </c>
      <c r="E11" s="7">
        <f>Tribes!H36</f>
        <v>1916198</v>
      </c>
      <c r="F11" s="11">
        <f t="shared" si="1"/>
        <v>223977935</v>
      </c>
    </row>
    <row r="12" spans="1:6" ht="12.75">
      <c r="A12" s="83" t="s">
        <v>6</v>
      </c>
      <c r="B12" s="80">
        <f>'FY09_$3.67B_OldFormula'!C16</f>
        <v>58519554</v>
      </c>
      <c r="C12" s="7">
        <f>'FY09_$840M_NewFormula'!P14</f>
        <v>4954638</v>
      </c>
      <c r="D12" s="7">
        <f t="shared" si="0"/>
        <v>63474192</v>
      </c>
      <c r="E12" s="7"/>
      <c r="F12" s="11">
        <f t="shared" si="1"/>
        <v>63474192</v>
      </c>
    </row>
    <row r="13" spans="1:6" ht="12.75">
      <c r="A13" s="83" t="s">
        <v>7</v>
      </c>
      <c r="B13" s="80">
        <f>'FY09_$3.67B_OldFormula'!C17</f>
        <v>76340822</v>
      </c>
      <c r="C13" s="7">
        <f>'FY09_$840M_NewFormula'!P15</f>
        <v>19441818</v>
      </c>
      <c r="D13" s="7">
        <f t="shared" si="0"/>
        <v>95782640</v>
      </c>
      <c r="E13" s="7"/>
      <c r="F13" s="11">
        <f t="shared" si="1"/>
        <v>95782640</v>
      </c>
    </row>
    <row r="14" spans="1:6" ht="12.75">
      <c r="A14" s="83" t="s">
        <v>8</v>
      </c>
      <c r="B14" s="80">
        <f>'FY09_$3.67B_OldFormula'!C18</f>
        <v>10132775</v>
      </c>
      <c r="C14" s="7">
        <f>'FY09_$840M_NewFormula'!P16</f>
        <v>7251516</v>
      </c>
      <c r="D14" s="7">
        <f t="shared" si="0"/>
        <v>17384291</v>
      </c>
      <c r="E14" s="7"/>
      <c r="F14" s="11">
        <f t="shared" si="1"/>
        <v>17384291</v>
      </c>
    </row>
    <row r="15" spans="1:6" ht="12.75">
      <c r="A15" s="83" t="s">
        <v>9</v>
      </c>
      <c r="B15" s="80">
        <f>'FY09_$3.67B_OldFormula'!C19</f>
        <v>11855855</v>
      </c>
      <c r="C15" s="7">
        <f>'FY09_$840M_NewFormula'!P17</f>
        <v>2796929</v>
      </c>
      <c r="D15" s="7">
        <f t="shared" si="0"/>
        <v>14652784</v>
      </c>
      <c r="E15" s="7"/>
      <c r="F15" s="11">
        <f t="shared" si="1"/>
        <v>14652784</v>
      </c>
    </row>
    <row r="16" spans="1:6" ht="12.75">
      <c r="A16" s="83" t="s">
        <v>10</v>
      </c>
      <c r="B16" s="80">
        <f>'FY09_$3.67B_OldFormula'!C20</f>
        <v>49502845</v>
      </c>
      <c r="C16" s="7">
        <f>'FY09_$840M_NewFormula'!P18</f>
        <v>45534230</v>
      </c>
      <c r="D16" s="7">
        <f t="shared" si="0"/>
        <v>95037075</v>
      </c>
      <c r="E16" s="7">
        <f>Tribes!H60</f>
        <v>24362</v>
      </c>
      <c r="F16" s="11">
        <f t="shared" si="1"/>
        <v>95012713</v>
      </c>
    </row>
    <row r="17" spans="1:6" ht="12.75">
      <c r="A17" s="83" t="s">
        <v>11</v>
      </c>
      <c r="B17" s="80">
        <f>'FY09_$3.67B_OldFormula'!C21</f>
        <v>39139589</v>
      </c>
      <c r="C17" s="7">
        <f>'FY09_$840M_NewFormula'!P19</f>
        <v>36001792</v>
      </c>
      <c r="D17" s="7">
        <f t="shared" si="0"/>
        <v>75141381</v>
      </c>
      <c r="E17" s="7"/>
      <c r="F17" s="11">
        <f t="shared" si="1"/>
        <v>75141381</v>
      </c>
    </row>
    <row r="18" spans="1:6" ht="12.75">
      <c r="A18" s="83" t="s">
        <v>12</v>
      </c>
      <c r="B18" s="80">
        <f>'FY09_$3.67B_OldFormula'!C22</f>
        <v>3941572</v>
      </c>
      <c r="C18" s="7">
        <f>'FY09_$840M_NewFormula'!P20</f>
        <v>710209</v>
      </c>
      <c r="D18" s="7">
        <f t="shared" si="0"/>
        <v>4651781</v>
      </c>
      <c r="E18" s="7"/>
      <c r="F18" s="11">
        <f t="shared" si="1"/>
        <v>4651781</v>
      </c>
    </row>
    <row r="19" spans="1:6" ht="12.75">
      <c r="A19" s="83" t="s">
        <v>13</v>
      </c>
      <c r="B19" s="80">
        <f>'FY09_$3.67B_OldFormula'!C23</f>
        <v>22826525</v>
      </c>
      <c r="C19" s="7">
        <f>'FY09_$840M_NewFormula'!P21</f>
        <v>4112955</v>
      </c>
      <c r="D19" s="7">
        <f t="shared" si="0"/>
        <v>26939480</v>
      </c>
      <c r="E19" s="7">
        <f>Tribes!H62</f>
        <v>1307238</v>
      </c>
      <c r="F19" s="11">
        <f t="shared" si="1"/>
        <v>25632242</v>
      </c>
    </row>
    <row r="20" spans="1:6" ht="12.75">
      <c r="A20" s="83" t="s">
        <v>14</v>
      </c>
      <c r="B20" s="80">
        <f>'FY09_$3.67B_OldFormula'!C24</f>
        <v>211298215</v>
      </c>
      <c r="C20" s="7">
        <f>'FY09_$840M_NewFormula'!P22</f>
        <v>25938239</v>
      </c>
      <c r="D20" s="7">
        <f t="shared" si="0"/>
        <v>237236454</v>
      </c>
      <c r="E20" s="7"/>
      <c r="F20" s="11">
        <f t="shared" si="1"/>
        <v>237236454</v>
      </c>
    </row>
    <row r="21" spans="1:6" ht="12.75">
      <c r="A21" s="83" t="s">
        <v>15</v>
      </c>
      <c r="B21" s="80">
        <f>'FY09_$3.67B_OldFormula'!C25</f>
        <v>95669896</v>
      </c>
      <c r="C21" s="7">
        <f>'FY09_$840M_NewFormula'!P23</f>
        <v>7938702</v>
      </c>
      <c r="D21" s="7">
        <f t="shared" si="0"/>
        <v>103608598</v>
      </c>
      <c r="E21" s="7">
        <f>Tribes!H66</f>
        <v>6664</v>
      </c>
      <c r="F21" s="11">
        <f t="shared" si="1"/>
        <v>103601934</v>
      </c>
    </row>
    <row r="22" spans="1:6" ht="12.75">
      <c r="A22" s="83" t="s">
        <v>16</v>
      </c>
      <c r="B22" s="80">
        <f>'FY09_$3.67B_OldFormula'!C26</f>
        <v>67802538</v>
      </c>
      <c r="C22" s="7">
        <f>'FY09_$840M_NewFormula'!P24</f>
        <v>0</v>
      </c>
      <c r="D22" s="7">
        <f t="shared" si="0"/>
        <v>67802538</v>
      </c>
      <c r="E22" s="7"/>
      <c r="F22" s="11">
        <f t="shared" si="1"/>
        <v>67802538</v>
      </c>
    </row>
    <row r="23" spans="1:6" ht="12.75">
      <c r="A23" s="83" t="s">
        <v>17</v>
      </c>
      <c r="B23" s="80">
        <f>'FY09_$3.67B_OldFormula'!C27</f>
        <v>31137967</v>
      </c>
      <c r="C23" s="7">
        <f>'FY09_$840M_NewFormula'!P25</f>
        <v>14211328</v>
      </c>
      <c r="D23" s="7">
        <f t="shared" si="0"/>
        <v>45349295</v>
      </c>
      <c r="E23" s="7">
        <f>Tribes!H68</f>
        <v>41400</v>
      </c>
      <c r="F23" s="11">
        <f t="shared" si="1"/>
        <v>45307895</v>
      </c>
    </row>
    <row r="24" spans="1:6" ht="12.75">
      <c r="A24" s="83" t="s">
        <v>18</v>
      </c>
      <c r="B24" s="80">
        <f>'FY09_$3.67B_OldFormula'!C28</f>
        <v>49786291</v>
      </c>
      <c r="C24" s="7">
        <f>'FY09_$840M_NewFormula'!P26</f>
        <v>18566987</v>
      </c>
      <c r="D24" s="7">
        <f t="shared" si="0"/>
        <v>68353278</v>
      </c>
      <c r="E24" s="7"/>
      <c r="F24" s="11">
        <f t="shared" si="1"/>
        <v>68353278</v>
      </c>
    </row>
    <row r="25" spans="1:6" ht="12.75">
      <c r="A25" s="83" t="s">
        <v>19</v>
      </c>
      <c r="B25" s="80">
        <f>'FY09_$3.67B_OldFormula'!C29</f>
        <v>31984520</v>
      </c>
      <c r="C25" s="7">
        <f>'FY09_$840M_NewFormula'!P27</f>
        <v>25211818</v>
      </c>
      <c r="D25" s="7">
        <f t="shared" si="0"/>
        <v>57196338</v>
      </c>
      <c r="E25" s="7"/>
      <c r="F25" s="11">
        <f t="shared" si="1"/>
        <v>57196338</v>
      </c>
    </row>
    <row r="26" spans="1:6" ht="12.75">
      <c r="A26" s="83" t="s">
        <v>20</v>
      </c>
      <c r="B26" s="80">
        <f>'FY09_$3.67B_OldFormula'!C30</f>
        <v>49456684</v>
      </c>
      <c r="C26" s="7">
        <f>'FY09_$840M_NewFormula'!P28</f>
        <v>0</v>
      </c>
      <c r="D26" s="7">
        <f t="shared" si="0"/>
        <v>49456684</v>
      </c>
      <c r="E26" s="7">
        <f>Tribes!H70</f>
        <v>1807642</v>
      </c>
      <c r="F26" s="11">
        <f t="shared" si="1"/>
        <v>47649042</v>
      </c>
    </row>
    <row r="27" spans="1:6" ht="12.75">
      <c r="A27" s="83" t="s">
        <v>21</v>
      </c>
      <c r="B27" s="80">
        <f>'FY09_$3.67B_OldFormula'!C31</f>
        <v>58453203</v>
      </c>
      <c r="C27" s="7">
        <f>'FY09_$840M_NewFormula'!P29</f>
        <v>42842808</v>
      </c>
      <c r="D27" s="7">
        <f t="shared" si="0"/>
        <v>101296011</v>
      </c>
      <c r="E27" s="7"/>
      <c r="F27" s="11">
        <f t="shared" si="1"/>
        <v>101296011</v>
      </c>
    </row>
    <row r="28" spans="1:6" ht="12.75">
      <c r="A28" s="83" t="s">
        <v>22</v>
      </c>
      <c r="B28" s="80">
        <f>'FY09_$3.67B_OldFormula'!C32</f>
        <v>152706927</v>
      </c>
      <c r="C28" s="7">
        <f>'FY09_$840M_NewFormula'!P30</f>
        <v>10273910</v>
      </c>
      <c r="D28" s="7">
        <f t="shared" si="0"/>
        <v>162980837</v>
      </c>
      <c r="E28" s="7">
        <f>Tribes!H76</f>
        <v>65192</v>
      </c>
      <c r="F28" s="11">
        <f t="shared" si="1"/>
        <v>162915645</v>
      </c>
    </row>
    <row r="29" spans="1:6" ht="12.75">
      <c r="A29" s="83" t="s">
        <v>23</v>
      </c>
      <c r="B29" s="80">
        <f>'FY09_$3.67B_OldFormula'!C33</f>
        <v>200609135</v>
      </c>
      <c r="C29" s="7">
        <f>'FY09_$840M_NewFormula'!P31</f>
        <v>21803333</v>
      </c>
      <c r="D29" s="7">
        <f t="shared" si="0"/>
        <v>222412468</v>
      </c>
      <c r="E29" s="7">
        <f>Tribes!H78</f>
        <v>1168225</v>
      </c>
      <c r="F29" s="11">
        <f t="shared" si="1"/>
        <v>221244243</v>
      </c>
    </row>
    <row r="30" spans="1:6" ht="12.75">
      <c r="A30" s="83" t="s">
        <v>24</v>
      </c>
      <c r="B30" s="80">
        <f>'FY09_$3.67B_OldFormula'!C34</f>
        <v>144527532</v>
      </c>
      <c r="C30" s="7">
        <f>'FY09_$840M_NewFormula'!P32</f>
        <v>0</v>
      </c>
      <c r="D30" s="7">
        <f t="shared" si="0"/>
        <v>144527532</v>
      </c>
      <c r="E30" s="7"/>
      <c r="F30" s="11">
        <f t="shared" si="1"/>
        <v>144527532</v>
      </c>
    </row>
    <row r="31" spans="1:6" ht="12.75">
      <c r="A31" s="83" t="s">
        <v>25</v>
      </c>
      <c r="B31" s="80">
        <f>'FY09_$3.67B_OldFormula'!C35</f>
        <v>26822371</v>
      </c>
      <c r="C31" s="7">
        <f>'FY09_$840M_NewFormula'!P33</f>
        <v>12188680</v>
      </c>
      <c r="D31" s="7">
        <f t="shared" si="0"/>
        <v>39011051</v>
      </c>
      <c r="E31" s="7">
        <f>Tribes!H85</f>
        <v>73933</v>
      </c>
      <c r="F31" s="11">
        <f t="shared" si="1"/>
        <v>38937118</v>
      </c>
    </row>
    <row r="32" spans="1:6" ht="12.75">
      <c r="A32" s="83" t="s">
        <v>26</v>
      </c>
      <c r="B32" s="80">
        <f>'FY09_$3.67B_OldFormula'!C36</f>
        <v>84400757</v>
      </c>
      <c r="C32" s="7">
        <f>'FY09_$840M_NewFormula'!P34</f>
        <v>19140362</v>
      </c>
      <c r="D32" s="7">
        <f t="shared" si="0"/>
        <v>103541119</v>
      </c>
      <c r="E32" s="7"/>
      <c r="F32" s="11">
        <f t="shared" si="1"/>
        <v>103541119</v>
      </c>
    </row>
    <row r="33" spans="1:6" ht="12.75">
      <c r="A33" s="83" t="s">
        <v>27</v>
      </c>
      <c r="B33" s="80">
        <f>'FY09_$3.67B_OldFormula'!C37</f>
        <v>26774064</v>
      </c>
      <c r="C33" s="7">
        <f>'FY09_$840M_NewFormula'!P35</f>
        <v>4824235</v>
      </c>
      <c r="D33" s="7">
        <f t="shared" si="0"/>
        <v>31598299</v>
      </c>
      <c r="E33" s="7">
        <f>Tribes!H87</f>
        <v>5523573</v>
      </c>
      <c r="F33" s="11">
        <f t="shared" si="1"/>
        <v>26074726</v>
      </c>
    </row>
    <row r="34" spans="1:6" ht="12.75">
      <c r="A34" s="83" t="s">
        <v>28</v>
      </c>
      <c r="B34" s="80">
        <f>'FY09_$3.67B_OldFormula'!C38</f>
        <v>33530956</v>
      </c>
      <c r="C34" s="7">
        <f>'FY09_$840M_NewFormula'!P36</f>
        <v>6041714</v>
      </c>
      <c r="D34" s="7">
        <f t="shared" si="0"/>
        <v>39572670</v>
      </c>
      <c r="E34" s="7">
        <f>Tribes!H94</f>
        <v>15000</v>
      </c>
      <c r="F34" s="11">
        <f t="shared" si="1"/>
        <v>39557670</v>
      </c>
    </row>
    <row r="35" spans="1:6" ht="12.75">
      <c r="A35" s="83" t="s">
        <v>29</v>
      </c>
      <c r="B35" s="80">
        <f>'FY09_$3.67B_OldFormula'!C39</f>
        <v>7106107</v>
      </c>
      <c r="C35" s="7">
        <f>'FY09_$840M_NewFormula'!P37</f>
        <v>6536415</v>
      </c>
      <c r="D35" s="7">
        <f t="shared" si="0"/>
        <v>13642522</v>
      </c>
      <c r="E35" s="7"/>
      <c r="F35" s="11">
        <f t="shared" si="1"/>
        <v>13642522</v>
      </c>
    </row>
    <row r="36" spans="1:6" ht="12.75">
      <c r="A36" s="83" t="s">
        <v>30</v>
      </c>
      <c r="B36" s="80">
        <f>'FY09_$3.67B_OldFormula'!C40</f>
        <v>28904306</v>
      </c>
      <c r="C36" s="7">
        <f>'FY09_$840M_NewFormula'!P38</f>
        <v>5208069</v>
      </c>
      <c r="D36" s="7">
        <f t="shared" si="0"/>
        <v>34112375</v>
      </c>
      <c r="E36" s="7"/>
      <c r="F36" s="11">
        <f t="shared" si="1"/>
        <v>34112375</v>
      </c>
    </row>
    <row r="37" spans="1:6" ht="12.75">
      <c r="A37" s="83" t="s">
        <v>31</v>
      </c>
      <c r="B37" s="80">
        <f>'FY09_$3.67B_OldFormula'!C41</f>
        <v>141764630</v>
      </c>
      <c r="C37" s="7">
        <f>'FY09_$840M_NewFormula'!P39</f>
        <v>24925661</v>
      </c>
      <c r="D37" s="7">
        <f t="shared" si="0"/>
        <v>166690291</v>
      </c>
      <c r="E37" s="7"/>
      <c r="F37" s="11">
        <f t="shared" si="1"/>
        <v>166690291</v>
      </c>
    </row>
    <row r="38" spans="1:6" ht="12.75">
      <c r="A38" s="83" t="s">
        <v>32</v>
      </c>
      <c r="B38" s="80">
        <f>'FY09_$3.67B_OldFormula'!C42</f>
        <v>18941700</v>
      </c>
      <c r="C38" s="7">
        <f>'FY09_$840M_NewFormula'!P40</f>
        <v>5959574</v>
      </c>
      <c r="D38" s="7">
        <f t="shared" si="0"/>
        <v>24901274</v>
      </c>
      <c r="E38" s="7">
        <f>Tribes!H96</f>
        <v>1982430</v>
      </c>
      <c r="F38" s="11">
        <f t="shared" si="1"/>
        <v>22918844</v>
      </c>
    </row>
    <row r="39" spans="1:6" ht="12.75">
      <c r="A39" s="83" t="s">
        <v>33</v>
      </c>
      <c r="B39" s="80">
        <f>'FY09_$3.67B_OldFormula'!C43</f>
        <v>462882967</v>
      </c>
      <c r="C39" s="7">
        <f>'FY09_$840M_NewFormula'!P41</f>
        <v>13051711</v>
      </c>
      <c r="D39" s="7">
        <f t="shared" si="0"/>
        <v>475934678</v>
      </c>
      <c r="E39" s="7">
        <f>Tribes!H104</f>
        <v>525526</v>
      </c>
      <c r="F39" s="11">
        <f t="shared" si="1"/>
        <v>475409152</v>
      </c>
    </row>
    <row r="40" spans="1:6" ht="12.75">
      <c r="A40" s="83" t="s">
        <v>34</v>
      </c>
      <c r="B40" s="80">
        <f>'FY09_$3.67B_OldFormula'!C44</f>
        <v>68983609</v>
      </c>
      <c r="C40" s="7">
        <f>'FY09_$840M_NewFormula'!P42</f>
        <v>54258996</v>
      </c>
      <c r="D40" s="7">
        <f t="shared" si="0"/>
        <v>123242605</v>
      </c>
      <c r="E40" s="7">
        <f>Tribes!H107</f>
        <v>2191785</v>
      </c>
      <c r="F40" s="11">
        <f t="shared" si="1"/>
        <v>121050820</v>
      </c>
    </row>
    <row r="41" spans="1:6" ht="12.75">
      <c r="A41" s="83" t="s">
        <v>35</v>
      </c>
      <c r="B41" s="80">
        <f>'FY09_$3.67B_OldFormula'!C45</f>
        <v>29084733</v>
      </c>
      <c r="C41" s="7">
        <f>'FY09_$840M_NewFormula'!P43</f>
        <v>5240579</v>
      </c>
      <c r="D41" s="7">
        <f t="shared" si="0"/>
        <v>34325312</v>
      </c>
      <c r="E41" s="7">
        <f>Tribes!H109</f>
        <v>7026391</v>
      </c>
      <c r="F41" s="11">
        <f t="shared" si="1"/>
        <v>27298921</v>
      </c>
    </row>
    <row r="42" spans="1:6" ht="12.75">
      <c r="A42" s="83" t="s">
        <v>36</v>
      </c>
      <c r="B42" s="80">
        <f>'FY09_$3.67B_OldFormula'!C46</f>
        <v>186924853</v>
      </c>
      <c r="C42" s="7">
        <f>'FY09_$840M_NewFormula'!P44</f>
        <v>33663555</v>
      </c>
      <c r="D42" s="7">
        <f t="shared" si="0"/>
        <v>220588408</v>
      </c>
      <c r="E42" s="7"/>
      <c r="F42" s="11">
        <f t="shared" si="1"/>
        <v>220588408</v>
      </c>
    </row>
    <row r="43" spans="1:6" ht="12.75">
      <c r="A43" s="83" t="s">
        <v>37</v>
      </c>
      <c r="B43" s="80">
        <f>'FY09_$3.67B_OldFormula'!C47</f>
        <v>28757709</v>
      </c>
      <c r="C43" s="7">
        <f>'FY09_$840M_NewFormula'!P45</f>
        <v>20249449</v>
      </c>
      <c r="D43" s="7">
        <f t="shared" si="0"/>
        <v>49007158</v>
      </c>
      <c r="E43" s="7">
        <f>Tribes!H114</f>
        <v>4435596</v>
      </c>
      <c r="F43" s="11">
        <f t="shared" si="1"/>
        <v>44571562</v>
      </c>
    </row>
    <row r="44" spans="1:6" ht="12.75">
      <c r="A44" s="83" t="s">
        <v>38</v>
      </c>
      <c r="B44" s="80">
        <f>'FY09_$3.67B_OldFormula'!C48</f>
        <v>45355128</v>
      </c>
      <c r="C44" s="7">
        <f>'FY09_$840M_NewFormula'!P46</f>
        <v>0</v>
      </c>
      <c r="D44" s="7">
        <f t="shared" si="0"/>
        <v>45355128</v>
      </c>
      <c r="E44" s="7">
        <f>Tribes!H147</f>
        <v>714661</v>
      </c>
      <c r="F44" s="11">
        <f t="shared" si="1"/>
        <v>44640467</v>
      </c>
    </row>
    <row r="45" spans="1:6" ht="12.75">
      <c r="A45" s="83" t="s">
        <v>39</v>
      </c>
      <c r="B45" s="80">
        <f>'FY09_$3.67B_OldFormula'!C49</f>
        <v>248636441</v>
      </c>
      <c r="C45" s="7">
        <f>'FY09_$840M_NewFormula'!P47</f>
        <v>26288922</v>
      </c>
      <c r="D45" s="7">
        <f t="shared" si="0"/>
        <v>274925363</v>
      </c>
      <c r="E45" s="7"/>
      <c r="F45" s="11">
        <f t="shared" si="1"/>
        <v>274925363</v>
      </c>
    </row>
    <row r="46" spans="1:6" ht="12.75">
      <c r="A46" s="83" t="s">
        <v>40</v>
      </c>
      <c r="B46" s="80">
        <f>'FY09_$3.67B_OldFormula'!C50</f>
        <v>25136431</v>
      </c>
      <c r="C46" s="7">
        <f>'FY09_$840M_NewFormula'!P48</f>
        <v>5072226</v>
      </c>
      <c r="D46" s="7">
        <f t="shared" si="0"/>
        <v>30208657</v>
      </c>
      <c r="E46" s="7">
        <f>Tribes!H154</f>
        <v>85595</v>
      </c>
      <c r="F46" s="11">
        <f t="shared" si="1"/>
        <v>30123062</v>
      </c>
    </row>
    <row r="47" spans="1:6" ht="12.75">
      <c r="A47" s="83" t="s">
        <v>41</v>
      </c>
      <c r="B47" s="80">
        <f>'FY09_$3.67B_OldFormula'!C51</f>
        <v>24846984</v>
      </c>
      <c r="C47" s="7">
        <f>'FY09_$840M_NewFormula'!P49</f>
        <v>22855016</v>
      </c>
      <c r="D47" s="7">
        <f t="shared" si="0"/>
        <v>47702000</v>
      </c>
      <c r="E47" s="7"/>
      <c r="F47" s="11">
        <f t="shared" si="1"/>
        <v>47702000</v>
      </c>
    </row>
    <row r="48" spans="1:6" ht="12.75">
      <c r="A48" s="83" t="s">
        <v>42</v>
      </c>
      <c r="B48" s="80">
        <f>'FY09_$3.67B_OldFormula'!C52</f>
        <v>23621897</v>
      </c>
      <c r="C48" s="7">
        <f>'FY09_$840M_NewFormula'!P50</f>
        <v>4256268</v>
      </c>
      <c r="D48" s="7">
        <f t="shared" si="0"/>
        <v>27878165</v>
      </c>
      <c r="E48" s="7">
        <f>Tribes!H156</f>
        <v>4956738</v>
      </c>
      <c r="F48" s="11">
        <f t="shared" si="1"/>
        <v>22921427</v>
      </c>
    </row>
    <row r="49" spans="1:6" ht="12.75">
      <c r="A49" s="83" t="s">
        <v>43</v>
      </c>
      <c r="B49" s="80">
        <f>'FY09_$3.67B_OldFormula'!C53</f>
        <v>50432446</v>
      </c>
      <c r="C49" s="7">
        <f>'FY09_$840M_NewFormula'!P51</f>
        <v>23290381</v>
      </c>
      <c r="D49" s="7">
        <f t="shared" si="0"/>
        <v>73722827</v>
      </c>
      <c r="E49" s="7"/>
      <c r="F49" s="11">
        <f t="shared" si="1"/>
        <v>73722827</v>
      </c>
    </row>
    <row r="50" spans="1:6" ht="12.75">
      <c r="A50" s="83" t="s">
        <v>44</v>
      </c>
      <c r="B50" s="80">
        <f>'FY09_$3.67B_OldFormula'!C54</f>
        <v>82356217</v>
      </c>
      <c r="C50" s="7">
        <f>'FY09_$840M_NewFormula'!P52</f>
        <v>75753767</v>
      </c>
      <c r="D50" s="7">
        <f t="shared" si="0"/>
        <v>158109984</v>
      </c>
      <c r="E50" s="7"/>
      <c r="F50" s="11">
        <f t="shared" si="1"/>
        <v>158109984</v>
      </c>
    </row>
    <row r="51" spans="1:6" ht="12.75">
      <c r="A51" s="83" t="s">
        <v>45</v>
      </c>
      <c r="B51" s="80">
        <f>'FY09_$3.67B_OldFormula'!C55</f>
        <v>27194175</v>
      </c>
      <c r="C51" s="7">
        <f>'FY09_$840M_NewFormula'!P53</f>
        <v>4899933</v>
      </c>
      <c r="D51" s="7">
        <f t="shared" si="0"/>
        <v>32094108</v>
      </c>
      <c r="E51" s="7">
        <f>Tribes!H164</f>
        <v>448570</v>
      </c>
      <c r="F51" s="11">
        <f t="shared" si="1"/>
        <v>31645538</v>
      </c>
    </row>
    <row r="52" spans="1:6" ht="12.75">
      <c r="A52" s="83" t="s">
        <v>46</v>
      </c>
      <c r="B52" s="80">
        <f>'FY09_$3.67B_OldFormula'!C56</f>
        <v>21664807</v>
      </c>
      <c r="C52" s="7">
        <f>'FY09_$840M_NewFormula'!P54</f>
        <v>3903633</v>
      </c>
      <c r="D52" s="7">
        <f t="shared" si="0"/>
        <v>25568440</v>
      </c>
      <c r="E52" s="7"/>
      <c r="F52" s="11">
        <f t="shared" si="1"/>
        <v>25568440</v>
      </c>
    </row>
    <row r="53" spans="1:6" ht="12.75">
      <c r="A53" s="83" t="s">
        <v>47</v>
      </c>
      <c r="B53" s="80">
        <f>'FY09_$3.67B_OldFormula'!C57</f>
        <v>71202537</v>
      </c>
      <c r="C53" s="7">
        <f>'FY09_$840M_NewFormula'!P55</f>
        <v>46881299</v>
      </c>
      <c r="D53" s="7">
        <f t="shared" si="0"/>
        <v>118083836</v>
      </c>
      <c r="E53" s="7"/>
      <c r="F53" s="11">
        <f t="shared" si="1"/>
        <v>118083836</v>
      </c>
    </row>
    <row r="54" spans="1:6" ht="12.75">
      <c r="A54" s="83" t="s">
        <v>48</v>
      </c>
      <c r="B54" s="80">
        <f>'FY09_$3.67B_OldFormula'!C58</f>
        <v>74602937</v>
      </c>
      <c r="C54" s="7">
        <f>'FY09_$840M_NewFormula'!P56</f>
        <v>0</v>
      </c>
      <c r="D54" s="7">
        <f t="shared" si="0"/>
        <v>74602937</v>
      </c>
      <c r="E54" s="7">
        <f>Tribes!H168</f>
        <v>3035325</v>
      </c>
      <c r="F54" s="11">
        <f t="shared" si="1"/>
        <v>71567612</v>
      </c>
    </row>
    <row r="55" spans="1:6" ht="12.75">
      <c r="A55" s="83" t="s">
        <v>49</v>
      </c>
      <c r="B55" s="80">
        <f>'FY09_$3.67B_OldFormula'!C59</f>
        <v>32947369</v>
      </c>
      <c r="C55" s="7">
        <f>'FY09_$840M_NewFormula'!P57</f>
        <v>7636341</v>
      </c>
      <c r="D55" s="7">
        <f t="shared" si="0"/>
        <v>40583710</v>
      </c>
      <c r="E55" s="7"/>
      <c r="F55" s="11">
        <f t="shared" si="1"/>
        <v>40583710</v>
      </c>
    </row>
    <row r="56" spans="1:6" ht="12.75">
      <c r="A56" s="83" t="s">
        <v>50</v>
      </c>
      <c r="B56" s="80">
        <f>'FY09_$3.67B_OldFormula'!C60</f>
        <v>130095532</v>
      </c>
      <c r="C56" s="7">
        <f>'FY09_$840M_NewFormula'!P58</f>
        <v>0</v>
      </c>
      <c r="D56" s="7">
        <f t="shared" si="0"/>
        <v>130095532</v>
      </c>
      <c r="E56" s="7"/>
      <c r="F56" s="11">
        <f t="shared" si="1"/>
        <v>130095532</v>
      </c>
    </row>
    <row r="57" spans="1:6" ht="13.5" thickBot="1">
      <c r="A57" s="83" t="s">
        <v>51</v>
      </c>
      <c r="B57" s="80">
        <f>'FY09_$3.67B_OldFormula'!C61</f>
        <v>10887950</v>
      </c>
      <c r="C57" s="7">
        <f>'FY09_$840M_NewFormula'!P59</f>
        <v>1961826</v>
      </c>
      <c r="D57" s="7">
        <f t="shared" si="0"/>
        <v>12849776</v>
      </c>
      <c r="E57" s="7">
        <f>Tribes!H190</f>
        <v>210000</v>
      </c>
      <c r="F57" s="11">
        <f t="shared" si="1"/>
        <v>12639776</v>
      </c>
    </row>
    <row r="58" spans="1:6" ht="13.5" thickTop="1">
      <c r="A58" s="8" t="s">
        <v>85</v>
      </c>
      <c r="B58" s="9">
        <f>SUM(B7:B57)</f>
        <v>3637646927</v>
      </c>
      <c r="C58" s="9">
        <f>SUM(C7:C57)</f>
        <v>838654686</v>
      </c>
      <c r="D58" s="9">
        <f>SUM(D7:D57)</f>
        <v>4476301613</v>
      </c>
      <c r="E58" s="9">
        <f>SUM(E7:E57)</f>
        <v>47347345</v>
      </c>
      <c r="F58" s="12">
        <f>SUM(F7:F57)</f>
        <v>4428954268</v>
      </c>
    </row>
    <row r="59" spans="1:6" ht="12.75">
      <c r="A59" s="23"/>
      <c r="B59" s="81"/>
      <c r="C59" s="7"/>
      <c r="E59" s="7"/>
      <c r="F59" s="7"/>
    </row>
    <row r="60" spans="1:5" ht="12.75">
      <c r="A60" s="88" t="s">
        <v>79</v>
      </c>
      <c r="B60" s="90">
        <v>4509672000</v>
      </c>
      <c r="C60" s="7"/>
      <c r="E60" s="7"/>
    </row>
    <row r="61" spans="1:5" ht="12.75">
      <c r="A61" s="88" t="s">
        <v>80</v>
      </c>
      <c r="B61" s="90">
        <f>'FY09_$3.67B_OldFormula'!B67+'FY09_$840M_NewFormula'!E65</f>
        <v>27000000</v>
      </c>
      <c r="C61" s="7"/>
      <c r="E61" s="7"/>
    </row>
    <row r="62" spans="1:5" ht="12.75">
      <c r="A62" s="89" t="s">
        <v>93</v>
      </c>
      <c r="B62" s="90">
        <f>(B60-B61)</f>
        <v>4482672000</v>
      </c>
      <c r="C62" s="7"/>
      <c r="E62" s="7"/>
    </row>
    <row r="63" spans="1:5" ht="12.75">
      <c r="A63" s="88" t="s">
        <v>82</v>
      </c>
      <c r="B63" s="90">
        <f>'FY09_$3.67B_OldFormula'!B69+'FY09_$840M_NewFormula'!E67</f>
        <v>300000</v>
      </c>
      <c r="C63" s="7"/>
      <c r="E63" s="7"/>
    </row>
    <row r="64" spans="1:5" ht="12.75">
      <c r="A64" s="89" t="s">
        <v>93</v>
      </c>
      <c r="B64" s="90">
        <f>(B62-B63)</f>
        <v>4482372000</v>
      </c>
      <c r="C64" s="7"/>
      <c r="E64" s="7"/>
    </row>
    <row r="65" spans="1:5" ht="25.5">
      <c r="A65" s="24" t="s">
        <v>83</v>
      </c>
      <c r="B65" s="91">
        <v>0.00135428</v>
      </c>
      <c r="C65" s="7"/>
      <c r="E65" s="7"/>
    </row>
    <row r="66" spans="1:5" ht="12.75">
      <c r="A66" s="89" t="s">
        <v>84</v>
      </c>
      <c r="B66" s="90">
        <f>ROUND(B64*'FY09_$3.67B_OldFormula'!B71,0)</f>
        <v>6070387</v>
      </c>
      <c r="C66" s="7"/>
      <c r="E66" s="7"/>
    </row>
    <row r="67" spans="1:5" ht="12.75">
      <c r="A67" s="88" t="s">
        <v>85</v>
      </c>
      <c r="B67" s="90">
        <f>(B64-B66)</f>
        <v>4476301613</v>
      </c>
      <c r="C67" s="7"/>
      <c r="E67" s="7"/>
    </row>
    <row r="68" spans="1:5" ht="12.75">
      <c r="A68" s="88"/>
      <c r="B68" s="90"/>
      <c r="C68" s="7"/>
      <c r="E68" s="7"/>
    </row>
    <row r="69" spans="1:4" ht="38.25">
      <c r="A69" s="98" t="s">
        <v>103</v>
      </c>
      <c r="B69" s="78" t="s">
        <v>112</v>
      </c>
      <c r="C69" s="78" t="s">
        <v>110</v>
      </c>
      <c r="D69" s="86" t="s">
        <v>108</v>
      </c>
    </row>
    <row r="70" spans="1:4" ht="12.75">
      <c r="A70" s="10" t="s">
        <v>53</v>
      </c>
      <c r="B70" s="80">
        <f>'FY09_$3.67B_OldFormula'!C77</f>
        <v>81606</v>
      </c>
      <c r="C70" s="80">
        <f>'FY09_$840M_NewFormula'!E75</f>
        <v>18815</v>
      </c>
      <c r="D70" s="87">
        <f>SUM(B70:C70)</f>
        <v>100421</v>
      </c>
    </row>
    <row r="71" spans="1:4" ht="12.75">
      <c r="A71" s="10" t="s">
        <v>54</v>
      </c>
      <c r="B71" s="80">
        <f>'FY09_$3.67B_OldFormula'!C78</f>
        <v>178918</v>
      </c>
      <c r="C71" s="80">
        <f>'FY09_$840M_NewFormula'!E76</f>
        <v>41249</v>
      </c>
      <c r="D71" s="87">
        <f>SUM(B71:C71)</f>
        <v>220167</v>
      </c>
    </row>
    <row r="72" spans="1:4" ht="12.75">
      <c r="A72" s="10" t="s">
        <v>55</v>
      </c>
      <c r="B72" s="80">
        <f>'FY09_$3.67B_OldFormula'!C79</f>
        <v>62143</v>
      </c>
      <c r="C72" s="80">
        <f>'FY09_$840M_NewFormula'!E77</f>
        <v>14327</v>
      </c>
      <c r="D72" s="87">
        <f>SUM(B72:C72)</f>
        <v>76470</v>
      </c>
    </row>
    <row r="73" spans="1:4" ht="12.75">
      <c r="A73" s="10" t="s">
        <v>56</v>
      </c>
      <c r="B73" s="80">
        <f>'FY09_$3.67B_OldFormula'!C80</f>
        <v>4441220</v>
      </c>
      <c r="C73" s="80">
        <f>'FY09_$840M_NewFormula'!E78</f>
        <v>1023918</v>
      </c>
      <c r="D73" s="87">
        <f>SUM(B73:C73)</f>
        <v>5465138</v>
      </c>
    </row>
    <row r="74" spans="1:4" ht="13.5" thickBot="1">
      <c r="A74" s="10" t="s">
        <v>57</v>
      </c>
      <c r="B74" s="80">
        <f>'FY09_$3.67B_OldFormula'!C81</f>
        <v>169186</v>
      </c>
      <c r="C74" s="7">
        <f>'FY09_$840M_NewFormula'!E79</f>
        <v>39005</v>
      </c>
      <c r="D74" s="11">
        <f>SUM(B74:C74)</f>
        <v>208191</v>
      </c>
    </row>
    <row r="75" spans="1:4" ht="13.5" thickTop="1">
      <c r="A75" s="8" t="s">
        <v>52</v>
      </c>
      <c r="B75" s="9">
        <f>SUM(B70:B74)</f>
        <v>4933073</v>
      </c>
      <c r="C75" s="9">
        <f>SUM(C70:C74)</f>
        <v>1137314</v>
      </c>
      <c r="D75" s="12">
        <f>SUM(D70:D74)</f>
        <v>6070387</v>
      </c>
    </row>
    <row r="76" spans="2:4" ht="12.75">
      <c r="B76" s="81"/>
      <c r="D76" s="7"/>
    </row>
    <row r="77" spans="1:4" ht="12.75">
      <c r="A77" s="10" t="str">
        <f>"DEA/PE "&amp;TEXT('FY09_$840M_NewFormula'!$G$2,"dd-MMM-yy")</f>
        <v>DEA/PE 24-Oct-08</v>
      </c>
      <c r="B77" s="80"/>
      <c r="C77" s="7"/>
      <c r="D77" s="7"/>
    </row>
    <row r="78" spans="2:4" ht="12.75">
      <c r="B78" s="80"/>
      <c r="D78" s="11"/>
    </row>
    <row r="79" spans="2:4" ht="12.75">
      <c r="B79" s="80"/>
      <c r="D79" s="11"/>
    </row>
    <row r="80" spans="2:4" ht="12.75">
      <c r="B80" s="80"/>
      <c r="C80" s="7"/>
      <c r="D80" s="7"/>
    </row>
    <row r="81" ht="12.75">
      <c r="B81" s="80"/>
    </row>
    <row r="82" ht="12.75">
      <c r="B82" s="80"/>
    </row>
    <row r="83" ht="12.75">
      <c r="B83" s="81"/>
    </row>
    <row r="84" ht="12.75">
      <c r="B84" s="81"/>
    </row>
    <row r="85" ht="12.75">
      <c r="B85" s="81"/>
    </row>
    <row r="86" ht="12.75">
      <c r="B86" s="81"/>
    </row>
    <row r="87" ht="12.75">
      <c r="B87" s="81"/>
    </row>
    <row r="88" ht="12.75">
      <c r="B88" s="81"/>
    </row>
    <row r="89" ht="12.75">
      <c r="B89" s="81"/>
    </row>
    <row r="90" ht="12.75">
      <c r="B90" s="81"/>
    </row>
    <row r="91" ht="12.75">
      <c r="B91" s="81"/>
    </row>
    <row r="92" ht="12.75">
      <c r="B92" s="81"/>
    </row>
    <row r="93" ht="12.75">
      <c r="B93" s="81"/>
    </row>
    <row r="94" ht="12.75">
      <c r="B94" s="81"/>
    </row>
    <row r="95" ht="12.75">
      <c r="B95" s="81"/>
    </row>
    <row r="96" ht="12.75">
      <c r="B96" s="81"/>
    </row>
    <row r="97" ht="12.75">
      <c r="B97" s="81"/>
    </row>
    <row r="98" ht="12.75">
      <c r="B98" s="81"/>
    </row>
    <row r="99" ht="12.75">
      <c r="B99" s="81"/>
    </row>
    <row r="100" ht="12.75">
      <c r="B100" s="81"/>
    </row>
    <row r="101" ht="12.75">
      <c r="B101" s="81"/>
    </row>
    <row r="102" ht="12.75">
      <c r="B102" s="81"/>
    </row>
    <row r="103" ht="12.75">
      <c r="B103" s="81"/>
    </row>
    <row r="104" ht="12.75">
      <c r="B104" s="81"/>
    </row>
    <row r="105" ht="12.75">
      <c r="B105" s="81"/>
    </row>
    <row r="106" ht="12.75">
      <c r="B106" s="81"/>
    </row>
    <row r="107" ht="12.75">
      <c r="B107" s="81"/>
    </row>
    <row r="108" ht="12.75">
      <c r="B108" s="81"/>
    </row>
    <row r="109" ht="12.75">
      <c r="B109" s="81"/>
    </row>
    <row r="110" ht="12.75">
      <c r="B110" s="81"/>
    </row>
    <row r="111" ht="12.75">
      <c r="B111" s="81"/>
    </row>
    <row r="112" ht="12.75">
      <c r="B112" s="81"/>
    </row>
    <row r="113" ht="12.75">
      <c r="B113" s="81"/>
    </row>
  </sheetData>
  <mergeCells count="2">
    <mergeCell ref="A1:F1"/>
    <mergeCell ref="A2:F2"/>
  </mergeCells>
  <printOptions gridLines="1" horizontalCentered="1"/>
  <pageMargins left="0.25" right="0.25" top="0.25" bottom="0.76" header="0.5" footer="0.5"/>
  <pageSetup fitToHeight="1" fitToWidth="1" horizontalDpi="600" verticalDpi="600" orientation="portrait" scale="64" r:id="rId1"/>
  <headerFooter alignWithMargins="0">
    <oddFooter>&amp;L&amp;"Arial,Regular"'&amp;F' [&amp;A]&amp;R&amp;"Arial,Regular"Page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474"/>
  <sheetViews>
    <sheetView workbookViewId="0" topLeftCell="A1">
      <pane xSplit="1" ySplit="10" topLeftCell="B11" activePane="bottomRight" state="frozen"/>
      <selection pane="topLeft" activeCell="A47" sqref="A47"/>
      <selection pane="topRight" activeCell="A47" sqref="A47"/>
      <selection pane="bottomLeft" activeCell="A47" sqref="A47"/>
      <selection pane="bottomRight" activeCell="B11" sqref="B11"/>
    </sheetView>
  </sheetViews>
  <sheetFormatPr defaultColWidth="18" defaultRowHeight="12.75"/>
  <cols>
    <col min="1" max="1" width="48.16015625" style="134" customWidth="1"/>
    <col min="2" max="10" width="21" style="134" customWidth="1"/>
    <col min="11" max="11" width="2.33203125" style="134" customWidth="1"/>
    <col min="12" max="16384" width="18" style="134" customWidth="1"/>
  </cols>
  <sheetData>
    <row r="1" spans="1:10" ht="12.75" customHeight="1">
      <c r="A1" s="187" t="s">
        <v>115</v>
      </c>
      <c r="B1" s="187"/>
      <c r="C1" s="187"/>
      <c r="D1" s="187"/>
      <c r="E1" s="187"/>
      <c r="F1" s="187"/>
      <c r="G1" s="187"/>
      <c r="H1" s="187"/>
      <c r="I1" s="187"/>
      <c r="J1" s="183"/>
    </row>
    <row r="2" spans="1:4" ht="12.75">
      <c r="A2" s="135" t="s">
        <v>116</v>
      </c>
      <c r="B2" s="136">
        <v>4509672000</v>
      </c>
      <c r="D2" s="137" t="s">
        <v>117</v>
      </c>
    </row>
    <row r="3" spans="1:10" ht="12.75">
      <c r="A3" s="186" t="s">
        <v>296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4" ht="14.25" customHeight="1">
      <c r="A4" s="138" t="s">
        <v>118</v>
      </c>
      <c r="D4" s="178">
        <f>States_Territories!F3</f>
        <v>39745</v>
      </c>
    </row>
    <row r="5" spans="1:2" ht="12.75">
      <c r="A5" s="139" t="s">
        <v>119</v>
      </c>
      <c r="B5" s="139" t="s">
        <v>120</v>
      </c>
    </row>
    <row r="6" spans="1:2" ht="12.75">
      <c r="A6" s="139" t="s">
        <v>121</v>
      </c>
      <c r="B6" s="139" t="s">
        <v>122</v>
      </c>
    </row>
    <row r="7" spans="1:10" ht="12.75">
      <c r="A7" s="139" t="s">
        <v>123</v>
      </c>
      <c r="B7" s="139" t="s">
        <v>124</v>
      </c>
      <c r="J7" s="140"/>
    </row>
    <row r="8" spans="1:10" ht="12.75">
      <c r="A8" s="139" t="s">
        <v>125</v>
      </c>
      <c r="B8" s="139" t="s">
        <v>126</v>
      </c>
      <c r="J8" s="140"/>
    </row>
    <row r="9" spans="1:10" ht="12.75">
      <c r="A9" s="141" t="str">
        <f aca="true" t="shared" si="0" ref="A9:I9">IF(COLUMN()&lt;=26,CHAR(64+COLUMN()),CHAR(64+ROUNDDOWN((COLUMN()-1)/26,0))&amp;CHAR(65+MOD((COLUMN()-1),26)))</f>
        <v>A</v>
      </c>
      <c r="B9" s="141" t="str">
        <f t="shared" si="0"/>
        <v>B</v>
      </c>
      <c r="C9" s="141" t="str">
        <f t="shared" si="0"/>
        <v>C</v>
      </c>
      <c r="D9" s="141" t="str">
        <f t="shared" si="0"/>
        <v>D</v>
      </c>
      <c r="E9" s="141" t="str">
        <f t="shared" si="0"/>
        <v>E</v>
      </c>
      <c r="F9" s="141" t="str">
        <f t="shared" si="0"/>
        <v>F</v>
      </c>
      <c r="G9" s="142" t="str">
        <f t="shared" si="0"/>
        <v>G</v>
      </c>
      <c r="H9" s="141" t="str">
        <f t="shared" si="0"/>
        <v>H</v>
      </c>
      <c r="I9" s="141" t="str">
        <f t="shared" si="0"/>
        <v>I</v>
      </c>
      <c r="J9" s="142"/>
    </row>
    <row r="10" spans="1:12" s="145" customFormat="1" ht="38.25">
      <c r="A10" s="143" t="s">
        <v>127</v>
      </c>
      <c r="B10" s="143" t="s">
        <v>128</v>
      </c>
      <c r="C10" s="143" t="s">
        <v>129</v>
      </c>
      <c r="D10" s="143" t="s">
        <v>130</v>
      </c>
      <c r="E10" s="143" t="s">
        <v>131</v>
      </c>
      <c r="F10" s="144" t="s">
        <v>132</v>
      </c>
      <c r="G10" s="94" t="s">
        <v>133</v>
      </c>
      <c r="H10" s="143" t="s">
        <v>134</v>
      </c>
      <c r="I10" s="143" t="s">
        <v>135</v>
      </c>
      <c r="J10" s="144" t="s">
        <v>136</v>
      </c>
      <c r="L10" s="94"/>
    </row>
    <row r="11" ht="12.75">
      <c r="G11" s="140"/>
    </row>
    <row r="12" spans="1:9" ht="12.75">
      <c r="A12" s="146" t="s">
        <v>1</v>
      </c>
      <c r="E12" s="147">
        <f>States_Territories!D7</f>
        <v>60062668</v>
      </c>
      <c r="G12" s="140"/>
      <c r="H12" s="147">
        <f>SUM(G13:G15)</f>
        <v>346834</v>
      </c>
      <c r="I12" s="147">
        <f>E12-H12</f>
        <v>59715834</v>
      </c>
    </row>
    <row r="13" spans="1:11" ht="12.75">
      <c r="A13" s="134" t="s">
        <v>137</v>
      </c>
      <c r="B13" s="134">
        <v>449603</v>
      </c>
      <c r="C13" s="134">
        <v>96</v>
      </c>
      <c r="D13" s="148" t="s">
        <v>138</v>
      </c>
      <c r="E13" s="147"/>
      <c r="F13" s="149">
        <f>C13/B13</f>
        <v>0.00021352170692811212</v>
      </c>
      <c r="G13" s="150">
        <f>ROUND($E$12*F13,0)</f>
        <v>12825</v>
      </c>
      <c r="H13" s="147"/>
      <c r="J13" s="151">
        <f>G13/$E$12</f>
        <v>0.0002135269781888477</v>
      </c>
      <c r="K13" s="147"/>
    </row>
    <row r="14" spans="1:11" ht="12.75">
      <c r="A14" s="139" t="s">
        <v>139</v>
      </c>
      <c r="B14" s="152">
        <v>449603</v>
      </c>
      <c r="C14" s="139" t="s">
        <v>68</v>
      </c>
      <c r="D14" s="148" t="s">
        <v>140</v>
      </c>
      <c r="E14" s="147"/>
      <c r="F14" s="153">
        <v>0.00317</v>
      </c>
      <c r="G14" s="150">
        <f>ROUND($E$12*F14,0)</f>
        <v>190399</v>
      </c>
      <c r="H14" s="147"/>
      <c r="I14" s="147"/>
      <c r="J14" s="151">
        <f>G14/$E$12</f>
        <v>0.0031700057013784337</v>
      </c>
      <c r="K14" s="147"/>
    </row>
    <row r="15" spans="1:11" ht="12.75">
      <c r="A15" s="139" t="s">
        <v>141</v>
      </c>
      <c r="B15" s="152">
        <v>449603</v>
      </c>
      <c r="C15" s="152">
        <v>1075</v>
      </c>
      <c r="D15" s="148" t="s">
        <v>138</v>
      </c>
      <c r="E15" s="147"/>
      <c r="F15" s="153">
        <f>C15/B15</f>
        <v>0.0023909982807054225</v>
      </c>
      <c r="G15" s="150">
        <f>ROUND($E$12*F15,0)</f>
        <v>143610</v>
      </c>
      <c r="H15" s="147"/>
      <c r="I15" s="147"/>
      <c r="J15" s="151">
        <f>G15/$E$12</f>
        <v>0.0023910026774035414</v>
      </c>
      <c r="K15" s="147"/>
    </row>
    <row r="16" spans="1:11" ht="12.75">
      <c r="A16" s="146" t="s">
        <v>2</v>
      </c>
      <c r="E16" s="147">
        <f>States_Territories!D8</f>
        <v>23568461</v>
      </c>
      <c r="F16" s="153"/>
      <c r="G16" s="140"/>
      <c r="H16" s="147">
        <f>SUM(G17:G25)</f>
        <v>7235517</v>
      </c>
      <c r="I16" s="147">
        <f>E16-H16</f>
        <v>16332944</v>
      </c>
      <c r="K16" s="147"/>
    </row>
    <row r="17" spans="1:11" ht="12.75">
      <c r="A17" s="139" t="s">
        <v>142</v>
      </c>
      <c r="B17" s="152">
        <v>54295</v>
      </c>
      <c r="C17" s="154">
        <v>164</v>
      </c>
      <c r="D17" s="148" t="s">
        <v>140</v>
      </c>
      <c r="E17" s="147"/>
      <c r="F17" s="153">
        <v>0.00854</v>
      </c>
      <c r="G17" s="150">
        <f aca="true" t="shared" si="1" ref="G17:G25">ROUND($E$16*F17,0)</f>
        <v>201275</v>
      </c>
      <c r="H17" s="147"/>
      <c r="I17" s="139"/>
      <c r="J17" s="151">
        <f aca="true" t="shared" si="2" ref="J17:J25">G17/$E$16</f>
        <v>0.00854001455589315</v>
      </c>
      <c r="K17" s="147"/>
    </row>
    <row r="18" spans="1:11" ht="12.75">
      <c r="A18" s="139" t="s">
        <v>143</v>
      </c>
      <c r="B18" s="152">
        <v>54295</v>
      </c>
      <c r="C18" s="154">
        <v>2029</v>
      </c>
      <c r="D18" s="148" t="s">
        <v>140</v>
      </c>
      <c r="E18" s="147"/>
      <c r="F18" s="153">
        <v>0.13824948</v>
      </c>
      <c r="G18" s="150">
        <f t="shared" si="1"/>
        <v>3258327</v>
      </c>
      <c r="H18" s="147"/>
      <c r="I18" s="139"/>
      <c r="J18" s="151">
        <f t="shared" si="2"/>
        <v>0.13824945973349723</v>
      </c>
      <c r="K18" s="147"/>
    </row>
    <row r="19" spans="1:11" ht="12.75">
      <c r="A19" s="139" t="s">
        <v>144</v>
      </c>
      <c r="B19" s="152">
        <v>54295</v>
      </c>
      <c r="C19" s="154">
        <v>111</v>
      </c>
      <c r="D19" s="148" t="s">
        <v>140</v>
      </c>
      <c r="E19" s="147"/>
      <c r="F19" s="153">
        <v>0.0068015</v>
      </c>
      <c r="G19" s="150">
        <f t="shared" si="1"/>
        <v>160301</v>
      </c>
      <c r="H19" s="147"/>
      <c r="J19" s="151">
        <f t="shared" si="2"/>
        <v>0.0068015047736888715</v>
      </c>
      <c r="K19" s="147"/>
    </row>
    <row r="20" spans="1:11" ht="12.75">
      <c r="A20" s="139" t="s">
        <v>145</v>
      </c>
      <c r="B20" s="152">
        <v>54295</v>
      </c>
      <c r="C20" s="154">
        <v>229</v>
      </c>
      <c r="D20" s="148" t="s">
        <v>140</v>
      </c>
      <c r="E20" s="147"/>
      <c r="F20" s="153">
        <v>0.02074</v>
      </c>
      <c r="G20" s="150">
        <f t="shared" si="1"/>
        <v>488810</v>
      </c>
      <c r="H20" s="147"/>
      <c r="I20" s="139"/>
      <c r="J20" s="151">
        <f t="shared" si="2"/>
        <v>0.020740005043180375</v>
      </c>
      <c r="K20" s="147"/>
    </row>
    <row r="21" spans="1:11" ht="12.75">
      <c r="A21" s="139" t="s">
        <v>146</v>
      </c>
      <c r="B21" s="152">
        <v>54295</v>
      </c>
      <c r="C21" s="154">
        <v>275</v>
      </c>
      <c r="D21" s="148" t="s">
        <v>140</v>
      </c>
      <c r="E21" s="147"/>
      <c r="F21" s="153">
        <v>0.008235</v>
      </c>
      <c r="G21" s="150">
        <f t="shared" si="1"/>
        <v>194086</v>
      </c>
      <c r="H21" s="147"/>
      <c r="J21" s="151">
        <f t="shared" si="2"/>
        <v>0.008234988275220855</v>
      </c>
      <c r="K21" s="147"/>
    </row>
    <row r="22" spans="1:11" ht="12.75">
      <c r="A22" s="139" t="s">
        <v>147</v>
      </c>
      <c r="B22" s="152">
        <v>54295</v>
      </c>
      <c r="C22" s="154">
        <v>8</v>
      </c>
      <c r="D22" s="148" t="s">
        <v>140</v>
      </c>
      <c r="E22" s="147"/>
      <c r="F22" s="153">
        <v>0.0007015</v>
      </c>
      <c r="G22" s="150">
        <f t="shared" si="1"/>
        <v>16533</v>
      </c>
      <c r="H22" s="147"/>
      <c r="J22" s="151">
        <f t="shared" si="2"/>
        <v>0.0007014883152531682</v>
      </c>
      <c r="K22" s="147"/>
    </row>
    <row r="23" spans="1:11" ht="12.75">
      <c r="A23" s="139" t="s">
        <v>148</v>
      </c>
      <c r="B23" s="152">
        <v>54295</v>
      </c>
      <c r="C23" s="154">
        <v>1385</v>
      </c>
      <c r="D23" s="148" t="s">
        <v>140</v>
      </c>
      <c r="E23" s="147"/>
      <c r="F23" s="153">
        <v>0.07750751</v>
      </c>
      <c r="G23" s="150">
        <f t="shared" si="1"/>
        <v>1826733</v>
      </c>
      <c r="H23" s="147"/>
      <c r="J23" s="151">
        <f t="shared" si="2"/>
        <v>0.07750752159846161</v>
      </c>
      <c r="K23" s="147"/>
    </row>
    <row r="24" spans="1:11" ht="12.75">
      <c r="A24" s="139" t="s">
        <v>149</v>
      </c>
      <c r="B24" s="152">
        <v>54295</v>
      </c>
      <c r="C24" s="154">
        <v>1171</v>
      </c>
      <c r="D24" s="148" t="s">
        <v>140</v>
      </c>
      <c r="E24" s="147"/>
      <c r="F24" s="153">
        <v>0.044225</v>
      </c>
      <c r="G24" s="150">
        <f t="shared" si="1"/>
        <v>1042315</v>
      </c>
      <c r="H24" s="147"/>
      <c r="I24" s="139"/>
      <c r="J24" s="151">
        <f t="shared" si="2"/>
        <v>0.04422499203490631</v>
      </c>
      <c r="K24" s="147"/>
    </row>
    <row r="25" spans="1:11" ht="12.75">
      <c r="A25" s="155" t="s">
        <v>150</v>
      </c>
      <c r="B25" s="152">
        <v>54295</v>
      </c>
      <c r="C25" s="155">
        <v>77</v>
      </c>
      <c r="D25" s="148" t="s">
        <v>140</v>
      </c>
      <c r="E25" s="147"/>
      <c r="F25" s="153">
        <v>0.002</v>
      </c>
      <c r="G25" s="150">
        <f t="shared" si="1"/>
        <v>47137</v>
      </c>
      <c r="H25" s="147"/>
      <c r="I25" s="139"/>
      <c r="J25" s="151">
        <f t="shared" si="2"/>
        <v>0.002000003309507566</v>
      </c>
      <c r="K25" s="147"/>
    </row>
    <row r="26" spans="1:11" ht="12.75">
      <c r="A26" s="146" t="s">
        <v>3</v>
      </c>
      <c r="E26" s="147">
        <f>States_Territories!D9</f>
        <v>29047021</v>
      </c>
      <c r="F26" s="153"/>
      <c r="G26" s="140"/>
      <c r="H26" s="147">
        <f>SUM(G27:G35)</f>
        <v>2202950</v>
      </c>
      <c r="I26" s="147">
        <f>E26-H26</f>
        <v>26844071</v>
      </c>
      <c r="K26" s="147"/>
    </row>
    <row r="27" spans="1:11" ht="12.75">
      <c r="A27" s="139" t="s">
        <v>151</v>
      </c>
      <c r="B27" s="152">
        <v>343522</v>
      </c>
      <c r="C27" s="154">
        <v>228</v>
      </c>
      <c r="D27" s="148" t="s">
        <v>138</v>
      </c>
      <c r="F27" s="153">
        <f aca="true" t="shared" si="3" ref="F27:F35">C27/B27</f>
        <v>0.0006637129499711809</v>
      </c>
      <c r="G27" s="150">
        <f aca="true" t="shared" si="4" ref="G27:G35">ROUND($E$26*F27,0)</f>
        <v>19279</v>
      </c>
      <c r="H27" s="147"/>
      <c r="J27" s="151">
        <f aca="true" t="shared" si="5" ref="J27:J35">G27/$E$26</f>
        <v>0.0006637169436411397</v>
      </c>
      <c r="K27" s="147"/>
    </row>
    <row r="28" spans="1:11" ht="12.75">
      <c r="A28" s="139" t="s">
        <v>152</v>
      </c>
      <c r="B28" s="152">
        <v>343522</v>
      </c>
      <c r="C28" s="154">
        <v>680</v>
      </c>
      <c r="D28" s="148" t="s">
        <v>138</v>
      </c>
      <c r="E28" s="147"/>
      <c r="F28" s="153">
        <f t="shared" si="3"/>
        <v>0.001979494763071943</v>
      </c>
      <c r="G28" s="150">
        <f t="shared" si="4"/>
        <v>57498</v>
      </c>
      <c r="H28" s="147"/>
      <c r="J28" s="151">
        <f t="shared" si="5"/>
        <v>0.0019794800988369855</v>
      </c>
      <c r="K28" s="147"/>
    </row>
    <row r="29" spans="1:11" ht="12.75">
      <c r="A29" s="139" t="s">
        <v>153</v>
      </c>
      <c r="B29" s="152">
        <v>343522</v>
      </c>
      <c r="C29" s="154">
        <v>2301</v>
      </c>
      <c r="D29" s="148" t="s">
        <v>138</v>
      </c>
      <c r="E29" s="147"/>
      <c r="F29" s="153">
        <f t="shared" si="3"/>
        <v>0.006698260955630207</v>
      </c>
      <c r="G29" s="150">
        <f t="shared" si="4"/>
        <v>194565</v>
      </c>
      <c r="H29" s="147"/>
      <c r="J29" s="151">
        <f t="shared" si="5"/>
        <v>0.006698277251908208</v>
      </c>
      <c r="K29" s="147"/>
    </row>
    <row r="30" spans="1:11" ht="12.75">
      <c r="A30" s="139" t="s">
        <v>154</v>
      </c>
      <c r="B30" s="152">
        <v>343522</v>
      </c>
      <c r="C30" s="154">
        <v>142</v>
      </c>
      <c r="D30" s="148" t="s">
        <v>138</v>
      </c>
      <c r="E30" s="147"/>
      <c r="F30" s="153">
        <f t="shared" si="3"/>
        <v>0.00041336508287678807</v>
      </c>
      <c r="G30" s="150">
        <f t="shared" si="4"/>
        <v>12007</v>
      </c>
      <c r="H30" s="147"/>
      <c r="J30" s="151">
        <f t="shared" si="5"/>
        <v>0.00041336424826490814</v>
      </c>
      <c r="K30" s="147"/>
    </row>
    <row r="31" spans="1:11" ht="12.75">
      <c r="A31" s="139" t="s">
        <v>155</v>
      </c>
      <c r="B31" s="152">
        <v>343522</v>
      </c>
      <c r="C31" s="154">
        <v>19524</v>
      </c>
      <c r="D31" s="148" t="s">
        <v>138</v>
      </c>
      <c r="E31" s="147"/>
      <c r="F31" s="153">
        <f t="shared" si="3"/>
        <v>0.056834787873847964</v>
      </c>
      <c r="G31" s="150">
        <f t="shared" si="4"/>
        <v>1650881</v>
      </c>
      <c r="H31" s="147"/>
      <c r="J31" s="151">
        <f t="shared" si="5"/>
        <v>0.05683477834095276</v>
      </c>
      <c r="K31" s="147"/>
    </row>
    <row r="32" spans="1:11" ht="12.75">
      <c r="A32" s="139" t="s">
        <v>156</v>
      </c>
      <c r="B32" s="152">
        <v>343522</v>
      </c>
      <c r="C32" s="154">
        <v>879</v>
      </c>
      <c r="D32" s="148" t="s">
        <v>138</v>
      </c>
      <c r="E32" s="147"/>
      <c r="F32" s="153">
        <f t="shared" si="3"/>
        <v>0.0025587880834415265</v>
      </c>
      <c r="G32" s="150">
        <f t="shared" si="4"/>
        <v>74325</v>
      </c>
      <c r="H32" s="147"/>
      <c r="J32" s="151">
        <f t="shared" si="5"/>
        <v>0.002558782189746756</v>
      </c>
      <c r="K32" s="147"/>
    </row>
    <row r="33" spans="1:11" ht="12.75">
      <c r="A33" s="139" t="s">
        <v>157</v>
      </c>
      <c r="B33" s="152">
        <v>343522</v>
      </c>
      <c r="C33" s="154">
        <v>50</v>
      </c>
      <c r="D33" s="148" t="s">
        <v>138</v>
      </c>
      <c r="E33" s="147"/>
      <c r="F33" s="153">
        <f t="shared" si="3"/>
        <v>0.00014555108551999582</v>
      </c>
      <c r="G33" s="150">
        <f t="shared" si="4"/>
        <v>4228</v>
      </c>
      <c r="H33" s="147"/>
      <c r="J33" s="151">
        <f t="shared" si="5"/>
        <v>0.00014555709516648885</v>
      </c>
      <c r="K33" s="147"/>
    </row>
    <row r="34" spans="1:11" ht="12.75">
      <c r="A34" s="139" t="s">
        <v>158</v>
      </c>
      <c r="B34" s="152">
        <v>343522</v>
      </c>
      <c r="C34" s="154">
        <v>849</v>
      </c>
      <c r="D34" s="148" t="s">
        <v>138</v>
      </c>
      <c r="E34" s="147"/>
      <c r="F34" s="153">
        <f t="shared" si="3"/>
        <v>0.002471457432129529</v>
      </c>
      <c r="G34" s="150">
        <f t="shared" si="4"/>
        <v>71788</v>
      </c>
      <c r="H34" s="147"/>
      <c r="J34" s="151">
        <f t="shared" si="5"/>
        <v>0.002471441047259201</v>
      </c>
      <c r="K34" s="147"/>
    </row>
    <row r="35" spans="1:11" ht="12.75">
      <c r="A35" s="139" t="s">
        <v>159</v>
      </c>
      <c r="B35" s="152">
        <v>343522</v>
      </c>
      <c r="C35" s="154">
        <v>1400</v>
      </c>
      <c r="D35" s="148" t="s">
        <v>138</v>
      </c>
      <c r="F35" s="153">
        <f t="shared" si="3"/>
        <v>0.004075430394559883</v>
      </c>
      <c r="G35" s="150">
        <f t="shared" si="4"/>
        <v>118379</v>
      </c>
      <c r="H35" s="147"/>
      <c r="J35" s="151">
        <f t="shared" si="5"/>
        <v>0.004075426529970148</v>
      </c>
      <c r="K35" s="147"/>
    </row>
    <row r="36" spans="1:11" ht="12.75">
      <c r="A36" s="146" t="s">
        <v>5</v>
      </c>
      <c r="E36" s="147">
        <f>States_Territories!D11</f>
        <v>225894133</v>
      </c>
      <c r="F36" s="153"/>
      <c r="G36" s="140"/>
      <c r="H36" s="147">
        <f>SUM(G37:G59)</f>
        <v>1916198</v>
      </c>
      <c r="I36" s="147">
        <f>E36-H36</f>
        <v>223977935</v>
      </c>
      <c r="K36" s="147"/>
    </row>
    <row r="37" spans="1:11" ht="12.75">
      <c r="A37" s="139" t="s">
        <v>160</v>
      </c>
      <c r="B37" s="152">
        <v>1659723</v>
      </c>
      <c r="C37" s="134">
        <v>130</v>
      </c>
      <c r="D37" s="148" t="s">
        <v>138</v>
      </c>
      <c r="E37" s="147"/>
      <c r="F37" s="153">
        <f aca="true" t="shared" si="6" ref="F37:F46">C37/B37</f>
        <v>7.832632312741343E-05</v>
      </c>
      <c r="G37" s="150">
        <f aca="true" t="shared" si="7" ref="G37:G59">ROUND($E$36*F37,0)</f>
        <v>17693</v>
      </c>
      <c r="H37" s="147"/>
      <c r="I37" s="147"/>
      <c r="J37" s="151">
        <f aca="true" t="shared" si="8" ref="J37:J59">G37/$E$36</f>
        <v>7.832430070240027E-05</v>
      </c>
      <c r="K37" s="147"/>
    </row>
    <row r="38" spans="1:11" ht="12.75">
      <c r="A38" s="155" t="s">
        <v>161</v>
      </c>
      <c r="B38" s="152">
        <v>1659723</v>
      </c>
      <c r="C38" s="134">
        <v>490</v>
      </c>
      <c r="D38" s="148" t="s">
        <v>138</v>
      </c>
      <c r="E38" s="147"/>
      <c r="F38" s="153">
        <f t="shared" si="6"/>
        <v>0.0002952299871725583</v>
      </c>
      <c r="G38" s="150">
        <f t="shared" si="7"/>
        <v>66691</v>
      </c>
      <c r="H38" s="147"/>
      <c r="I38" s="147"/>
      <c r="J38" s="151">
        <f t="shared" si="8"/>
        <v>0.00029523121789090467</v>
      </c>
      <c r="K38" s="147"/>
    </row>
    <row r="39" spans="1:11" ht="12.75">
      <c r="A39" s="139" t="s">
        <v>162</v>
      </c>
      <c r="B39" s="152">
        <v>1659723</v>
      </c>
      <c r="C39" s="154">
        <v>24</v>
      </c>
      <c r="D39" s="148" t="s">
        <v>138</v>
      </c>
      <c r="E39" s="147"/>
      <c r="F39" s="153">
        <f t="shared" si="6"/>
        <v>1.4460244269676325E-05</v>
      </c>
      <c r="G39" s="150">
        <f t="shared" si="7"/>
        <v>3266</v>
      </c>
      <c r="H39" s="147"/>
      <c r="J39" s="151">
        <f t="shared" si="8"/>
        <v>1.445810015791778E-05</v>
      </c>
      <c r="K39" s="147"/>
    </row>
    <row r="40" spans="1:11" ht="12.75">
      <c r="A40" s="139" t="s">
        <v>163</v>
      </c>
      <c r="B40" s="152">
        <v>1659723</v>
      </c>
      <c r="C40" s="154">
        <v>108</v>
      </c>
      <c r="D40" s="148" t="s">
        <v>138</v>
      </c>
      <c r="E40" s="147"/>
      <c r="F40" s="153">
        <f t="shared" si="6"/>
        <v>6.507109921354347E-05</v>
      </c>
      <c r="G40" s="150">
        <f t="shared" si="7"/>
        <v>14699</v>
      </c>
      <c r="H40" s="147"/>
      <c r="I40" s="147"/>
      <c r="J40" s="151">
        <f t="shared" si="8"/>
        <v>6.507030441556444E-05</v>
      </c>
      <c r="K40" s="147"/>
    </row>
    <row r="41" spans="1:11" ht="12.75">
      <c r="A41" s="139" t="s">
        <v>164</v>
      </c>
      <c r="B41" s="152">
        <v>1659723</v>
      </c>
      <c r="C41" s="154">
        <v>50</v>
      </c>
      <c r="D41" s="148" t="s">
        <v>138</v>
      </c>
      <c r="E41" s="147"/>
      <c r="F41" s="153">
        <f t="shared" si="6"/>
        <v>3.012550889515901E-05</v>
      </c>
      <c r="G41" s="150">
        <f t="shared" si="7"/>
        <v>6805</v>
      </c>
      <c r="H41" s="147"/>
      <c r="I41" s="147"/>
      <c r="J41" s="151">
        <f t="shared" si="8"/>
        <v>3.012473103938472E-05</v>
      </c>
      <c r="K41" s="147"/>
    </row>
    <row r="42" spans="1:11" ht="12.75">
      <c r="A42" s="139" t="s">
        <v>165</v>
      </c>
      <c r="B42" s="152">
        <v>1659723</v>
      </c>
      <c r="C42" s="154">
        <v>896</v>
      </c>
      <c r="D42" s="148" t="s">
        <v>138</v>
      </c>
      <c r="E42" s="147"/>
      <c r="F42" s="153">
        <f t="shared" si="6"/>
        <v>0.0005398491194012495</v>
      </c>
      <c r="G42" s="150">
        <f t="shared" si="7"/>
        <v>121949</v>
      </c>
      <c r="H42" s="147"/>
      <c r="J42" s="151">
        <f t="shared" si="8"/>
        <v>0.0005398502315241627</v>
      </c>
      <c r="K42" s="147"/>
    </row>
    <row r="43" spans="1:11" ht="12.75">
      <c r="A43" s="139" t="s">
        <v>166</v>
      </c>
      <c r="B43" s="152">
        <v>1659723</v>
      </c>
      <c r="C43" s="154">
        <v>136</v>
      </c>
      <c r="D43" s="148" t="s">
        <v>138</v>
      </c>
      <c r="F43" s="153">
        <f t="shared" si="6"/>
        <v>8.194138419483252E-05</v>
      </c>
      <c r="G43" s="150">
        <f t="shared" si="7"/>
        <v>18510</v>
      </c>
      <c r="H43" s="147"/>
      <c r="J43" s="151">
        <f t="shared" si="8"/>
        <v>8.194103916811333E-05</v>
      </c>
      <c r="K43" s="147"/>
    </row>
    <row r="44" spans="1:11" ht="12.75">
      <c r="A44" s="139" t="s">
        <v>167</v>
      </c>
      <c r="B44" s="152">
        <v>1659723</v>
      </c>
      <c r="C44" s="154">
        <v>650</v>
      </c>
      <c r="D44" s="148" t="s">
        <v>138</v>
      </c>
      <c r="E44" s="147"/>
      <c r="F44" s="153">
        <f t="shared" si="6"/>
        <v>0.00039163161563706713</v>
      </c>
      <c r="G44" s="150">
        <f t="shared" si="7"/>
        <v>88467</v>
      </c>
      <c r="H44" s="147"/>
      <c r="I44" s="147"/>
      <c r="J44" s="151">
        <f t="shared" si="8"/>
        <v>0.0003916303572169358</v>
      </c>
      <c r="K44" s="147"/>
    </row>
    <row r="45" spans="1:11" ht="12.75">
      <c r="A45" s="139" t="s">
        <v>168</v>
      </c>
      <c r="B45" s="152">
        <v>1659723</v>
      </c>
      <c r="C45" s="154">
        <v>371</v>
      </c>
      <c r="D45" s="148" t="s">
        <v>138</v>
      </c>
      <c r="E45" s="147"/>
      <c r="F45" s="153">
        <f t="shared" si="6"/>
        <v>0.00022353127600207987</v>
      </c>
      <c r="G45" s="150">
        <f t="shared" si="7"/>
        <v>50494</v>
      </c>
      <c r="H45" s="147"/>
      <c r="I45" s="147"/>
      <c r="J45" s="151">
        <f t="shared" si="8"/>
        <v>0.0002235294884794551</v>
      </c>
      <c r="K45" s="147"/>
    </row>
    <row r="46" spans="1:11" ht="12.75">
      <c r="A46" s="139" t="s">
        <v>169</v>
      </c>
      <c r="B46" s="152">
        <v>1659723</v>
      </c>
      <c r="C46" s="154">
        <v>5787</v>
      </c>
      <c r="D46" s="148" t="s">
        <v>138</v>
      </c>
      <c r="E46" s="147"/>
      <c r="F46" s="153">
        <f t="shared" si="6"/>
        <v>0.003486726399525704</v>
      </c>
      <c r="G46" s="150">
        <f t="shared" si="7"/>
        <v>787631</v>
      </c>
      <c r="H46" s="147"/>
      <c r="J46" s="151">
        <f t="shared" si="8"/>
        <v>0.003486726235603472</v>
      </c>
      <c r="K46" s="147"/>
    </row>
    <row r="47" spans="1:11" ht="12.75">
      <c r="A47" s="139" t="s">
        <v>170</v>
      </c>
      <c r="B47" s="152">
        <v>1659723</v>
      </c>
      <c r="C47" s="154">
        <v>82</v>
      </c>
      <c r="D47" s="148" t="s">
        <v>140</v>
      </c>
      <c r="E47" s="147"/>
      <c r="F47" s="153">
        <v>0.0001</v>
      </c>
      <c r="G47" s="150">
        <f t="shared" si="7"/>
        <v>22589</v>
      </c>
      <c r="H47" s="147"/>
      <c r="J47" s="151">
        <f t="shared" si="8"/>
        <v>9.99981703818753E-05</v>
      </c>
      <c r="K47" s="147"/>
    </row>
    <row r="48" spans="1:11" ht="12.75">
      <c r="A48" s="139" t="s">
        <v>171</v>
      </c>
      <c r="B48" s="152">
        <v>1659723</v>
      </c>
      <c r="C48" s="154">
        <v>779</v>
      </c>
      <c r="D48" s="148" t="s">
        <v>138</v>
      </c>
      <c r="E48" s="147"/>
      <c r="F48" s="153">
        <f aca="true" t="shared" si="9" ref="F48:F59">C48/B48</f>
        <v>0.0004693554285865774</v>
      </c>
      <c r="G48" s="150">
        <f t="shared" si="7"/>
        <v>106025</v>
      </c>
      <c r="H48" s="147"/>
      <c r="I48" s="147"/>
      <c r="J48" s="151">
        <f t="shared" si="8"/>
        <v>0.0004693570328362623</v>
      </c>
      <c r="K48" s="147"/>
    </row>
    <row r="49" spans="1:11" ht="12.75">
      <c r="A49" s="139" t="s">
        <v>172</v>
      </c>
      <c r="B49" s="152">
        <v>1659723</v>
      </c>
      <c r="C49" s="154">
        <v>78</v>
      </c>
      <c r="D49" s="148" t="s">
        <v>138</v>
      </c>
      <c r="E49" s="147"/>
      <c r="F49" s="153">
        <f t="shared" si="9"/>
        <v>4.699579387644806E-05</v>
      </c>
      <c r="G49" s="150">
        <f t="shared" si="7"/>
        <v>10616</v>
      </c>
      <c r="H49" s="147"/>
      <c r="I49" s="147"/>
      <c r="J49" s="151">
        <f t="shared" si="8"/>
        <v>4.69954657919336E-05</v>
      </c>
      <c r="K49" s="147"/>
    </row>
    <row r="50" spans="1:11" ht="12.75">
      <c r="A50" s="139" t="s">
        <v>173</v>
      </c>
      <c r="B50" s="152">
        <v>1659723</v>
      </c>
      <c r="C50" s="154">
        <v>375</v>
      </c>
      <c r="D50" s="148" t="s">
        <v>138</v>
      </c>
      <c r="E50" s="147"/>
      <c r="F50" s="153">
        <f t="shared" si="9"/>
        <v>0.00022594131671369258</v>
      </c>
      <c r="G50" s="150">
        <f t="shared" si="7"/>
        <v>51039</v>
      </c>
      <c r="H50" s="147"/>
      <c r="J50" s="151">
        <f t="shared" si="8"/>
        <v>0.00022594212307408621</v>
      </c>
      <c r="K50" s="147"/>
    </row>
    <row r="51" spans="1:11" ht="12.75">
      <c r="A51" s="139" t="s">
        <v>174</v>
      </c>
      <c r="B51" s="152">
        <v>1659723</v>
      </c>
      <c r="C51" s="154">
        <v>962</v>
      </c>
      <c r="D51" s="148" t="s">
        <v>138</v>
      </c>
      <c r="E51" s="147"/>
      <c r="F51" s="153">
        <f t="shared" si="9"/>
        <v>0.0005796147911428593</v>
      </c>
      <c r="G51" s="150">
        <f t="shared" si="7"/>
        <v>130932</v>
      </c>
      <c r="H51" s="147"/>
      <c r="J51" s="151">
        <f t="shared" si="8"/>
        <v>0.0005796166472371374</v>
      </c>
      <c r="K51" s="147"/>
    </row>
    <row r="52" spans="1:11" ht="12.75">
      <c r="A52" s="139" t="s">
        <v>175</v>
      </c>
      <c r="B52" s="152">
        <v>1659723</v>
      </c>
      <c r="C52" s="154">
        <v>44</v>
      </c>
      <c r="D52" s="148" t="s">
        <v>138</v>
      </c>
      <c r="E52" s="147"/>
      <c r="F52" s="153">
        <f t="shared" si="9"/>
        <v>2.651044782773993E-05</v>
      </c>
      <c r="G52" s="150">
        <f t="shared" si="7"/>
        <v>5989</v>
      </c>
      <c r="H52" s="147"/>
      <c r="J52" s="151">
        <f t="shared" si="8"/>
        <v>2.651241942613888E-05</v>
      </c>
      <c r="K52" s="147"/>
    </row>
    <row r="53" spans="1:11" ht="12.75">
      <c r="A53" s="139" t="s">
        <v>176</v>
      </c>
      <c r="B53" s="152">
        <v>1659723</v>
      </c>
      <c r="C53" s="154">
        <v>894</v>
      </c>
      <c r="D53" s="148" t="s">
        <v>138</v>
      </c>
      <c r="E53" s="147"/>
      <c r="F53" s="153">
        <f t="shared" si="9"/>
        <v>0.0005386440990454431</v>
      </c>
      <c r="G53" s="150">
        <f t="shared" si="7"/>
        <v>121677</v>
      </c>
      <c r="H53" s="147"/>
      <c r="I53" s="147"/>
      <c r="J53" s="151">
        <f t="shared" si="8"/>
        <v>0.0005386461276530808</v>
      </c>
      <c r="K53" s="147"/>
    </row>
    <row r="54" spans="1:11" ht="12.75">
      <c r="A54" s="139" t="s">
        <v>177</v>
      </c>
      <c r="B54" s="152">
        <v>1659723</v>
      </c>
      <c r="C54" s="154">
        <v>575</v>
      </c>
      <c r="D54" s="148" t="s">
        <v>138</v>
      </c>
      <c r="E54" s="147"/>
      <c r="F54" s="153">
        <f t="shared" si="9"/>
        <v>0.00034644335229432863</v>
      </c>
      <c r="G54" s="150">
        <f t="shared" si="7"/>
        <v>78260</v>
      </c>
      <c r="H54" s="147"/>
      <c r="I54" s="147"/>
      <c r="J54" s="151">
        <f t="shared" si="8"/>
        <v>0.0003464454740840923</v>
      </c>
      <c r="K54" s="147"/>
    </row>
    <row r="55" spans="1:11" ht="12.75">
      <c r="A55" s="139" t="s">
        <v>178</v>
      </c>
      <c r="B55" s="152">
        <v>1659723</v>
      </c>
      <c r="C55" s="154">
        <v>146</v>
      </c>
      <c r="D55" s="148" t="s">
        <v>138</v>
      </c>
      <c r="E55" s="147"/>
      <c r="F55" s="153">
        <f t="shared" si="9"/>
        <v>8.796648597386432E-05</v>
      </c>
      <c r="G55" s="150">
        <f t="shared" si="7"/>
        <v>19871</v>
      </c>
      <c r="H55" s="147"/>
      <c r="I55" s="147"/>
      <c r="J55" s="151">
        <f t="shared" si="8"/>
        <v>8.796598537599026E-05</v>
      </c>
      <c r="K55" s="147"/>
    </row>
    <row r="56" spans="1:11" ht="12.75">
      <c r="A56" s="139" t="s">
        <v>179</v>
      </c>
      <c r="B56" s="152">
        <v>1659723</v>
      </c>
      <c r="C56" s="154">
        <v>66</v>
      </c>
      <c r="D56" s="148" t="s">
        <v>138</v>
      </c>
      <c r="E56" s="147"/>
      <c r="F56" s="153">
        <f t="shared" si="9"/>
        <v>3.97656717416099E-05</v>
      </c>
      <c r="G56" s="150">
        <f t="shared" si="7"/>
        <v>8983</v>
      </c>
      <c r="H56" s="147"/>
      <c r="J56" s="151">
        <f t="shared" si="8"/>
        <v>3.976641571297472E-05</v>
      </c>
      <c r="K56" s="147"/>
    </row>
    <row r="57" spans="1:11" ht="12.75">
      <c r="A57" s="139" t="s">
        <v>180</v>
      </c>
      <c r="B57" s="152">
        <v>1659723</v>
      </c>
      <c r="C57" s="154">
        <v>101</v>
      </c>
      <c r="D57" s="148" t="s">
        <v>138</v>
      </c>
      <c r="E57" s="147"/>
      <c r="F57" s="153">
        <f t="shared" si="9"/>
        <v>6.08535279682212E-05</v>
      </c>
      <c r="G57" s="150">
        <f t="shared" si="7"/>
        <v>13746</v>
      </c>
      <c r="H57" s="147"/>
      <c r="J57" s="151">
        <f t="shared" si="8"/>
        <v>6.085151401431041E-05</v>
      </c>
      <c r="K57" s="147"/>
    </row>
    <row r="58" spans="1:11" ht="12.75">
      <c r="A58" s="139" t="s">
        <v>181</v>
      </c>
      <c r="B58" s="152">
        <v>1659723</v>
      </c>
      <c r="C58" s="154">
        <v>85</v>
      </c>
      <c r="D58" s="148" t="s">
        <v>138</v>
      </c>
      <c r="E58" s="147"/>
      <c r="F58" s="153">
        <f t="shared" si="9"/>
        <v>5.121336512177032E-05</v>
      </c>
      <c r="G58" s="150">
        <f t="shared" si="7"/>
        <v>11569</v>
      </c>
      <c r="H58" s="147"/>
      <c r="J58" s="151">
        <f t="shared" si="8"/>
        <v>5.121425619318763E-05</v>
      </c>
      <c r="K58" s="147"/>
    </row>
    <row r="59" spans="1:11" ht="12.75">
      <c r="A59" s="139" t="s">
        <v>182</v>
      </c>
      <c r="B59" s="152">
        <v>1659723</v>
      </c>
      <c r="C59" s="154">
        <v>1166</v>
      </c>
      <c r="D59" s="148" t="s">
        <v>138</v>
      </c>
      <c r="E59" s="147"/>
      <c r="F59" s="153">
        <f t="shared" si="9"/>
        <v>0.0007025268674351082</v>
      </c>
      <c r="G59" s="150">
        <f t="shared" si="7"/>
        <v>158697</v>
      </c>
      <c r="H59" s="147"/>
      <c r="J59" s="151">
        <f t="shared" si="8"/>
        <v>0.0007025282059893074</v>
      </c>
      <c r="K59" s="147"/>
    </row>
    <row r="60" spans="1:11" ht="12.75">
      <c r="A60" s="146" t="s">
        <v>10</v>
      </c>
      <c r="E60" s="147">
        <f>States_Territories!D16</f>
        <v>95037075</v>
      </c>
      <c r="G60" s="140"/>
      <c r="H60" s="147">
        <f>G61</f>
        <v>24362</v>
      </c>
      <c r="I60" s="147">
        <f>E60-H60</f>
        <v>95012713</v>
      </c>
      <c r="K60" s="147"/>
    </row>
    <row r="61" spans="1:11" ht="12.75">
      <c r="A61" s="139" t="s">
        <v>183</v>
      </c>
      <c r="B61" s="152">
        <v>1205419</v>
      </c>
      <c r="C61" s="152">
        <v>309</v>
      </c>
      <c r="D61" s="148" t="s">
        <v>138</v>
      </c>
      <c r="E61" s="147"/>
      <c r="F61" s="153">
        <f>C61/B61</f>
        <v>0.00025634240044333133</v>
      </c>
      <c r="G61" s="150">
        <f>ROUND($E$60*F61,0)</f>
        <v>24362</v>
      </c>
      <c r="H61" s="147"/>
      <c r="I61" s="147"/>
      <c r="J61" s="151">
        <f>G61/E60</f>
        <v>0.00025634206439960404</v>
      </c>
      <c r="K61" s="147"/>
    </row>
    <row r="62" spans="1:11" ht="12.75">
      <c r="A62" s="146" t="s">
        <v>13</v>
      </c>
      <c r="D62" s="139" t="s">
        <v>68</v>
      </c>
      <c r="E62" s="147">
        <f>States_Territories!D19</f>
        <v>26939480</v>
      </c>
      <c r="F62" s="153"/>
      <c r="G62" s="140"/>
      <c r="H62" s="147">
        <f>SUM(G63:G65)</f>
        <v>1307238</v>
      </c>
      <c r="I62" s="147">
        <f>E62-H62</f>
        <v>25632242</v>
      </c>
      <c r="K62" s="147"/>
    </row>
    <row r="63" spans="1:11" ht="12.75">
      <c r="A63" s="139" t="s">
        <v>184</v>
      </c>
      <c r="B63" s="152">
        <v>84047</v>
      </c>
      <c r="C63" s="134">
        <v>113</v>
      </c>
      <c r="D63" s="156" t="s">
        <v>140</v>
      </c>
      <c r="E63" s="147"/>
      <c r="F63" s="153">
        <v>0.003025</v>
      </c>
      <c r="G63" s="150">
        <f>ROUND($E$62*F63,0)</f>
        <v>81492</v>
      </c>
      <c r="H63" s="147"/>
      <c r="I63" s="147"/>
      <c r="J63" s="151">
        <f>G63/$E$62</f>
        <v>0.00302500270977762</v>
      </c>
      <c r="K63" s="147"/>
    </row>
    <row r="64" spans="1:11" ht="12.75">
      <c r="A64" s="139" t="s">
        <v>185</v>
      </c>
      <c r="B64" s="152">
        <v>84047</v>
      </c>
      <c r="C64" s="152">
        <v>593</v>
      </c>
      <c r="D64" s="148" t="s">
        <v>140</v>
      </c>
      <c r="E64" s="147"/>
      <c r="F64" s="157">
        <v>0.007</v>
      </c>
      <c r="G64" s="150">
        <f>ROUND($E$62*F64,0)</f>
        <v>188576</v>
      </c>
      <c r="H64" s="147"/>
      <c r="I64" s="147"/>
      <c r="J64" s="151">
        <f>G64/$E$62</f>
        <v>0.006999986636713106</v>
      </c>
      <c r="K64" s="147"/>
    </row>
    <row r="65" spans="1:11" ht="12.75">
      <c r="A65" s="139" t="s">
        <v>186</v>
      </c>
      <c r="B65" s="152">
        <v>84047</v>
      </c>
      <c r="C65" s="152">
        <v>796</v>
      </c>
      <c r="D65" s="148" t="s">
        <v>140</v>
      </c>
      <c r="E65" s="147"/>
      <c r="F65" s="157">
        <v>0.0385</v>
      </c>
      <c r="G65" s="150">
        <f>ROUND($E$62*F65,0)</f>
        <v>1037170</v>
      </c>
      <c r="H65" s="147"/>
      <c r="I65" s="147"/>
      <c r="J65" s="151">
        <f>G65/$E$62</f>
        <v>0.038500000742404825</v>
      </c>
      <c r="K65" s="147"/>
    </row>
    <row r="66" spans="1:11" ht="12.75">
      <c r="A66" s="146" t="s">
        <v>15</v>
      </c>
      <c r="E66" s="147">
        <f>States_Territories!D21</f>
        <v>103608598</v>
      </c>
      <c r="G66" s="140"/>
      <c r="H66" s="147">
        <f>G67</f>
        <v>6664</v>
      </c>
      <c r="I66" s="147">
        <f>E66-H66</f>
        <v>103601934</v>
      </c>
      <c r="K66" s="147"/>
    </row>
    <row r="67" spans="1:11" ht="12.75">
      <c r="A67" s="139" t="s">
        <v>187</v>
      </c>
      <c r="B67" s="152">
        <v>434091</v>
      </c>
      <c r="C67" s="152">
        <v>0</v>
      </c>
      <c r="D67" s="148" t="s">
        <v>188</v>
      </c>
      <c r="F67" s="153">
        <f>$C67/$B67</f>
        <v>0</v>
      </c>
      <c r="G67" s="150">
        <v>6664</v>
      </c>
      <c r="H67" s="147"/>
      <c r="I67" s="147"/>
      <c r="J67" s="151">
        <f>G67/E66</f>
        <v>6.431898634512938E-05</v>
      </c>
      <c r="K67" s="147"/>
    </row>
    <row r="68" spans="1:11" ht="12.75">
      <c r="A68" s="146" t="s">
        <v>17</v>
      </c>
      <c r="D68" s="139" t="s">
        <v>68</v>
      </c>
      <c r="E68" s="147">
        <f>States_Territories!D23</f>
        <v>45349295</v>
      </c>
      <c r="F68" s="147"/>
      <c r="G68" s="140"/>
      <c r="H68" s="147">
        <f>G69</f>
        <v>41400</v>
      </c>
      <c r="I68" s="147">
        <f>E68-H68</f>
        <v>45307895</v>
      </c>
      <c r="K68" s="147"/>
    </row>
    <row r="69" spans="1:11" ht="12.75">
      <c r="A69" s="139" t="s">
        <v>189</v>
      </c>
      <c r="B69" s="152">
        <v>222152</v>
      </c>
      <c r="C69" s="152">
        <v>120</v>
      </c>
      <c r="D69" s="148" t="s">
        <v>188</v>
      </c>
      <c r="E69" s="147"/>
      <c r="F69" s="158">
        <f>C69/B69</f>
        <v>0.0005401706939392848</v>
      </c>
      <c r="G69" s="150">
        <v>41400</v>
      </c>
      <c r="H69" s="147"/>
      <c r="I69" s="147"/>
      <c r="J69" s="151">
        <f>G69/E68</f>
        <v>0.0009129138611746886</v>
      </c>
      <c r="K69" s="147"/>
    </row>
    <row r="70" spans="1:11" ht="12.75">
      <c r="A70" s="146" t="s">
        <v>20</v>
      </c>
      <c r="E70" s="147">
        <f>States_Territories!D26</f>
        <v>49456684</v>
      </c>
      <c r="G70" s="140"/>
      <c r="H70" s="147">
        <f>SUM(G71:G75)</f>
        <v>1807642</v>
      </c>
      <c r="I70" s="147">
        <f>E70-H70</f>
        <v>47649042</v>
      </c>
      <c r="K70" s="147"/>
    </row>
    <row r="71" spans="1:11" ht="12.75">
      <c r="A71" s="139" t="s">
        <v>190</v>
      </c>
      <c r="B71" s="152">
        <v>100697</v>
      </c>
      <c r="D71" s="148" t="s">
        <v>140</v>
      </c>
      <c r="F71" s="153">
        <v>0.00435</v>
      </c>
      <c r="G71" s="150">
        <f>ROUND($E$70*F71,0)</f>
        <v>215137</v>
      </c>
      <c r="H71" s="147"/>
      <c r="I71" s="147"/>
      <c r="J71" s="151">
        <f>G71/$E$70</f>
        <v>0.004350008585290514</v>
      </c>
      <c r="K71" s="147"/>
    </row>
    <row r="72" spans="1:11" ht="12.75">
      <c r="A72" s="139" t="s">
        <v>191</v>
      </c>
      <c r="B72" s="152">
        <v>100697</v>
      </c>
      <c r="D72" s="148" t="s">
        <v>140</v>
      </c>
      <c r="E72" s="147"/>
      <c r="F72" s="153">
        <v>0.00435</v>
      </c>
      <c r="G72" s="150">
        <f>ROUND($E$70*F72,0)</f>
        <v>215137</v>
      </c>
      <c r="H72" s="147"/>
      <c r="I72" s="147"/>
      <c r="J72" s="151">
        <f>G72/$E$70</f>
        <v>0.004350008585290514</v>
      </c>
      <c r="K72" s="147"/>
    </row>
    <row r="73" spans="1:11" ht="12.75">
      <c r="A73" s="139" t="s">
        <v>192</v>
      </c>
      <c r="B73" s="152">
        <v>100697</v>
      </c>
      <c r="C73" s="152">
        <v>83</v>
      </c>
      <c r="D73" s="148" t="s">
        <v>140</v>
      </c>
      <c r="E73" s="147"/>
      <c r="F73" s="153">
        <v>0.0083</v>
      </c>
      <c r="G73" s="150">
        <f>ROUND($E$70*F73,0)</f>
        <v>410490</v>
      </c>
      <c r="H73" s="147"/>
      <c r="I73" s="147"/>
      <c r="J73" s="151">
        <f>G73/$E$70</f>
        <v>0.008299990351152536</v>
      </c>
      <c r="K73" s="147"/>
    </row>
    <row r="74" spans="1:11" ht="12.75">
      <c r="A74" s="139" t="s">
        <v>193</v>
      </c>
      <c r="B74" s="152">
        <v>100697</v>
      </c>
      <c r="C74" s="152">
        <v>69</v>
      </c>
      <c r="D74" s="148" t="s">
        <v>140</v>
      </c>
      <c r="E74" s="147"/>
      <c r="F74" s="153">
        <v>0.01158</v>
      </c>
      <c r="G74" s="150">
        <f>ROUND($E$70*F74,0)</f>
        <v>572708</v>
      </c>
      <c r="H74" s="147"/>
      <c r="I74" s="147"/>
      <c r="J74" s="151">
        <f>G74/$E$70</f>
        <v>0.011579991897556253</v>
      </c>
      <c r="K74" s="147"/>
    </row>
    <row r="75" spans="1:11" ht="12.75">
      <c r="A75" s="139" t="s">
        <v>194</v>
      </c>
      <c r="B75" s="152">
        <v>100697</v>
      </c>
      <c r="C75" s="152">
        <v>95</v>
      </c>
      <c r="D75" s="148" t="s">
        <v>140</v>
      </c>
      <c r="E75" s="147"/>
      <c r="F75" s="153">
        <v>0.00797</v>
      </c>
      <c r="G75" s="150">
        <f>ROUND($E$70*F75,0)</f>
        <v>394170</v>
      </c>
      <c r="H75" s="147"/>
      <c r="I75" s="147"/>
      <c r="J75" s="151">
        <f>G75/$E$70</f>
        <v>0.007970004620609017</v>
      </c>
      <c r="K75" s="147"/>
    </row>
    <row r="76" spans="1:11" ht="12.75">
      <c r="A76" s="146" t="s">
        <v>22</v>
      </c>
      <c r="E76" s="147">
        <f>States_Territories!D28</f>
        <v>162980837</v>
      </c>
      <c r="G76" s="140"/>
      <c r="H76" s="147">
        <f>G77</f>
        <v>65192</v>
      </c>
      <c r="I76" s="147">
        <f>E76-H76</f>
        <v>162915645</v>
      </c>
      <c r="K76" s="147"/>
    </row>
    <row r="77" spans="1:11" ht="12.75">
      <c r="A77" s="139" t="s">
        <v>195</v>
      </c>
      <c r="B77" s="152">
        <v>531692</v>
      </c>
      <c r="C77" s="152">
        <v>127</v>
      </c>
      <c r="D77" s="148" t="s">
        <v>140</v>
      </c>
      <c r="E77" s="147"/>
      <c r="F77" s="153">
        <v>0.0004</v>
      </c>
      <c r="G77" s="150">
        <f>ROUND($E$76*F77,0)</f>
        <v>65192</v>
      </c>
      <c r="H77" s="147"/>
      <c r="I77" s="147"/>
      <c r="J77" s="151">
        <f>G77/E76</f>
        <v>0.00039999794577076566</v>
      </c>
      <c r="K77" s="147"/>
    </row>
    <row r="78" spans="1:11" ht="12.75">
      <c r="A78" s="146" t="s">
        <v>23</v>
      </c>
      <c r="E78" s="147">
        <f>States_Territories!D29</f>
        <v>222412468</v>
      </c>
      <c r="G78" s="140"/>
      <c r="H78" s="147">
        <f>SUM(G79:G84)</f>
        <v>1168225</v>
      </c>
      <c r="I78" s="147">
        <f>E78-H78</f>
        <v>221244243</v>
      </c>
      <c r="K78" s="147"/>
    </row>
    <row r="79" spans="1:11" ht="12.75">
      <c r="A79" s="139" t="s">
        <v>196</v>
      </c>
      <c r="B79" s="152">
        <v>856399</v>
      </c>
      <c r="C79" s="152">
        <v>335</v>
      </c>
      <c r="D79" s="148" t="s">
        <v>138</v>
      </c>
      <c r="E79" s="147"/>
      <c r="F79" s="153">
        <f>C79/B79</f>
        <v>0.0003911728061335896</v>
      </c>
      <c r="G79" s="150">
        <f>ROUND($E$78*F79,0)</f>
        <v>87002</v>
      </c>
      <c r="H79" s="147"/>
      <c r="I79" s="147"/>
      <c r="J79" s="151">
        <f aca="true" t="shared" si="10" ref="J79:J84">G79/$E$78</f>
        <v>0.00039117411349439275</v>
      </c>
      <c r="K79" s="147"/>
    </row>
    <row r="80" spans="1:11" ht="12.75">
      <c r="A80" s="139" t="s">
        <v>197</v>
      </c>
      <c r="B80" s="152">
        <v>856399</v>
      </c>
      <c r="C80" s="152">
        <v>637</v>
      </c>
      <c r="D80" s="148" t="s">
        <v>138</v>
      </c>
      <c r="E80" s="147"/>
      <c r="F80" s="153">
        <f>C80/B80</f>
        <v>0.0007438121716629749</v>
      </c>
      <c r="G80" s="150">
        <f>ROUND($E$78*F80,0)</f>
        <v>165433</v>
      </c>
      <c r="H80" s="147"/>
      <c r="J80" s="151">
        <f t="shared" si="10"/>
        <v>0.0007438117183250716</v>
      </c>
      <c r="K80" s="147"/>
    </row>
    <row r="81" spans="1:11" ht="12.75">
      <c r="A81" s="139" t="s">
        <v>198</v>
      </c>
      <c r="B81" s="152">
        <v>856399</v>
      </c>
      <c r="C81" s="152">
        <v>884</v>
      </c>
      <c r="D81" s="148" t="s">
        <v>138</v>
      </c>
      <c r="E81" s="147"/>
      <c r="F81" s="153">
        <f>C81/B81</f>
        <v>0.0010322291361853529</v>
      </c>
      <c r="G81" s="150">
        <f>ROUND($E$78*F81,0)</f>
        <v>229581</v>
      </c>
      <c r="H81" s="147"/>
      <c r="J81" s="151">
        <f t="shared" si="10"/>
        <v>0.0010322308010178639</v>
      </c>
      <c r="K81" s="147"/>
    </row>
    <row r="82" spans="1:11" ht="12.75">
      <c r="A82" s="139" t="s">
        <v>199</v>
      </c>
      <c r="B82" s="152">
        <v>856399</v>
      </c>
      <c r="C82" s="152">
        <v>162</v>
      </c>
      <c r="D82" s="148" t="s">
        <v>138</v>
      </c>
      <c r="E82" s="147"/>
      <c r="F82" s="153">
        <f>C82/B82</f>
        <v>0.00018916416296609406</v>
      </c>
      <c r="G82" s="150">
        <f>ROUND($E$78*F82,0)</f>
        <v>42072</v>
      </c>
      <c r="H82" s="147"/>
      <c r="J82" s="151">
        <f t="shared" si="10"/>
        <v>0.0001891620572278349</v>
      </c>
      <c r="K82" s="147"/>
    </row>
    <row r="83" spans="1:11" ht="12.75">
      <c r="A83" s="139" t="s">
        <v>200</v>
      </c>
      <c r="B83" s="152">
        <v>856399</v>
      </c>
      <c r="C83" s="152">
        <v>555</v>
      </c>
      <c r="D83" s="148" t="s">
        <v>138</v>
      </c>
      <c r="E83" s="147"/>
      <c r="F83" s="153">
        <f>C83/B83</f>
        <v>0.0006480624101616186</v>
      </c>
      <c r="G83" s="150">
        <f>ROUND($E$78*F83,0)</f>
        <v>144137</v>
      </c>
      <c r="H83" s="147"/>
      <c r="J83" s="151">
        <f t="shared" si="10"/>
        <v>0.0006480616904983942</v>
      </c>
      <c r="K83" s="147"/>
    </row>
    <row r="84" spans="1:11" ht="12.75">
      <c r="A84" s="139" t="s">
        <v>201</v>
      </c>
      <c r="B84" s="152">
        <v>856399</v>
      </c>
      <c r="C84" s="152">
        <v>1744</v>
      </c>
      <c r="D84" s="148" t="s">
        <v>188</v>
      </c>
      <c r="E84" s="147"/>
      <c r="F84" s="153">
        <f>$C84/$B84</f>
        <v>0.0020364339519312845</v>
      </c>
      <c r="G84" s="150">
        <v>500000</v>
      </c>
      <c r="H84" s="147"/>
      <c r="I84" s="147"/>
      <c r="J84" s="151">
        <f t="shared" si="10"/>
        <v>0.002248075409153771</v>
      </c>
      <c r="K84" s="147"/>
    </row>
    <row r="85" spans="1:11" ht="12.75">
      <c r="A85" s="146" t="s">
        <v>25</v>
      </c>
      <c r="E85" s="147">
        <f>States_Territories!D31</f>
        <v>39011051</v>
      </c>
      <c r="G85" s="140"/>
      <c r="H85" s="147">
        <f>G86</f>
        <v>73933</v>
      </c>
      <c r="I85" s="147">
        <f>E85-H85</f>
        <v>38937118</v>
      </c>
      <c r="K85" s="147"/>
    </row>
    <row r="86" spans="1:11" ht="12.75">
      <c r="A86" s="139" t="s">
        <v>202</v>
      </c>
      <c r="B86" s="152">
        <v>319230</v>
      </c>
      <c r="C86" s="152">
        <v>605</v>
      </c>
      <c r="D86" s="148" t="s">
        <v>203</v>
      </c>
      <c r="E86" s="147"/>
      <c r="F86" s="153">
        <f>$C86/$B86</f>
        <v>0.0018951852896031075</v>
      </c>
      <c r="G86" s="150">
        <f>ROUND($E$85*F86,0)</f>
        <v>73933</v>
      </c>
      <c r="H86" s="147"/>
      <c r="I86" s="147"/>
      <c r="J86" s="151">
        <f>G86/E85</f>
        <v>0.0018951809321927778</v>
      </c>
      <c r="K86" s="147"/>
    </row>
    <row r="87" spans="1:11" ht="12.75">
      <c r="A87" s="146" t="s">
        <v>27</v>
      </c>
      <c r="E87" s="147">
        <f>States_Territories!D33</f>
        <v>31598299</v>
      </c>
      <c r="F87" s="157"/>
      <c r="G87" s="140"/>
      <c r="H87" s="147">
        <f>SUM(G88:G93)</f>
        <v>5523573</v>
      </c>
      <c r="I87" s="147">
        <f>E87-H87</f>
        <v>26074726</v>
      </c>
      <c r="K87" s="147"/>
    </row>
    <row r="88" spans="1:11" ht="12.75">
      <c r="A88" s="139" t="s">
        <v>204</v>
      </c>
      <c r="C88" s="134">
        <v>928</v>
      </c>
      <c r="D88" s="148" t="s">
        <v>140</v>
      </c>
      <c r="E88" s="147"/>
      <c r="F88" s="157">
        <v>0.038999</v>
      </c>
      <c r="G88" s="150">
        <f aca="true" t="shared" si="11" ref="G88:G93">ROUND($E$87*F88,0)</f>
        <v>1232302</v>
      </c>
      <c r="H88" s="147"/>
      <c r="I88" s="157"/>
      <c r="J88" s="151">
        <f aca="true" t="shared" si="12" ref="J88:J93">G88/$E$87</f>
        <v>0.03899899801568432</v>
      </c>
      <c r="K88" s="147"/>
    </row>
    <row r="89" spans="1:11" ht="12.75">
      <c r="A89" s="139" t="s">
        <v>205</v>
      </c>
      <c r="C89" s="134">
        <v>1135</v>
      </c>
      <c r="D89" s="148" t="s">
        <v>140</v>
      </c>
      <c r="E89" s="147"/>
      <c r="F89" s="157">
        <v>0.044521</v>
      </c>
      <c r="G89" s="150">
        <f t="shared" si="11"/>
        <v>1406788</v>
      </c>
      <c r="H89" s="147"/>
      <c r="J89" s="151">
        <f t="shared" si="12"/>
        <v>0.04452100412113956</v>
      </c>
      <c r="K89" s="147"/>
    </row>
    <row r="90" spans="1:11" ht="12.75">
      <c r="A90" s="139" t="s">
        <v>206</v>
      </c>
      <c r="C90" s="134">
        <v>246</v>
      </c>
      <c r="D90" s="148" t="s">
        <v>140</v>
      </c>
      <c r="E90" s="147"/>
      <c r="F90" s="157">
        <v>0.01139</v>
      </c>
      <c r="G90" s="150">
        <f t="shared" si="11"/>
        <v>359905</v>
      </c>
      <c r="H90" s="147"/>
      <c r="J90" s="151">
        <f t="shared" si="12"/>
        <v>0.0113900118484226</v>
      </c>
      <c r="K90" s="147"/>
    </row>
    <row r="91" spans="1:11" ht="12.75">
      <c r="A91" s="139" t="s">
        <v>207</v>
      </c>
      <c r="C91" s="134">
        <v>871</v>
      </c>
      <c r="D91" s="148" t="s">
        <v>140</v>
      </c>
      <c r="E91" s="147"/>
      <c r="F91" s="157">
        <v>0.043658</v>
      </c>
      <c r="G91" s="150">
        <f t="shared" si="11"/>
        <v>1379519</v>
      </c>
      <c r="H91" s="147"/>
      <c r="J91" s="151">
        <f t="shared" si="12"/>
        <v>0.0436580146292052</v>
      </c>
      <c r="K91" s="147"/>
    </row>
    <row r="92" spans="1:11" ht="12.75">
      <c r="A92" s="139" t="s">
        <v>208</v>
      </c>
      <c r="C92" s="134">
        <v>381</v>
      </c>
      <c r="D92" s="148" t="s">
        <v>140</v>
      </c>
      <c r="E92" s="147"/>
      <c r="F92" s="157">
        <v>0.015703</v>
      </c>
      <c r="G92" s="150">
        <f t="shared" si="11"/>
        <v>496188</v>
      </c>
      <c r="H92" s="147"/>
      <c r="J92" s="151">
        <f t="shared" si="12"/>
        <v>0.015702997177158177</v>
      </c>
      <c r="K92" s="147"/>
    </row>
    <row r="93" spans="1:11" ht="12.75">
      <c r="A93" s="139" t="s">
        <v>209</v>
      </c>
      <c r="C93" s="134">
        <v>536</v>
      </c>
      <c r="D93" s="148" t="s">
        <v>140</v>
      </c>
      <c r="E93" s="147"/>
      <c r="F93" s="157">
        <v>0.020535</v>
      </c>
      <c r="G93" s="150">
        <f t="shared" si="11"/>
        <v>648871</v>
      </c>
      <c r="H93" s="147"/>
      <c r="J93" s="151">
        <f t="shared" si="12"/>
        <v>0.020534997785798533</v>
      </c>
      <c r="K93" s="147"/>
    </row>
    <row r="94" spans="1:11" ht="12.75">
      <c r="A94" s="146" t="s">
        <v>28</v>
      </c>
      <c r="D94" s="148"/>
      <c r="E94" s="147">
        <f>States_Territories!D34</f>
        <v>39572670</v>
      </c>
      <c r="F94" s="157"/>
      <c r="G94" s="150"/>
      <c r="H94" s="159">
        <f>G95</f>
        <v>15000</v>
      </c>
      <c r="I94" s="147">
        <f>E94-H94</f>
        <v>39557670</v>
      </c>
      <c r="K94" s="147"/>
    </row>
    <row r="95" spans="1:11" ht="12.75">
      <c r="A95" s="139" t="s">
        <v>210</v>
      </c>
      <c r="B95" s="134">
        <v>136572</v>
      </c>
      <c r="C95" s="134">
        <v>50</v>
      </c>
      <c r="D95" s="148" t="s">
        <v>188</v>
      </c>
      <c r="E95" s="147"/>
      <c r="F95" s="153">
        <f>$C95/$B95</f>
        <v>0.00036610725478136073</v>
      </c>
      <c r="G95" s="150">
        <v>15000</v>
      </c>
      <c r="H95" s="147"/>
      <c r="J95" s="151">
        <f>G95/E94</f>
        <v>0.0003790494803610674</v>
      </c>
      <c r="K95" s="147"/>
    </row>
    <row r="96" spans="1:11" ht="12.75">
      <c r="A96" s="146" t="s">
        <v>32</v>
      </c>
      <c r="E96" s="147">
        <f>States_Territories!D38</f>
        <v>24901274</v>
      </c>
      <c r="F96" s="157"/>
      <c r="G96" s="140"/>
      <c r="H96" s="147">
        <f>SUM(G97:G103)</f>
        <v>1982430</v>
      </c>
      <c r="I96" s="147">
        <f>E96-H96</f>
        <v>22918844</v>
      </c>
      <c r="K96" s="147"/>
    </row>
    <row r="97" spans="1:11" ht="12.75">
      <c r="A97" s="139" t="s">
        <v>211</v>
      </c>
      <c r="B97" s="152">
        <v>154990</v>
      </c>
      <c r="C97" s="152">
        <v>262</v>
      </c>
      <c r="D97" s="148" t="s">
        <v>203</v>
      </c>
      <c r="E97" s="147"/>
      <c r="F97" s="153">
        <f aca="true" t="shared" si="13" ref="F97:F103">$C97/$B97</f>
        <v>0.001690431640751016</v>
      </c>
      <c r="G97" s="150">
        <f aca="true" t="shared" si="14" ref="G97:G103">ROUND($E$96*F97,0)</f>
        <v>42094</v>
      </c>
      <c r="H97" s="147"/>
      <c r="I97" s="147"/>
      <c r="J97" s="151">
        <f aca="true" t="shared" si="15" ref="J97:J103">G97/$E$96</f>
        <v>0.001690435597793109</v>
      </c>
      <c r="K97" s="147"/>
    </row>
    <row r="98" spans="1:11" ht="12.75">
      <c r="A98" s="139" t="s">
        <v>212</v>
      </c>
      <c r="B98" s="152">
        <v>154990</v>
      </c>
      <c r="C98" s="152">
        <v>261</v>
      </c>
      <c r="D98" s="148" t="s">
        <v>203</v>
      </c>
      <c r="E98" s="147"/>
      <c r="F98" s="153">
        <f t="shared" si="13"/>
        <v>0.0016839796115878443</v>
      </c>
      <c r="G98" s="150">
        <f t="shared" si="14"/>
        <v>41933</v>
      </c>
      <c r="H98" s="147"/>
      <c r="I98" s="147"/>
      <c r="J98" s="151">
        <f t="shared" si="15"/>
        <v>0.0016839700651460645</v>
      </c>
      <c r="K98" s="147"/>
    </row>
    <row r="99" spans="1:11" ht="12.75">
      <c r="A99" s="139" t="s">
        <v>213</v>
      </c>
      <c r="B99" s="152">
        <v>154990</v>
      </c>
      <c r="C99" s="152">
        <v>9939</v>
      </c>
      <c r="D99" s="148" t="s">
        <v>203</v>
      </c>
      <c r="E99" s="147"/>
      <c r="F99" s="153">
        <f t="shared" si="13"/>
        <v>0.06412671785276469</v>
      </c>
      <c r="G99" s="150">
        <f t="shared" si="14"/>
        <v>1596837</v>
      </c>
      <c r="H99" s="147"/>
      <c r="I99" s="147"/>
      <c r="J99" s="151">
        <f t="shared" si="15"/>
        <v>0.06412671897831412</v>
      </c>
      <c r="K99" s="147"/>
    </row>
    <row r="100" spans="1:11" ht="12.75">
      <c r="A100" s="139" t="s">
        <v>214</v>
      </c>
      <c r="B100" s="152">
        <v>154990</v>
      </c>
      <c r="C100" s="152">
        <v>200</v>
      </c>
      <c r="D100" s="148" t="s">
        <v>203</v>
      </c>
      <c r="E100" s="147"/>
      <c r="F100" s="153">
        <f t="shared" si="13"/>
        <v>0.0012904058326343635</v>
      </c>
      <c r="G100" s="150">
        <f t="shared" si="14"/>
        <v>32133</v>
      </c>
      <c r="H100" s="147"/>
      <c r="I100" s="147"/>
      <c r="J100" s="151">
        <f t="shared" si="15"/>
        <v>0.0012904159040216176</v>
      </c>
      <c r="K100" s="147"/>
    </row>
    <row r="101" spans="1:11" ht="12.75">
      <c r="A101" s="139" t="s">
        <v>215</v>
      </c>
      <c r="B101" s="152">
        <v>154990</v>
      </c>
      <c r="C101" s="152">
        <v>520</v>
      </c>
      <c r="D101" s="148" t="s">
        <v>203</v>
      </c>
      <c r="E101" s="147"/>
      <c r="F101" s="153">
        <f t="shared" si="13"/>
        <v>0.003355055164849345</v>
      </c>
      <c r="G101" s="150">
        <f t="shared" si="14"/>
        <v>83545</v>
      </c>
      <c r="H101" s="147"/>
      <c r="I101" s="147"/>
      <c r="J101" s="151">
        <f t="shared" si="15"/>
        <v>0.00335504922358591</v>
      </c>
      <c r="K101" s="147"/>
    </row>
    <row r="102" spans="1:11" ht="12.75">
      <c r="A102" s="139" t="s">
        <v>216</v>
      </c>
      <c r="B102" s="152">
        <v>154990</v>
      </c>
      <c r="C102" s="152">
        <v>205</v>
      </c>
      <c r="D102" s="148" t="s">
        <v>203</v>
      </c>
      <c r="E102" s="147"/>
      <c r="F102" s="153">
        <f t="shared" si="13"/>
        <v>0.0013226659784502225</v>
      </c>
      <c r="G102" s="150">
        <f t="shared" si="14"/>
        <v>32936</v>
      </c>
      <c r="H102" s="147"/>
      <c r="I102" s="147"/>
      <c r="J102" s="151">
        <f t="shared" si="15"/>
        <v>0.0013226632500811003</v>
      </c>
      <c r="K102" s="147"/>
    </row>
    <row r="103" spans="1:11" ht="12.75">
      <c r="A103" s="139" t="s">
        <v>217</v>
      </c>
      <c r="B103" s="152">
        <v>154990</v>
      </c>
      <c r="C103" s="152">
        <v>952</v>
      </c>
      <c r="D103" s="148" t="s">
        <v>203</v>
      </c>
      <c r="E103" s="147"/>
      <c r="F103" s="153">
        <f t="shared" si="13"/>
        <v>0.00614233176333957</v>
      </c>
      <c r="G103" s="150">
        <f t="shared" si="14"/>
        <v>152952</v>
      </c>
      <c r="H103" s="147"/>
      <c r="I103" s="147"/>
      <c r="J103" s="151">
        <f t="shared" si="15"/>
        <v>0.006142336331868</v>
      </c>
      <c r="K103" s="147"/>
    </row>
    <row r="104" spans="1:11" ht="12.75">
      <c r="A104" s="146" t="s">
        <v>33</v>
      </c>
      <c r="E104" s="147">
        <f>States_Territories!D39</f>
        <v>475934678</v>
      </c>
      <c r="G104" s="140"/>
      <c r="H104" s="147">
        <f>SUM(G105:G106)</f>
        <v>525526</v>
      </c>
      <c r="I104" s="147">
        <f>E104-H104</f>
        <v>475409152</v>
      </c>
      <c r="K104" s="147"/>
    </row>
    <row r="105" spans="1:11" ht="12.75">
      <c r="A105" s="160" t="s">
        <v>218</v>
      </c>
      <c r="B105" s="152">
        <v>1622237</v>
      </c>
      <c r="C105" s="161">
        <v>547</v>
      </c>
      <c r="D105" s="162" t="s">
        <v>138</v>
      </c>
      <c r="E105" s="147"/>
      <c r="F105" s="153">
        <f>C105/B105</f>
        <v>0.000337188709171348</v>
      </c>
      <c r="G105" s="150">
        <f>ROUND($E$104*F105,0)+117846</f>
        <v>278326</v>
      </c>
      <c r="H105" s="147"/>
      <c r="I105" s="147"/>
      <c r="J105" s="151">
        <f>G105/$E$104</f>
        <v>0.0005847987399648991</v>
      </c>
      <c r="K105" s="147"/>
    </row>
    <row r="106" spans="1:11" ht="12.75">
      <c r="A106" s="160" t="s">
        <v>219</v>
      </c>
      <c r="B106" s="152">
        <v>1622237</v>
      </c>
      <c r="C106" s="161">
        <v>317</v>
      </c>
      <c r="D106" s="162" t="s">
        <v>138</v>
      </c>
      <c r="E106" s="147"/>
      <c r="F106" s="153">
        <f>C106/B106</f>
        <v>0.0001954091788067958</v>
      </c>
      <c r="G106" s="150">
        <f>ROUND($E$104*F106,0)+154198</f>
        <v>247200</v>
      </c>
      <c r="H106" s="147"/>
      <c r="I106" s="147"/>
      <c r="J106" s="151">
        <f>G106/$E$104</f>
        <v>0.0005193990087858233</v>
      </c>
      <c r="K106" s="147"/>
    </row>
    <row r="107" spans="1:11" ht="12.75">
      <c r="A107" s="146" t="s">
        <v>34</v>
      </c>
      <c r="E107" s="147">
        <f>States_Territories!D40</f>
        <v>123242605</v>
      </c>
      <c r="G107" s="140"/>
      <c r="H107" s="147">
        <f>G108</f>
        <v>2191785</v>
      </c>
      <c r="I107" s="147">
        <f>E107-H107</f>
        <v>121050820</v>
      </c>
      <c r="K107" s="147"/>
    </row>
    <row r="108" spans="1:11" ht="12.75">
      <c r="A108" s="139" t="s">
        <v>220</v>
      </c>
      <c r="B108" s="152">
        <v>618221</v>
      </c>
      <c r="C108" s="152">
        <v>6441</v>
      </c>
      <c r="D108" s="148" t="s">
        <v>140</v>
      </c>
      <c r="E108" s="147"/>
      <c r="F108" s="153">
        <v>0.01778431</v>
      </c>
      <c r="G108" s="150">
        <f>ROUND($E$107*F108,0)</f>
        <v>2191785</v>
      </c>
      <c r="H108" s="147"/>
      <c r="I108" s="147"/>
      <c r="J108" s="151">
        <f>G108/E107</f>
        <v>0.017784312494855167</v>
      </c>
      <c r="K108" s="147"/>
    </row>
    <row r="109" spans="1:11" ht="12.75">
      <c r="A109" s="146" t="s">
        <v>35</v>
      </c>
      <c r="D109" s="139" t="s">
        <v>68</v>
      </c>
      <c r="E109" s="147">
        <f>States_Territories!D41</f>
        <v>34325312</v>
      </c>
      <c r="F109" s="157"/>
      <c r="G109" s="140"/>
      <c r="H109" s="147">
        <f>SUM(G110:G113)</f>
        <v>7026391</v>
      </c>
      <c r="I109" s="147">
        <f>E109-H109</f>
        <v>27298921</v>
      </c>
      <c r="K109" s="147"/>
    </row>
    <row r="110" spans="1:11" ht="12.75">
      <c r="A110" s="139" t="s">
        <v>221</v>
      </c>
      <c r="D110" s="148" t="s">
        <v>140</v>
      </c>
      <c r="E110" s="147"/>
      <c r="F110" s="153">
        <v>0.0446</v>
      </c>
      <c r="G110" s="150">
        <f>ROUND($E$109*F110,0)</f>
        <v>1530909</v>
      </c>
      <c r="H110" s="147"/>
      <c r="I110" s="147"/>
      <c r="J110" s="151">
        <f>G110/$E$109</f>
        <v>0.04460000247048009</v>
      </c>
      <c r="K110" s="147"/>
    </row>
    <row r="111" spans="1:11" ht="12.75">
      <c r="A111" s="139" t="s">
        <v>222</v>
      </c>
      <c r="D111" s="148" t="s">
        <v>140</v>
      </c>
      <c r="E111" s="147"/>
      <c r="F111" s="153">
        <v>0.0394</v>
      </c>
      <c r="G111" s="150">
        <f>ROUND($E$109*F111,0)</f>
        <v>1352417</v>
      </c>
      <c r="H111" s="147"/>
      <c r="I111" s="147"/>
      <c r="J111" s="151">
        <f>G111/$E$109</f>
        <v>0.03939999146985175</v>
      </c>
      <c r="K111" s="147"/>
    </row>
    <row r="112" spans="1:11" ht="12.75">
      <c r="A112" s="139" t="s">
        <v>223</v>
      </c>
      <c r="D112" s="148" t="s">
        <v>140</v>
      </c>
      <c r="E112" s="147"/>
      <c r="F112" s="153">
        <v>0.0367</v>
      </c>
      <c r="G112" s="150">
        <f>ROUND($E$109*F112,0)</f>
        <v>1259739</v>
      </c>
      <c r="H112" s="147"/>
      <c r="I112" s="147"/>
      <c r="J112" s="151">
        <f>G112/$E$109</f>
        <v>0.03670000144499779</v>
      </c>
      <c r="K112" s="147"/>
    </row>
    <row r="113" spans="1:11" ht="12.75">
      <c r="A113" s="139" t="s">
        <v>224</v>
      </c>
      <c r="D113" s="148" t="s">
        <v>140</v>
      </c>
      <c r="E113" s="147"/>
      <c r="F113" s="153">
        <v>0.084</v>
      </c>
      <c r="G113" s="150">
        <f>ROUND($E$109*F113,0)</f>
        <v>2883326</v>
      </c>
      <c r="H113" s="147"/>
      <c r="I113" s="147"/>
      <c r="J113" s="151">
        <f>G113/$E$109</f>
        <v>0.08399999394033185</v>
      </c>
      <c r="K113" s="147"/>
    </row>
    <row r="114" spans="1:11" ht="12.75">
      <c r="A114" s="146" t="s">
        <v>37</v>
      </c>
      <c r="E114" s="147">
        <f>States_Territories!D43</f>
        <v>49007158</v>
      </c>
      <c r="F114" s="157"/>
      <c r="G114" s="140"/>
      <c r="H114" s="147">
        <f>SUM(G115:G146)</f>
        <v>4435596</v>
      </c>
      <c r="I114" s="147">
        <f>E114-H114</f>
        <v>44571562</v>
      </c>
      <c r="K114" s="147"/>
    </row>
    <row r="115" spans="1:11" ht="12.75">
      <c r="A115" s="139" t="s">
        <v>225</v>
      </c>
      <c r="B115" s="152">
        <v>334782</v>
      </c>
      <c r="C115" s="152">
        <v>195</v>
      </c>
      <c r="D115" s="156" t="s">
        <v>138</v>
      </c>
      <c r="E115" s="147"/>
      <c r="F115" s="153">
        <f aca="true" t="shared" si="16" ref="F115:F120">C115/B115</f>
        <v>0.0005824685915013352</v>
      </c>
      <c r="G115" s="150">
        <f aca="true" t="shared" si="17" ref="G115:G146">ROUND(MAXA($E$114*F115,4000),0)</f>
        <v>28545</v>
      </c>
      <c r="H115" s="147"/>
      <c r="I115" s="147"/>
      <c r="J115" s="151">
        <f aca="true" t="shared" si="18" ref="J115:J146">G115/$E$114</f>
        <v>0.0005824659328337301</v>
      </c>
      <c r="K115" s="147"/>
    </row>
    <row r="116" spans="1:11" ht="12.75">
      <c r="A116" s="139" t="s">
        <v>226</v>
      </c>
      <c r="B116" s="152">
        <v>334782</v>
      </c>
      <c r="C116" s="152">
        <v>125</v>
      </c>
      <c r="D116" s="156" t="s">
        <v>138</v>
      </c>
      <c r="E116" s="147"/>
      <c r="F116" s="153">
        <f t="shared" si="16"/>
        <v>0.00037337730224444566</v>
      </c>
      <c r="G116" s="150">
        <f t="shared" si="17"/>
        <v>18298</v>
      </c>
      <c r="H116" s="147"/>
      <c r="I116" s="147"/>
      <c r="J116" s="151">
        <f t="shared" si="18"/>
        <v>0.00037337402834092113</v>
      </c>
      <c r="K116" s="147"/>
    </row>
    <row r="117" spans="1:11" ht="12.75">
      <c r="A117" s="139" t="s">
        <v>227</v>
      </c>
      <c r="B117" s="152">
        <v>334782</v>
      </c>
      <c r="C117" s="152">
        <v>168</v>
      </c>
      <c r="D117" s="156" t="s">
        <v>138</v>
      </c>
      <c r="E117" s="147"/>
      <c r="F117" s="153">
        <f t="shared" si="16"/>
        <v>0.000501819094216535</v>
      </c>
      <c r="G117" s="150">
        <f t="shared" si="17"/>
        <v>24593</v>
      </c>
      <c r="H117" s="147"/>
      <c r="I117" s="147"/>
      <c r="J117" s="151">
        <f t="shared" si="18"/>
        <v>0.0005018246518192302</v>
      </c>
      <c r="K117" s="147"/>
    </row>
    <row r="118" spans="1:11" ht="12.75">
      <c r="A118" s="139" t="s">
        <v>228</v>
      </c>
      <c r="B118" s="152">
        <v>334782</v>
      </c>
      <c r="C118" s="152">
        <v>196</v>
      </c>
      <c r="D118" s="156" t="s">
        <v>138</v>
      </c>
      <c r="E118" s="147"/>
      <c r="F118" s="153">
        <f t="shared" si="16"/>
        <v>0.0005854556099192908</v>
      </c>
      <c r="G118" s="150">
        <f t="shared" si="17"/>
        <v>28692</v>
      </c>
      <c r="H118" s="147"/>
      <c r="I118" s="147"/>
      <c r="J118" s="151">
        <f t="shared" si="18"/>
        <v>0.0005854654946528423</v>
      </c>
      <c r="K118" s="147"/>
    </row>
    <row r="119" spans="1:11" ht="12.75">
      <c r="A119" s="139" t="s">
        <v>229</v>
      </c>
      <c r="B119" s="152">
        <v>334782</v>
      </c>
      <c r="C119" s="152">
        <v>12117</v>
      </c>
      <c r="D119" s="156" t="s">
        <v>138</v>
      </c>
      <c r="E119" s="147"/>
      <c r="F119" s="153">
        <f t="shared" si="16"/>
        <v>0.03619370217036758</v>
      </c>
      <c r="G119" s="150">
        <f t="shared" si="17"/>
        <v>1773750</v>
      </c>
      <c r="H119" s="147"/>
      <c r="I119" s="163"/>
      <c r="J119" s="151">
        <f t="shared" si="18"/>
        <v>0.03619369235816531</v>
      </c>
      <c r="K119" s="147"/>
    </row>
    <row r="120" spans="1:11" ht="12.75">
      <c r="A120" s="139" t="s">
        <v>230</v>
      </c>
      <c r="B120" s="152">
        <v>334782</v>
      </c>
      <c r="C120" s="152">
        <v>635</v>
      </c>
      <c r="D120" s="156" t="s">
        <v>138</v>
      </c>
      <c r="E120" s="147"/>
      <c r="F120" s="153">
        <f t="shared" si="16"/>
        <v>0.0018967566954017838</v>
      </c>
      <c r="G120" s="150">
        <f t="shared" si="17"/>
        <v>92955</v>
      </c>
      <c r="H120" s="147"/>
      <c r="I120" s="147"/>
      <c r="J120" s="151">
        <f t="shared" si="18"/>
        <v>0.0018967637339835132</v>
      </c>
      <c r="K120" s="147"/>
    </row>
    <row r="121" spans="1:11" ht="12.75">
      <c r="A121" s="139" t="s">
        <v>231</v>
      </c>
      <c r="B121" s="152">
        <v>334782</v>
      </c>
      <c r="C121" s="152">
        <v>1377</v>
      </c>
      <c r="D121" s="148" t="s">
        <v>140</v>
      </c>
      <c r="E121" s="147"/>
      <c r="F121" s="153">
        <v>0.00487272</v>
      </c>
      <c r="G121" s="150">
        <f t="shared" si="17"/>
        <v>238798</v>
      </c>
      <c r="H121" s="147"/>
      <c r="I121" s="147"/>
      <c r="J121" s="151">
        <f t="shared" si="18"/>
        <v>0.004872716757009251</v>
      </c>
      <c r="K121" s="147"/>
    </row>
    <row r="122" spans="1:11" ht="12.75">
      <c r="A122" s="139" t="s">
        <v>232</v>
      </c>
      <c r="B122" s="152">
        <v>334782</v>
      </c>
      <c r="C122" s="152">
        <v>4412</v>
      </c>
      <c r="D122" s="148" t="s">
        <v>140</v>
      </c>
      <c r="E122" s="147"/>
      <c r="F122" s="153">
        <v>0.01368002</v>
      </c>
      <c r="G122" s="150">
        <f t="shared" si="17"/>
        <v>670419</v>
      </c>
      <c r="H122" s="147"/>
      <c r="I122" s="163"/>
      <c r="J122" s="151">
        <f t="shared" si="18"/>
        <v>0.013680022008213576</v>
      </c>
      <c r="K122" s="147"/>
    </row>
    <row r="123" spans="1:11" ht="12.75">
      <c r="A123" s="139" t="s">
        <v>233</v>
      </c>
      <c r="B123" s="152">
        <v>334782</v>
      </c>
      <c r="C123" s="152">
        <v>256</v>
      </c>
      <c r="D123" s="156" t="s">
        <v>138</v>
      </c>
      <c r="E123" s="147"/>
      <c r="F123" s="153">
        <f>C123/B123</f>
        <v>0.0007646767149966247</v>
      </c>
      <c r="G123" s="150">
        <f t="shared" si="17"/>
        <v>37475</v>
      </c>
      <c r="H123" s="147"/>
      <c r="I123" s="147"/>
      <c r="J123" s="151">
        <f t="shared" si="18"/>
        <v>0.0007646842120491868</v>
      </c>
      <c r="K123" s="147"/>
    </row>
    <row r="124" spans="1:11" ht="12.75">
      <c r="A124" s="139" t="s">
        <v>234</v>
      </c>
      <c r="B124" s="152">
        <v>334782</v>
      </c>
      <c r="C124" s="152">
        <v>696</v>
      </c>
      <c r="D124" s="148" t="s">
        <v>140</v>
      </c>
      <c r="E124" s="147"/>
      <c r="F124" s="153">
        <v>0.00218432</v>
      </c>
      <c r="G124" s="150">
        <f t="shared" si="17"/>
        <v>107047</v>
      </c>
      <c r="H124" s="147"/>
      <c r="I124" s="147"/>
      <c r="J124" s="151">
        <f t="shared" si="18"/>
        <v>0.0021843135649694274</v>
      </c>
      <c r="K124" s="147"/>
    </row>
    <row r="125" spans="1:11" ht="12.75">
      <c r="A125" s="139" t="s">
        <v>235</v>
      </c>
      <c r="B125" s="152">
        <v>334782</v>
      </c>
      <c r="C125" s="152">
        <v>27</v>
      </c>
      <c r="D125" s="156" t="s">
        <v>138</v>
      </c>
      <c r="E125" s="147"/>
      <c r="F125" s="153">
        <f aca="true" t="shared" si="19" ref="F125:F132">C125/B125</f>
        <v>8.064949728480026E-05</v>
      </c>
      <c r="G125" s="150">
        <f t="shared" si="17"/>
        <v>4000</v>
      </c>
      <c r="H125" s="147"/>
      <c r="I125" s="147"/>
      <c r="J125" s="151">
        <f t="shared" si="18"/>
        <v>8.16207297717611E-05</v>
      </c>
      <c r="K125" s="147"/>
    </row>
    <row r="126" spans="1:11" ht="12.75">
      <c r="A126" s="139" t="s">
        <v>236</v>
      </c>
      <c r="B126" s="152">
        <v>334782</v>
      </c>
      <c r="C126" s="152">
        <v>8</v>
      </c>
      <c r="D126" s="156" t="s">
        <v>138</v>
      </c>
      <c r="E126" s="147"/>
      <c r="F126" s="153">
        <f t="shared" si="19"/>
        <v>2.389614734364452E-05</v>
      </c>
      <c r="G126" s="150">
        <f t="shared" si="17"/>
        <v>4000</v>
      </c>
      <c r="H126" s="147"/>
      <c r="I126" s="147"/>
      <c r="J126" s="151">
        <f t="shared" si="18"/>
        <v>8.16207297717611E-05</v>
      </c>
      <c r="K126" s="147"/>
    </row>
    <row r="127" spans="1:11" ht="12.75">
      <c r="A127" s="139" t="s">
        <v>237</v>
      </c>
      <c r="B127" s="152">
        <v>334782</v>
      </c>
      <c r="C127" s="152"/>
      <c r="D127" s="156" t="s">
        <v>138</v>
      </c>
      <c r="E127" s="147"/>
      <c r="F127" s="153">
        <f t="shared" si="19"/>
        <v>0</v>
      </c>
      <c r="G127" s="150">
        <f t="shared" si="17"/>
        <v>4000</v>
      </c>
      <c r="H127" s="147"/>
      <c r="I127" s="147"/>
      <c r="J127" s="151">
        <f t="shared" si="18"/>
        <v>8.16207297717611E-05</v>
      </c>
      <c r="K127" s="147"/>
    </row>
    <row r="128" spans="1:11" ht="12.75">
      <c r="A128" s="139" t="s">
        <v>238</v>
      </c>
      <c r="B128" s="152">
        <v>334782</v>
      </c>
      <c r="C128" s="152">
        <v>170</v>
      </c>
      <c r="D128" s="156" t="s">
        <v>138</v>
      </c>
      <c r="F128" s="153">
        <f t="shared" si="19"/>
        <v>0.0005077931310524461</v>
      </c>
      <c r="G128" s="150">
        <f t="shared" si="17"/>
        <v>24885</v>
      </c>
      <c r="H128" s="147"/>
      <c r="J128" s="151">
        <f t="shared" si="18"/>
        <v>0.0005077829650925687</v>
      </c>
      <c r="K128" s="147"/>
    </row>
    <row r="129" spans="1:11" ht="12.75">
      <c r="A129" s="164" t="s">
        <v>239</v>
      </c>
      <c r="B129" s="152">
        <v>334782</v>
      </c>
      <c r="C129" s="152">
        <v>612</v>
      </c>
      <c r="D129" s="156" t="s">
        <v>138</v>
      </c>
      <c r="F129" s="153">
        <f t="shared" si="19"/>
        <v>0.0018280552717888057</v>
      </c>
      <c r="G129" s="150">
        <f t="shared" si="17"/>
        <v>89588</v>
      </c>
      <c r="H129" s="147"/>
      <c r="J129" s="151">
        <f t="shared" si="18"/>
        <v>0.0018280594846981333</v>
      </c>
      <c r="K129" s="147"/>
    </row>
    <row r="130" spans="1:11" ht="12.75">
      <c r="A130" s="139" t="s">
        <v>240</v>
      </c>
      <c r="B130" s="152">
        <v>334782</v>
      </c>
      <c r="C130" s="152">
        <v>100</v>
      </c>
      <c r="D130" s="156" t="s">
        <v>138</v>
      </c>
      <c r="E130" s="147"/>
      <c r="F130" s="153">
        <f t="shared" si="19"/>
        <v>0.0002987018417955565</v>
      </c>
      <c r="G130" s="150">
        <f t="shared" si="17"/>
        <v>14639</v>
      </c>
      <c r="H130" s="147"/>
      <c r="I130" s="147"/>
      <c r="J130" s="151">
        <f t="shared" si="18"/>
        <v>0.0002987114657822027</v>
      </c>
      <c r="K130" s="147"/>
    </row>
    <row r="131" spans="1:11" ht="12.75">
      <c r="A131" s="139" t="s">
        <v>241</v>
      </c>
      <c r="B131" s="152">
        <v>334782</v>
      </c>
      <c r="C131" s="152">
        <v>6</v>
      </c>
      <c r="D131" s="156" t="s">
        <v>138</v>
      </c>
      <c r="F131" s="153">
        <f t="shared" si="19"/>
        <v>1.792211050773339E-05</v>
      </c>
      <c r="G131" s="150">
        <f t="shared" si="17"/>
        <v>4000</v>
      </c>
      <c r="H131" s="147"/>
      <c r="J131" s="151">
        <f t="shared" si="18"/>
        <v>8.16207297717611E-05</v>
      </c>
      <c r="K131" s="147"/>
    </row>
    <row r="132" spans="1:11" ht="12.75">
      <c r="A132" s="139" t="s">
        <v>242</v>
      </c>
      <c r="B132" s="152">
        <v>334782</v>
      </c>
      <c r="C132" s="152">
        <v>3057</v>
      </c>
      <c r="D132" s="156" t="s">
        <v>138</v>
      </c>
      <c r="E132" s="147"/>
      <c r="F132" s="153">
        <f t="shared" si="19"/>
        <v>0.009131315303690163</v>
      </c>
      <c r="G132" s="150">
        <f t="shared" si="17"/>
        <v>447500</v>
      </c>
      <c r="H132" s="147"/>
      <c r="I132" s="147"/>
      <c r="J132" s="151">
        <f t="shared" si="18"/>
        <v>0.009131319143215773</v>
      </c>
      <c r="K132" s="147"/>
    </row>
    <row r="133" spans="1:11" ht="12.75">
      <c r="A133" s="139" t="s">
        <v>243</v>
      </c>
      <c r="B133" s="152">
        <v>334782</v>
      </c>
      <c r="C133" s="152">
        <v>678</v>
      </c>
      <c r="D133" s="148" t="s">
        <v>140</v>
      </c>
      <c r="E133" s="147"/>
      <c r="F133" s="153">
        <v>0.00345851</v>
      </c>
      <c r="G133" s="150">
        <f t="shared" si="17"/>
        <v>169492</v>
      </c>
      <c r="H133" s="147"/>
      <c r="I133" s="147"/>
      <c r="J133" s="151">
        <f t="shared" si="18"/>
        <v>0.003458515182618833</v>
      </c>
      <c r="K133" s="147"/>
    </row>
    <row r="134" spans="1:11" ht="12.75">
      <c r="A134" s="139" t="s">
        <v>244</v>
      </c>
      <c r="B134" s="152">
        <v>334782</v>
      </c>
      <c r="C134" s="152">
        <v>92</v>
      </c>
      <c r="D134" s="156" t="s">
        <v>138</v>
      </c>
      <c r="E134" s="147"/>
      <c r="F134" s="153">
        <f>C134/B134</f>
        <v>0.000274805694451912</v>
      </c>
      <c r="G134" s="150">
        <f t="shared" si="17"/>
        <v>13467</v>
      </c>
      <c r="H134" s="147"/>
      <c r="I134" s="147"/>
      <c r="J134" s="151">
        <f t="shared" si="18"/>
        <v>0.00027479659195907665</v>
      </c>
      <c r="K134" s="147"/>
    </row>
    <row r="135" spans="1:11" ht="12.75">
      <c r="A135" s="139" t="s">
        <v>245</v>
      </c>
      <c r="B135" s="152">
        <v>334782</v>
      </c>
      <c r="C135" s="152">
        <v>23</v>
      </c>
      <c r="D135" s="156" t="s">
        <v>138</v>
      </c>
      <c r="E135" s="147"/>
      <c r="F135" s="153">
        <f>C135/B135</f>
        <v>6.8701423612978E-05</v>
      </c>
      <c r="G135" s="150">
        <f t="shared" si="17"/>
        <v>4000</v>
      </c>
      <c r="H135" s="147"/>
      <c r="I135" s="147"/>
      <c r="J135" s="151">
        <f t="shared" si="18"/>
        <v>8.16207297717611E-05</v>
      </c>
      <c r="K135" s="147"/>
    </row>
    <row r="136" spans="1:11" ht="12.75">
      <c r="A136" s="139" t="s">
        <v>246</v>
      </c>
      <c r="B136" s="152">
        <v>334782</v>
      </c>
      <c r="C136" s="152">
        <v>104</v>
      </c>
      <c r="D136" s="156" t="s">
        <v>138</v>
      </c>
      <c r="E136" s="147"/>
      <c r="F136" s="153">
        <f>C136/B136</f>
        <v>0.0003106499154673788</v>
      </c>
      <c r="G136" s="150">
        <f t="shared" si="17"/>
        <v>15224</v>
      </c>
      <c r="H136" s="147"/>
      <c r="I136" s="147"/>
      <c r="J136" s="151">
        <f t="shared" si="18"/>
        <v>0.00031064849751132273</v>
      </c>
      <c r="K136" s="147"/>
    </row>
    <row r="137" spans="1:11" ht="12.75">
      <c r="A137" s="139" t="s">
        <v>247</v>
      </c>
      <c r="B137" s="152">
        <v>334782</v>
      </c>
      <c r="C137" s="152">
        <v>225</v>
      </c>
      <c r="D137" s="156" t="s">
        <v>138</v>
      </c>
      <c r="F137" s="153">
        <f>C137/B137</f>
        <v>0.0006720791440400022</v>
      </c>
      <c r="G137" s="150">
        <f t="shared" si="17"/>
        <v>32937</v>
      </c>
      <c r="H137" s="147"/>
      <c r="J137" s="151">
        <f t="shared" si="18"/>
        <v>0.0006720854941231238</v>
      </c>
      <c r="K137" s="147"/>
    </row>
    <row r="138" spans="1:11" ht="12.75">
      <c r="A138" s="139" t="s">
        <v>248</v>
      </c>
      <c r="B138" s="152">
        <v>334782</v>
      </c>
      <c r="C138" s="152">
        <v>246</v>
      </c>
      <c r="D138" s="156" t="s">
        <v>138</v>
      </c>
      <c r="F138" s="153">
        <f>C138/B138</f>
        <v>0.000734806530817069</v>
      </c>
      <c r="G138" s="150">
        <f t="shared" si="17"/>
        <v>36011</v>
      </c>
      <c r="H138" s="147"/>
      <c r="J138" s="151">
        <f t="shared" si="18"/>
        <v>0.0007348110249527222</v>
      </c>
      <c r="K138" s="147"/>
    </row>
    <row r="139" spans="1:11" ht="12.75">
      <c r="A139" s="139" t="s">
        <v>249</v>
      </c>
      <c r="B139" s="152">
        <v>334782</v>
      </c>
      <c r="C139" s="152">
        <v>194</v>
      </c>
      <c r="D139" s="148" t="s">
        <v>140</v>
      </c>
      <c r="E139" s="147"/>
      <c r="F139" s="153">
        <v>0.0006441</v>
      </c>
      <c r="G139" s="150">
        <f t="shared" si="17"/>
        <v>31566</v>
      </c>
      <c r="H139" s="147"/>
      <c r="I139" s="147"/>
      <c r="J139" s="151">
        <f t="shared" si="18"/>
        <v>0.0006441099889938527</v>
      </c>
      <c r="K139" s="147"/>
    </row>
    <row r="140" spans="1:11" ht="12.75">
      <c r="A140" s="139" t="s">
        <v>250</v>
      </c>
      <c r="B140" s="152">
        <v>334782</v>
      </c>
      <c r="C140" s="152">
        <v>606</v>
      </c>
      <c r="D140" s="156" t="s">
        <v>138</v>
      </c>
      <c r="E140" s="147"/>
      <c r="F140" s="153">
        <f aca="true" t="shared" si="20" ref="F140:F146">C140/B140</f>
        <v>0.0018101331612810725</v>
      </c>
      <c r="G140" s="150">
        <f t="shared" si="17"/>
        <v>88709</v>
      </c>
      <c r="H140" s="147"/>
      <c r="I140" s="147"/>
      <c r="J140" s="151">
        <f t="shared" si="18"/>
        <v>0.0018101233293307888</v>
      </c>
      <c r="K140" s="147"/>
    </row>
    <row r="141" spans="1:11" ht="12.75">
      <c r="A141" s="139" t="s">
        <v>251</v>
      </c>
      <c r="B141" s="152">
        <v>334782</v>
      </c>
      <c r="C141" s="152">
        <v>119</v>
      </c>
      <c r="D141" s="156" t="s">
        <v>138</v>
      </c>
      <c r="E141" s="147"/>
      <c r="F141" s="153">
        <f t="shared" si="20"/>
        <v>0.00035545519173671225</v>
      </c>
      <c r="G141" s="150">
        <f t="shared" si="17"/>
        <v>17420</v>
      </c>
      <c r="H141" s="147"/>
      <c r="I141" s="147"/>
      <c r="J141" s="151">
        <f t="shared" si="18"/>
        <v>0.00035545827815601955</v>
      </c>
      <c r="K141" s="147"/>
    </row>
    <row r="142" spans="1:11" ht="12.75">
      <c r="A142" s="139" t="s">
        <v>252</v>
      </c>
      <c r="B142" s="152">
        <v>334782</v>
      </c>
      <c r="C142" s="152"/>
      <c r="D142" s="156" t="s">
        <v>138</v>
      </c>
      <c r="E142" s="147"/>
      <c r="F142" s="153">
        <f t="shared" si="20"/>
        <v>0</v>
      </c>
      <c r="G142" s="150">
        <f t="shared" si="17"/>
        <v>4000</v>
      </c>
      <c r="H142" s="147"/>
      <c r="I142" s="147"/>
      <c r="J142" s="151">
        <f t="shared" si="18"/>
        <v>8.16207297717611E-05</v>
      </c>
      <c r="K142" s="147"/>
    </row>
    <row r="143" spans="1:11" ht="12.75">
      <c r="A143" s="139" t="s">
        <v>253</v>
      </c>
      <c r="B143" s="152">
        <v>334782</v>
      </c>
      <c r="C143" s="152">
        <v>34</v>
      </c>
      <c r="D143" s="156" t="s">
        <v>138</v>
      </c>
      <c r="E143" s="147"/>
      <c r="F143" s="153">
        <f t="shared" si="20"/>
        <v>0.00010155862621048922</v>
      </c>
      <c r="G143" s="150">
        <f t="shared" si="17"/>
        <v>4977</v>
      </c>
      <c r="H143" s="147"/>
      <c r="I143" s="147"/>
      <c r="J143" s="151">
        <f t="shared" si="18"/>
        <v>0.00010155659301851375</v>
      </c>
      <c r="K143" s="147"/>
    </row>
    <row r="144" spans="1:11" ht="12.75">
      <c r="A144" s="139" t="s">
        <v>254</v>
      </c>
      <c r="B144" s="152">
        <v>334782</v>
      </c>
      <c r="C144" s="152">
        <v>2600</v>
      </c>
      <c r="D144" s="156" t="s">
        <v>138</v>
      </c>
      <c r="E144" s="147"/>
      <c r="F144" s="153">
        <f t="shared" si="20"/>
        <v>0.007766247886684469</v>
      </c>
      <c r="G144" s="150">
        <f t="shared" si="17"/>
        <v>380602</v>
      </c>
      <c r="H144" s="147"/>
      <c r="I144" s="147"/>
      <c r="J144" s="151">
        <f t="shared" si="18"/>
        <v>0.007766253248147954</v>
      </c>
      <c r="K144" s="147"/>
    </row>
    <row r="145" spans="1:11" ht="12.75">
      <c r="A145" s="139" t="s">
        <v>255</v>
      </c>
      <c r="B145" s="152">
        <v>334782</v>
      </c>
      <c r="C145" s="152">
        <v>89</v>
      </c>
      <c r="D145" s="156" t="s">
        <v>138</v>
      </c>
      <c r="E145" s="147"/>
      <c r="F145" s="153">
        <f t="shared" si="20"/>
        <v>0.0002658446391980453</v>
      </c>
      <c r="G145" s="150">
        <f t="shared" si="17"/>
        <v>13028</v>
      </c>
      <c r="H145" s="147"/>
      <c r="I145" s="147"/>
      <c r="J145" s="151">
        <f t="shared" si="18"/>
        <v>0.0002658387168666259</v>
      </c>
      <c r="K145" s="147"/>
    </row>
    <row r="146" spans="1:11" ht="12.75">
      <c r="A146" s="139" t="s">
        <v>256</v>
      </c>
      <c r="B146" s="152">
        <v>334782</v>
      </c>
      <c r="C146" s="152">
        <v>75</v>
      </c>
      <c r="D146" s="156" t="s">
        <v>138</v>
      </c>
      <c r="E146" s="147"/>
      <c r="F146" s="153">
        <f t="shared" si="20"/>
        <v>0.00022402638134666738</v>
      </c>
      <c r="G146" s="150">
        <f t="shared" si="17"/>
        <v>10979</v>
      </c>
      <c r="H146" s="147"/>
      <c r="I146" s="147"/>
      <c r="J146" s="151">
        <f t="shared" si="18"/>
        <v>0.00022402849804104127</v>
      </c>
      <c r="K146" s="147"/>
    </row>
    <row r="147" spans="1:11" ht="12.75">
      <c r="A147" s="146" t="s">
        <v>38</v>
      </c>
      <c r="D147" s="139" t="s">
        <v>68</v>
      </c>
      <c r="E147" s="147">
        <f>States_Territories!D44</f>
        <v>45355128</v>
      </c>
      <c r="F147" s="153"/>
      <c r="G147" s="140"/>
      <c r="H147" s="147">
        <f>SUM(G148:G153)</f>
        <v>714661</v>
      </c>
      <c r="I147" s="147">
        <f>E147-H147</f>
        <v>44640467</v>
      </c>
      <c r="K147" s="147"/>
    </row>
    <row r="148" spans="1:11" ht="12.75">
      <c r="A148" s="139" t="s">
        <v>257</v>
      </c>
      <c r="B148" s="152">
        <v>239405</v>
      </c>
      <c r="C148" s="134">
        <v>120</v>
      </c>
      <c r="D148" s="148" t="s">
        <v>188</v>
      </c>
      <c r="E148" s="147"/>
      <c r="F148" s="153"/>
      <c r="G148" s="150">
        <v>37000</v>
      </c>
      <c r="H148" s="147"/>
      <c r="I148" s="147"/>
      <c r="J148" s="151">
        <f aca="true" t="shared" si="21" ref="J148:J153">G148/$E$147</f>
        <v>0.0008157842703034594</v>
      </c>
      <c r="K148" s="147"/>
    </row>
    <row r="149" spans="1:11" ht="12.75">
      <c r="A149" s="139" t="s">
        <v>258</v>
      </c>
      <c r="B149" s="152">
        <v>239405</v>
      </c>
      <c r="D149" s="148" t="s">
        <v>188</v>
      </c>
      <c r="E149" s="147"/>
      <c r="F149" s="153">
        <f>$C149/$B149</f>
        <v>0</v>
      </c>
      <c r="G149" s="150">
        <v>118845</v>
      </c>
      <c r="H149" s="147"/>
      <c r="I149" s="147"/>
      <c r="J149" s="151">
        <f t="shared" si="21"/>
        <v>0.0026203211244382333</v>
      </c>
      <c r="K149" s="147"/>
    </row>
    <row r="150" spans="1:11" ht="12.75">
      <c r="A150" s="139" t="s">
        <v>259</v>
      </c>
      <c r="B150" s="152">
        <v>239405</v>
      </c>
      <c r="C150" s="134">
        <v>150</v>
      </c>
      <c r="D150" s="156" t="s">
        <v>188</v>
      </c>
      <c r="E150" s="147"/>
      <c r="F150" s="153">
        <f>$C150/$B150</f>
        <v>0.0006265533301309497</v>
      </c>
      <c r="G150" s="150">
        <v>114665</v>
      </c>
      <c r="H150" s="147"/>
      <c r="I150" s="147"/>
      <c r="J150" s="151">
        <f t="shared" si="21"/>
        <v>0.002528159550117464</v>
      </c>
      <c r="K150" s="147"/>
    </row>
    <row r="151" spans="1:11" ht="12.75">
      <c r="A151" s="139" t="s">
        <v>260</v>
      </c>
      <c r="B151" s="152">
        <v>239405</v>
      </c>
      <c r="D151" s="148" t="s">
        <v>188</v>
      </c>
      <c r="E151" s="147"/>
      <c r="F151" s="153"/>
      <c r="G151" s="150">
        <v>114665</v>
      </c>
      <c r="H151" s="147"/>
      <c r="I151" s="147"/>
      <c r="J151" s="151">
        <f t="shared" si="21"/>
        <v>0.002528159550117464</v>
      </c>
      <c r="K151" s="147"/>
    </row>
    <row r="152" spans="1:11" ht="12.75">
      <c r="A152" s="139" t="s">
        <v>261</v>
      </c>
      <c r="B152" s="152">
        <v>239405</v>
      </c>
      <c r="D152" s="148" t="s">
        <v>188</v>
      </c>
      <c r="E152" s="147"/>
      <c r="F152" s="165" t="s">
        <v>68</v>
      </c>
      <c r="G152" s="150">
        <v>12000</v>
      </c>
      <c r="H152" s="147"/>
      <c r="I152" s="147"/>
      <c r="J152" s="151">
        <f t="shared" si="21"/>
        <v>0.00026457868226058143</v>
      </c>
      <c r="K152" s="147"/>
    </row>
    <row r="153" spans="1:11" ht="12.75">
      <c r="A153" s="139" t="s">
        <v>262</v>
      </c>
      <c r="B153" s="152">
        <v>239405</v>
      </c>
      <c r="D153" s="148" t="s">
        <v>140</v>
      </c>
      <c r="E153" s="147"/>
      <c r="F153" s="158">
        <v>0.007</v>
      </c>
      <c r="G153" s="150">
        <f>ROUND($E$147*F153,0)</f>
        <v>317486</v>
      </c>
      <c r="H153" s="147"/>
      <c r="I153" s="147"/>
      <c r="J153" s="151">
        <f t="shared" si="21"/>
        <v>0.007000002293015247</v>
      </c>
      <c r="K153" s="147"/>
    </row>
    <row r="154" spans="1:11" ht="12.75">
      <c r="A154" s="146" t="s">
        <v>40</v>
      </c>
      <c r="E154" s="147">
        <f>States_Territories!D46</f>
        <v>30208657</v>
      </c>
      <c r="G154" s="140"/>
      <c r="H154" s="147">
        <f>G155</f>
        <v>85595</v>
      </c>
      <c r="I154" s="147">
        <f>E154-H154</f>
        <v>30123062</v>
      </c>
      <c r="K154" s="147"/>
    </row>
    <row r="155" spans="1:11" ht="12.75">
      <c r="A155" s="139" t="s">
        <v>263</v>
      </c>
      <c r="B155" s="152">
        <v>84702</v>
      </c>
      <c r="C155" s="166">
        <v>240</v>
      </c>
      <c r="D155" s="148" t="s">
        <v>138</v>
      </c>
      <c r="E155" s="147"/>
      <c r="F155" s="153">
        <f>C155/B155</f>
        <v>0.002833463200396685</v>
      </c>
      <c r="G155" s="150">
        <f>ROUND($E$154*F155,0)</f>
        <v>85595</v>
      </c>
      <c r="H155" s="147"/>
      <c r="J155" s="151">
        <f>G155/E154</f>
        <v>0.002833459296121638</v>
      </c>
      <c r="K155" s="147"/>
    </row>
    <row r="156" spans="1:11" ht="12.75">
      <c r="A156" s="146" t="s">
        <v>42</v>
      </c>
      <c r="D156" s="139" t="s">
        <v>68</v>
      </c>
      <c r="E156" s="147">
        <f>States_Territories!D48</f>
        <v>27878165</v>
      </c>
      <c r="F156" s="157"/>
      <c r="G156" s="140"/>
      <c r="H156" s="147">
        <f>SUM(G157:G163)</f>
        <v>4956738</v>
      </c>
      <c r="I156" s="147">
        <f>E156-H156</f>
        <v>22921427</v>
      </c>
      <c r="K156" s="147"/>
    </row>
    <row r="157" spans="1:11" ht="12.75">
      <c r="A157" s="139" t="s">
        <v>264</v>
      </c>
      <c r="D157" s="148" t="s">
        <v>140</v>
      </c>
      <c r="E157" s="147"/>
      <c r="F157" s="157">
        <v>0.0282</v>
      </c>
      <c r="G157" s="150">
        <f aca="true" t="shared" si="22" ref="G157:G163">ROUND($E$156*F157,0)</f>
        <v>786164</v>
      </c>
      <c r="H157" s="147"/>
      <c r="I157" s="147"/>
      <c r="J157" s="151">
        <f aca="true" t="shared" si="23" ref="J157:J163">G157/$E$156</f>
        <v>0.02819999092479724</v>
      </c>
      <c r="K157" s="147"/>
    </row>
    <row r="158" spans="1:11" ht="12.75">
      <c r="A158" s="139" t="s">
        <v>265</v>
      </c>
      <c r="D158" s="148" t="s">
        <v>140</v>
      </c>
      <c r="E158" s="147"/>
      <c r="F158" s="157">
        <v>0.0038</v>
      </c>
      <c r="G158" s="150">
        <f t="shared" si="22"/>
        <v>105937</v>
      </c>
      <c r="H158" s="147"/>
      <c r="I158" s="147"/>
      <c r="J158" s="151">
        <f t="shared" si="23"/>
        <v>0.0037999990315001004</v>
      </c>
      <c r="K158" s="147"/>
    </row>
    <row r="159" spans="1:11" ht="12.75">
      <c r="A159" s="139" t="s">
        <v>266</v>
      </c>
      <c r="D159" s="148" t="s">
        <v>140</v>
      </c>
      <c r="E159" s="147"/>
      <c r="F159" s="157">
        <v>0.0584</v>
      </c>
      <c r="G159" s="150">
        <f t="shared" si="22"/>
        <v>1628085</v>
      </c>
      <c r="H159" s="147"/>
      <c r="I159" s="147"/>
      <c r="J159" s="151">
        <f t="shared" si="23"/>
        <v>0.05840000588274013</v>
      </c>
      <c r="K159" s="147"/>
    </row>
    <row r="160" spans="1:11" ht="12.75">
      <c r="A160" s="139" t="s">
        <v>267</v>
      </c>
      <c r="D160" s="148" t="s">
        <v>140</v>
      </c>
      <c r="E160" s="147"/>
      <c r="F160" s="157">
        <v>0.046</v>
      </c>
      <c r="G160" s="150">
        <f t="shared" si="22"/>
        <v>1282396</v>
      </c>
      <c r="H160" s="147"/>
      <c r="I160" s="147"/>
      <c r="J160" s="151">
        <f t="shared" si="23"/>
        <v>0.04600001470685033</v>
      </c>
      <c r="K160" s="147"/>
    </row>
    <row r="161" spans="1:11" ht="12.75">
      <c r="A161" s="139" t="s">
        <v>268</v>
      </c>
      <c r="D161" s="148" t="s">
        <v>140</v>
      </c>
      <c r="E161" s="147"/>
      <c r="F161" s="157">
        <v>0.0186</v>
      </c>
      <c r="G161" s="150">
        <f t="shared" si="22"/>
        <v>518534</v>
      </c>
      <c r="H161" s="147"/>
      <c r="I161" s="147"/>
      <c r="J161" s="151">
        <f t="shared" si="23"/>
        <v>0.01860000469901803</v>
      </c>
      <c r="K161" s="147"/>
    </row>
    <row r="162" spans="1:11" ht="12.75">
      <c r="A162" s="139" t="s">
        <v>269</v>
      </c>
      <c r="D162" s="148" t="s">
        <v>140</v>
      </c>
      <c r="E162" s="147"/>
      <c r="F162" s="157">
        <v>0.0116</v>
      </c>
      <c r="G162" s="150">
        <f t="shared" si="22"/>
        <v>323387</v>
      </c>
      <c r="H162" s="147"/>
      <c r="I162" s="147"/>
      <c r="J162" s="151">
        <f t="shared" si="23"/>
        <v>0.011600010258924862</v>
      </c>
      <c r="K162" s="147"/>
    </row>
    <row r="163" spans="1:11" ht="12.75">
      <c r="A163" s="139" t="s">
        <v>270</v>
      </c>
      <c r="D163" s="148" t="s">
        <v>140</v>
      </c>
      <c r="E163" s="147"/>
      <c r="F163" s="157">
        <v>0.0112</v>
      </c>
      <c r="G163" s="150">
        <f t="shared" si="22"/>
        <v>312235</v>
      </c>
      <c r="H163" s="147"/>
      <c r="I163" s="147"/>
      <c r="J163" s="151">
        <f t="shared" si="23"/>
        <v>0.011199983930075742</v>
      </c>
      <c r="K163" s="147"/>
    </row>
    <row r="164" spans="1:11" ht="12.75">
      <c r="A164" s="146" t="s">
        <v>45</v>
      </c>
      <c r="D164" s="139" t="s">
        <v>68</v>
      </c>
      <c r="E164" s="147">
        <f>States_Territories!D51</f>
        <v>32094108</v>
      </c>
      <c r="F164" s="153"/>
      <c r="G164" s="140"/>
      <c r="H164" s="147">
        <f>SUM(G165:G167)</f>
        <v>448570</v>
      </c>
      <c r="I164" s="147">
        <f>E164-H164</f>
        <v>31645538</v>
      </c>
      <c r="K164" s="147"/>
    </row>
    <row r="165" spans="1:11" ht="12.75">
      <c r="A165" s="139" t="s">
        <v>213</v>
      </c>
      <c r="B165" s="152">
        <v>110884</v>
      </c>
      <c r="C165" s="152">
        <v>997</v>
      </c>
      <c r="D165" s="148" t="s">
        <v>203</v>
      </c>
      <c r="E165" s="147"/>
      <c r="F165" s="153">
        <f>C165/B165</f>
        <v>0.008991378377403412</v>
      </c>
      <c r="G165" s="150">
        <f>ROUND($E$164*F165,0)</f>
        <v>288570</v>
      </c>
      <c r="H165" s="147"/>
      <c r="I165" s="147"/>
      <c r="J165" s="151">
        <f>G165/$E$164</f>
        <v>0.008991370004737318</v>
      </c>
      <c r="K165" s="147"/>
    </row>
    <row r="166" spans="1:11" ht="12.75">
      <c r="A166" s="139" t="s">
        <v>271</v>
      </c>
      <c r="B166" s="152">
        <v>110884</v>
      </c>
      <c r="D166" s="148" t="s">
        <v>188</v>
      </c>
      <c r="E166" s="147"/>
      <c r="F166" s="165" t="s">
        <v>68</v>
      </c>
      <c r="G166" s="167">
        <v>60000</v>
      </c>
      <c r="H166" s="168"/>
      <c r="J166" s="151">
        <f>G166/$E$164</f>
        <v>0.0018695020282227504</v>
      </c>
      <c r="K166" s="147"/>
    </row>
    <row r="167" spans="1:11" ht="12.75">
      <c r="A167" s="139" t="s">
        <v>272</v>
      </c>
      <c r="B167" s="152">
        <v>110884</v>
      </c>
      <c r="D167" s="148" t="s">
        <v>188</v>
      </c>
      <c r="E167" s="147"/>
      <c r="F167" s="165" t="s">
        <v>68</v>
      </c>
      <c r="G167" s="167">
        <v>100000</v>
      </c>
      <c r="H167" s="168"/>
      <c r="I167" s="147"/>
      <c r="J167" s="151">
        <f>G167/$E$164</f>
        <v>0.003115836713704584</v>
      </c>
      <c r="K167" s="147"/>
    </row>
    <row r="168" spans="1:11" ht="12.75">
      <c r="A168" s="146" t="s">
        <v>48</v>
      </c>
      <c r="E168" s="147">
        <f>States_Territories!D54</f>
        <v>74602937</v>
      </c>
      <c r="G168" s="140"/>
      <c r="H168" s="147">
        <f>SUM(G169:G189)</f>
        <v>3035325</v>
      </c>
      <c r="I168" s="147">
        <f>E168-H168</f>
        <v>71567612</v>
      </c>
      <c r="K168" s="147"/>
    </row>
    <row r="169" spans="1:11" ht="12.75">
      <c r="A169" s="139" t="s">
        <v>273</v>
      </c>
      <c r="B169" s="147"/>
      <c r="D169" s="148" t="s">
        <v>140</v>
      </c>
      <c r="E169" s="147"/>
      <c r="F169" s="153">
        <v>0.00847</v>
      </c>
      <c r="G169" s="150">
        <f>ROUND($E$168*F169,0)</f>
        <v>631887</v>
      </c>
      <c r="H169" s="147"/>
      <c r="J169" s="151">
        <f aca="true" t="shared" si="24" ref="J169:J189">G169/$E$168</f>
        <v>0.008470001656905276</v>
      </c>
      <c r="K169" s="147"/>
    </row>
    <row r="170" spans="1:11" ht="12.75">
      <c r="A170" s="139" t="s">
        <v>274</v>
      </c>
      <c r="B170" s="147"/>
      <c r="D170" s="148" t="s">
        <v>188</v>
      </c>
      <c r="E170" s="147"/>
      <c r="F170" s="153"/>
      <c r="G170" s="150">
        <v>8460</v>
      </c>
      <c r="H170" s="147"/>
      <c r="J170" s="151">
        <f t="shared" si="24"/>
        <v>0.00011340036116808645</v>
      </c>
      <c r="K170" s="147"/>
    </row>
    <row r="171" spans="1:11" ht="12.75">
      <c r="A171" s="139" t="s">
        <v>275</v>
      </c>
      <c r="B171" s="147"/>
      <c r="D171" s="148" t="s">
        <v>140</v>
      </c>
      <c r="E171" s="147"/>
      <c r="F171" s="153">
        <v>0.000247</v>
      </c>
      <c r="G171" s="150">
        <f aca="true" t="shared" si="25" ref="G171:G189">ROUND($E$168*F171,0)</f>
        <v>18427</v>
      </c>
      <c r="H171" s="147"/>
      <c r="J171" s="151">
        <f t="shared" si="24"/>
        <v>0.00024700099943786394</v>
      </c>
      <c r="K171" s="147"/>
    </row>
    <row r="172" spans="1:11" ht="12.75">
      <c r="A172" s="139" t="s">
        <v>276</v>
      </c>
      <c r="B172" s="147"/>
      <c r="D172" s="148" t="s">
        <v>140</v>
      </c>
      <c r="E172" s="147"/>
      <c r="F172" s="153">
        <v>0.000247</v>
      </c>
      <c r="G172" s="150">
        <f t="shared" si="25"/>
        <v>18427</v>
      </c>
      <c r="H172" s="147"/>
      <c r="J172" s="151">
        <f t="shared" si="24"/>
        <v>0.00024700099943786394</v>
      </c>
      <c r="K172" s="147"/>
    </row>
    <row r="173" spans="1:11" ht="12.75">
      <c r="A173" s="139" t="s">
        <v>277</v>
      </c>
      <c r="B173" s="147"/>
      <c r="D173" s="148" t="s">
        <v>140</v>
      </c>
      <c r="E173" s="147"/>
      <c r="F173" s="153">
        <v>0.000604</v>
      </c>
      <c r="G173" s="150">
        <f t="shared" si="25"/>
        <v>45060</v>
      </c>
      <c r="H173" s="147"/>
      <c r="J173" s="151">
        <f t="shared" si="24"/>
        <v>0.0006039976683491697</v>
      </c>
      <c r="K173" s="147"/>
    </row>
    <row r="174" spans="1:11" ht="12.75">
      <c r="A174" s="139" t="s">
        <v>278</v>
      </c>
      <c r="B174" s="147"/>
      <c r="D174" s="148" t="s">
        <v>140</v>
      </c>
      <c r="E174" s="147"/>
      <c r="F174" s="153">
        <v>0.002499</v>
      </c>
      <c r="G174" s="150">
        <f t="shared" si="25"/>
        <v>186433</v>
      </c>
      <c r="H174" s="147"/>
      <c r="J174" s="151">
        <f t="shared" si="24"/>
        <v>0.0024990034909751608</v>
      </c>
      <c r="K174" s="147"/>
    </row>
    <row r="175" spans="1:11" ht="12.75">
      <c r="A175" s="139" t="s">
        <v>279</v>
      </c>
      <c r="B175" s="147"/>
      <c r="D175" s="148" t="s">
        <v>140</v>
      </c>
      <c r="E175" s="147"/>
      <c r="F175" s="153">
        <v>0.001949</v>
      </c>
      <c r="G175" s="150">
        <f t="shared" si="25"/>
        <v>145401</v>
      </c>
      <c r="H175" s="147"/>
      <c r="J175" s="151">
        <f t="shared" si="24"/>
        <v>0.0019489983350119311</v>
      </c>
      <c r="K175" s="147"/>
    </row>
    <row r="176" spans="1:11" ht="12.75">
      <c r="A176" s="139" t="s">
        <v>280</v>
      </c>
      <c r="B176" s="147"/>
      <c r="D176" s="148" t="s">
        <v>140</v>
      </c>
      <c r="E176" s="147"/>
      <c r="F176" s="153">
        <v>0.000892</v>
      </c>
      <c r="G176" s="150">
        <f t="shared" si="25"/>
        <v>66546</v>
      </c>
      <c r="H176" s="147"/>
      <c r="J176" s="151">
        <f t="shared" si="24"/>
        <v>0.0008920024154008843</v>
      </c>
      <c r="K176" s="147"/>
    </row>
    <row r="177" spans="1:11" ht="12.75">
      <c r="A177" s="139" t="s">
        <v>281</v>
      </c>
      <c r="B177" s="147"/>
      <c r="D177" s="148" t="s">
        <v>140</v>
      </c>
      <c r="E177" s="147"/>
      <c r="F177" s="153">
        <v>0.000686</v>
      </c>
      <c r="G177" s="150">
        <f t="shared" si="25"/>
        <v>51178</v>
      </c>
      <c r="H177" s="147"/>
      <c r="J177" s="151">
        <f t="shared" si="24"/>
        <v>0.000686005163576871</v>
      </c>
      <c r="K177" s="147"/>
    </row>
    <row r="178" spans="1:11" ht="12.75">
      <c r="A178" s="139" t="s">
        <v>282</v>
      </c>
      <c r="B178" s="147"/>
      <c r="D178" s="148" t="s">
        <v>140</v>
      </c>
      <c r="E178" s="147"/>
      <c r="F178" s="153">
        <v>0.000412</v>
      </c>
      <c r="G178" s="150">
        <f t="shared" si="25"/>
        <v>30736</v>
      </c>
      <c r="H178" s="147"/>
      <c r="J178" s="151">
        <f t="shared" si="24"/>
        <v>0.0004119945036480266</v>
      </c>
      <c r="K178" s="147"/>
    </row>
    <row r="179" spans="1:11" ht="12.75">
      <c r="A179" s="139" t="s">
        <v>283</v>
      </c>
      <c r="B179" s="147"/>
      <c r="D179" s="148" t="s">
        <v>140</v>
      </c>
      <c r="E179" s="147"/>
      <c r="F179" s="153">
        <v>0.002787</v>
      </c>
      <c r="G179" s="150">
        <f t="shared" si="25"/>
        <v>207918</v>
      </c>
      <c r="H179" s="147"/>
      <c r="J179" s="151">
        <f t="shared" si="24"/>
        <v>0.002786994833728865</v>
      </c>
      <c r="K179" s="147"/>
    </row>
    <row r="180" spans="1:11" ht="12.75">
      <c r="A180" s="139" t="s">
        <v>284</v>
      </c>
      <c r="B180" s="147"/>
      <c r="D180" s="148" t="s">
        <v>140</v>
      </c>
      <c r="E180" s="147"/>
      <c r="F180" s="153">
        <v>0.000796</v>
      </c>
      <c r="G180" s="150">
        <f t="shared" si="25"/>
        <v>59384</v>
      </c>
      <c r="H180" s="147"/>
      <c r="J180" s="151">
        <f t="shared" si="24"/>
        <v>0.0007960008330503127</v>
      </c>
      <c r="K180" s="147"/>
    </row>
    <row r="181" spans="1:11" ht="12.75">
      <c r="A181" s="139" t="s">
        <v>285</v>
      </c>
      <c r="B181" s="147"/>
      <c r="D181" s="148" t="s">
        <v>140</v>
      </c>
      <c r="E181" s="147"/>
      <c r="F181" s="153">
        <v>0.002169</v>
      </c>
      <c r="G181" s="150">
        <f t="shared" si="25"/>
        <v>161814</v>
      </c>
      <c r="H181" s="147"/>
      <c r="J181" s="151">
        <f t="shared" si="24"/>
        <v>0.002169003078256825</v>
      </c>
      <c r="K181" s="147"/>
    </row>
    <row r="182" spans="1:11" ht="12.75">
      <c r="A182" s="139" t="s">
        <v>286</v>
      </c>
      <c r="B182" s="147"/>
      <c r="D182" s="148" t="s">
        <v>140</v>
      </c>
      <c r="E182" s="147"/>
      <c r="F182" s="153">
        <v>0.000823</v>
      </c>
      <c r="G182" s="150">
        <f t="shared" si="25"/>
        <v>61398</v>
      </c>
      <c r="H182" s="147"/>
      <c r="J182" s="151">
        <f t="shared" si="24"/>
        <v>0.0008229970892432827</v>
      </c>
      <c r="K182" s="147"/>
    </row>
    <row r="183" spans="1:11" ht="12.75">
      <c r="A183" s="139" t="s">
        <v>287</v>
      </c>
      <c r="B183" s="147"/>
      <c r="D183" s="148" t="s">
        <v>140</v>
      </c>
      <c r="E183" s="147"/>
      <c r="F183" s="153">
        <v>0.001317</v>
      </c>
      <c r="G183" s="150">
        <f t="shared" si="25"/>
        <v>98252</v>
      </c>
      <c r="H183" s="147"/>
      <c r="J183" s="151">
        <f t="shared" si="24"/>
        <v>0.0013169990881190107</v>
      </c>
      <c r="K183" s="147"/>
    </row>
    <row r="184" spans="1:11" ht="12.75">
      <c r="A184" s="139" t="s">
        <v>288</v>
      </c>
      <c r="B184" s="147"/>
      <c r="D184" s="148" t="s">
        <v>140</v>
      </c>
      <c r="E184" s="147"/>
      <c r="F184" s="153">
        <v>0.002782</v>
      </c>
      <c r="G184" s="150">
        <f t="shared" si="25"/>
        <v>207545</v>
      </c>
      <c r="H184" s="147"/>
      <c r="J184" s="151">
        <f t="shared" si="24"/>
        <v>0.0027819950305709813</v>
      </c>
      <c r="K184" s="147"/>
    </row>
    <row r="185" spans="1:11" ht="12.75">
      <c r="A185" s="139" t="s">
        <v>289</v>
      </c>
      <c r="B185" s="147"/>
      <c r="D185" s="148" t="s">
        <v>140</v>
      </c>
      <c r="E185" s="147"/>
      <c r="F185" s="153">
        <v>0.001744</v>
      </c>
      <c r="G185" s="150">
        <f t="shared" si="25"/>
        <v>130108</v>
      </c>
      <c r="H185" s="147"/>
      <c r="J185" s="151">
        <f t="shared" si="24"/>
        <v>0.0017440064055386987</v>
      </c>
      <c r="K185" s="147"/>
    </row>
    <row r="186" spans="1:11" ht="12.75">
      <c r="A186" s="155" t="s">
        <v>290</v>
      </c>
      <c r="B186" s="147"/>
      <c r="D186" s="148" t="s">
        <v>140</v>
      </c>
      <c r="E186" s="147"/>
      <c r="F186" s="153">
        <v>0.000247</v>
      </c>
      <c r="G186" s="150">
        <f t="shared" si="25"/>
        <v>18427</v>
      </c>
      <c r="H186" s="147"/>
      <c r="J186" s="151">
        <f t="shared" si="24"/>
        <v>0.00024700099943786394</v>
      </c>
      <c r="K186" s="147"/>
    </row>
    <row r="187" spans="1:11" ht="12.75">
      <c r="A187" s="139" t="s">
        <v>291</v>
      </c>
      <c r="B187" s="147"/>
      <c r="D187" s="148" t="s">
        <v>140</v>
      </c>
      <c r="E187" s="147"/>
      <c r="F187" s="153">
        <v>0.001057</v>
      </c>
      <c r="G187" s="150">
        <f t="shared" si="25"/>
        <v>78855</v>
      </c>
      <c r="H187" s="147"/>
      <c r="J187" s="151">
        <f t="shared" si="24"/>
        <v>0.0010569959196110468</v>
      </c>
      <c r="K187" s="147"/>
    </row>
    <row r="188" spans="1:11" ht="12.75">
      <c r="A188" s="139" t="s">
        <v>292</v>
      </c>
      <c r="B188" s="147"/>
      <c r="D188" s="148" t="s">
        <v>140</v>
      </c>
      <c r="E188" s="147"/>
      <c r="F188" s="169">
        <v>0.001867</v>
      </c>
      <c r="G188" s="150">
        <f t="shared" si="25"/>
        <v>139284</v>
      </c>
      <c r="H188" s="147"/>
      <c r="J188" s="151">
        <f t="shared" si="24"/>
        <v>0.0018670042440822403</v>
      </c>
      <c r="K188" s="147"/>
    </row>
    <row r="189" spans="1:11" ht="12.75">
      <c r="A189" s="139" t="s">
        <v>293</v>
      </c>
      <c r="B189" s="147"/>
      <c r="D189" s="148" t="s">
        <v>140</v>
      </c>
      <c r="E189" s="147"/>
      <c r="F189" s="153">
        <v>0.008978</v>
      </c>
      <c r="G189" s="150">
        <f t="shared" si="25"/>
        <v>669785</v>
      </c>
      <c r="H189" s="147"/>
      <c r="J189" s="151">
        <f t="shared" si="24"/>
        <v>0.008977997742903875</v>
      </c>
      <c r="K189" s="147"/>
    </row>
    <row r="190" spans="1:11" ht="12.75">
      <c r="A190" s="146" t="s">
        <v>51</v>
      </c>
      <c r="B190" s="147"/>
      <c r="D190" s="148"/>
      <c r="E190" s="147">
        <f>States_Territories!D57</f>
        <v>12849776</v>
      </c>
      <c r="F190" s="153"/>
      <c r="G190" s="150"/>
      <c r="H190" s="159">
        <f>G191</f>
        <v>210000</v>
      </c>
      <c r="I190" s="147">
        <f>E190-H190</f>
        <v>12639776</v>
      </c>
      <c r="K190" s="147"/>
    </row>
    <row r="191" spans="1:11" ht="13.5" thickBot="1">
      <c r="A191" s="139" t="s">
        <v>294</v>
      </c>
      <c r="B191" s="147"/>
      <c r="D191" s="148" t="s">
        <v>188</v>
      </c>
      <c r="E191" s="147"/>
      <c r="F191" s="153">
        <v>0.0146</v>
      </c>
      <c r="G191" s="150">
        <v>210000</v>
      </c>
      <c r="H191" s="147"/>
      <c r="J191" s="151">
        <f>G191/$E$190</f>
        <v>0.016342697335735658</v>
      </c>
      <c r="K191" s="147"/>
    </row>
    <row r="192" spans="1:10" ht="13.5" thickTop="1">
      <c r="A192" s="170" t="s">
        <v>295</v>
      </c>
      <c r="B192" s="171"/>
      <c r="C192" s="171"/>
      <c r="D192" s="171"/>
      <c r="E192" s="172">
        <f>SUM(E12:E191)</f>
        <v>2084938538</v>
      </c>
      <c r="F192" s="171"/>
      <c r="G192" s="173">
        <f>SUM(G12:G191)</f>
        <v>47347345</v>
      </c>
      <c r="H192" s="172">
        <f>SUM(H12:H191)</f>
        <v>47347345</v>
      </c>
      <c r="I192" s="172">
        <f>SUM(I12:I191)</f>
        <v>2037591193</v>
      </c>
      <c r="J192" s="172"/>
    </row>
    <row r="193" spans="1:10" ht="12.75">
      <c r="A193" s="174"/>
      <c r="B193" s="145"/>
      <c r="C193" s="145"/>
      <c r="D193" s="145"/>
      <c r="E193" s="175"/>
      <c r="F193" s="145"/>
      <c r="G193" s="175"/>
      <c r="H193" s="175"/>
      <c r="I193" s="175"/>
      <c r="J193" s="175"/>
    </row>
    <row r="194" ht="12.75">
      <c r="A194" s="176" t="str">
        <f>"DEA/PRE "&amp;TEXT($D$4,"dd-MMM-yy")</f>
        <v>DEA/PRE 24-Oct-08</v>
      </c>
    </row>
    <row r="406" spans="5:9" ht="12.75">
      <c r="E406" s="177"/>
      <c r="I406" s="177"/>
    </row>
    <row r="409" ht="12.75">
      <c r="E409" s="177"/>
    </row>
    <row r="410" ht="12.75">
      <c r="E410" s="177"/>
    </row>
    <row r="411" ht="12.75">
      <c r="E411" s="177"/>
    </row>
    <row r="412" ht="12.75">
      <c r="E412" s="177"/>
    </row>
    <row r="413" ht="12.75">
      <c r="E413" s="177"/>
    </row>
    <row r="414" ht="12.75">
      <c r="E414" s="177"/>
    </row>
    <row r="415" ht="12.75">
      <c r="E415" s="177"/>
    </row>
    <row r="416" ht="12.75">
      <c r="E416" s="177"/>
    </row>
    <row r="417" ht="12.75">
      <c r="E417" s="177"/>
    </row>
    <row r="418" ht="12.75">
      <c r="E418" s="177"/>
    </row>
    <row r="419" ht="12.75">
      <c r="E419" s="177"/>
    </row>
    <row r="420" ht="12.75">
      <c r="E420" s="177"/>
    </row>
    <row r="421" ht="12.75">
      <c r="E421" s="177"/>
    </row>
    <row r="422" ht="12.75">
      <c r="E422" s="177"/>
    </row>
    <row r="423" ht="12.75">
      <c r="E423" s="177"/>
    </row>
    <row r="424" ht="12.75">
      <c r="E424" s="177"/>
    </row>
    <row r="425" ht="12.75">
      <c r="E425" s="177"/>
    </row>
    <row r="426" ht="12.75">
      <c r="E426" s="177"/>
    </row>
    <row r="427" ht="12.75">
      <c r="E427" s="177"/>
    </row>
    <row r="428" ht="12.75">
      <c r="E428" s="177"/>
    </row>
    <row r="429" ht="12.75">
      <c r="E429" s="177"/>
    </row>
    <row r="430" ht="12.75">
      <c r="E430" s="177"/>
    </row>
    <row r="431" ht="12.75">
      <c r="E431" s="177"/>
    </row>
    <row r="432" ht="12.75">
      <c r="E432" s="177"/>
    </row>
    <row r="433" ht="12.75">
      <c r="E433" s="177"/>
    </row>
    <row r="434" ht="12.75">
      <c r="E434" s="177"/>
    </row>
    <row r="435" ht="12.75">
      <c r="E435" s="177"/>
    </row>
    <row r="436" ht="12.75">
      <c r="E436" s="177"/>
    </row>
    <row r="437" ht="12.75">
      <c r="E437" s="177"/>
    </row>
    <row r="438" ht="12.75">
      <c r="E438" s="177"/>
    </row>
    <row r="439" ht="12.75">
      <c r="E439" s="177"/>
    </row>
    <row r="440" ht="12.75">
      <c r="E440" s="177"/>
    </row>
    <row r="441" ht="12.75">
      <c r="E441" s="177"/>
    </row>
    <row r="442" ht="12.75">
      <c r="E442" s="177"/>
    </row>
    <row r="443" ht="12.75">
      <c r="E443" s="177"/>
    </row>
    <row r="444" ht="12.75">
      <c r="E444" s="177"/>
    </row>
    <row r="445" ht="12.75">
      <c r="E445" s="177"/>
    </row>
    <row r="446" ht="12.75">
      <c r="E446" s="177"/>
    </row>
    <row r="447" ht="12.75">
      <c r="E447" s="177"/>
    </row>
    <row r="448" ht="12.75">
      <c r="E448" s="177"/>
    </row>
    <row r="449" ht="12.75">
      <c r="E449" s="177"/>
    </row>
    <row r="450" ht="12.75">
      <c r="E450" s="177"/>
    </row>
    <row r="451" ht="12.75">
      <c r="E451" s="177"/>
    </row>
    <row r="452" ht="12.75">
      <c r="E452" s="177"/>
    </row>
    <row r="453" ht="12.75">
      <c r="E453" s="177"/>
    </row>
    <row r="454" ht="12.75">
      <c r="E454" s="177"/>
    </row>
    <row r="455" ht="12.75">
      <c r="E455" s="177"/>
    </row>
    <row r="456" ht="12.75">
      <c r="E456" s="177"/>
    </row>
    <row r="457" ht="12.75">
      <c r="E457" s="177"/>
    </row>
    <row r="458" ht="12.75">
      <c r="E458" s="177"/>
    </row>
    <row r="459" ht="12.75">
      <c r="E459" s="177"/>
    </row>
    <row r="460" spans="5:7" ht="12.75">
      <c r="E460" s="177"/>
      <c r="G460" s="147"/>
    </row>
    <row r="461" ht="12.75">
      <c r="E461" s="177"/>
    </row>
    <row r="463" spans="5:10" ht="12.75">
      <c r="E463" s="147"/>
      <c r="H463" s="147"/>
      <c r="I463" s="147"/>
      <c r="J463" s="147"/>
    </row>
    <row r="465" ht="12.75">
      <c r="I465" s="147"/>
    </row>
    <row r="466" ht="12.75">
      <c r="E466" s="147"/>
    </row>
    <row r="467" spans="5:9" ht="12.75">
      <c r="E467" s="147"/>
      <c r="I467" s="147"/>
    </row>
    <row r="468" spans="5:9" ht="12.75">
      <c r="E468" s="147"/>
      <c r="I468" s="147"/>
    </row>
    <row r="469" spans="5:9" ht="12.75">
      <c r="E469" s="147"/>
      <c r="I469" s="147"/>
    </row>
    <row r="470" spans="5:9" ht="12.75">
      <c r="E470" s="147"/>
      <c r="I470" s="147"/>
    </row>
    <row r="471" spans="5:9" ht="12.75">
      <c r="E471" s="147"/>
      <c r="I471" s="147"/>
    </row>
    <row r="472" spans="5:9" ht="12.75">
      <c r="E472" s="147"/>
      <c r="I472" s="147"/>
    </row>
    <row r="473" ht="12.75">
      <c r="I473" s="147"/>
    </row>
    <row r="474" ht="12.75">
      <c r="I474" s="147"/>
    </row>
  </sheetData>
  <mergeCells count="2">
    <mergeCell ref="A3:J3"/>
    <mergeCell ref="A1:J1"/>
  </mergeCells>
  <printOptions gridLines="1"/>
  <pageMargins left="0.75" right="0.75" top="0.5" bottom="1" header="0.5" footer="0.5"/>
  <pageSetup horizontalDpi="600" verticalDpi="600" orientation="landscape" scale="58" r:id="rId1"/>
  <headerFooter alignWithMargins="0">
    <oddFooter>&amp;L&amp;"Arial,Regular"'&amp;F' [&amp;A]&amp;R&amp;"Arial,Regular"Page &amp;P of &amp;N</oddFooter>
  </headerFooter>
  <rowBreaks count="3" manualBreakCount="3">
    <brk id="59" max="255" man="1"/>
    <brk id="113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pedelman</dc:creator>
  <cp:keywords/>
  <dc:description/>
  <cp:lastModifiedBy>pedelman</cp:lastModifiedBy>
  <cp:lastPrinted>2008-10-17T22:07:51Z</cp:lastPrinted>
  <dcterms:created xsi:type="dcterms:W3CDTF">2008-09-22T15:41:03Z</dcterms:created>
  <dcterms:modified xsi:type="dcterms:W3CDTF">2008-12-15T15:45:53Z</dcterms:modified>
  <cp:category/>
  <cp:version/>
  <cp:contentType/>
  <cp:contentStatus/>
</cp:coreProperties>
</file>