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States" sheetId="1" r:id="rId1"/>
    <sheet name="Tribes" sheetId="2" r:id="rId2"/>
    <sheet name="Alloc_Req08" sheetId="3" r:id="rId3"/>
  </sheets>
  <externalReferences>
    <externalReference r:id="rId6"/>
  </externalReferences>
  <definedNames>
    <definedName name="_Fill" hidden="1">#REF!</definedName>
    <definedName name="_xlnm.Print_Area" localSheetId="2">'Alloc_Req08'!$A$1:$H$57</definedName>
    <definedName name="_xlnm.Print_Area" localSheetId="0">'States'!$A:$T</definedName>
    <definedName name="_xlnm.Print_Area" localSheetId="1">'Tribes'!$A$1:$J$198</definedName>
    <definedName name="Print_Area_MI" localSheetId="1">'Tribes'!$A$1:$K$196</definedName>
    <definedName name="PRINT_AREA_MI">#REF!</definedName>
    <definedName name="_xlnm.Print_Titles" localSheetId="0">'States'!$1:$6</definedName>
    <definedName name="_xlnm.Print_Titles" localSheetId="1">'Tribes'!$1:$11</definedName>
  </definedNames>
  <calcPr fullCalcOnLoad="1"/>
</workbook>
</file>

<file path=xl/sharedStrings.xml><?xml version="1.0" encoding="utf-8"?>
<sst xmlns="http://schemas.openxmlformats.org/spreadsheetml/2006/main" count="596" uniqueCount="352">
  <si>
    <t>State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</si>
  <si>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</si>
  <si>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</si>
  <si>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</si>
  <si>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</si>
  <si>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</si>
  <si>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</si>
  <si>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</si>
  <si>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</si>
  <si>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</si>
  <si>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</si>
  <si>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</si>
  <si>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</si>
  <si>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</si>
  <si>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</si>
  <si>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</si>
  <si>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</si>
  <si>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</si>
  <si>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</si>
  <si>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</si>
  <si>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</si>
  <si>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</si>
  <si>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</si>
  <si>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</si>
  <si>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</si>
  <si>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</si>
  <si>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</si>
  <si>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</si>
  <si>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</si>
  <si>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</si>
  <si>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</si>
  <si>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</si>
  <si>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</si>
  <si>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</si>
  <si>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</si>
  <si>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</si>
  <si>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</si>
  <si>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</si>
  <si>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</si>
  <si>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</si>
  <si>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</si>
  <si>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</si>
  <si>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</si>
  <si>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</si>
  <si>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</si>
  <si>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</si>
  <si>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</si>
  <si>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</si>
  <si>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</si>
  <si>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</si>
  <si>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</si>
  <si>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</si>
  <si>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Territories</t>
  </si>
  <si>
    <t>Total to States</t>
  </si>
  <si>
    <t>Total</t>
  </si>
  <si>
    <t xml:space="preserve">      Regular Block Grant Funds Only</t>
  </si>
  <si>
    <t>District of Columbia</t>
  </si>
  <si>
    <t>TRIBES</t>
  </si>
  <si>
    <t xml:space="preserve"> T &amp; TA</t>
  </si>
  <si>
    <t>Difference</t>
  </si>
  <si>
    <t>C=Census Count of Eligible Households</t>
  </si>
  <si>
    <t>SOURCE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</si>
  <si>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</si>
  <si>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</si>
  <si>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</si>
  <si>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</si>
  <si>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</si>
  <si>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</si>
  <si>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</si>
  <si>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>C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</si>
  <si>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</si>
  <si>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</si>
  <si>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</si>
  <si>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</si>
  <si>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</si>
  <si>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</si>
  <si>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</si>
  <si>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</si>
  <si>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</si>
  <si>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</si>
  <si>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</si>
  <si>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</si>
  <si>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</si>
  <si>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</si>
  <si>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</si>
  <si>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</si>
  <si>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</si>
  <si>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</si>
  <si>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</si>
  <si>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</si>
  <si>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</si>
  <si>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</si>
  <si>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</si>
  <si>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</si>
  <si>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</si>
  <si>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</si>
  <si>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</si>
  <si>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</si>
  <si>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</si>
  <si>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</si>
  <si>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</si>
  <si>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Smith River Rancheria</t>
  </si>
  <si>
    <t xml:space="preserve">  Sherwood Valley Rancheria</t>
  </si>
  <si>
    <t xml:space="preserve">  S. Cal. Tribal Chairmen's Association</t>
  </si>
  <si>
    <t xml:space="preserve">  Southern Indian Health Council</t>
  </si>
  <si>
    <t xml:space="preserve">  Yurok Tribe</t>
  </si>
  <si>
    <t>A/$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</si>
  <si>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</si>
  <si>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</si>
  <si>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</si>
  <si>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</si>
  <si>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</si>
  <si>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</si>
  <si>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</si>
  <si>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</si>
  <si>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</si>
  <si>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</si>
  <si>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</si>
  <si>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</si>
  <si>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</si>
  <si>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</si>
  <si>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</si>
  <si>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</si>
  <si>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</si>
  <si>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</si>
  <si>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</si>
  <si>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</si>
  <si>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</si>
  <si>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</si>
  <si>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</si>
  <si>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</si>
  <si>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</si>
  <si>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</si>
  <si>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</si>
  <si>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</si>
  <si>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</si>
  <si>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</si>
  <si>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</si>
  <si>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</si>
  <si>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</si>
  <si>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</si>
  <si>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</si>
  <si>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</si>
  <si>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</si>
  <si>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</si>
  <si>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</si>
  <si>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</si>
  <si>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</si>
  <si>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</si>
  <si>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</si>
  <si>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</si>
  <si>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</si>
  <si>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</si>
  <si>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</si>
  <si>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</si>
  <si>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</si>
  <si>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</si>
  <si>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</si>
  <si>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</si>
  <si>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</si>
  <si>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</si>
  <si>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</si>
  <si>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</si>
  <si>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</si>
  <si>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</si>
  <si>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</si>
  <si>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</si>
  <si>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</si>
  <si>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</si>
  <si>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</si>
  <si>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</si>
  <si>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</si>
  <si>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</si>
  <si>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Conf. Tribes of Grand Ronde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</si>
  <si>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</si>
  <si>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</si>
  <si>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</si>
  <si>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</si>
  <si>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</si>
  <si>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</si>
  <si>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</si>
  <si>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</si>
  <si>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</si>
  <si>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</si>
  <si>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</si>
  <si>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</si>
  <si>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</si>
  <si>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</si>
  <si>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</si>
  <si>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</si>
  <si>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</si>
  <si>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</si>
  <si>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</si>
  <si>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</si>
  <si>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</si>
  <si>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</si>
  <si>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</si>
  <si>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</si>
  <si>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</si>
  <si>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</si>
  <si>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</si>
  <si>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</si>
  <si>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</si>
  <si>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</si>
  <si>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</si>
  <si>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</si>
  <si>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</si>
  <si>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 xml:space="preserve"> TOTALS FOR STATES WITH TRIBES FUNDED DIRECTLY BY HHS</t>
  </si>
  <si>
    <t>American Samoa</t>
  </si>
  <si>
    <t>Guam</t>
  </si>
  <si>
    <t>Northern Marianas</t>
  </si>
  <si>
    <t>Puerto Rico</t>
  </si>
  <si>
    <t>Virgin Islands</t>
  </si>
  <si>
    <t>Ratios by Territory</t>
  </si>
  <si>
    <t xml:space="preserve">    A=State/Tribe Agreement On:</t>
  </si>
  <si>
    <t xml:space="preserve">      #=Household Numbers</t>
  </si>
  <si>
    <t>D=Documented Tribal Eligible</t>
  </si>
  <si>
    <t xml:space="preserve">  Household Number </t>
  </si>
  <si>
    <t xml:space="preserve">      $=Dollar Amount</t>
  </si>
  <si>
    <t xml:space="preserve">  Shingle Springs Rancheria</t>
  </si>
  <si>
    <t xml:space="preserve">  Keweenaw Bay Indian Community</t>
  </si>
  <si>
    <t xml:space="preserve">  Pueblo of Jemez</t>
  </si>
  <si>
    <t xml:space="preserve">  Conf. Tribes of Siletz Indians</t>
  </si>
  <si>
    <t>STATE HHLD #</t>
  </si>
  <si>
    <t>TRIBAL HHLD #</t>
  </si>
  <si>
    <t>PERCENTAGE OF STATE SHARE</t>
  </si>
  <si>
    <t>Regular Block Grant Funds Only</t>
  </si>
  <si>
    <t>Leveraging</t>
  </si>
  <si>
    <t xml:space="preserve">  Pueblo of Laguna</t>
  </si>
  <si>
    <t xml:space="preserve">  Wyandotte Nation</t>
  </si>
  <si>
    <t xml:space="preserve">  White Mountain Apache Tribe</t>
  </si>
  <si>
    <t xml:space="preserve">  Tulalip Tribe</t>
  </si>
  <si>
    <t xml:space="preserve">  Yakutat Tlingit Tribe </t>
  </si>
  <si>
    <t xml:space="preserve">  Conf. Tribe of Coos-Lower Umpqua </t>
  </si>
  <si>
    <t xml:space="preserve">  Suquamish Tribe</t>
  </si>
  <si>
    <t xml:space="preserve">  Bishop Paiute</t>
  </si>
  <si>
    <t>Tribal Set-Aside</t>
  </si>
  <si>
    <t>TRIBAL GRANT AMOUNT</t>
  </si>
  <si>
    <t>STATE</t>
  </si>
  <si>
    <t>1ST QTR.</t>
  </si>
  <si>
    <t>2nd QTR.</t>
  </si>
  <si>
    <t>TOTAL</t>
  </si>
  <si>
    <t>3rd QTR.</t>
  </si>
  <si>
    <t>4th QTR.</t>
  </si>
  <si>
    <t>REQUEST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</si>
  <si>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</si>
  <si>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</si>
  <si>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</si>
  <si>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</si>
  <si>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</si>
  <si>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</si>
  <si>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</si>
  <si>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</si>
  <si>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</si>
  <si>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</si>
  <si>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</si>
  <si>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</si>
  <si>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</si>
  <si>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</si>
  <si>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</si>
  <si>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</si>
  <si>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</si>
  <si>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</si>
  <si>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</si>
  <si>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</si>
  <si>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</si>
  <si>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</si>
  <si>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</si>
  <si>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</si>
  <si>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</si>
  <si>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</si>
  <si>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</si>
  <si>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</si>
  <si>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</si>
  <si>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</si>
  <si>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</si>
  <si>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</si>
  <si>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</si>
  <si>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</si>
  <si>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</si>
  <si>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</si>
  <si>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</si>
  <si>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</si>
  <si>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</si>
  <si>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</si>
  <si>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</si>
  <si>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</si>
  <si>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</si>
  <si>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</si>
  <si>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</si>
  <si>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</si>
  <si>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</si>
  <si>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</si>
  <si>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</si>
  <si>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</si>
  <si>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</si>
  <si>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LIHEAP - FY 2008 QUARTERLY ALLOCATION REQUESTS</t>
  </si>
  <si>
    <t>1st and 2nd</t>
  </si>
  <si>
    <t>Quarters</t>
  </si>
  <si>
    <t>1st Quarter LIHEAP Need</t>
  </si>
  <si>
    <t>States</t>
  </si>
  <si>
    <t>Tribes</t>
  </si>
  <si>
    <t xml:space="preserve">       TOTAL</t>
  </si>
  <si>
    <t>Territorial Allocations, Gross State Allocations and State Allocations Net of Tribal Set-asides</t>
  </si>
  <si>
    <t>Allocation Percents</t>
  </si>
  <si>
    <t>Gross Allocations</t>
  </si>
  <si>
    <t xml:space="preserve"> Net Allocations</t>
  </si>
  <si>
    <t>Territory Allocations (Full Year)</t>
  </si>
  <si>
    <t>Territory Allocation Ratio</t>
  </si>
  <si>
    <t>Territorial Allocations</t>
  </si>
  <si>
    <t>Tribal Allocations and State Allocations Net of Tribal Set-asides</t>
  </si>
  <si>
    <t>SOURCE FOR Allocation CALCULATIONS</t>
  </si>
  <si>
    <t xml:space="preserve">      %=Percent of State Allocation</t>
  </si>
  <si>
    <t>STATE GROSS ALLOCATION</t>
  </si>
  <si>
    <t xml:space="preserve">  Kiowa Indian Tribe</t>
  </si>
  <si>
    <t>FY 2008 1st Quarter</t>
  </si>
  <si>
    <t>FY 2008 2nd Quarter</t>
  </si>
  <si>
    <t>FY 2008 3rd Quarter</t>
  </si>
  <si>
    <t>FY 2008 4th Quarter</t>
  </si>
  <si>
    <t>Request</t>
  </si>
  <si>
    <t>Actual</t>
  </si>
  <si>
    <t>Allocation</t>
  </si>
  <si>
    <t>Orig Alloc</t>
  </si>
  <si>
    <t>Diff</t>
  </si>
  <si>
    <t>Net diff.</t>
  </si>
  <si>
    <t>2nd Quarter LIHEAP Need</t>
  </si>
  <si>
    <t>3rd Quarter LIHEAP Need</t>
  </si>
  <si>
    <t>4th Quarter LIHEAP Need</t>
  </si>
  <si>
    <t>Total Allocated</t>
  </si>
  <si>
    <t>T&amp;TA</t>
  </si>
  <si>
    <t>Total from Appropriation</t>
  </si>
  <si>
    <t>Q1</t>
  </si>
  <si>
    <t>Q2</t>
  </si>
  <si>
    <t>Q3</t>
  </si>
  <si>
    <t>Q4</t>
  </si>
  <si>
    <t>Act</t>
  </si>
  <si>
    <t>Act Running Totals</t>
  </si>
  <si>
    <t>Allocation by Percentage</t>
  </si>
  <si>
    <t>Quarter 2 Limit</t>
  </si>
  <si>
    <t>Quarter 3 Limit</t>
  </si>
  <si>
    <t>Quarter 4 Limit</t>
  </si>
  <si>
    <t>Amount from CR</t>
  </si>
  <si>
    <t>Q1 Apportionment Limitation</t>
  </si>
  <si>
    <t xml:space="preserve">  United Cherokee Ani-Yun-Wiya Nation</t>
  </si>
  <si>
    <t xml:space="preserve">  Pueblo of Nambe</t>
  </si>
  <si>
    <t xml:space="preserve">  Kialegee Tribal Town</t>
  </si>
  <si>
    <t>Appropriation amount</t>
  </si>
  <si>
    <t>STATE TRIBAL SET-ASIDE</t>
  </si>
  <si>
    <t>STATE NET ALLOCATION</t>
  </si>
  <si>
    <t>TRIBAL % OF STATE GROSS ALLOCATION</t>
  </si>
  <si>
    <t>2-Jan-08</t>
  </si>
  <si>
    <t>DEA/PE 2-Jan-08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</si>
</sst>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_)"/>
    <numFmt numFmtId="166" formatCode="&quot;$&quot;#,##0.00000000_);\(&quot;$&quot;#,##0.00000000\)"/>
    <numFmt numFmtId="167" formatCode="&quot;$&quot;#,##0"/>
    <numFmt numFmtId="168" formatCode="0.00000000"/>
    <numFmt numFmtId="169" formatCode="0.000%"/>
    <numFmt numFmtId="170" formatCode="0.0000%"/>
    <numFmt numFmtId="171" formatCode="#,##0.0000000000"/>
    <numFmt numFmtId="172" formatCode="0.0%"/>
    <numFmt numFmtId="173" formatCode="0.000000000"/>
    <numFmt numFmtId="174" formatCode="&quot;$&quot;#,##0.000000000_);\(&quot;$&quot;#,##0.000000000\)"/>
    <numFmt numFmtId="175" formatCode="0.000_)"/>
    <numFmt numFmtId="176" formatCode="0.00_)"/>
    <numFmt numFmtId="177" formatCode="0.0000_)"/>
    <numFmt numFmtId="178" formatCode="0.00000_)"/>
    <numFmt numFmtId="179" formatCode="&quot;$&quot;#,##0.000_);\(&quot;$&quot;#,##0.000\)"/>
    <numFmt numFmtId="180" formatCode="00000"/>
    <numFmt numFmtId="181" formatCode="dd\-mmm\-yy"/>
    <numFmt numFmtId="182" formatCode="0.000000000%"/>
    <numFmt numFmtId="183" formatCode="0.00000%"/>
    <numFmt numFmtId="184" formatCode="0.000000%"/>
    <numFmt numFmtId="185" formatCode="dd\-mmm\-yy_)"/>
    <numFmt numFmtId="186" formatCode="General_)"/>
    <numFmt numFmtId="187" formatCode="0.00000000%"/>
    <numFmt numFmtId="188" formatCode="_(* #,##0.0_);_(* \(#,##0.0\);_(* &quot;-&quot;??_);_(@_)"/>
    <numFmt numFmtId="189" formatCode="_(* #,##0_);_(* \(#,##0\);_(* &quot;-&quot;??_);_(@_)"/>
    <numFmt numFmtId="190" formatCode="0.0000000%"/>
    <numFmt numFmtId="191" formatCode="#,##0.00000000_);\(#,##0.00000000\)"/>
    <numFmt numFmtId="192" formatCode="&quot;$&quot;#,##0.0_);\(&quot;$&quot;#,##0.0\)"/>
    <numFmt numFmtId="193" formatCode="&quot;$&quot;#,##0.0000_);\(&quot;$&quot;#,##0.0000\)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#,##0.0000000_);\(#,##0.00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&quot;$&quot;#,##0.000000_);\(&quot;$&quot;#,##0.000000\)"/>
  </numFmts>
  <fonts count="11">
    <font>
      <sz val="10"/>
      <name val="Courier"/>
      <family val="0"/>
    </font>
    <font>
      <sz val="12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7" fontId="6" fillId="0" borderId="0" xfId="23" applyNumberFormat="1" applyFont="1" applyFill="1" applyAlignment="1" applyProtection="1">
      <alignment horizontal="left"/>
      <protection/>
    </xf>
    <xf numFmtId="37" fontId="6" fillId="0" borderId="0" xfId="23" applyNumberFormat="1" applyFont="1" applyFill="1" applyProtection="1">
      <alignment/>
      <protection/>
    </xf>
    <xf numFmtId="37" fontId="6" fillId="0" borderId="0" xfId="23" applyNumberFormat="1" applyFont="1" applyFill="1" applyAlignment="1" applyProtection="1">
      <alignment horizontal="center"/>
      <protection/>
    </xf>
    <xf numFmtId="5" fontId="6" fillId="0" borderId="0" xfId="23" applyNumberFormat="1" applyFont="1" applyFill="1" applyProtection="1">
      <alignment/>
      <protection/>
    </xf>
    <xf numFmtId="184" fontId="6" fillId="0" borderId="0" xfId="23" applyNumberFormat="1" applyFont="1" applyFill="1" applyAlignment="1" applyProtection="1">
      <alignment horizontal="right"/>
      <protection/>
    </xf>
    <xf numFmtId="37" fontId="5" fillId="0" borderId="0" xfId="22" applyFont="1" applyFill="1">
      <alignment/>
      <protection/>
    </xf>
    <xf numFmtId="0" fontId="8" fillId="0" borderId="0" xfId="21" applyFont="1" applyFill="1" applyAlignment="1" applyProtection="1">
      <alignment horizontal="center" vertical="top"/>
      <protection/>
    </xf>
    <xf numFmtId="0" fontId="6" fillId="0" borderId="0" xfId="0" applyFont="1" applyFill="1" applyAlignment="1">
      <alignment/>
    </xf>
    <xf numFmtId="184" fontId="6" fillId="0" borderId="0" xfId="23" applyNumberFormat="1" applyFont="1" applyFill="1" applyProtection="1">
      <alignment/>
      <protection/>
    </xf>
    <xf numFmtId="37" fontId="6" fillId="0" borderId="0" xfId="23" applyFont="1" applyFill="1">
      <alignment/>
      <protection/>
    </xf>
    <xf numFmtId="37" fontId="5" fillId="0" borderId="0" xfId="23" applyNumberFormat="1" applyFont="1" applyFill="1" applyAlignment="1" applyProtection="1">
      <alignment horizontal="left"/>
      <protection/>
    </xf>
    <xf numFmtId="15" fontId="7" fillId="0" borderId="0" xfId="0" applyNumberFormat="1" applyFont="1" applyFill="1" applyAlignment="1">
      <alignment horizontal="left"/>
    </xf>
    <xf numFmtId="37" fontId="5" fillId="0" borderId="0" xfId="23" applyFont="1" applyFill="1">
      <alignment/>
      <protection/>
    </xf>
    <xf numFmtId="37" fontId="6" fillId="0" borderId="0" xfId="23" applyFont="1" applyFill="1" applyBorder="1">
      <alignment/>
      <protection/>
    </xf>
    <xf numFmtId="184" fontId="6" fillId="0" borderId="0" xfId="23" applyNumberFormat="1" applyFont="1" applyFill="1">
      <alignment/>
      <protection/>
    </xf>
    <xf numFmtId="3" fontId="6" fillId="0" borderId="0" xfId="23" applyNumberFormat="1" applyFont="1" applyFill="1" applyProtection="1">
      <alignment/>
      <protection/>
    </xf>
    <xf numFmtId="37" fontId="6" fillId="0" borderId="0" xfId="23" applyFont="1" applyFill="1" applyAlignment="1">
      <alignment horizontal="right"/>
      <protection/>
    </xf>
    <xf numFmtId="5" fontId="6" fillId="0" borderId="0" xfId="23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170" fontId="6" fillId="0" borderId="0" xfId="23" applyNumberFormat="1" applyFont="1" applyFill="1" applyProtection="1">
      <alignment/>
      <protection/>
    </xf>
    <xf numFmtId="170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 applyAlignment="1" applyProtection="1">
      <alignment horizontal="left"/>
      <protection/>
    </xf>
    <xf numFmtId="184" fontId="6" fillId="0" borderId="0" xfId="23" applyNumberFormat="1" applyFont="1" applyFill="1" applyAlignment="1" applyProtection="1">
      <alignment horizontal="left"/>
      <protection/>
    </xf>
    <xf numFmtId="37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 applyAlignment="1" applyProtection="1">
      <alignment horizontal="right"/>
      <protection/>
    </xf>
    <xf numFmtId="184" fontId="6" fillId="0" borderId="0" xfId="0" applyNumberFormat="1" applyFont="1" applyFill="1" applyAlignment="1" applyProtection="1">
      <alignment/>
      <protection/>
    </xf>
    <xf numFmtId="37" fontId="6" fillId="0" borderId="1" xfId="23" applyNumberFormat="1" applyFont="1" applyFill="1" applyBorder="1" applyAlignment="1" applyProtection="1">
      <alignment horizontal="left"/>
      <protection/>
    </xf>
    <xf numFmtId="37" fontId="6" fillId="0" borderId="1" xfId="23" applyFont="1" applyFill="1" applyBorder="1">
      <alignment/>
      <protection/>
    </xf>
    <xf numFmtId="5" fontId="6" fillId="0" borderId="1" xfId="23" applyNumberFormat="1" applyFont="1" applyFill="1" applyBorder="1" applyProtection="1">
      <alignment/>
      <protection/>
    </xf>
    <xf numFmtId="37" fontId="6" fillId="0" borderId="0" xfId="22" applyFont="1" applyFill="1">
      <alignment/>
      <protection/>
    </xf>
    <xf numFmtId="164" fontId="6" fillId="0" borderId="0" xfId="23" applyNumberFormat="1" applyFont="1" applyFill="1" applyProtection="1">
      <alignment/>
      <protection/>
    </xf>
    <xf numFmtId="3" fontId="6" fillId="0" borderId="0" xfId="0" applyNumberFormat="1" applyFont="1" applyFill="1" applyAlignment="1">
      <alignment/>
    </xf>
    <xf numFmtId="37" fontId="6" fillId="0" borderId="0" xfId="23" applyFont="1" applyFill="1" applyAlignment="1" quotePrefix="1">
      <alignment horizontal="right"/>
      <protection/>
    </xf>
    <xf numFmtId="5" fontId="6" fillId="0" borderId="0" xfId="22" applyNumberFormat="1" applyFont="1" applyFill="1" applyProtection="1">
      <alignment/>
      <protection/>
    </xf>
    <xf numFmtId="5" fontId="6" fillId="0" borderId="0" xfId="22" applyNumberFormat="1" applyFont="1" applyFill="1">
      <alignment/>
      <protection/>
    </xf>
    <xf numFmtId="5" fontId="6" fillId="0" borderId="0" xfId="22" applyNumberFormat="1" applyFont="1" applyFill="1" applyBorder="1" applyProtection="1">
      <alignment/>
      <protection/>
    </xf>
    <xf numFmtId="37" fontId="6" fillId="0" borderId="0" xfId="22" applyFont="1" applyFill="1" applyBorder="1" applyAlignment="1">
      <alignment horizontal="left"/>
      <protection/>
    </xf>
    <xf numFmtId="37" fontId="6" fillId="0" borderId="0" xfId="22" applyFont="1" applyFill="1" applyBorder="1">
      <alignment/>
      <protection/>
    </xf>
    <xf numFmtId="9" fontId="6" fillId="0" borderId="0" xfId="25" applyNumberFormat="1" applyFont="1" applyFill="1" applyBorder="1" applyAlignment="1">
      <alignment/>
    </xf>
    <xf numFmtId="5" fontId="5" fillId="0" borderId="0" xfId="22" applyNumberFormat="1" applyFont="1" applyFill="1" applyBorder="1">
      <alignment/>
      <protection/>
    </xf>
    <xf numFmtId="0" fontId="5" fillId="0" borderId="0" xfId="0" applyFont="1" applyFill="1" applyAlignment="1">
      <alignment wrapText="1"/>
    </xf>
    <xf numFmtId="37" fontId="6" fillId="0" borderId="0" xfId="23" applyFont="1" applyFill="1" applyBorder="1" applyAlignment="1">
      <alignment horizontal="center" wrapText="1"/>
      <protection/>
    </xf>
    <xf numFmtId="170" fontId="6" fillId="0" borderId="0" xfId="23" applyNumberFormat="1" applyFont="1" applyFill="1">
      <alignment/>
      <protection/>
    </xf>
    <xf numFmtId="167" fontId="6" fillId="0" borderId="0" xfId="22" applyNumberFormat="1" applyFont="1" applyFill="1" applyProtection="1">
      <alignment/>
      <protection/>
    </xf>
    <xf numFmtId="37" fontId="6" fillId="0" borderId="0" xfId="22" applyNumberFormat="1" applyFont="1" applyFill="1" applyAlignment="1" applyProtection="1">
      <alignment horizontal="left"/>
      <protection/>
    </xf>
    <xf numFmtId="37" fontId="5" fillId="0" borderId="0" xfId="22" applyFont="1" applyFill="1" applyAlignment="1">
      <alignment horizontal="right"/>
      <protection/>
    </xf>
    <xf numFmtId="37" fontId="6" fillId="0" borderId="2" xfId="22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6" fillId="0" borderId="0" xfId="22" applyNumberFormat="1" applyFont="1" applyFill="1" applyProtection="1">
      <alignment/>
      <protection/>
    </xf>
    <xf numFmtId="5" fontId="5" fillId="0" borderId="0" xfId="22" applyNumberFormat="1" applyFont="1" applyFill="1" applyProtection="1">
      <alignment/>
      <protection/>
    </xf>
    <xf numFmtId="37" fontId="6" fillId="0" borderId="3" xfId="22" applyNumberFormat="1" applyFont="1" applyFill="1" applyBorder="1" applyAlignment="1" applyProtection="1">
      <alignment horizontal="left"/>
      <protection/>
    </xf>
    <xf numFmtId="164" fontId="6" fillId="0" borderId="3" xfId="22" applyNumberFormat="1" applyFont="1" applyFill="1" applyBorder="1" applyProtection="1">
      <alignment/>
      <protection/>
    </xf>
    <xf numFmtId="5" fontId="6" fillId="0" borderId="3" xfId="22" applyNumberFormat="1" applyFont="1" applyFill="1" applyBorder="1" applyProtection="1">
      <alignment/>
      <protection/>
    </xf>
    <xf numFmtId="37" fontId="6" fillId="0" borderId="0" xfId="22" applyNumberFormat="1" applyFont="1" applyFill="1" applyAlignment="1" applyProtection="1">
      <alignment horizontal="center"/>
      <protection/>
    </xf>
    <xf numFmtId="37" fontId="6" fillId="0" borderId="0" xfId="22" applyNumberFormat="1" applyFont="1" applyFill="1" applyBorder="1" applyAlignment="1" applyProtection="1">
      <alignment horizontal="left" wrapText="1"/>
      <protection/>
    </xf>
    <xf numFmtId="37" fontId="5" fillId="0" borderId="2" xfId="22" applyNumberFormat="1" applyFont="1" applyFill="1" applyBorder="1" applyAlignment="1" applyProtection="1">
      <alignment horizontal="center" wrapText="1"/>
      <protection/>
    </xf>
    <xf numFmtId="37" fontId="6" fillId="0" borderId="0" xfId="22" applyNumberFormat="1" applyFont="1" applyFill="1" applyBorder="1" applyAlignment="1" applyProtection="1">
      <alignment/>
      <protection/>
    </xf>
    <xf numFmtId="37" fontId="6" fillId="0" borderId="0" xfId="22" applyNumberFormat="1" applyFont="1" applyFill="1" applyBorder="1" applyAlignment="1" applyProtection="1">
      <alignment horizontal="left"/>
      <protection/>
    </xf>
    <xf numFmtId="191" fontId="6" fillId="0" borderId="0" xfId="22" applyNumberFormat="1" applyFont="1" applyFill="1" applyBorder="1" applyProtection="1">
      <alignment/>
      <protection/>
    </xf>
    <xf numFmtId="37" fontId="6" fillId="0" borderId="0" xfId="22" applyNumberFormat="1" applyFont="1" applyFill="1" applyBorder="1" applyAlignment="1" applyProtection="1">
      <alignment horizontal="left" indent="1"/>
      <protection/>
    </xf>
    <xf numFmtId="37" fontId="6" fillId="0" borderId="0" xfId="22" applyNumberFormat="1" applyFont="1" applyFill="1" applyBorder="1" applyAlignment="1" applyProtection="1">
      <alignment horizontal="left" wrapText="1" indent="2"/>
      <protection/>
    </xf>
    <xf numFmtId="37" fontId="6" fillId="0" borderId="0" xfId="22" applyNumberFormat="1" applyFont="1" applyFill="1" applyBorder="1" applyAlignment="1" applyProtection="1">
      <alignment wrapText="1"/>
      <protection/>
    </xf>
    <xf numFmtId="37" fontId="6" fillId="0" borderId="1" xfId="22" applyNumberFormat="1" applyFont="1" applyFill="1" applyBorder="1" applyAlignment="1" applyProtection="1">
      <alignment horizontal="center"/>
      <protection/>
    </xf>
    <xf numFmtId="37" fontId="6" fillId="0" borderId="1" xfId="22" applyNumberFormat="1" applyFont="1" applyFill="1" applyBorder="1" applyAlignment="1" applyProtection="1">
      <alignment horizontal="left"/>
      <protection/>
    </xf>
    <xf numFmtId="5" fontId="5" fillId="0" borderId="1" xfId="22" applyNumberFormat="1" applyFont="1" applyFill="1" applyBorder="1" applyProtection="1">
      <alignment/>
      <protection/>
    </xf>
    <xf numFmtId="37" fontId="6" fillId="0" borderId="0" xfId="23" applyNumberFormat="1" applyFont="1" applyFill="1" applyBorder="1" applyAlignment="1" applyProtection="1">
      <alignment horizontal="center" wrapText="1"/>
      <protection/>
    </xf>
    <xf numFmtId="9" fontId="6" fillId="0" borderId="0" xfId="25" applyNumberFormat="1" applyFont="1" applyAlignment="1">
      <alignment/>
    </xf>
    <xf numFmtId="9" fontId="6" fillId="0" borderId="0" xfId="25" applyNumberFormat="1" applyFont="1" applyAlignment="1">
      <alignment horizontal="center"/>
    </xf>
    <xf numFmtId="167" fontId="5" fillId="0" borderId="0" xfId="22" applyNumberFormat="1" applyFont="1" applyFill="1" applyProtection="1">
      <alignment/>
      <protection/>
    </xf>
    <xf numFmtId="37" fontId="5" fillId="0" borderId="0" xfId="22" applyFont="1" applyFill="1" applyBorder="1">
      <alignment/>
      <protection/>
    </xf>
    <xf numFmtId="5" fontId="6" fillId="0" borderId="1" xfId="22" applyNumberFormat="1" applyFont="1" applyFill="1" applyBorder="1" applyProtection="1">
      <alignment/>
      <protection/>
    </xf>
    <xf numFmtId="9" fontId="6" fillId="0" borderId="1" xfId="25" applyNumberFormat="1" applyFont="1" applyFill="1" applyBorder="1" applyAlignment="1">
      <alignment/>
    </xf>
    <xf numFmtId="9" fontId="6" fillId="0" borderId="0" xfId="22" applyNumberFormat="1" applyFont="1" applyFill="1">
      <alignment/>
      <protection/>
    </xf>
    <xf numFmtId="5" fontId="5" fillId="0" borderId="0" xfId="22" applyNumberFormat="1" applyFont="1" applyFill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>
      <alignment/>
      <protection/>
    </xf>
    <xf numFmtId="9" fontId="6" fillId="0" borderId="0" xfId="24" applyNumberFormat="1" applyFont="1">
      <alignment/>
      <protection/>
    </xf>
    <xf numFmtId="9" fontId="6" fillId="0" borderId="0" xfId="25" applyFont="1" applyFill="1" applyAlignment="1">
      <alignment/>
    </xf>
    <xf numFmtId="37" fontId="5" fillId="0" borderId="0" xfId="23" applyNumberFormat="1" applyFont="1" applyFill="1" applyBorder="1" applyAlignment="1" applyProtection="1">
      <alignment horizontal="center" wrapText="1"/>
      <protection/>
    </xf>
    <xf numFmtId="0" fontId="10" fillId="0" borderId="0" xfId="21" applyFont="1" applyFill="1" applyAlignment="1" applyProtection="1">
      <alignment horizontal="center" vertical="top"/>
      <protection/>
    </xf>
    <xf numFmtId="5" fontId="5" fillId="0" borderId="0" xfId="23" applyNumberFormat="1" applyFont="1" applyFill="1" applyProtection="1">
      <alignment/>
      <protection/>
    </xf>
    <xf numFmtId="5" fontId="5" fillId="0" borderId="1" xfId="23" applyNumberFormat="1" applyFont="1" applyFill="1" applyBorder="1" applyProtection="1">
      <alignment/>
      <protection/>
    </xf>
    <xf numFmtId="37" fontId="6" fillId="0" borderId="2" xfId="22" applyNumberFormat="1" applyFont="1" applyFill="1" applyBorder="1" applyAlignment="1" applyProtection="1">
      <alignment horizontal="center" wrapText="1"/>
      <protection/>
    </xf>
    <xf numFmtId="37" fontId="6" fillId="0" borderId="0" xfId="0" applyNumberFormat="1" applyFont="1" applyFill="1" applyAlignment="1" applyProtection="1">
      <alignment horizontal="left"/>
      <protection/>
    </xf>
    <xf numFmtId="5" fontId="5" fillId="0" borderId="0" xfId="22" applyNumberFormat="1" applyFont="1" applyFill="1" applyBorder="1" applyProtection="1">
      <alignment/>
      <protection/>
    </xf>
    <xf numFmtId="37" fontId="5" fillId="0" borderId="0" xfId="22" applyFont="1" applyFill="1" applyBorder="1" applyAlignment="1">
      <alignment horizontal="center"/>
      <protection/>
    </xf>
    <xf numFmtId="37" fontId="6" fillId="0" borderId="0" xfId="22" applyFont="1" applyFill="1" applyBorder="1" applyAlignment="1">
      <alignment horizontal="center"/>
      <protection/>
    </xf>
    <xf numFmtId="37" fontId="5" fillId="0" borderId="0" xfId="22" applyFont="1" applyFill="1" applyAlignment="1">
      <alignment wrapText="1"/>
      <protection/>
    </xf>
    <xf numFmtId="0" fontId="6" fillId="0" borderId="0" xfId="0" applyFont="1" applyFill="1" applyBorder="1" applyAlignment="1">
      <alignment horizontal="center" wrapText="1"/>
    </xf>
    <xf numFmtId="9" fontId="6" fillId="0" borderId="0" xfId="25" applyFont="1" applyFill="1" applyAlignment="1">
      <alignment horizontal="left"/>
    </xf>
    <xf numFmtId="37" fontId="6" fillId="0" borderId="0" xfId="23" applyFont="1" applyFill="1" applyAlignment="1">
      <alignment wrapText="1"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wrapText="1"/>
    </xf>
    <xf numFmtId="37" fontId="6" fillId="0" borderId="0" xfId="22" applyFont="1" applyFill="1" applyAlignment="1">
      <alignment horizontal="center"/>
      <protection/>
    </xf>
    <xf numFmtId="37" fontId="5" fillId="0" borderId="2" xfId="22" applyNumberFormat="1" applyFont="1" applyFill="1" applyBorder="1" applyAlignment="1" applyProtection="1">
      <alignment horizontal="center"/>
      <protection/>
    </xf>
    <xf numFmtId="37" fontId="5" fillId="0" borderId="0" xfId="22" applyNumberFormat="1" applyFont="1" applyFill="1" applyAlignment="1" applyProtection="1">
      <alignment horizontal="left"/>
      <protection/>
    </xf>
    <xf numFmtId="5" fontId="5" fillId="0" borderId="3" xfId="22" applyNumberFormat="1" applyFont="1" applyFill="1" applyBorder="1" applyProtection="1">
      <alignment/>
      <protection/>
    </xf>
    <xf numFmtId="5" fontId="5" fillId="0" borderId="0" xfId="23" applyNumberFormat="1" applyFont="1" applyFill="1" applyAlignment="1" applyProtection="1">
      <alignment horizontal="right"/>
      <protection/>
    </xf>
    <xf numFmtId="170" fontId="6" fillId="2" borderId="0" xfId="23" applyNumberFormat="1" applyFont="1" applyFill="1">
      <alignment/>
      <protection/>
    </xf>
    <xf numFmtId="37" fontId="5" fillId="0" borderId="0" xfId="22" applyFont="1" applyFill="1" applyBorder="1" applyAlignment="1">
      <alignment horizontal="center"/>
      <protection/>
    </xf>
    <xf numFmtId="37" fontId="6" fillId="0" borderId="0" xfId="22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6" fillId="0" borderId="0" xfId="24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$0.25B-1B_BG" xfId="21"/>
    <cellStyle name="Normal_2005-LIHEAP Allocations-$1.884B-FINAL" xfId="22"/>
    <cellStyle name="Normal_2006-LIHEAP Alloc-$2 0B (2)" xfId="23"/>
    <cellStyle name="Normal_2008_Quarterly_Requests_Updated_092007" xfId="24"/>
    <cellStyle name="Percent" xfId="25"/>
  </cellStyles>
  <dxfs count="2">
    <dxf>
      <fill>
        <patternFill>
          <bgColor rgb="FFFF99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delman\Local%20Settings\Temporary%20Internet%20Files\OLKF6D\Updated_tribe_tracking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_trib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8" sqref="C68"/>
    </sheetView>
  </sheetViews>
  <sheetFormatPr defaultColWidth="9.00390625" defaultRowHeight="12.75"/>
  <cols>
    <col min="1" max="1" width="30.375" style="30" bestFit="1" customWidth="1"/>
    <col min="2" max="2" width="18.625" style="30" bestFit="1" customWidth="1"/>
    <col min="3" max="3" width="21.00390625" style="30" customWidth="1"/>
    <col min="4" max="4" width="17.375" style="30" bestFit="1" customWidth="1"/>
    <col min="5" max="5" width="17.25390625" style="30" customWidth="1"/>
    <col min="6" max="6" width="14.625" style="30" hidden="1" customWidth="1"/>
    <col min="7" max="7" width="15.25390625" style="30" hidden="1" customWidth="1"/>
    <col min="8" max="8" width="13.25390625" style="30" hidden="1" customWidth="1"/>
    <col min="9" max="9" width="15.25390625" style="30" hidden="1" customWidth="1"/>
    <col min="10" max="10" width="9.75390625" style="30" hidden="1" customWidth="1"/>
    <col min="11" max="11" width="11.125" style="30" hidden="1" customWidth="1"/>
    <col min="12" max="12" width="15.25390625" style="30" hidden="1" customWidth="1"/>
    <col min="13" max="13" width="9.75390625" style="30" hidden="1" customWidth="1"/>
    <col min="14" max="14" width="10.25390625" style="30" hidden="1" customWidth="1"/>
    <col min="15" max="15" width="15.25390625" style="30" hidden="1" customWidth="1"/>
    <col min="16" max="16" width="6.375" style="30" hidden="1" customWidth="1"/>
    <col min="17" max="17" width="16.125" style="30" hidden="1" customWidth="1"/>
    <col min="18" max="19" width="12.50390625" style="30" hidden="1" customWidth="1"/>
    <col min="20" max="20" width="3.25390625" style="30" hidden="1" customWidth="1"/>
    <col min="21" max="21" width="11.625" style="30" hidden="1" customWidth="1"/>
    <col min="22" max="22" width="12.50390625" style="30" hidden="1" customWidth="1"/>
    <col min="23" max="23" width="11.125" style="30" hidden="1" customWidth="1"/>
    <col min="24" max="24" width="10.25390625" style="30" hidden="1" customWidth="1"/>
    <col min="25" max="38" width="8.875" style="30" hidden="1" customWidth="1"/>
    <col min="39" max="16384" width="8.875" style="30" customWidth="1"/>
  </cols>
  <sheetData>
    <row r="1" spans="1:8" s="6" customFormat="1" ht="12.75" customHeight="1">
      <c r="A1" s="104" t="str">
        <f>"FY 2008 Low Income Home Energy Assistance Program (LIHEAP) State and Territory Allocations at "&amp;TEXT($B$3/1000000000,"$0.00")&amp;" Billion"</f>
        <v>FY 2008 Low Income Home Energy Assistance Program (LIHEAP) State and Territory Allocations at $1.98 Billion</v>
      </c>
      <c r="B1" s="104"/>
      <c r="C1" s="104"/>
      <c r="D1" s="104"/>
      <c r="E1" s="104"/>
      <c r="F1" s="41"/>
      <c r="G1" s="41"/>
      <c r="H1" s="41"/>
    </row>
    <row r="2" spans="1:8" ht="14.25" customHeight="1">
      <c r="A2" s="105" t="s">
        <v>303</v>
      </c>
      <c r="B2" s="105"/>
      <c r="C2" s="105"/>
      <c r="D2" s="105"/>
      <c r="E2" s="105"/>
      <c r="F2" s="95"/>
      <c r="G2" s="96" t="s">
        <v>342</v>
      </c>
      <c r="H2" s="95"/>
    </row>
    <row r="3" spans="1:16" ht="12.75">
      <c r="A3" s="6" t="s">
        <v>346</v>
      </c>
      <c r="B3" s="70">
        <v>1980000351.18</v>
      </c>
      <c r="C3" s="45" t="s">
        <v>55</v>
      </c>
      <c r="G3" s="91">
        <v>0.75</v>
      </c>
      <c r="I3" s="30" t="s">
        <v>338</v>
      </c>
      <c r="J3" s="79">
        <v>1</v>
      </c>
      <c r="L3" s="30" t="s">
        <v>339</v>
      </c>
      <c r="M3" s="79">
        <f>J3</f>
        <v>1</v>
      </c>
      <c r="O3" s="30" t="s">
        <v>340</v>
      </c>
      <c r="P3" s="79">
        <v>1</v>
      </c>
    </row>
    <row r="4" spans="1:33" ht="15" customHeight="1">
      <c r="A4" s="33" t="s">
        <v>350</v>
      </c>
      <c r="C4" s="45"/>
      <c r="E4" s="46"/>
      <c r="F4" s="103" t="s">
        <v>315</v>
      </c>
      <c r="G4" s="103"/>
      <c r="H4" s="103"/>
      <c r="I4" s="103" t="s">
        <v>316</v>
      </c>
      <c r="J4" s="103"/>
      <c r="K4" s="103"/>
      <c r="L4" s="103" t="s">
        <v>317</v>
      </c>
      <c r="M4" s="103"/>
      <c r="N4" s="103"/>
      <c r="O4" s="103" t="s">
        <v>318</v>
      </c>
      <c r="P4" s="103"/>
      <c r="Q4" s="103"/>
      <c r="R4" s="88"/>
      <c r="S4" s="88"/>
      <c r="AB4" s="30" t="s">
        <v>335</v>
      </c>
      <c r="AC4" s="30" t="s">
        <v>335</v>
      </c>
      <c r="AD4" s="30" t="s">
        <v>335</v>
      </c>
      <c r="AE4" s="30" t="s">
        <v>335</v>
      </c>
      <c r="AG4" s="30" t="s">
        <v>336</v>
      </c>
    </row>
    <row r="5" spans="1:36" ht="25.5">
      <c r="A5" s="47" t="s">
        <v>0</v>
      </c>
      <c r="B5" s="47" t="s">
        <v>304</v>
      </c>
      <c r="C5" s="97" t="s">
        <v>305</v>
      </c>
      <c r="D5" s="48" t="s">
        <v>236</v>
      </c>
      <c r="E5" s="49" t="s">
        <v>306</v>
      </c>
      <c r="F5" s="48" t="s">
        <v>319</v>
      </c>
      <c r="G5" s="48" t="s">
        <v>320</v>
      </c>
      <c r="H5" s="49" t="s">
        <v>321</v>
      </c>
      <c r="I5" s="48" t="s">
        <v>319</v>
      </c>
      <c r="J5" s="48" t="s">
        <v>320</v>
      </c>
      <c r="K5" s="49" t="s">
        <v>321</v>
      </c>
      <c r="L5" s="48" t="s">
        <v>319</v>
      </c>
      <c r="M5" s="48" t="s">
        <v>320</v>
      </c>
      <c r="N5" s="49" t="s">
        <v>321</v>
      </c>
      <c r="O5" s="48" t="s">
        <v>319</v>
      </c>
      <c r="P5" s="48" t="s">
        <v>320</v>
      </c>
      <c r="Q5" s="49" t="s">
        <v>321</v>
      </c>
      <c r="R5" s="90" t="s">
        <v>337</v>
      </c>
      <c r="S5" s="90" t="s">
        <v>59</v>
      </c>
      <c r="U5" s="48" t="s">
        <v>319</v>
      </c>
      <c r="V5" s="48" t="s">
        <v>320</v>
      </c>
      <c r="W5" s="49" t="s">
        <v>321</v>
      </c>
      <c r="X5" s="30" t="s">
        <v>322</v>
      </c>
      <c r="Y5" s="30" t="s">
        <v>323</v>
      </c>
      <c r="AB5" s="30" t="s">
        <v>331</v>
      </c>
      <c r="AC5" s="30" t="s">
        <v>332</v>
      </c>
      <c r="AD5" s="30" t="s">
        <v>333</v>
      </c>
      <c r="AE5" s="30" t="s">
        <v>334</v>
      </c>
      <c r="AG5" s="30" t="s">
        <v>331</v>
      </c>
      <c r="AH5" s="30" t="s">
        <v>332</v>
      </c>
      <c r="AI5" s="30" t="s">
        <v>333</v>
      </c>
      <c r="AJ5" s="30" t="s">
        <v>334</v>
      </c>
    </row>
    <row r="6" spans="3:19" ht="12.75">
      <c r="C6" s="98"/>
      <c r="E6" s="6"/>
      <c r="F6" s="38"/>
      <c r="G6" s="38"/>
      <c r="H6" s="71"/>
      <c r="K6" s="71"/>
      <c r="N6" s="71"/>
      <c r="Q6" s="71"/>
      <c r="R6" s="38"/>
      <c r="S6" s="38"/>
    </row>
    <row r="7" spans="1:38" ht="12.75">
      <c r="A7" s="45" t="s">
        <v>2</v>
      </c>
      <c r="B7" s="50">
        <v>0.00860045</v>
      </c>
      <c r="C7" s="51">
        <f>ROUND(B7*$B$67,0)</f>
        <v>16773581</v>
      </c>
      <c r="D7" s="34">
        <f>Tribes!H12</f>
        <v>105590</v>
      </c>
      <c r="E7" s="51">
        <f aca="true" t="shared" si="0" ref="E7:E38">C7-D7</f>
        <v>16667991</v>
      </c>
      <c r="F7" s="39">
        <f>Alloc_Req08!C7</f>
        <v>0.45</v>
      </c>
      <c r="G7" s="39">
        <f aca="true" t="shared" si="1" ref="G7:G38">MIN(F7,$G$3)</f>
        <v>0.45</v>
      </c>
      <c r="H7" s="51">
        <f>ROUND($E7*G7,0)</f>
        <v>7500596</v>
      </c>
      <c r="I7" s="74">
        <f>Alloc_Req08!D7</f>
        <v>0.45</v>
      </c>
      <c r="J7" s="74">
        <f>MIN(SUMIF($F$5:I$5,I$5,$F7:I7),J$3)-SUMIF($G$5:G$5,J$5,$G7:G7)</f>
        <v>0.45</v>
      </c>
      <c r="K7" s="51">
        <f>ROUND($E7*J7,0)</f>
        <v>7500596</v>
      </c>
      <c r="L7" s="74">
        <f>Alloc_Req08!F7</f>
        <v>0.1</v>
      </c>
      <c r="M7" s="74">
        <f>MIN(SUMIF($F$5:L$5,L$5,$F7:L7),M$3)-SUMIF($G$5:J$5,M$5,$G7:J7)</f>
        <v>0.09999999999999998</v>
      </c>
      <c r="N7" s="51">
        <f>ROUND($E7*M7,0)</f>
        <v>1666799</v>
      </c>
      <c r="O7" s="74">
        <f>Alloc_Req08!G7</f>
        <v>0</v>
      </c>
      <c r="P7" s="74">
        <f>P$3-(SUMIF($G$5:M$5,P$5,$G7:M7))</f>
        <v>0</v>
      </c>
      <c r="Q7" s="51">
        <f>E7-SUMIF($H$5:$N$5,Q$5,H7:N7)</f>
        <v>0</v>
      </c>
      <c r="R7" s="34">
        <f>ROUND($E7*P7,0)</f>
        <v>0</v>
      </c>
      <c r="S7" s="34">
        <f>Q7-R7</f>
        <v>0</v>
      </c>
      <c r="U7" s="74">
        <f>SUMIF($F$5:$Q$5,U$5,$F7:$Q7)</f>
        <v>1</v>
      </c>
      <c r="V7" s="74">
        <f>SUMIF($F$5:$Q$5,V$5,$F7:$Q7)</f>
        <v>1</v>
      </c>
      <c r="W7" s="51">
        <f>SUMIF($F$5:$Q$5,W$5,$F7:$Q7)</f>
        <v>16667991</v>
      </c>
      <c r="X7" s="30">
        <f>E7</f>
        <v>16667991</v>
      </c>
      <c r="Y7" s="30">
        <f>W7-X7</f>
        <v>0</v>
      </c>
      <c r="AB7" s="74">
        <f>G7</f>
        <v>0.45</v>
      </c>
      <c r="AC7" s="74">
        <f>J7</f>
        <v>0.45</v>
      </c>
      <c r="AD7" s="74">
        <f>M7</f>
        <v>0.09999999999999998</v>
      </c>
      <c r="AE7" s="74">
        <f>P7</f>
        <v>0</v>
      </c>
      <c r="AG7" s="74">
        <f>SUM($AB7:AB7)</f>
        <v>0.45</v>
      </c>
      <c r="AH7" s="74">
        <f>SUM($AB7:AC7)</f>
        <v>0.9</v>
      </c>
      <c r="AI7" s="74">
        <f>SUM($AB7:AD7)</f>
        <v>1</v>
      </c>
      <c r="AJ7" s="74">
        <f>SUM($AB7:AE7)</f>
        <v>1</v>
      </c>
      <c r="AL7" s="30" t="b">
        <f>AND(AND(Q7&gt;-10,Q7&lt;10),Q7&lt;&gt;0)</f>
        <v>0</v>
      </c>
    </row>
    <row r="8" spans="1:38" ht="12.75">
      <c r="A8" s="45" t="s">
        <v>3</v>
      </c>
      <c r="B8" s="50">
        <v>0.00548986</v>
      </c>
      <c r="C8" s="51">
        <f aca="true" t="shared" si="2" ref="C8:C38">ROUND(+B8*$B$67,0)</f>
        <v>10706953</v>
      </c>
      <c r="D8" s="34">
        <f>Tribes!H17</f>
        <v>3287034</v>
      </c>
      <c r="E8" s="51">
        <f t="shared" si="0"/>
        <v>7419919</v>
      </c>
      <c r="F8" s="39">
        <f>Alloc_Req08!C8</f>
        <v>0.5</v>
      </c>
      <c r="G8" s="39">
        <f t="shared" si="1"/>
        <v>0.5</v>
      </c>
      <c r="H8" s="51">
        <f aca="true" t="shared" si="3" ref="H8:H57">ROUND($E8*G8,0)</f>
        <v>3709960</v>
      </c>
      <c r="I8" s="74">
        <f>Alloc_Req08!D8</f>
        <v>0.3</v>
      </c>
      <c r="J8" s="74">
        <f>MIN(SUMIF($F$5:I$5,I$5,$F8:I8),J$3)-SUMIF($G$5:G$5,J$5,$G8:G8)</f>
        <v>0.30000000000000004</v>
      </c>
      <c r="K8" s="51">
        <f aca="true" t="shared" si="4" ref="K8:K57">ROUND($E8*J8,0)</f>
        <v>2225976</v>
      </c>
      <c r="L8" s="74">
        <f>Alloc_Req08!F8</f>
        <v>0.1</v>
      </c>
      <c r="M8" s="74">
        <f>MIN(SUMIF($F$5:L$5,L$5,$F8:L8),M$3)-SUMIF($G$5:J$5,M$5,$G8:J8)</f>
        <v>0.09999999999999998</v>
      </c>
      <c r="N8" s="51">
        <f aca="true" t="shared" si="5" ref="N8:N57">ROUND($E8*M8,0)</f>
        <v>741992</v>
      </c>
      <c r="O8" s="74">
        <f>Alloc_Req08!G8</f>
        <v>0.1</v>
      </c>
      <c r="P8" s="74">
        <f>P$3-(SUMIF($G$5:M$5,P$5,$G8:M8))</f>
        <v>0.09999999999999998</v>
      </c>
      <c r="Q8" s="51">
        <f aca="true" t="shared" si="6" ref="Q8:Q42">E8-SUMIF($H$5:$N$5,Q$5,H8:N8)</f>
        <v>741991</v>
      </c>
      <c r="R8" s="34">
        <f aca="true" t="shared" si="7" ref="R8:R57">ROUND($E8*P8,0)</f>
        <v>741992</v>
      </c>
      <c r="S8" s="34">
        <f aca="true" t="shared" si="8" ref="S8:S57">Q8-R8</f>
        <v>-1</v>
      </c>
      <c r="U8" s="74">
        <f aca="true" t="shared" si="9" ref="U8:U27">SUMIF($F$5:$Q$5,U$5,$F8:$Q8)</f>
        <v>1</v>
      </c>
      <c r="V8" s="74">
        <f aca="true" t="shared" si="10" ref="V8:W57">SUMIF($F$5:$Q$5,V$5,$F8:$Q8)</f>
        <v>1</v>
      </c>
      <c r="W8" s="51">
        <f t="shared" si="10"/>
        <v>7419919</v>
      </c>
      <c r="X8" s="30">
        <f aca="true" t="shared" si="11" ref="X8:X57">E8</f>
        <v>7419919</v>
      </c>
      <c r="Y8" s="30">
        <f aca="true" t="shared" si="12" ref="Y8:Y57">W8-X8</f>
        <v>0</v>
      </c>
      <c r="AB8" s="74">
        <f aca="true" t="shared" si="13" ref="AB8:AB57">G8</f>
        <v>0.5</v>
      </c>
      <c r="AC8" s="74">
        <f aca="true" t="shared" si="14" ref="AC8:AC57">J8</f>
        <v>0.30000000000000004</v>
      </c>
      <c r="AD8" s="74">
        <f aca="true" t="shared" si="15" ref="AD8:AD57">M8</f>
        <v>0.09999999999999998</v>
      </c>
      <c r="AE8" s="74">
        <f aca="true" t="shared" si="16" ref="AE8:AE57">P8</f>
        <v>0.09999999999999998</v>
      </c>
      <c r="AG8" s="74">
        <f>SUM($AB8:AB8)</f>
        <v>0.5</v>
      </c>
      <c r="AH8" s="74">
        <f>SUM($AB8:AC8)</f>
        <v>0.8</v>
      </c>
      <c r="AI8" s="74">
        <f>SUM($AB8:AD8)</f>
        <v>0.9</v>
      </c>
      <c r="AJ8" s="74">
        <f>SUM($AB8:AE8)</f>
        <v>1</v>
      </c>
      <c r="AL8" s="30" t="b">
        <f aca="true" t="shared" si="17" ref="AL8:AL57">AND(AND(Q8&gt;-10,Q8&lt;10),Q8&lt;&gt;0)</f>
        <v>0</v>
      </c>
    </row>
    <row r="9" spans="1:38" ht="12.75">
      <c r="A9" s="45" t="s">
        <v>4</v>
      </c>
      <c r="B9" s="50">
        <v>0.00415928</v>
      </c>
      <c r="C9" s="51">
        <f t="shared" si="2"/>
        <v>8111903</v>
      </c>
      <c r="D9" s="34">
        <f>Tribes!H27</f>
        <v>659088</v>
      </c>
      <c r="E9" s="51">
        <f t="shared" si="0"/>
        <v>7452815</v>
      </c>
      <c r="F9" s="39">
        <f>Alloc_Req08!C9</f>
        <v>0.25</v>
      </c>
      <c r="G9" s="39">
        <f t="shared" si="1"/>
        <v>0.25</v>
      </c>
      <c r="H9" s="51">
        <f t="shared" si="3"/>
        <v>1863204</v>
      </c>
      <c r="I9" s="74">
        <f>Alloc_Req08!D9</f>
        <v>0.25</v>
      </c>
      <c r="J9" s="74">
        <f>MIN(SUMIF($F$5:I$5,I$5,$F9:I9),J$3)-SUMIF($G$5:G$5,J$5,$G9:G9)</f>
        <v>0.25</v>
      </c>
      <c r="K9" s="51">
        <f t="shared" si="4"/>
        <v>1863204</v>
      </c>
      <c r="L9" s="74">
        <f>Alloc_Req08!F9</f>
        <v>0.25</v>
      </c>
      <c r="M9" s="74">
        <f>MIN(SUMIF($F$5:L$5,L$5,$F9:L9),M$3)-SUMIF($G$5:J$5,M$5,$G9:J9)</f>
        <v>0.25</v>
      </c>
      <c r="N9" s="51">
        <f t="shared" si="5"/>
        <v>1863204</v>
      </c>
      <c r="O9" s="74">
        <f>Alloc_Req08!G9</f>
        <v>0.25</v>
      </c>
      <c r="P9" s="74">
        <f>P$3-(SUMIF($G$5:M$5,P$5,$G9:M9))</f>
        <v>0.25</v>
      </c>
      <c r="Q9" s="51">
        <f t="shared" si="6"/>
        <v>1863203</v>
      </c>
      <c r="R9" s="34">
        <f t="shared" si="7"/>
        <v>1863204</v>
      </c>
      <c r="S9" s="34">
        <f t="shared" si="8"/>
        <v>-1</v>
      </c>
      <c r="U9" s="74">
        <f t="shared" si="9"/>
        <v>1</v>
      </c>
      <c r="V9" s="74">
        <f t="shared" si="10"/>
        <v>1</v>
      </c>
      <c r="W9" s="51">
        <f t="shared" si="10"/>
        <v>7452815</v>
      </c>
      <c r="X9" s="30">
        <f t="shared" si="11"/>
        <v>7452815</v>
      </c>
      <c r="Y9" s="30">
        <f t="shared" si="12"/>
        <v>0</v>
      </c>
      <c r="AB9" s="74">
        <f t="shared" si="13"/>
        <v>0.25</v>
      </c>
      <c r="AC9" s="74">
        <f t="shared" si="14"/>
        <v>0.25</v>
      </c>
      <c r="AD9" s="74">
        <f t="shared" si="15"/>
        <v>0.25</v>
      </c>
      <c r="AE9" s="74">
        <f t="shared" si="16"/>
        <v>0.25</v>
      </c>
      <c r="AG9" s="74">
        <f>SUM($AB9:AB9)</f>
        <v>0.25</v>
      </c>
      <c r="AH9" s="74">
        <f>SUM($AB9:AC9)</f>
        <v>0.5</v>
      </c>
      <c r="AI9" s="74">
        <f>SUM($AB9:AD9)</f>
        <v>0.75</v>
      </c>
      <c r="AJ9" s="74">
        <f>SUM($AB9:AE9)</f>
        <v>1</v>
      </c>
      <c r="AL9" s="30" t="b">
        <f t="shared" si="17"/>
        <v>0</v>
      </c>
    </row>
    <row r="10" spans="1:38" ht="12.75">
      <c r="A10" s="45" t="s">
        <v>5</v>
      </c>
      <c r="B10" s="50">
        <v>0.00656255</v>
      </c>
      <c r="C10" s="51">
        <f t="shared" si="2"/>
        <v>12799035</v>
      </c>
      <c r="D10" s="34"/>
      <c r="E10" s="51">
        <f t="shared" si="0"/>
        <v>12799035</v>
      </c>
      <c r="F10" s="39">
        <f>Alloc_Req08!C10</f>
        <v>0.7</v>
      </c>
      <c r="G10" s="39">
        <f t="shared" si="1"/>
        <v>0.7</v>
      </c>
      <c r="H10" s="51">
        <f t="shared" si="3"/>
        <v>8959325</v>
      </c>
      <c r="I10" s="74">
        <f>Alloc_Req08!D10</f>
        <v>0.3</v>
      </c>
      <c r="J10" s="74">
        <f>MIN(SUMIF($F$5:I$5,I$5,$F10:I10),J$3)-SUMIF($G$5:G$5,J$5,$G10:G10)</f>
        <v>0.30000000000000004</v>
      </c>
      <c r="K10" s="51">
        <f t="shared" si="4"/>
        <v>3839711</v>
      </c>
      <c r="L10" s="74">
        <f>Alloc_Req08!F10</f>
        <v>0</v>
      </c>
      <c r="M10" s="74">
        <f>MIN(SUMIF($F$5:L$5,L$5,$F10:L10),M$3)-SUMIF($G$5:J$5,M$5,$G10:J10)</f>
        <v>0</v>
      </c>
      <c r="N10" s="51">
        <f t="shared" si="5"/>
        <v>0</v>
      </c>
      <c r="O10" s="74">
        <f>Alloc_Req08!G10</f>
        <v>0</v>
      </c>
      <c r="P10" s="74">
        <f>P$3-(SUMIF($G$5:M$5,P$5,$G10:M10))</f>
        <v>0</v>
      </c>
      <c r="Q10" s="51">
        <f t="shared" si="6"/>
        <v>-1</v>
      </c>
      <c r="R10" s="34">
        <f t="shared" si="7"/>
        <v>0</v>
      </c>
      <c r="S10" s="34">
        <f t="shared" si="8"/>
        <v>-1</v>
      </c>
      <c r="U10" s="74">
        <f t="shared" si="9"/>
        <v>1</v>
      </c>
      <c r="V10" s="74">
        <f t="shared" si="10"/>
        <v>1</v>
      </c>
      <c r="W10" s="51">
        <f t="shared" si="10"/>
        <v>12799035</v>
      </c>
      <c r="X10" s="30">
        <f t="shared" si="11"/>
        <v>12799035</v>
      </c>
      <c r="Y10" s="30">
        <f t="shared" si="12"/>
        <v>0</v>
      </c>
      <c r="AB10" s="74">
        <f t="shared" si="13"/>
        <v>0.7</v>
      </c>
      <c r="AC10" s="74">
        <f t="shared" si="14"/>
        <v>0.30000000000000004</v>
      </c>
      <c r="AD10" s="74">
        <f t="shared" si="15"/>
        <v>0</v>
      </c>
      <c r="AE10" s="74">
        <f t="shared" si="16"/>
        <v>0</v>
      </c>
      <c r="AG10" s="74">
        <f>SUM($AB10:AB10)</f>
        <v>0.7</v>
      </c>
      <c r="AH10" s="74">
        <f>SUM($AB10:AC10)</f>
        <v>1</v>
      </c>
      <c r="AI10" s="74">
        <f>SUM($AB10:AD10)</f>
        <v>1</v>
      </c>
      <c r="AJ10" s="74">
        <f>SUM($AB10:AE10)</f>
        <v>1</v>
      </c>
      <c r="AL10" s="30" t="b">
        <f t="shared" si="17"/>
        <v>1</v>
      </c>
    </row>
    <row r="11" spans="1:38" ht="12.75">
      <c r="A11" s="45" t="s">
        <v>6</v>
      </c>
      <c r="B11" s="50">
        <v>0.04613891</v>
      </c>
      <c r="C11" s="51">
        <f t="shared" si="2"/>
        <v>89985376</v>
      </c>
      <c r="D11" s="34">
        <f>Tribes!H37</f>
        <v>726996</v>
      </c>
      <c r="E11" s="51">
        <f t="shared" si="0"/>
        <v>89258380</v>
      </c>
      <c r="F11" s="39">
        <f>Alloc_Req08!C11</f>
        <v>0.25</v>
      </c>
      <c r="G11" s="39">
        <f t="shared" si="1"/>
        <v>0.25</v>
      </c>
      <c r="H11" s="51">
        <f t="shared" si="3"/>
        <v>22314595</v>
      </c>
      <c r="I11" s="74">
        <f>Alloc_Req08!D11</f>
        <v>0.25</v>
      </c>
      <c r="J11" s="74">
        <f>MIN(SUMIF($F$5:I$5,I$5,$F11:I11),J$3)-SUMIF($G$5:G$5,J$5,$G11:G11)</f>
        <v>0.25</v>
      </c>
      <c r="K11" s="51">
        <f>ROUND($E11*J11,0)</f>
        <v>22314595</v>
      </c>
      <c r="L11" s="74">
        <f>Alloc_Req08!F11</f>
        <v>0.25</v>
      </c>
      <c r="M11" s="74">
        <f>MIN(SUMIF($F$5:L$5,L$5,$F11:L11),M$3)-SUMIF($G$5:J$5,M$5,$G11:J11)</f>
        <v>0.25</v>
      </c>
      <c r="N11" s="51">
        <f>ROUND($E11*M11,0)</f>
        <v>22314595</v>
      </c>
      <c r="O11" s="74">
        <f>Alloc_Req08!G11</f>
        <v>0.25</v>
      </c>
      <c r="P11" s="74">
        <f>P$3-(SUMIF($G$5:M$5,P$5,$G11:M11))</f>
        <v>0.25</v>
      </c>
      <c r="Q11" s="51">
        <f t="shared" si="6"/>
        <v>22314595</v>
      </c>
      <c r="R11" s="34">
        <f t="shared" si="7"/>
        <v>22314595</v>
      </c>
      <c r="S11" s="34">
        <f t="shared" si="8"/>
        <v>0</v>
      </c>
      <c r="U11" s="74">
        <f t="shared" si="9"/>
        <v>1</v>
      </c>
      <c r="V11" s="74">
        <f t="shared" si="10"/>
        <v>1</v>
      </c>
      <c r="W11" s="51">
        <f t="shared" si="10"/>
        <v>89258380</v>
      </c>
      <c r="X11" s="30">
        <f t="shared" si="11"/>
        <v>89258380</v>
      </c>
      <c r="Y11" s="30">
        <f t="shared" si="12"/>
        <v>0</v>
      </c>
      <c r="AB11" s="74">
        <f t="shared" si="13"/>
        <v>0.25</v>
      </c>
      <c r="AC11" s="74">
        <f t="shared" si="14"/>
        <v>0.25</v>
      </c>
      <c r="AD11" s="74">
        <f t="shared" si="15"/>
        <v>0.25</v>
      </c>
      <c r="AE11" s="74">
        <f t="shared" si="16"/>
        <v>0.25</v>
      </c>
      <c r="AG11" s="74">
        <f>SUM($AB11:AB11)</f>
        <v>0.25</v>
      </c>
      <c r="AH11" s="74">
        <f>SUM($AB11:AC11)</f>
        <v>0.5</v>
      </c>
      <c r="AI11" s="74">
        <f>SUM($AB11:AD11)</f>
        <v>0.75</v>
      </c>
      <c r="AJ11" s="74">
        <f>SUM($AB11:AE11)</f>
        <v>1</v>
      </c>
      <c r="AL11" s="30" t="b">
        <f t="shared" si="17"/>
        <v>0</v>
      </c>
    </row>
    <row r="12" spans="1:38" ht="12.75">
      <c r="A12" s="45" t="s">
        <v>7</v>
      </c>
      <c r="B12" s="50">
        <v>0.0160872</v>
      </c>
      <c r="C12" s="51">
        <f t="shared" si="2"/>
        <v>31375096</v>
      </c>
      <c r="D12" s="34"/>
      <c r="E12" s="51">
        <f t="shared" si="0"/>
        <v>31375096</v>
      </c>
      <c r="F12" s="39">
        <f>Alloc_Req08!C12</f>
        <v>0.5</v>
      </c>
      <c r="G12" s="39">
        <f t="shared" si="1"/>
        <v>0.5</v>
      </c>
      <c r="H12" s="51">
        <f t="shared" si="3"/>
        <v>15687548</v>
      </c>
      <c r="I12" s="74">
        <f>Alloc_Req08!D12</f>
        <v>0.5</v>
      </c>
      <c r="J12" s="74">
        <f>MIN(SUMIF($F$5:I$5,I$5,$F12:I12),J$3)-SUMIF($G$5:G$5,J$5,$G12:G12)</f>
        <v>0.5</v>
      </c>
      <c r="K12" s="51">
        <f t="shared" si="4"/>
        <v>15687548</v>
      </c>
      <c r="L12" s="74">
        <f>Alloc_Req08!F12</f>
        <v>0</v>
      </c>
      <c r="M12" s="74">
        <f>MIN(SUMIF($F$5:L$5,L$5,$F12:L12),M$3)-SUMIF($G$5:J$5,M$5,$G12:J12)</f>
        <v>0</v>
      </c>
      <c r="N12" s="51">
        <f t="shared" si="5"/>
        <v>0</v>
      </c>
      <c r="O12" s="74">
        <f>Alloc_Req08!G12</f>
        <v>0</v>
      </c>
      <c r="P12" s="74">
        <f>P$3-(SUMIF($G$5:M$5,P$5,$G12:M12))</f>
        <v>0</v>
      </c>
      <c r="Q12" s="51">
        <f t="shared" si="6"/>
        <v>0</v>
      </c>
      <c r="R12" s="34">
        <f t="shared" si="7"/>
        <v>0</v>
      </c>
      <c r="S12" s="34">
        <f t="shared" si="8"/>
        <v>0</v>
      </c>
      <c r="U12" s="74">
        <f t="shared" si="9"/>
        <v>1</v>
      </c>
      <c r="V12" s="74">
        <f t="shared" si="10"/>
        <v>1</v>
      </c>
      <c r="W12" s="51">
        <f t="shared" si="10"/>
        <v>31375096</v>
      </c>
      <c r="X12" s="30">
        <f t="shared" si="11"/>
        <v>31375096</v>
      </c>
      <c r="Y12" s="30">
        <f t="shared" si="12"/>
        <v>0</v>
      </c>
      <c r="AB12" s="74">
        <f t="shared" si="13"/>
        <v>0.5</v>
      </c>
      <c r="AC12" s="74">
        <f t="shared" si="14"/>
        <v>0.5</v>
      </c>
      <c r="AD12" s="74">
        <f t="shared" si="15"/>
        <v>0</v>
      </c>
      <c r="AE12" s="74">
        <f t="shared" si="16"/>
        <v>0</v>
      </c>
      <c r="AG12" s="74">
        <f>SUM($AB12:AB12)</f>
        <v>0.5</v>
      </c>
      <c r="AH12" s="74">
        <f>SUM($AB12:AC12)</f>
        <v>1</v>
      </c>
      <c r="AI12" s="74">
        <f>SUM($AB12:AD12)</f>
        <v>1</v>
      </c>
      <c r="AJ12" s="74">
        <f>SUM($AB12:AE12)</f>
        <v>1</v>
      </c>
      <c r="AL12" s="30" t="b">
        <f t="shared" si="17"/>
        <v>0</v>
      </c>
    </row>
    <row r="13" spans="1:38" ht="12.75">
      <c r="A13" s="45" t="s">
        <v>8</v>
      </c>
      <c r="B13" s="50">
        <v>0.02098632</v>
      </c>
      <c r="C13" s="51">
        <f t="shared" si="2"/>
        <v>40929920</v>
      </c>
      <c r="D13" s="34"/>
      <c r="E13" s="51">
        <f t="shared" si="0"/>
        <v>40929920</v>
      </c>
      <c r="F13" s="39">
        <f>Alloc_Req08!C13</f>
        <v>0.85</v>
      </c>
      <c r="G13" s="39">
        <f t="shared" si="1"/>
        <v>0.75</v>
      </c>
      <c r="H13" s="51">
        <f t="shared" si="3"/>
        <v>30697440</v>
      </c>
      <c r="I13" s="74">
        <f>Alloc_Req08!D13</f>
        <v>0.15</v>
      </c>
      <c r="J13" s="74">
        <f>MIN(SUMIF($F$5:I$5,I$5,$F13:I13),J$3)-SUMIF($G$5:G$5,J$5,$G13:G13)</f>
        <v>0.25</v>
      </c>
      <c r="K13" s="51">
        <f t="shared" si="4"/>
        <v>10232480</v>
      </c>
      <c r="L13" s="74">
        <f>Alloc_Req08!F13</f>
        <v>0</v>
      </c>
      <c r="M13" s="74">
        <f>MIN(SUMIF($F$5:L$5,L$5,$F13:L13),M$3)-SUMIF($G$5:J$5,M$5,$G13:J13)</f>
        <v>0</v>
      </c>
      <c r="N13" s="51">
        <f t="shared" si="5"/>
        <v>0</v>
      </c>
      <c r="O13" s="74">
        <f>Alloc_Req08!G13</f>
        <v>0</v>
      </c>
      <c r="P13" s="74">
        <f>P$3-(SUMIF($G$5:M$5,P$5,$G13:M13))</f>
        <v>0</v>
      </c>
      <c r="Q13" s="51">
        <f t="shared" si="6"/>
        <v>0</v>
      </c>
      <c r="R13" s="34">
        <f t="shared" si="7"/>
        <v>0</v>
      </c>
      <c r="S13" s="34">
        <f t="shared" si="8"/>
        <v>0</v>
      </c>
      <c r="U13" s="74">
        <f t="shared" si="9"/>
        <v>1</v>
      </c>
      <c r="V13" s="74">
        <f t="shared" si="10"/>
        <v>1</v>
      </c>
      <c r="W13" s="51">
        <f t="shared" si="10"/>
        <v>40929920</v>
      </c>
      <c r="X13" s="30">
        <f t="shared" si="11"/>
        <v>40929920</v>
      </c>
      <c r="Y13" s="30">
        <f t="shared" si="12"/>
        <v>0</v>
      </c>
      <c r="AB13" s="74">
        <f t="shared" si="13"/>
        <v>0.75</v>
      </c>
      <c r="AC13" s="74">
        <f t="shared" si="14"/>
        <v>0.25</v>
      </c>
      <c r="AD13" s="74">
        <f t="shared" si="15"/>
        <v>0</v>
      </c>
      <c r="AE13" s="74">
        <f t="shared" si="16"/>
        <v>0</v>
      </c>
      <c r="AG13" s="74">
        <f>SUM($AB13:AB13)</f>
        <v>0.75</v>
      </c>
      <c r="AH13" s="74">
        <f>SUM($AB13:AC13)</f>
        <v>1</v>
      </c>
      <c r="AI13" s="74">
        <f>SUM($AB13:AD13)</f>
        <v>1</v>
      </c>
      <c r="AJ13" s="74">
        <f>SUM($AB13:AE13)</f>
        <v>1</v>
      </c>
      <c r="AL13" s="30" t="b">
        <f t="shared" si="17"/>
        <v>0</v>
      </c>
    </row>
    <row r="14" spans="1:38" ht="12.75">
      <c r="A14" s="45" t="s">
        <v>9</v>
      </c>
      <c r="B14" s="50">
        <v>0.00278553</v>
      </c>
      <c r="C14" s="51">
        <f t="shared" si="2"/>
        <v>5432659</v>
      </c>
      <c r="D14" s="34"/>
      <c r="E14" s="51">
        <f t="shared" si="0"/>
        <v>5432659</v>
      </c>
      <c r="F14" s="39">
        <f>Alloc_Req08!C14</f>
        <v>0.7</v>
      </c>
      <c r="G14" s="39">
        <f t="shared" si="1"/>
        <v>0.7</v>
      </c>
      <c r="H14" s="51">
        <f t="shared" si="3"/>
        <v>3802861</v>
      </c>
      <c r="I14" s="74">
        <f>Alloc_Req08!D14</f>
        <v>0.2</v>
      </c>
      <c r="J14" s="74">
        <f>MIN(SUMIF($F$5:I$5,I$5,$F14:I14),J$3)-SUMIF($G$5:G$5,J$5,$G14:G14)</f>
        <v>0.19999999999999996</v>
      </c>
      <c r="K14" s="51">
        <f>ROUND($E14*J14,0)+1</f>
        <v>1086533</v>
      </c>
      <c r="L14" s="74">
        <f>Alloc_Req08!F14</f>
        <v>0.1</v>
      </c>
      <c r="M14" s="74">
        <f>MIN(SUMIF($F$5:L$5,L$5,$F14:L14),M$3)-SUMIF($G$5:J$5,M$5,$G14:J14)</f>
        <v>0.09999999999999998</v>
      </c>
      <c r="N14" s="51">
        <f t="shared" si="5"/>
        <v>543266</v>
      </c>
      <c r="O14" s="74">
        <f>Alloc_Req08!G14</f>
        <v>0</v>
      </c>
      <c r="P14" s="74">
        <f>P$3-(SUMIF($G$5:M$5,P$5,$G14:M14))</f>
        <v>0</v>
      </c>
      <c r="Q14" s="51">
        <f>E14-SUMIF($H$5:$N$5,Q$5,H14:N14)</f>
        <v>-1</v>
      </c>
      <c r="R14" s="34">
        <f t="shared" si="7"/>
        <v>0</v>
      </c>
      <c r="S14" s="34">
        <f t="shared" si="8"/>
        <v>-1</v>
      </c>
      <c r="U14" s="74">
        <f t="shared" si="9"/>
        <v>0.9999999999999999</v>
      </c>
      <c r="V14" s="74">
        <f t="shared" si="10"/>
        <v>0.9999999999999999</v>
      </c>
      <c r="W14" s="51">
        <f t="shared" si="10"/>
        <v>5432659</v>
      </c>
      <c r="X14" s="30">
        <f t="shared" si="11"/>
        <v>5432659</v>
      </c>
      <c r="Y14" s="30">
        <f t="shared" si="12"/>
        <v>0</v>
      </c>
      <c r="AB14" s="74">
        <f t="shared" si="13"/>
        <v>0.7</v>
      </c>
      <c r="AC14" s="74">
        <f t="shared" si="14"/>
        <v>0.19999999999999996</v>
      </c>
      <c r="AD14" s="74">
        <f t="shared" si="15"/>
        <v>0.09999999999999998</v>
      </c>
      <c r="AE14" s="74">
        <f t="shared" si="16"/>
        <v>0</v>
      </c>
      <c r="AG14" s="74">
        <f>SUM($AB14:AB14)</f>
        <v>0.7</v>
      </c>
      <c r="AH14" s="74">
        <f>SUM($AB14:AC14)</f>
        <v>0.8999999999999999</v>
      </c>
      <c r="AI14" s="74">
        <f>SUM($AB14:AD14)</f>
        <v>0.9999999999999999</v>
      </c>
      <c r="AJ14" s="74">
        <f>SUM($AB14:AE14)</f>
        <v>0.9999999999999999</v>
      </c>
      <c r="AL14" s="30" t="b">
        <f t="shared" si="17"/>
        <v>1</v>
      </c>
    </row>
    <row r="15" spans="1:38" ht="12.75">
      <c r="A15" s="45" t="s">
        <v>56</v>
      </c>
      <c r="B15" s="50">
        <v>0.00325921</v>
      </c>
      <c r="C15" s="51">
        <f t="shared" si="2"/>
        <v>6356484</v>
      </c>
      <c r="D15" s="34"/>
      <c r="E15" s="51">
        <f t="shared" si="0"/>
        <v>6356484</v>
      </c>
      <c r="F15" s="39">
        <f>Alloc_Req08!C15</f>
        <v>1</v>
      </c>
      <c r="G15" s="39">
        <f t="shared" si="1"/>
        <v>0.75</v>
      </c>
      <c r="H15" s="51">
        <f t="shared" si="3"/>
        <v>4767363</v>
      </c>
      <c r="I15" s="74">
        <f>Alloc_Req08!D15</f>
        <v>0</v>
      </c>
      <c r="J15" s="74">
        <f>MIN(SUMIF($F$5:I$5,I$5,$F15:I15),J$3)-SUMIF($G$5:G$5,J$5,$G15:G15)</f>
        <v>0.25</v>
      </c>
      <c r="K15" s="51">
        <f>ROUND($E15*J15,0)-1</f>
        <v>1589120</v>
      </c>
      <c r="L15" s="74">
        <f>Alloc_Req08!F15</f>
        <v>0</v>
      </c>
      <c r="M15" s="74">
        <f>MIN(SUMIF($F$5:L$5,L$5,$F15:L15),M$3)-SUMIF($G$5:J$5,M$5,$G15:J15)</f>
        <v>0</v>
      </c>
      <c r="N15" s="51">
        <f t="shared" si="5"/>
        <v>0</v>
      </c>
      <c r="O15" s="74">
        <f>Alloc_Req08!G15</f>
        <v>0</v>
      </c>
      <c r="P15" s="74">
        <f>P$3-(SUMIF($G$5:M$5,P$5,$G15:M15))</f>
        <v>0</v>
      </c>
      <c r="Q15" s="51">
        <f>E15-SUMIF($H$5:$N$5,Q$5,H15:N15)</f>
        <v>1</v>
      </c>
      <c r="R15" s="34">
        <f t="shared" si="7"/>
        <v>0</v>
      </c>
      <c r="S15" s="34">
        <f t="shared" si="8"/>
        <v>1</v>
      </c>
      <c r="U15" s="74">
        <f t="shared" si="9"/>
        <v>1</v>
      </c>
      <c r="V15" s="74">
        <f t="shared" si="10"/>
        <v>1</v>
      </c>
      <c r="W15" s="51">
        <f t="shared" si="10"/>
        <v>6356484</v>
      </c>
      <c r="X15" s="30">
        <f t="shared" si="11"/>
        <v>6356484</v>
      </c>
      <c r="Y15" s="30">
        <f t="shared" si="12"/>
        <v>0</v>
      </c>
      <c r="AB15" s="74">
        <f t="shared" si="13"/>
        <v>0.75</v>
      </c>
      <c r="AC15" s="74">
        <f t="shared" si="14"/>
        <v>0.25</v>
      </c>
      <c r="AD15" s="74">
        <f t="shared" si="15"/>
        <v>0</v>
      </c>
      <c r="AE15" s="74">
        <f t="shared" si="16"/>
        <v>0</v>
      </c>
      <c r="AG15" s="74">
        <f>SUM($AB15:AB15)</f>
        <v>0.75</v>
      </c>
      <c r="AH15" s="74">
        <f>SUM($AB15:AC15)</f>
        <v>1</v>
      </c>
      <c r="AI15" s="74">
        <f>SUM($AB15:AD15)</f>
        <v>1</v>
      </c>
      <c r="AJ15" s="74">
        <f>SUM($AB15:AE15)</f>
        <v>1</v>
      </c>
      <c r="AL15" s="30" t="b">
        <f t="shared" si="17"/>
        <v>1</v>
      </c>
    </row>
    <row r="16" spans="1:38" ht="12.75">
      <c r="A16" s="45" t="s">
        <v>10</v>
      </c>
      <c r="B16" s="50">
        <v>0.01360848</v>
      </c>
      <c r="C16" s="51">
        <f t="shared" si="2"/>
        <v>26540813</v>
      </c>
      <c r="D16" s="34">
        <f>Tribes!H62</f>
        <v>6804</v>
      </c>
      <c r="E16" s="51">
        <f t="shared" si="0"/>
        <v>26534009</v>
      </c>
      <c r="F16" s="39">
        <f>Alloc_Req08!C16</f>
        <v>0.9</v>
      </c>
      <c r="G16" s="39">
        <f t="shared" si="1"/>
        <v>0.75</v>
      </c>
      <c r="H16" s="51">
        <f t="shared" si="3"/>
        <v>19900507</v>
      </c>
      <c r="I16" s="74">
        <f>Alloc_Req08!D16</f>
        <v>0</v>
      </c>
      <c r="J16" s="74">
        <f>MIN(SUMIF($F$5:I$5,I$5,$F16:I16),J$3)-SUMIF($G$5:G$5,J$5,$G16:G16)</f>
        <v>0.15000000000000002</v>
      </c>
      <c r="K16" s="51">
        <f t="shared" si="4"/>
        <v>3980101</v>
      </c>
      <c r="L16" s="74">
        <f>Alloc_Req08!F16</f>
        <v>0.1</v>
      </c>
      <c r="M16" s="74">
        <f>MIN(SUMIF($F$5:L$5,L$5,$F16:L16),M$3)-SUMIF($G$5:J$5,M$5,$G16:J16)</f>
        <v>0.09999999999999998</v>
      </c>
      <c r="N16" s="51">
        <f t="shared" si="5"/>
        <v>2653401</v>
      </c>
      <c r="O16" s="74">
        <f>Alloc_Req08!G16</f>
        <v>0</v>
      </c>
      <c r="P16" s="74">
        <f>P$3-(SUMIF($G$5:M$5,P$5,$G16:M16))</f>
        <v>0</v>
      </c>
      <c r="Q16" s="51">
        <f t="shared" si="6"/>
        <v>0</v>
      </c>
      <c r="R16" s="34">
        <f t="shared" si="7"/>
        <v>0</v>
      </c>
      <c r="S16" s="34">
        <f t="shared" si="8"/>
        <v>0</v>
      </c>
      <c r="U16" s="74">
        <f t="shared" si="9"/>
        <v>1</v>
      </c>
      <c r="V16" s="74">
        <f t="shared" si="10"/>
        <v>1</v>
      </c>
      <c r="W16" s="51">
        <f t="shared" si="10"/>
        <v>26534009</v>
      </c>
      <c r="X16" s="30">
        <f t="shared" si="11"/>
        <v>26534009</v>
      </c>
      <c r="Y16" s="30">
        <f t="shared" si="12"/>
        <v>0</v>
      </c>
      <c r="AB16" s="74">
        <f t="shared" si="13"/>
        <v>0.75</v>
      </c>
      <c r="AC16" s="74">
        <f t="shared" si="14"/>
        <v>0.15000000000000002</v>
      </c>
      <c r="AD16" s="74">
        <f t="shared" si="15"/>
        <v>0.09999999999999998</v>
      </c>
      <c r="AE16" s="74">
        <f t="shared" si="16"/>
        <v>0</v>
      </c>
      <c r="AG16" s="74">
        <f>SUM($AB16:AB16)</f>
        <v>0.75</v>
      </c>
      <c r="AH16" s="74">
        <f>SUM($AB16:AC16)</f>
        <v>0.9</v>
      </c>
      <c r="AI16" s="74">
        <f>SUM($AB16:AD16)</f>
        <v>1</v>
      </c>
      <c r="AJ16" s="74">
        <f>SUM($AB16:AE16)</f>
        <v>1</v>
      </c>
      <c r="AL16" s="30" t="b">
        <f t="shared" si="17"/>
        <v>0</v>
      </c>
    </row>
    <row r="17" spans="1:38" ht="12.75">
      <c r="A17" s="45" t="s">
        <v>11</v>
      </c>
      <c r="B17" s="50">
        <v>0.01075959</v>
      </c>
      <c r="C17" s="51">
        <f t="shared" si="2"/>
        <v>20984582</v>
      </c>
      <c r="D17" s="34"/>
      <c r="E17" s="51">
        <f t="shared" si="0"/>
        <v>20984582</v>
      </c>
      <c r="F17" s="39">
        <f>Alloc_Req08!C17</f>
        <v>0.9</v>
      </c>
      <c r="G17" s="39">
        <f t="shared" si="1"/>
        <v>0.75</v>
      </c>
      <c r="H17" s="51">
        <f t="shared" si="3"/>
        <v>15738437</v>
      </c>
      <c r="I17" s="74">
        <f>Alloc_Req08!D17</f>
        <v>0.1</v>
      </c>
      <c r="J17" s="74">
        <f>MIN(SUMIF($F$5:I$5,I$5,$F17:I17),J$3)-SUMIF($G$5:G$5,J$5,$G17:G17)</f>
        <v>0.25</v>
      </c>
      <c r="K17" s="51">
        <f t="shared" si="4"/>
        <v>5246146</v>
      </c>
      <c r="L17" s="74">
        <f>Alloc_Req08!F17</f>
        <v>0</v>
      </c>
      <c r="M17" s="74">
        <f>MIN(SUMIF($F$5:L$5,L$5,$F17:L17),M$3)-SUMIF($G$5:J$5,M$5,$G17:J17)</f>
        <v>0</v>
      </c>
      <c r="N17" s="51">
        <f t="shared" si="5"/>
        <v>0</v>
      </c>
      <c r="O17" s="74">
        <f>Alloc_Req08!G17</f>
        <v>0</v>
      </c>
      <c r="P17" s="74">
        <f>P$3-(SUMIF($G$5:M$5,P$5,$G17:M17))</f>
        <v>0</v>
      </c>
      <c r="Q17" s="51">
        <f t="shared" si="6"/>
        <v>-1</v>
      </c>
      <c r="R17" s="34">
        <f t="shared" si="7"/>
        <v>0</v>
      </c>
      <c r="S17" s="34">
        <f t="shared" si="8"/>
        <v>-1</v>
      </c>
      <c r="U17" s="74">
        <f t="shared" si="9"/>
        <v>1</v>
      </c>
      <c r="V17" s="74">
        <f t="shared" si="10"/>
        <v>1</v>
      </c>
      <c r="W17" s="51">
        <f t="shared" si="10"/>
        <v>20984582</v>
      </c>
      <c r="X17" s="30">
        <f t="shared" si="11"/>
        <v>20984582</v>
      </c>
      <c r="Y17" s="30">
        <f t="shared" si="12"/>
        <v>0</v>
      </c>
      <c r="AB17" s="74">
        <f t="shared" si="13"/>
        <v>0.75</v>
      </c>
      <c r="AC17" s="74">
        <f t="shared" si="14"/>
        <v>0.25</v>
      </c>
      <c r="AD17" s="74">
        <f t="shared" si="15"/>
        <v>0</v>
      </c>
      <c r="AE17" s="74">
        <f t="shared" si="16"/>
        <v>0</v>
      </c>
      <c r="AG17" s="74">
        <f>SUM($AB17:AB17)</f>
        <v>0.75</v>
      </c>
      <c r="AH17" s="74">
        <f>SUM($AB17:AC17)</f>
        <v>1</v>
      </c>
      <c r="AI17" s="74">
        <f>SUM($AB17:AD17)</f>
        <v>1</v>
      </c>
      <c r="AJ17" s="74">
        <f>SUM($AB17:AE17)</f>
        <v>1</v>
      </c>
      <c r="AL17" s="30" t="b">
        <f t="shared" si="17"/>
        <v>1</v>
      </c>
    </row>
    <row r="18" spans="1:38" ht="12.75">
      <c r="A18" s="45" t="s">
        <v>12</v>
      </c>
      <c r="B18" s="50">
        <v>0.00108355</v>
      </c>
      <c r="C18" s="51">
        <f>ROUND(+B18*$B$67,0)+4</f>
        <v>2113267</v>
      </c>
      <c r="D18" s="34"/>
      <c r="E18" s="51">
        <f t="shared" si="0"/>
        <v>2113267</v>
      </c>
      <c r="F18" s="39">
        <f>Alloc_Req08!C18</f>
        <v>0.25</v>
      </c>
      <c r="G18" s="39">
        <f t="shared" si="1"/>
        <v>0.25</v>
      </c>
      <c r="H18" s="51">
        <f t="shared" si="3"/>
        <v>528317</v>
      </c>
      <c r="I18" s="74">
        <f>Alloc_Req08!D18</f>
        <v>0.25</v>
      </c>
      <c r="J18" s="74">
        <f>MIN(SUMIF($F$5:I$5,I$5,$F18:I18),J$3)-SUMIF($G$5:G$5,J$5,$G18:G18)</f>
        <v>0.25</v>
      </c>
      <c r="K18" s="51">
        <f t="shared" si="4"/>
        <v>528317</v>
      </c>
      <c r="L18" s="74">
        <f>Alloc_Req08!F18</f>
        <v>0.25</v>
      </c>
      <c r="M18" s="74">
        <f>MIN(SUMIF($F$5:L$5,L$5,$F18:L18),M$3)-SUMIF($G$5:J$5,M$5,$G18:J18)</f>
        <v>0.25</v>
      </c>
      <c r="N18" s="51">
        <f t="shared" si="5"/>
        <v>528317</v>
      </c>
      <c r="O18" s="74">
        <f>Alloc_Req08!G18</f>
        <v>0.25</v>
      </c>
      <c r="P18" s="74">
        <f>P$3-(SUMIF($G$5:M$5,P$5,$G18:M18))</f>
        <v>0.25</v>
      </c>
      <c r="Q18" s="51">
        <f t="shared" si="6"/>
        <v>528316</v>
      </c>
      <c r="R18" s="34">
        <f t="shared" si="7"/>
        <v>528317</v>
      </c>
      <c r="S18" s="34">
        <f t="shared" si="8"/>
        <v>-1</v>
      </c>
      <c r="U18" s="74">
        <f t="shared" si="9"/>
        <v>1</v>
      </c>
      <c r="V18" s="74">
        <f t="shared" si="10"/>
        <v>1</v>
      </c>
      <c r="W18" s="51">
        <f t="shared" si="10"/>
        <v>2113267</v>
      </c>
      <c r="X18" s="30">
        <f t="shared" si="11"/>
        <v>2113267</v>
      </c>
      <c r="Y18" s="30">
        <f t="shared" si="12"/>
        <v>0</v>
      </c>
      <c r="AB18" s="74">
        <f t="shared" si="13"/>
        <v>0.25</v>
      </c>
      <c r="AC18" s="74">
        <f t="shared" si="14"/>
        <v>0.25</v>
      </c>
      <c r="AD18" s="74">
        <f t="shared" si="15"/>
        <v>0.25</v>
      </c>
      <c r="AE18" s="74">
        <f t="shared" si="16"/>
        <v>0.25</v>
      </c>
      <c r="AG18" s="74">
        <f>SUM($AB18:AB18)</f>
        <v>0.25</v>
      </c>
      <c r="AH18" s="74">
        <f>SUM($AB18:AC18)</f>
        <v>0.5</v>
      </c>
      <c r="AI18" s="74">
        <f>SUM($AB18:AD18)</f>
        <v>0.75</v>
      </c>
      <c r="AJ18" s="74">
        <f>SUM($AB18:AE18)</f>
        <v>1</v>
      </c>
      <c r="AL18" s="30" t="b">
        <f t="shared" si="17"/>
        <v>0</v>
      </c>
    </row>
    <row r="19" spans="1:38" ht="12.75">
      <c r="A19" s="45" t="s">
        <v>13</v>
      </c>
      <c r="B19" s="50">
        <v>0.00627508</v>
      </c>
      <c r="C19" s="51">
        <f t="shared" si="2"/>
        <v>12238378</v>
      </c>
      <c r="D19" s="34">
        <f>Tribes!H64</f>
        <v>593868</v>
      </c>
      <c r="E19" s="51">
        <f t="shared" si="0"/>
        <v>11644510</v>
      </c>
      <c r="F19" s="39">
        <f>Alloc_Req08!C19</f>
        <v>0.6</v>
      </c>
      <c r="G19" s="39">
        <f t="shared" si="1"/>
        <v>0.6</v>
      </c>
      <c r="H19" s="51">
        <f t="shared" si="3"/>
        <v>6986706</v>
      </c>
      <c r="I19" s="74">
        <f>Alloc_Req08!D19</f>
        <v>0.3</v>
      </c>
      <c r="J19" s="74">
        <f>MIN(SUMIF($F$5:I$5,I$5,$F19:I19),J$3)-SUMIF($G$5:G$5,J$5,$G19:G19)</f>
        <v>0.29999999999999993</v>
      </c>
      <c r="K19" s="51">
        <f t="shared" si="4"/>
        <v>3493353</v>
      </c>
      <c r="L19" s="74">
        <f>Alloc_Req08!F19</f>
        <v>0.1</v>
      </c>
      <c r="M19" s="74">
        <f>MIN(SUMIF($F$5:L$5,L$5,$F19:L19),M$3)-SUMIF($G$5:J$5,M$5,$G19:J19)</f>
        <v>0.09999999999999998</v>
      </c>
      <c r="N19" s="51">
        <f t="shared" si="5"/>
        <v>1164451</v>
      </c>
      <c r="O19" s="74">
        <f>Alloc_Req08!G19</f>
        <v>0</v>
      </c>
      <c r="P19" s="74">
        <f>P$3-(SUMIF($G$5:M$5,P$5,$G19:M19))</f>
        <v>0</v>
      </c>
      <c r="Q19" s="51">
        <f t="shared" si="6"/>
        <v>0</v>
      </c>
      <c r="R19" s="34">
        <f t="shared" si="7"/>
        <v>0</v>
      </c>
      <c r="S19" s="34">
        <f t="shared" si="8"/>
        <v>0</v>
      </c>
      <c r="U19" s="74">
        <f t="shared" si="9"/>
        <v>0.9999999999999999</v>
      </c>
      <c r="V19" s="74">
        <f t="shared" si="10"/>
        <v>0.9999999999999999</v>
      </c>
      <c r="W19" s="51">
        <f t="shared" si="10"/>
        <v>11644510</v>
      </c>
      <c r="X19" s="30">
        <f t="shared" si="11"/>
        <v>11644510</v>
      </c>
      <c r="Y19" s="30">
        <f t="shared" si="12"/>
        <v>0</v>
      </c>
      <c r="AB19" s="74">
        <f t="shared" si="13"/>
        <v>0.6</v>
      </c>
      <c r="AC19" s="74">
        <f t="shared" si="14"/>
        <v>0.29999999999999993</v>
      </c>
      <c r="AD19" s="74">
        <f t="shared" si="15"/>
        <v>0.09999999999999998</v>
      </c>
      <c r="AE19" s="74">
        <f t="shared" si="16"/>
        <v>0</v>
      </c>
      <c r="AG19" s="74">
        <f>SUM($AB19:AB19)</f>
        <v>0.6</v>
      </c>
      <c r="AH19" s="74">
        <f>SUM($AB19:AC19)</f>
        <v>0.8999999999999999</v>
      </c>
      <c r="AI19" s="74">
        <f>SUM($AB19:AD19)</f>
        <v>0.9999999999999999</v>
      </c>
      <c r="AJ19" s="74">
        <f>SUM($AB19:AE19)</f>
        <v>0.9999999999999999</v>
      </c>
      <c r="AL19" s="30" t="b">
        <f t="shared" si="17"/>
        <v>0</v>
      </c>
    </row>
    <row r="20" spans="1:38" ht="12.75">
      <c r="A20" s="45" t="s">
        <v>14</v>
      </c>
      <c r="B20" s="50">
        <v>0.05808651</v>
      </c>
      <c r="C20" s="51">
        <f t="shared" si="2"/>
        <v>113286951</v>
      </c>
      <c r="D20" s="34"/>
      <c r="E20" s="51">
        <f t="shared" si="0"/>
        <v>113286951</v>
      </c>
      <c r="F20" s="39">
        <f>Alloc_Req08!C20</f>
        <v>1</v>
      </c>
      <c r="G20" s="39">
        <f t="shared" si="1"/>
        <v>0.75</v>
      </c>
      <c r="H20" s="51">
        <f t="shared" si="3"/>
        <v>84965213</v>
      </c>
      <c r="I20" s="74">
        <f>Alloc_Req08!D20</f>
        <v>0</v>
      </c>
      <c r="J20" s="74">
        <f>MIN(SUMIF($F$5:I$5,I$5,$F20:I20),J$3)-SUMIF($G$5:G$5,J$5,$G20:G20)</f>
        <v>0.25</v>
      </c>
      <c r="K20" s="51">
        <f t="shared" si="4"/>
        <v>28321738</v>
      </c>
      <c r="L20" s="74">
        <f>Alloc_Req08!F20</f>
        <v>0</v>
      </c>
      <c r="M20" s="74">
        <f>MIN(SUMIF($F$5:L$5,L$5,$F20:L20),M$3)-SUMIF($G$5:J$5,M$5,$G20:J20)</f>
        <v>0</v>
      </c>
      <c r="N20" s="51">
        <f t="shared" si="5"/>
        <v>0</v>
      </c>
      <c r="O20" s="74">
        <f>Alloc_Req08!G20</f>
        <v>0</v>
      </c>
      <c r="P20" s="74">
        <f>P$3-(SUMIF($G$5:M$5,P$5,$G20:M20))</f>
        <v>0</v>
      </c>
      <c r="Q20" s="51">
        <f t="shared" si="6"/>
        <v>0</v>
      </c>
      <c r="R20" s="34">
        <f t="shared" si="7"/>
        <v>0</v>
      </c>
      <c r="S20" s="34">
        <f t="shared" si="8"/>
        <v>0</v>
      </c>
      <c r="U20" s="74">
        <f t="shared" si="9"/>
        <v>1</v>
      </c>
      <c r="V20" s="74">
        <f t="shared" si="10"/>
        <v>1</v>
      </c>
      <c r="W20" s="51">
        <f t="shared" si="10"/>
        <v>113286951</v>
      </c>
      <c r="X20" s="30">
        <f t="shared" si="11"/>
        <v>113286951</v>
      </c>
      <c r="Y20" s="30">
        <f t="shared" si="12"/>
        <v>0</v>
      </c>
      <c r="AB20" s="74">
        <f t="shared" si="13"/>
        <v>0.75</v>
      </c>
      <c r="AC20" s="74">
        <f t="shared" si="14"/>
        <v>0.25</v>
      </c>
      <c r="AD20" s="74">
        <f t="shared" si="15"/>
        <v>0</v>
      </c>
      <c r="AE20" s="74">
        <f t="shared" si="16"/>
        <v>0</v>
      </c>
      <c r="AG20" s="74">
        <f>SUM($AB20:AB20)</f>
        <v>0.75</v>
      </c>
      <c r="AH20" s="74">
        <f>SUM($AB20:AC20)</f>
        <v>1</v>
      </c>
      <c r="AI20" s="74">
        <f>SUM($AB20:AD20)</f>
        <v>1</v>
      </c>
      <c r="AJ20" s="74">
        <f>SUM($AB20:AE20)</f>
        <v>1</v>
      </c>
      <c r="AL20" s="30" t="b">
        <f t="shared" si="17"/>
        <v>0</v>
      </c>
    </row>
    <row r="21" spans="1:38" ht="12.75">
      <c r="A21" s="45" t="s">
        <v>15</v>
      </c>
      <c r="B21" s="50">
        <v>0.02629994</v>
      </c>
      <c r="C21" s="51">
        <f t="shared" si="2"/>
        <v>51293149</v>
      </c>
      <c r="D21" s="34">
        <f>Tribes!H68</f>
        <v>6664</v>
      </c>
      <c r="E21" s="51">
        <f t="shared" si="0"/>
        <v>51286485</v>
      </c>
      <c r="F21" s="39">
        <f>Alloc_Req08!C21</f>
        <v>1</v>
      </c>
      <c r="G21" s="39">
        <f t="shared" si="1"/>
        <v>0.75</v>
      </c>
      <c r="H21" s="51">
        <f t="shared" si="3"/>
        <v>38464864</v>
      </c>
      <c r="I21" s="74">
        <f>Alloc_Req08!D21</f>
        <v>0</v>
      </c>
      <c r="J21" s="74">
        <f>MIN(SUMIF($F$5:I$5,I$5,$F21:I21),J$3)-SUMIF($G$5:G$5,J$5,$G21:G21)</f>
        <v>0.25</v>
      </c>
      <c r="K21" s="51">
        <f t="shared" si="4"/>
        <v>12821621</v>
      </c>
      <c r="L21" s="74">
        <f>Alloc_Req08!F21</f>
        <v>0</v>
      </c>
      <c r="M21" s="74">
        <f>MIN(SUMIF($F$5:L$5,L$5,$F21:L21),M$3)-SUMIF($G$5:J$5,M$5,$G21:J21)</f>
        <v>0</v>
      </c>
      <c r="N21" s="51">
        <f t="shared" si="5"/>
        <v>0</v>
      </c>
      <c r="O21" s="74">
        <f>Alloc_Req08!G21</f>
        <v>0</v>
      </c>
      <c r="P21" s="74">
        <f>P$3-(SUMIF($G$5:M$5,P$5,$G21:M21))</f>
        <v>0</v>
      </c>
      <c r="Q21" s="51">
        <f t="shared" si="6"/>
        <v>0</v>
      </c>
      <c r="R21" s="34">
        <f t="shared" si="7"/>
        <v>0</v>
      </c>
      <c r="S21" s="34">
        <f t="shared" si="8"/>
        <v>0</v>
      </c>
      <c r="U21" s="74">
        <f t="shared" si="9"/>
        <v>1</v>
      </c>
      <c r="V21" s="74">
        <f t="shared" si="10"/>
        <v>1</v>
      </c>
      <c r="W21" s="51">
        <f t="shared" si="10"/>
        <v>51286485</v>
      </c>
      <c r="X21" s="30">
        <f t="shared" si="11"/>
        <v>51286485</v>
      </c>
      <c r="Y21" s="30">
        <f t="shared" si="12"/>
        <v>0</v>
      </c>
      <c r="AB21" s="74">
        <f t="shared" si="13"/>
        <v>0.75</v>
      </c>
      <c r="AC21" s="74">
        <f t="shared" si="14"/>
        <v>0.25</v>
      </c>
      <c r="AD21" s="74">
        <f t="shared" si="15"/>
        <v>0</v>
      </c>
      <c r="AE21" s="74">
        <f t="shared" si="16"/>
        <v>0</v>
      </c>
      <c r="AG21" s="74">
        <f>SUM($AB21:AB21)</f>
        <v>0.75</v>
      </c>
      <c r="AH21" s="74">
        <f>SUM($AB21:AC21)</f>
        <v>1</v>
      </c>
      <c r="AI21" s="74">
        <f>SUM($AB21:AD21)</f>
        <v>1</v>
      </c>
      <c r="AJ21" s="74">
        <f>SUM($AB21:AE21)</f>
        <v>1</v>
      </c>
      <c r="AL21" s="30" t="b">
        <f t="shared" si="17"/>
        <v>0</v>
      </c>
    </row>
    <row r="22" spans="1:38" ht="12.75">
      <c r="A22" s="45" t="s">
        <v>16</v>
      </c>
      <c r="B22" s="50">
        <v>0.01863912</v>
      </c>
      <c r="C22" s="51">
        <f t="shared" si="2"/>
        <v>36352142</v>
      </c>
      <c r="D22" s="34"/>
      <c r="E22" s="51">
        <f t="shared" si="0"/>
        <v>36352142</v>
      </c>
      <c r="F22" s="39">
        <f>Alloc_Req08!C22</f>
        <v>0.9</v>
      </c>
      <c r="G22" s="39">
        <f t="shared" si="1"/>
        <v>0.75</v>
      </c>
      <c r="H22" s="51">
        <f t="shared" si="3"/>
        <v>27264107</v>
      </c>
      <c r="I22" s="74">
        <f>Alloc_Req08!D22</f>
        <v>0.1</v>
      </c>
      <c r="J22" s="74">
        <f>MIN(SUMIF($F$5:I$5,I$5,$F22:I22),J$3)-SUMIF($G$5:G$5,J$5,$G22:G22)</f>
        <v>0.25</v>
      </c>
      <c r="K22" s="51">
        <f>ROUND($E22*J22,0)-1</f>
        <v>9088035</v>
      </c>
      <c r="L22" s="74">
        <f>Alloc_Req08!F22</f>
        <v>0</v>
      </c>
      <c r="M22" s="74">
        <f>MIN(SUMIF($F$5:L$5,L$5,$F22:L22),M$3)-SUMIF($G$5:J$5,M$5,$G22:J22)</f>
        <v>0</v>
      </c>
      <c r="N22" s="51">
        <f t="shared" si="5"/>
        <v>0</v>
      </c>
      <c r="O22" s="74">
        <f>Alloc_Req08!G22</f>
        <v>0</v>
      </c>
      <c r="P22" s="74">
        <f>P$3-(SUMIF($G$5:M$5,P$5,$G22:M22))</f>
        <v>0</v>
      </c>
      <c r="Q22" s="51">
        <f>E22-SUMIF($H$5:$N$5,Q$5,H22:N22)</f>
        <v>0</v>
      </c>
      <c r="R22" s="34">
        <f t="shared" si="7"/>
        <v>0</v>
      </c>
      <c r="S22" s="34">
        <f t="shared" si="8"/>
        <v>0</v>
      </c>
      <c r="U22" s="74">
        <f t="shared" si="9"/>
        <v>1</v>
      </c>
      <c r="V22" s="74">
        <f t="shared" si="10"/>
        <v>1</v>
      </c>
      <c r="W22" s="51">
        <f t="shared" si="10"/>
        <v>36352142</v>
      </c>
      <c r="X22" s="30">
        <f t="shared" si="11"/>
        <v>36352142</v>
      </c>
      <c r="Y22" s="30">
        <f t="shared" si="12"/>
        <v>0</v>
      </c>
      <c r="AB22" s="74">
        <f t="shared" si="13"/>
        <v>0.75</v>
      </c>
      <c r="AC22" s="74">
        <f t="shared" si="14"/>
        <v>0.25</v>
      </c>
      <c r="AD22" s="74">
        <f t="shared" si="15"/>
        <v>0</v>
      </c>
      <c r="AE22" s="74">
        <f t="shared" si="16"/>
        <v>0</v>
      </c>
      <c r="AG22" s="74">
        <f>SUM($AB22:AB22)</f>
        <v>0.75</v>
      </c>
      <c r="AH22" s="74">
        <f>SUM($AB22:AC22)</f>
        <v>1</v>
      </c>
      <c r="AI22" s="74">
        <f>SUM($AB22:AD22)</f>
        <v>1</v>
      </c>
      <c r="AJ22" s="74">
        <f>SUM($AB22:AE22)</f>
        <v>1</v>
      </c>
      <c r="AL22" s="30" t="b">
        <f t="shared" si="17"/>
        <v>0</v>
      </c>
    </row>
    <row r="23" spans="1:38" ht="12.75">
      <c r="A23" s="45" t="s">
        <v>17</v>
      </c>
      <c r="B23" s="50">
        <v>0.00855992</v>
      </c>
      <c r="C23" s="51">
        <f t="shared" si="2"/>
        <v>16694534</v>
      </c>
      <c r="D23" s="34">
        <f>Tribes!H70</f>
        <v>41400</v>
      </c>
      <c r="E23" s="51">
        <f t="shared" si="0"/>
        <v>16653134</v>
      </c>
      <c r="F23" s="39">
        <f>Alloc_Req08!C23</f>
        <v>1</v>
      </c>
      <c r="G23" s="39">
        <f t="shared" si="1"/>
        <v>0.75</v>
      </c>
      <c r="H23" s="51">
        <f t="shared" si="3"/>
        <v>12489851</v>
      </c>
      <c r="I23" s="74">
        <f>Alloc_Req08!D23</f>
        <v>0</v>
      </c>
      <c r="J23" s="74">
        <f>MIN(SUMIF($F$5:I$5,I$5,$F23:I23),J$3)-SUMIF($G$5:G$5,J$5,$G23:G23)</f>
        <v>0.25</v>
      </c>
      <c r="K23" s="51">
        <f t="shared" si="4"/>
        <v>4163284</v>
      </c>
      <c r="L23" s="74">
        <f>Alloc_Req08!F23</f>
        <v>0</v>
      </c>
      <c r="M23" s="74">
        <f>MIN(SUMIF($F$5:L$5,L$5,$F23:L23),M$3)-SUMIF($G$5:J$5,M$5,$G23:J23)</f>
        <v>0</v>
      </c>
      <c r="N23" s="51">
        <f t="shared" si="5"/>
        <v>0</v>
      </c>
      <c r="O23" s="74">
        <f>Alloc_Req08!G23</f>
        <v>0</v>
      </c>
      <c r="P23" s="74">
        <f>P$3-(SUMIF($G$5:M$5,P$5,$G23:M23))</f>
        <v>0</v>
      </c>
      <c r="Q23" s="51">
        <f t="shared" si="6"/>
        <v>-1</v>
      </c>
      <c r="R23" s="34">
        <f t="shared" si="7"/>
        <v>0</v>
      </c>
      <c r="S23" s="34">
        <f t="shared" si="8"/>
        <v>-1</v>
      </c>
      <c r="U23" s="74">
        <f t="shared" si="9"/>
        <v>1</v>
      </c>
      <c r="V23" s="74">
        <f t="shared" si="10"/>
        <v>1</v>
      </c>
      <c r="W23" s="51">
        <f t="shared" si="10"/>
        <v>16653134</v>
      </c>
      <c r="X23" s="30">
        <f t="shared" si="11"/>
        <v>16653134</v>
      </c>
      <c r="Y23" s="30">
        <f t="shared" si="12"/>
        <v>0</v>
      </c>
      <c r="AB23" s="74">
        <f t="shared" si="13"/>
        <v>0.75</v>
      </c>
      <c r="AC23" s="74">
        <f t="shared" si="14"/>
        <v>0.25</v>
      </c>
      <c r="AD23" s="74">
        <f t="shared" si="15"/>
        <v>0</v>
      </c>
      <c r="AE23" s="74">
        <f t="shared" si="16"/>
        <v>0</v>
      </c>
      <c r="AG23" s="74">
        <f>SUM($AB23:AB23)</f>
        <v>0.75</v>
      </c>
      <c r="AH23" s="74">
        <f>SUM($AB23:AC23)</f>
        <v>1</v>
      </c>
      <c r="AI23" s="74">
        <f>SUM($AB23:AD23)</f>
        <v>1</v>
      </c>
      <c r="AJ23" s="74">
        <f>SUM($AB23:AE23)</f>
        <v>1</v>
      </c>
      <c r="AL23" s="30" t="b">
        <f t="shared" si="17"/>
        <v>1</v>
      </c>
    </row>
    <row r="24" spans="1:38" ht="12.75">
      <c r="A24" s="45" t="s">
        <v>18</v>
      </c>
      <c r="B24" s="50">
        <v>0.0136864</v>
      </c>
      <c r="C24" s="51">
        <f t="shared" si="2"/>
        <v>26692782</v>
      </c>
      <c r="D24" s="34"/>
      <c r="E24" s="51">
        <f t="shared" si="0"/>
        <v>26692782</v>
      </c>
      <c r="F24" s="39">
        <f>Alloc_Req08!C24</f>
        <v>0.9</v>
      </c>
      <c r="G24" s="39">
        <f t="shared" si="1"/>
        <v>0.75</v>
      </c>
      <c r="H24" s="51">
        <f t="shared" si="3"/>
        <v>20019587</v>
      </c>
      <c r="I24" s="74">
        <f>Alloc_Req08!D24</f>
        <v>0.1</v>
      </c>
      <c r="J24" s="74">
        <f>MIN(SUMIF($F$5:I$5,I$5,$F24:I24),J$3)-SUMIF($G$5:G$5,J$5,$G24:G24)</f>
        <v>0.25</v>
      </c>
      <c r="K24" s="51">
        <f t="shared" si="4"/>
        <v>6673196</v>
      </c>
      <c r="L24" s="74">
        <f>Alloc_Req08!F24</f>
        <v>0</v>
      </c>
      <c r="M24" s="74">
        <f>MIN(SUMIF($F$5:L$5,L$5,$F24:L24),M$3)-SUMIF($G$5:J$5,M$5,$G24:J24)</f>
        <v>0</v>
      </c>
      <c r="N24" s="51">
        <f t="shared" si="5"/>
        <v>0</v>
      </c>
      <c r="O24" s="74">
        <f>Alloc_Req08!G24</f>
        <v>0</v>
      </c>
      <c r="P24" s="74">
        <f>P$3-(SUMIF($G$5:M$5,P$5,$G24:M24))</f>
        <v>0</v>
      </c>
      <c r="Q24" s="51">
        <f t="shared" si="6"/>
        <v>-1</v>
      </c>
      <c r="R24" s="34">
        <f t="shared" si="7"/>
        <v>0</v>
      </c>
      <c r="S24" s="34">
        <f t="shared" si="8"/>
        <v>-1</v>
      </c>
      <c r="U24" s="74">
        <f t="shared" si="9"/>
        <v>1</v>
      </c>
      <c r="V24" s="74">
        <f t="shared" si="10"/>
        <v>1</v>
      </c>
      <c r="W24" s="51">
        <f t="shared" si="10"/>
        <v>26692782</v>
      </c>
      <c r="X24" s="30">
        <f t="shared" si="11"/>
        <v>26692782</v>
      </c>
      <c r="Y24" s="30">
        <f t="shared" si="12"/>
        <v>0</v>
      </c>
      <c r="AB24" s="74">
        <f t="shared" si="13"/>
        <v>0.75</v>
      </c>
      <c r="AC24" s="74">
        <f t="shared" si="14"/>
        <v>0.25</v>
      </c>
      <c r="AD24" s="74">
        <f t="shared" si="15"/>
        <v>0</v>
      </c>
      <c r="AE24" s="74">
        <f t="shared" si="16"/>
        <v>0</v>
      </c>
      <c r="AG24" s="74">
        <f>SUM($AB24:AB24)</f>
        <v>0.75</v>
      </c>
      <c r="AH24" s="74">
        <f>SUM($AB24:AC24)</f>
        <v>1</v>
      </c>
      <c r="AI24" s="74">
        <f>SUM($AB24:AD24)</f>
        <v>1</v>
      </c>
      <c r="AJ24" s="74">
        <f>SUM($AB24:AE24)</f>
        <v>1</v>
      </c>
      <c r="AL24" s="30" t="b">
        <f t="shared" si="17"/>
        <v>1</v>
      </c>
    </row>
    <row r="25" spans="1:38" ht="12.75">
      <c r="A25" s="45" t="s">
        <v>19</v>
      </c>
      <c r="B25" s="50">
        <v>0.00879264</v>
      </c>
      <c r="C25" s="51">
        <f t="shared" si="2"/>
        <v>17148412</v>
      </c>
      <c r="D25" s="34"/>
      <c r="E25" s="51">
        <f t="shared" si="0"/>
        <v>17148412</v>
      </c>
      <c r="F25" s="39">
        <f>Alloc_Req08!C25</f>
        <v>0.9</v>
      </c>
      <c r="G25" s="39">
        <f t="shared" si="1"/>
        <v>0.75</v>
      </c>
      <c r="H25" s="51">
        <f t="shared" si="3"/>
        <v>12861309</v>
      </c>
      <c r="I25" s="74">
        <f>Alloc_Req08!D25</f>
        <v>0</v>
      </c>
      <c r="J25" s="74">
        <f>MIN(SUMIF($F$5:I$5,I$5,$F25:I25),J$3)-SUMIF($G$5:G$5,J$5,$G25:G25)</f>
        <v>0.15000000000000002</v>
      </c>
      <c r="K25" s="51">
        <f t="shared" si="4"/>
        <v>2572262</v>
      </c>
      <c r="L25" s="74">
        <f>Alloc_Req08!F25</f>
        <v>0.1</v>
      </c>
      <c r="M25" s="74">
        <f>MIN(SUMIF($F$5:L$5,L$5,$F25:L25),M$3)-SUMIF($G$5:J$5,M$5,$G25:J25)</f>
        <v>0.09999999999999998</v>
      </c>
      <c r="N25" s="51">
        <f t="shared" si="5"/>
        <v>1714841</v>
      </c>
      <c r="O25" s="74">
        <f>Alloc_Req08!G25</f>
        <v>0</v>
      </c>
      <c r="P25" s="74">
        <f>P$3-(SUMIF($G$5:M$5,P$5,$G25:M25))</f>
        <v>0</v>
      </c>
      <c r="Q25" s="51">
        <f t="shared" si="6"/>
        <v>0</v>
      </c>
      <c r="R25" s="34">
        <f t="shared" si="7"/>
        <v>0</v>
      </c>
      <c r="S25" s="34">
        <f t="shared" si="8"/>
        <v>0</v>
      </c>
      <c r="U25" s="74">
        <f t="shared" si="9"/>
        <v>1</v>
      </c>
      <c r="V25" s="74">
        <f t="shared" si="10"/>
        <v>1</v>
      </c>
      <c r="W25" s="51">
        <f t="shared" si="10"/>
        <v>17148412</v>
      </c>
      <c r="X25" s="30">
        <f t="shared" si="11"/>
        <v>17148412</v>
      </c>
      <c r="Y25" s="30">
        <f t="shared" si="12"/>
        <v>0</v>
      </c>
      <c r="AB25" s="74">
        <f t="shared" si="13"/>
        <v>0.75</v>
      </c>
      <c r="AC25" s="74">
        <f t="shared" si="14"/>
        <v>0.15000000000000002</v>
      </c>
      <c r="AD25" s="74">
        <f t="shared" si="15"/>
        <v>0.09999999999999998</v>
      </c>
      <c r="AE25" s="74">
        <f t="shared" si="16"/>
        <v>0</v>
      </c>
      <c r="AG25" s="74">
        <f>SUM($AB25:AB25)</f>
        <v>0.75</v>
      </c>
      <c r="AH25" s="74">
        <f>SUM($AB25:AC25)</f>
        <v>0.9</v>
      </c>
      <c r="AI25" s="74">
        <f>SUM($AB25:AD25)</f>
        <v>1</v>
      </c>
      <c r="AJ25" s="74">
        <f>SUM($AB25:AE25)</f>
        <v>1</v>
      </c>
      <c r="AL25" s="30" t="b">
        <f t="shared" si="17"/>
        <v>0</v>
      </c>
    </row>
    <row r="26" spans="1:38" ht="12.75">
      <c r="A26" s="45" t="s">
        <v>20</v>
      </c>
      <c r="B26" s="50">
        <v>0.01359579</v>
      </c>
      <c r="C26" s="51">
        <f t="shared" si="2"/>
        <v>26516064</v>
      </c>
      <c r="D26" s="34">
        <f>Tribes!H72</f>
        <v>969162</v>
      </c>
      <c r="E26" s="51">
        <f t="shared" si="0"/>
        <v>25546902</v>
      </c>
      <c r="F26" s="39">
        <f>Alloc_Req08!C26</f>
        <v>1</v>
      </c>
      <c r="G26" s="39">
        <f t="shared" si="1"/>
        <v>0.75</v>
      </c>
      <c r="H26" s="51">
        <f t="shared" si="3"/>
        <v>19160177</v>
      </c>
      <c r="I26" s="74">
        <f>Alloc_Req08!D26</f>
        <v>0</v>
      </c>
      <c r="J26" s="74">
        <f>MIN(SUMIF($F$5:I$5,I$5,$F26:I26),J$3)-SUMIF($G$5:G$5,J$5,$G26:G26)</f>
        <v>0.25</v>
      </c>
      <c r="K26" s="51">
        <f t="shared" si="4"/>
        <v>6386726</v>
      </c>
      <c r="L26" s="74">
        <f>Alloc_Req08!F26</f>
        <v>0</v>
      </c>
      <c r="M26" s="74">
        <f>MIN(SUMIF($F$5:L$5,L$5,$F26:L26),M$3)-SUMIF($G$5:J$5,M$5,$G26:J26)</f>
        <v>0</v>
      </c>
      <c r="N26" s="51">
        <f t="shared" si="5"/>
        <v>0</v>
      </c>
      <c r="O26" s="74">
        <f>Alloc_Req08!G26</f>
        <v>0</v>
      </c>
      <c r="P26" s="74">
        <f>P$3-(SUMIF($G$5:M$5,P$5,$G26:M26))</f>
        <v>0</v>
      </c>
      <c r="Q26" s="51">
        <f t="shared" si="6"/>
        <v>-1</v>
      </c>
      <c r="R26" s="34">
        <f t="shared" si="7"/>
        <v>0</v>
      </c>
      <c r="S26" s="34">
        <f t="shared" si="8"/>
        <v>-1</v>
      </c>
      <c r="U26" s="74">
        <f t="shared" si="9"/>
        <v>1</v>
      </c>
      <c r="V26" s="74">
        <f t="shared" si="10"/>
        <v>1</v>
      </c>
      <c r="W26" s="51">
        <f t="shared" si="10"/>
        <v>25546902</v>
      </c>
      <c r="X26" s="30">
        <f t="shared" si="11"/>
        <v>25546902</v>
      </c>
      <c r="Y26" s="30">
        <f t="shared" si="12"/>
        <v>0</v>
      </c>
      <c r="AB26" s="74">
        <f t="shared" si="13"/>
        <v>0.75</v>
      </c>
      <c r="AC26" s="74">
        <f t="shared" si="14"/>
        <v>0.25</v>
      </c>
      <c r="AD26" s="74">
        <f t="shared" si="15"/>
        <v>0</v>
      </c>
      <c r="AE26" s="74">
        <f t="shared" si="16"/>
        <v>0</v>
      </c>
      <c r="AG26" s="74">
        <f>SUM($AB26:AB26)</f>
        <v>0.75</v>
      </c>
      <c r="AH26" s="74">
        <f>SUM($AB26:AC26)</f>
        <v>1</v>
      </c>
      <c r="AI26" s="74">
        <f>SUM($AB26:AD26)</f>
        <v>1</v>
      </c>
      <c r="AJ26" s="74">
        <f>SUM($AB26:AE26)</f>
        <v>1</v>
      </c>
      <c r="AL26" s="30" t="b">
        <f t="shared" si="17"/>
        <v>1</v>
      </c>
    </row>
    <row r="27" spans="1:38" ht="12.75">
      <c r="A27" s="45" t="s">
        <v>21</v>
      </c>
      <c r="B27" s="50">
        <v>0.01606896</v>
      </c>
      <c r="C27" s="51">
        <f t="shared" si="2"/>
        <v>31339523</v>
      </c>
      <c r="D27" s="34"/>
      <c r="E27" s="51">
        <f t="shared" si="0"/>
        <v>31339523</v>
      </c>
      <c r="F27" s="39">
        <f>Alloc_Req08!C27</f>
        <v>0.75</v>
      </c>
      <c r="G27" s="39">
        <f t="shared" si="1"/>
        <v>0.75</v>
      </c>
      <c r="H27" s="51">
        <f t="shared" si="3"/>
        <v>23504642</v>
      </c>
      <c r="I27" s="74">
        <f>Alloc_Req08!D27</f>
        <v>0.2</v>
      </c>
      <c r="J27" s="74">
        <f>MIN(SUMIF($F$5:I$5,I$5,$F27:I27),J$3)-SUMIF($G$5:G$5,J$5,$G27:G27)</f>
        <v>0.19999999999999996</v>
      </c>
      <c r="K27" s="51">
        <f t="shared" si="4"/>
        <v>6267905</v>
      </c>
      <c r="L27" s="74">
        <f>Alloc_Req08!F27</f>
        <v>0.05</v>
      </c>
      <c r="M27" s="74">
        <f>MIN(SUMIF($F$5:L$5,L$5,$F27:L27),M$3)-SUMIF($G$5:J$5,M$5,$G27:J27)</f>
        <v>0.050000000000000044</v>
      </c>
      <c r="N27" s="51">
        <f t="shared" si="5"/>
        <v>1566976</v>
      </c>
      <c r="O27" s="74">
        <f>Alloc_Req08!G27</f>
        <v>0</v>
      </c>
      <c r="P27" s="74">
        <f>P$3-(SUMIF($G$5:M$5,P$5,$G27:M27))</f>
        <v>0</v>
      </c>
      <c r="Q27" s="51">
        <f t="shared" si="6"/>
        <v>0</v>
      </c>
      <c r="R27" s="34">
        <f t="shared" si="7"/>
        <v>0</v>
      </c>
      <c r="S27" s="34">
        <f t="shared" si="8"/>
        <v>0</v>
      </c>
      <c r="U27" s="74">
        <f t="shared" si="9"/>
        <v>1</v>
      </c>
      <c r="V27" s="74">
        <f t="shared" si="10"/>
        <v>1</v>
      </c>
      <c r="W27" s="51">
        <f t="shared" si="10"/>
        <v>31339523</v>
      </c>
      <c r="X27" s="30">
        <f t="shared" si="11"/>
        <v>31339523</v>
      </c>
      <c r="Y27" s="30">
        <f t="shared" si="12"/>
        <v>0</v>
      </c>
      <c r="AB27" s="74">
        <f t="shared" si="13"/>
        <v>0.75</v>
      </c>
      <c r="AC27" s="74">
        <f t="shared" si="14"/>
        <v>0.19999999999999996</v>
      </c>
      <c r="AD27" s="74">
        <f t="shared" si="15"/>
        <v>0.050000000000000044</v>
      </c>
      <c r="AE27" s="74">
        <f t="shared" si="16"/>
        <v>0</v>
      </c>
      <c r="AG27" s="74">
        <f>SUM($AB27:AB27)</f>
        <v>0.75</v>
      </c>
      <c r="AH27" s="74">
        <f>SUM($AB27:AC27)</f>
        <v>0.95</v>
      </c>
      <c r="AI27" s="74">
        <f>SUM($AB27:AD27)</f>
        <v>1</v>
      </c>
      <c r="AJ27" s="74">
        <f>SUM($AB27:AE27)</f>
        <v>1</v>
      </c>
      <c r="AL27" s="30" t="b">
        <f t="shared" si="17"/>
        <v>0</v>
      </c>
    </row>
    <row r="28" spans="1:38" ht="12.75">
      <c r="A28" s="45" t="s">
        <v>22</v>
      </c>
      <c r="B28" s="50">
        <v>0.04197959</v>
      </c>
      <c r="C28" s="51">
        <f t="shared" si="2"/>
        <v>81873395</v>
      </c>
      <c r="D28" s="34">
        <f>Tribes!H78</f>
        <v>32749</v>
      </c>
      <c r="E28" s="51">
        <f t="shared" si="0"/>
        <v>81840646</v>
      </c>
      <c r="F28" s="39">
        <f>Alloc_Req08!C28</f>
        <v>1</v>
      </c>
      <c r="G28" s="39">
        <f t="shared" si="1"/>
        <v>0.75</v>
      </c>
      <c r="H28" s="51">
        <f t="shared" si="3"/>
        <v>61380485</v>
      </c>
      <c r="I28" s="74">
        <f>Alloc_Req08!D28</f>
        <v>0</v>
      </c>
      <c r="J28" s="74">
        <f>MIN(SUMIF($F$5:I$5,I$5,$F28:I28),J$3)-SUMIF($G$5:G$5,J$5,$G28:G28)</f>
        <v>0.25</v>
      </c>
      <c r="K28" s="51">
        <f t="shared" si="4"/>
        <v>20460162</v>
      </c>
      <c r="L28" s="74">
        <f>Alloc_Req08!F28</f>
        <v>0</v>
      </c>
      <c r="M28" s="74">
        <f>MIN(SUMIF($F$5:L$5,L$5,$F28:L28),M$3)-SUMIF($G$5:J$5,M$5,$G28:J28)</f>
        <v>0</v>
      </c>
      <c r="N28" s="51">
        <f t="shared" si="5"/>
        <v>0</v>
      </c>
      <c r="O28" s="74">
        <f>Alloc_Req08!G28</f>
        <v>0</v>
      </c>
      <c r="P28" s="74">
        <f>P$3-(SUMIF($G$5:M$5,P$5,$G28:M28))</f>
        <v>0</v>
      </c>
      <c r="Q28" s="51">
        <f t="shared" si="6"/>
        <v>-1</v>
      </c>
      <c r="R28" s="34">
        <f t="shared" si="7"/>
        <v>0</v>
      </c>
      <c r="S28" s="34">
        <f t="shared" si="8"/>
        <v>-1</v>
      </c>
      <c r="U28" s="74">
        <f aca="true" t="shared" si="18" ref="U28:U57">SUMIF($F$5:$Q$5,U$5,$F28:$Q28)</f>
        <v>1</v>
      </c>
      <c r="V28" s="74">
        <f t="shared" si="10"/>
        <v>1</v>
      </c>
      <c r="W28" s="51">
        <f t="shared" si="10"/>
        <v>81840646</v>
      </c>
      <c r="X28" s="30">
        <f t="shared" si="11"/>
        <v>81840646</v>
      </c>
      <c r="Y28" s="30">
        <f t="shared" si="12"/>
        <v>0</v>
      </c>
      <c r="AB28" s="74">
        <f t="shared" si="13"/>
        <v>0.75</v>
      </c>
      <c r="AC28" s="74">
        <f t="shared" si="14"/>
        <v>0.25</v>
      </c>
      <c r="AD28" s="74">
        <f t="shared" si="15"/>
        <v>0</v>
      </c>
      <c r="AE28" s="74">
        <f t="shared" si="16"/>
        <v>0</v>
      </c>
      <c r="AG28" s="74">
        <f>SUM($AB28:AB28)</f>
        <v>0.75</v>
      </c>
      <c r="AH28" s="74">
        <f>SUM($AB28:AC28)</f>
        <v>1</v>
      </c>
      <c r="AI28" s="74">
        <f>SUM($AB28:AD28)</f>
        <v>1</v>
      </c>
      <c r="AJ28" s="74">
        <f>SUM($AB28:AE28)</f>
        <v>1</v>
      </c>
      <c r="AL28" s="30" t="b">
        <f t="shared" si="17"/>
        <v>1</v>
      </c>
    </row>
    <row r="29" spans="1:38" ht="12.75">
      <c r="A29" s="45" t="s">
        <v>23</v>
      </c>
      <c r="B29" s="50">
        <v>0.05514805</v>
      </c>
      <c r="C29" s="51">
        <f t="shared" si="2"/>
        <v>107556031</v>
      </c>
      <c r="D29" s="34">
        <f>Tribes!H80</f>
        <v>823145</v>
      </c>
      <c r="E29" s="51">
        <f t="shared" si="0"/>
        <v>106732886</v>
      </c>
      <c r="F29" s="39">
        <f>Alloc_Req08!C29</f>
        <v>0.65</v>
      </c>
      <c r="G29" s="39">
        <f t="shared" si="1"/>
        <v>0.65</v>
      </c>
      <c r="H29" s="51">
        <f t="shared" si="3"/>
        <v>69376376</v>
      </c>
      <c r="I29" s="74">
        <f>Alloc_Req08!D29</f>
        <v>0.15</v>
      </c>
      <c r="J29" s="74">
        <f>MIN(SUMIF($F$5:I$5,I$5,$F29:I29),J$3)-SUMIF($G$5:G$5,J$5,$G29:G29)</f>
        <v>0.15000000000000002</v>
      </c>
      <c r="K29" s="51">
        <f t="shared" si="4"/>
        <v>16009933</v>
      </c>
      <c r="L29" s="74">
        <f>Alloc_Req08!F29</f>
        <v>0.15</v>
      </c>
      <c r="M29" s="74">
        <f>MIN(SUMIF($F$5:L$5,L$5,$F29:L29),M$3)-SUMIF($G$5:J$5,M$5,$G29:J29)</f>
        <v>0.15000000000000002</v>
      </c>
      <c r="N29" s="51">
        <f t="shared" si="5"/>
        <v>16009933</v>
      </c>
      <c r="O29" s="74">
        <f>Alloc_Req08!G29</f>
        <v>0.05</v>
      </c>
      <c r="P29" s="74">
        <f>P$3-(SUMIF($G$5:M$5,P$5,$G29:M29))</f>
        <v>0.04999999999999993</v>
      </c>
      <c r="Q29" s="51">
        <f t="shared" si="6"/>
        <v>5336644</v>
      </c>
      <c r="R29" s="34">
        <f t="shared" si="7"/>
        <v>5336644</v>
      </c>
      <c r="S29" s="34">
        <f t="shared" si="8"/>
        <v>0</v>
      </c>
      <c r="U29" s="74">
        <f t="shared" si="18"/>
        <v>1</v>
      </c>
      <c r="V29" s="74">
        <f t="shared" si="10"/>
        <v>1</v>
      </c>
      <c r="W29" s="51">
        <f t="shared" si="10"/>
        <v>106732886</v>
      </c>
      <c r="X29" s="30">
        <f t="shared" si="11"/>
        <v>106732886</v>
      </c>
      <c r="Y29" s="30">
        <f t="shared" si="12"/>
        <v>0</v>
      </c>
      <c r="AB29" s="74">
        <f t="shared" si="13"/>
        <v>0.65</v>
      </c>
      <c r="AC29" s="74">
        <f t="shared" si="14"/>
        <v>0.15000000000000002</v>
      </c>
      <c r="AD29" s="74">
        <f t="shared" si="15"/>
        <v>0.15000000000000002</v>
      </c>
      <c r="AE29" s="74">
        <f t="shared" si="16"/>
        <v>0.04999999999999993</v>
      </c>
      <c r="AG29" s="74">
        <f>SUM($AB29:AB29)</f>
        <v>0.65</v>
      </c>
      <c r="AH29" s="74">
        <f>SUM($AB29:AC29)</f>
        <v>0.8</v>
      </c>
      <c r="AI29" s="74">
        <f>SUM($AB29:AD29)</f>
        <v>0.9500000000000001</v>
      </c>
      <c r="AJ29" s="74">
        <f>SUM($AB29:AE29)</f>
        <v>1</v>
      </c>
      <c r="AL29" s="30" t="b">
        <f t="shared" si="17"/>
        <v>0</v>
      </c>
    </row>
    <row r="30" spans="1:38" ht="12.75">
      <c r="A30" s="45" t="s">
        <v>24</v>
      </c>
      <c r="B30" s="50">
        <v>0.03973105</v>
      </c>
      <c r="C30" s="51">
        <f t="shared" si="2"/>
        <v>77488035</v>
      </c>
      <c r="D30" s="34"/>
      <c r="E30" s="51">
        <f t="shared" si="0"/>
        <v>77488035</v>
      </c>
      <c r="F30" s="39">
        <f>Alloc_Req08!C30</f>
        <v>1</v>
      </c>
      <c r="G30" s="39">
        <f t="shared" si="1"/>
        <v>0.75</v>
      </c>
      <c r="H30" s="51">
        <f t="shared" si="3"/>
        <v>58116026</v>
      </c>
      <c r="I30" s="74">
        <f>Alloc_Req08!D30</f>
        <v>0</v>
      </c>
      <c r="J30" s="74">
        <f>MIN(SUMIF($F$5:I$5,I$5,$F30:I30),J$3)-SUMIF($G$5:G$5,J$5,$G30:G30)</f>
        <v>0.25</v>
      </c>
      <c r="K30" s="51">
        <f t="shared" si="4"/>
        <v>19372009</v>
      </c>
      <c r="L30" s="74">
        <f>Alloc_Req08!F30</f>
        <v>0</v>
      </c>
      <c r="M30" s="74">
        <f>MIN(SUMIF($F$5:L$5,L$5,$F30:L30),M$3)-SUMIF($G$5:J$5,M$5,$G30:J30)</f>
        <v>0</v>
      </c>
      <c r="N30" s="51">
        <f t="shared" si="5"/>
        <v>0</v>
      </c>
      <c r="O30" s="74">
        <f>Alloc_Req08!G30</f>
        <v>0</v>
      </c>
      <c r="P30" s="74">
        <f>P$3-(SUMIF($G$5:M$5,P$5,$G30:M30))</f>
        <v>0</v>
      </c>
      <c r="Q30" s="51">
        <f t="shared" si="6"/>
        <v>0</v>
      </c>
      <c r="R30" s="34">
        <f t="shared" si="7"/>
        <v>0</v>
      </c>
      <c r="S30" s="34">
        <f t="shared" si="8"/>
        <v>0</v>
      </c>
      <c r="U30" s="74">
        <f t="shared" si="18"/>
        <v>1</v>
      </c>
      <c r="V30" s="74">
        <f t="shared" si="10"/>
        <v>1</v>
      </c>
      <c r="W30" s="51">
        <f t="shared" si="10"/>
        <v>77488035</v>
      </c>
      <c r="X30" s="30">
        <f t="shared" si="11"/>
        <v>77488035</v>
      </c>
      <c r="Y30" s="30">
        <f t="shared" si="12"/>
        <v>0</v>
      </c>
      <c r="AB30" s="74">
        <f t="shared" si="13"/>
        <v>0.75</v>
      </c>
      <c r="AC30" s="74">
        <f t="shared" si="14"/>
        <v>0.25</v>
      </c>
      <c r="AD30" s="74">
        <f t="shared" si="15"/>
        <v>0</v>
      </c>
      <c r="AE30" s="74">
        <f t="shared" si="16"/>
        <v>0</v>
      </c>
      <c r="AG30" s="74">
        <f>SUM($AB30:AB30)</f>
        <v>0.75</v>
      </c>
      <c r="AH30" s="74">
        <f>SUM($AB30:AC30)</f>
        <v>1</v>
      </c>
      <c r="AI30" s="74">
        <f>SUM($AB30:AD30)</f>
        <v>1</v>
      </c>
      <c r="AJ30" s="74">
        <f>SUM($AB30:AE30)</f>
        <v>1</v>
      </c>
      <c r="AL30" s="30" t="b">
        <f t="shared" si="17"/>
        <v>0</v>
      </c>
    </row>
    <row r="31" spans="1:38" ht="12.75">
      <c r="A31" s="45" t="s">
        <v>25</v>
      </c>
      <c r="B31" s="50">
        <v>0.00737355</v>
      </c>
      <c r="C31" s="51">
        <f t="shared" si="2"/>
        <v>14380740</v>
      </c>
      <c r="D31" s="34">
        <f>Tribes!H87</f>
        <v>27254</v>
      </c>
      <c r="E31" s="51">
        <f t="shared" si="0"/>
        <v>14353486</v>
      </c>
      <c r="F31" s="39">
        <f>Alloc_Req08!C31</f>
        <v>0.9</v>
      </c>
      <c r="G31" s="39">
        <f t="shared" si="1"/>
        <v>0.75</v>
      </c>
      <c r="H31" s="51">
        <f t="shared" si="3"/>
        <v>10765115</v>
      </c>
      <c r="I31" s="74">
        <f>Alloc_Req08!D31</f>
        <v>0.1</v>
      </c>
      <c r="J31" s="74">
        <f>MIN(SUMIF($F$5:I$5,I$5,$F31:I31),J$3)-SUMIF($G$5:G$5,J$5,$G31:G31)</f>
        <v>0.25</v>
      </c>
      <c r="K31" s="51">
        <f t="shared" si="4"/>
        <v>3588372</v>
      </c>
      <c r="L31" s="74">
        <f>Alloc_Req08!F31</f>
        <v>0</v>
      </c>
      <c r="M31" s="74">
        <f>MIN(SUMIF($F$5:L$5,L$5,$F31:L31),M$3)-SUMIF($G$5:J$5,M$5,$G31:J31)</f>
        <v>0</v>
      </c>
      <c r="N31" s="51">
        <f t="shared" si="5"/>
        <v>0</v>
      </c>
      <c r="O31" s="74">
        <f>Alloc_Req08!G31</f>
        <v>0</v>
      </c>
      <c r="P31" s="74">
        <f>P$3-(SUMIF($G$5:M$5,P$5,$G31:M31))</f>
        <v>0</v>
      </c>
      <c r="Q31" s="51">
        <f t="shared" si="6"/>
        <v>-1</v>
      </c>
      <c r="R31" s="34">
        <f t="shared" si="7"/>
        <v>0</v>
      </c>
      <c r="S31" s="34">
        <f t="shared" si="8"/>
        <v>-1</v>
      </c>
      <c r="U31" s="74">
        <f t="shared" si="18"/>
        <v>1</v>
      </c>
      <c r="V31" s="74">
        <f t="shared" si="10"/>
        <v>1</v>
      </c>
      <c r="W31" s="51">
        <f t="shared" si="10"/>
        <v>14353486</v>
      </c>
      <c r="X31" s="30">
        <f t="shared" si="11"/>
        <v>14353486</v>
      </c>
      <c r="Y31" s="30">
        <f t="shared" si="12"/>
        <v>0</v>
      </c>
      <c r="AB31" s="74">
        <f t="shared" si="13"/>
        <v>0.75</v>
      </c>
      <c r="AC31" s="74">
        <f t="shared" si="14"/>
        <v>0.25</v>
      </c>
      <c r="AD31" s="74">
        <f t="shared" si="15"/>
        <v>0</v>
      </c>
      <c r="AE31" s="74">
        <f t="shared" si="16"/>
        <v>0</v>
      </c>
      <c r="AG31" s="74">
        <f>SUM($AB31:AB31)</f>
        <v>0.75</v>
      </c>
      <c r="AH31" s="74">
        <f>SUM($AB31:AC31)</f>
        <v>1</v>
      </c>
      <c r="AI31" s="74">
        <f>SUM($AB31:AD31)</f>
        <v>1</v>
      </c>
      <c r="AJ31" s="74">
        <f>SUM($AB31:AE31)</f>
        <v>1</v>
      </c>
      <c r="AL31" s="30" t="b">
        <f t="shared" si="17"/>
        <v>1</v>
      </c>
    </row>
    <row r="32" spans="1:38" ht="12.75">
      <c r="A32" s="45" t="s">
        <v>26</v>
      </c>
      <c r="B32" s="50">
        <v>0.02320202</v>
      </c>
      <c r="C32" s="51">
        <f t="shared" si="2"/>
        <v>45251232</v>
      </c>
      <c r="D32" s="34"/>
      <c r="E32" s="51">
        <f t="shared" si="0"/>
        <v>45251232</v>
      </c>
      <c r="F32" s="39">
        <f>Alloc_Req08!C32</f>
        <v>0.9</v>
      </c>
      <c r="G32" s="39">
        <f t="shared" si="1"/>
        <v>0.75</v>
      </c>
      <c r="H32" s="51">
        <f t="shared" si="3"/>
        <v>33938424</v>
      </c>
      <c r="I32" s="74">
        <f>Alloc_Req08!D32</f>
        <v>0.05</v>
      </c>
      <c r="J32" s="74">
        <f>MIN(SUMIF($F$5:I$5,I$5,$F32:I32),J$3)-SUMIF($G$5:G$5,J$5,$G32:G32)</f>
        <v>0.20000000000000007</v>
      </c>
      <c r="K32" s="51">
        <f t="shared" si="4"/>
        <v>9050246</v>
      </c>
      <c r="L32" s="74">
        <f>Alloc_Req08!F32</f>
        <v>0</v>
      </c>
      <c r="M32" s="74">
        <f>MIN(SUMIF($F$5:L$5,L$5,$F32:L32),M$3)-SUMIF($G$5:J$5,M$5,$G32:J32)</f>
        <v>0</v>
      </c>
      <c r="N32" s="51">
        <f t="shared" si="5"/>
        <v>0</v>
      </c>
      <c r="O32" s="74">
        <f>Alloc_Req08!G32</f>
        <v>0.05</v>
      </c>
      <c r="P32" s="74">
        <f>P$3-(SUMIF($G$5:M$5,P$5,$G32:M32))</f>
        <v>0.04999999999999993</v>
      </c>
      <c r="Q32" s="51">
        <f t="shared" si="6"/>
        <v>2262562</v>
      </c>
      <c r="R32" s="34">
        <f t="shared" si="7"/>
        <v>2262562</v>
      </c>
      <c r="S32" s="34">
        <f t="shared" si="8"/>
        <v>0</v>
      </c>
      <c r="U32" s="74">
        <f t="shared" si="18"/>
        <v>1</v>
      </c>
      <c r="V32" s="74">
        <f t="shared" si="10"/>
        <v>1</v>
      </c>
      <c r="W32" s="51">
        <f t="shared" si="10"/>
        <v>45251232</v>
      </c>
      <c r="X32" s="30">
        <f t="shared" si="11"/>
        <v>45251232</v>
      </c>
      <c r="Y32" s="30">
        <f t="shared" si="12"/>
        <v>0</v>
      </c>
      <c r="AB32" s="74">
        <f t="shared" si="13"/>
        <v>0.75</v>
      </c>
      <c r="AC32" s="74">
        <f t="shared" si="14"/>
        <v>0.20000000000000007</v>
      </c>
      <c r="AD32" s="74">
        <f t="shared" si="15"/>
        <v>0</v>
      </c>
      <c r="AE32" s="74">
        <f t="shared" si="16"/>
        <v>0.04999999999999993</v>
      </c>
      <c r="AG32" s="74">
        <f>SUM($AB32:AB32)</f>
        <v>0.75</v>
      </c>
      <c r="AH32" s="74">
        <f>SUM($AB32:AC32)</f>
        <v>0.9500000000000001</v>
      </c>
      <c r="AI32" s="74">
        <f>SUM($AB32:AD32)</f>
        <v>0.9500000000000001</v>
      </c>
      <c r="AJ32" s="74">
        <f>SUM($AB32:AE32)</f>
        <v>1</v>
      </c>
      <c r="AL32" s="30" t="b">
        <f t="shared" si="17"/>
        <v>0</v>
      </c>
    </row>
    <row r="33" spans="1:38" ht="12.75">
      <c r="A33" s="45" t="s">
        <v>27</v>
      </c>
      <c r="B33" s="50">
        <v>0.00736027</v>
      </c>
      <c r="C33" s="51">
        <f t="shared" si="2"/>
        <v>14354840</v>
      </c>
      <c r="D33" s="34">
        <f>Tribes!H89</f>
        <v>2509313</v>
      </c>
      <c r="E33" s="51">
        <f t="shared" si="0"/>
        <v>11845527</v>
      </c>
      <c r="F33" s="39">
        <f>Alloc_Req08!C33</f>
        <v>0.85</v>
      </c>
      <c r="G33" s="39">
        <f t="shared" si="1"/>
        <v>0.75</v>
      </c>
      <c r="H33" s="51">
        <f t="shared" si="3"/>
        <v>8884145</v>
      </c>
      <c r="I33" s="74">
        <f>Alloc_Req08!D33</f>
        <v>0.15</v>
      </c>
      <c r="J33" s="74">
        <f>MIN(SUMIF($F$5:I$5,I$5,$F33:I33),J$3)-SUMIF($G$5:G$5,J$5,$G33:G33)</f>
        <v>0.25</v>
      </c>
      <c r="K33" s="51">
        <f t="shared" si="4"/>
        <v>2961382</v>
      </c>
      <c r="L33" s="74">
        <f>Alloc_Req08!F33</f>
        <v>0</v>
      </c>
      <c r="M33" s="74">
        <f>MIN(SUMIF($F$5:L$5,L$5,$F33:L33),M$3)-SUMIF($G$5:J$5,M$5,$G33:J33)</f>
        <v>0</v>
      </c>
      <c r="N33" s="51">
        <f t="shared" si="5"/>
        <v>0</v>
      </c>
      <c r="O33" s="74">
        <f>Alloc_Req08!G33</f>
        <v>0</v>
      </c>
      <c r="P33" s="74">
        <f>P$3-(SUMIF($G$5:M$5,P$5,$G33:M33))</f>
        <v>0</v>
      </c>
      <c r="Q33" s="51">
        <f t="shared" si="6"/>
        <v>0</v>
      </c>
      <c r="R33" s="34">
        <f t="shared" si="7"/>
        <v>0</v>
      </c>
      <c r="S33" s="34">
        <f t="shared" si="8"/>
        <v>0</v>
      </c>
      <c r="U33" s="74">
        <f t="shared" si="18"/>
        <v>1</v>
      </c>
      <c r="V33" s="74">
        <f t="shared" si="10"/>
        <v>1</v>
      </c>
      <c r="W33" s="51">
        <f t="shared" si="10"/>
        <v>11845527</v>
      </c>
      <c r="X33" s="30">
        <f t="shared" si="11"/>
        <v>11845527</v>
      </c>
      <c r="Y33" s="30">
        <f t="shared" si="12"/>
        <v>0</v>
      </c>
      <c r="AB33" s="74">
        <f t="shared" si="13"/>
        <v>0.75</v>
      </c>
      <c r="AC33" s="74">
        <f t="shared" si="14"/>
        <v>0.25</v>
      </c>
      <c r="AD33" s="74">
        <f t="shared" si="15"/>
        <v>0</v>
      </c>
      <c r="AE33" s="74">
        <f t="shared" si="16"/>
        <v>0</v>
      </c>
      <c r="AG33" s="74">
        <f>SUM($AB33:AB33)</f>
        <v>0.75</v>
      </c>
      <c r="AH33" s="74">
        <f>SUM($AB33:AC33)</f>
        <v>1</v>
      </c>
      <c r="AI33" s="74">
        <f>SUM($AB33:AD33)</f>
        <v>1</v>
      </c>
      <c r="AJ33" s="74">
        <f>SUM($AB33:AE33)</f>
        <v>1</v>
      </c>
      <c r="AL33" s="30" t="b">
        <f t="shared" si="17"/>
        <v>0</v>
      </c>
    </row>
    <row r="34" spans="1:38" ht="12.75">
      <c r="A34" s="45" t="s">
        <v>28</v>
      </c>
      <c r="B34" s="50">
        <v>0.00921776</v>
      </c>
      <c r="C34" s="51">
        <f t="shared" si="2"/>
        <v>17977529</v>
      </c>
      <c r="D34" s="34">
        <f>Tribes!H96</f>
        <v>15000</v>
      </c>
      <c r="E34" s="51">
        <f t="shared" si="0"/>
        <v>17962529</v>
      </c>
      <c r="F34" s="39">
        <f>Alloc_Req08!C34</f>
        <v>0.75</v>
      </c>
      <c r="G34" s="39">
        <f t="shared" si="1"/>
        <v>0.75</v>
      </c>
      <c r="H34" s="51">
        <f t="shared" si="3"/>
        <v>13471897</v>
      </c>
      <c r="I34" s="74">
        <f>Alloc_Req08!D34</f>
        <v>0.1</v>
      </c>
      <c r="J34" s="74">
        <f>MIN(SUMIF($F$5:I$5,I$5,$F34:I34),J$3)-SUMIF($G$5:G$5,J$5,$G34:G34)</f>
        <v>0.09999999999999998</v>
      </c>
      <c r="K34" s="51">
        <f t="shared" si="4"/>
        <v>1796253</v>
      </c>
      <c r="L34" s="74">
        <f>Alloc_Req08!F34</f>
        <v>0.1</v>
      </c>
      <c r="M34" s="74">
        <f>MIN(SUMIF($F$5:L$5,L$5,$F34:L34),M$3)-SUMIF($G$5:J$5,M$5,$G34:J34)</f>
        <v>0.09999999999999998</v>
      </c>
      <c r="N34" s="51">
        <f t="shared" si="5"/>
        <v>1796253</v>
      </c>
      <c r="O34" s="74">
        <f>Alloc_Req08!G34</f>
        <v>0.05</v>
      </c>
      <c r="P34" s="74">
        <f>P$3-(SUMIF($G$5:M$5,P$5,$G34:M34))</f>
        <v>0.050000000000000044</v>
      </c>
      <c r="Q34" s="51">
        <f t="shared" si="6"/>
        <v>898126</v>
      </c>
      <c r="R34" s="34">
        <f t="shared" si="7"/>
        <v>898126</v>
      </c>
      <c r="S34" s="34">
        <f t="shared" si="8"/>
        <v>0</v>
      </c>
      <c r="U34" s="74">
        <f t="shared" si="18"/>
        <v>1</v>
      </c>
      <c r="V34" s="74">
        <f t="shared" si="10"/>
        <v>1</v>
      </c>
      <c r="W34" s="51">
        <f t="shared" si="10"/>
        <v>17962529</v>
      </c>
      <c r="X34" s="30">
        <f t="shared" si="11"/>
        <v>17962529</v>
      </c>
      <c r="Y34" s="30">
        <f t="shared" si="12"/>
        <v>0</v>
      </c>
      <c r="AB34" s="74">
        <f t="shared" si="13"/>
        <v>0.75</v>
      </c>
      <c r="AC34" s="74">
        <f t="shared" si="14"/>
        <v>0.09999999999999998</v>
      </c>
      <c r="AD34" s="74">
        <f t="shared" si="15"/>
        <v>0.09999999999999998</v>
      </c>
      <c r="AE34" s="74">
        <f t="shared" si="16"/>
        <v>0.050000000000000044</v>
      </c>
      <c r="AG34" s="74">
        <f>SUM($AB34:AB34)</f>
        <v>0.75</v>
      </c>
      <c r="AH34" s="74">
        <f>SUM($AB34:AC34)</f>
        <v>0.85</v>
      </c>
      <c r="AI34" s="74">
        <f>SUM($AB34:AD34)</f>
        <v>0.95</v>
      </c>
      <c r="AJ34" s="74">
        <f>SUM($AB34:AE34)</f>
        <v>1</v>
      </c>
      <c r="AL34" s="30" t="b">
        <f t="shared" si="17"/>
        <v>0</v>
      </c>
    </row>
    <row r="35" spans="1:38" ht="12.75">
      <c r="A35" s="45" t="s">
        <v>29</v>
      </c>
      <c r="B35" s="50">
        <v>0.00195349</v>
      </c>
      <c r="C35" s="51">
        <f t="shared" si="2"/>
        <v>3809919</v>
      </c>
      <c r="D35" s="34"/>
      <c r="E35" s="51">
        <f t="shared" si="0"/>
        <v>3809919</v>
      </c>
      <c r="F35" s="39">
        <f>Alloc_Req08!C35</f>
        <v>1</v>
      </c>
      <c r="G35" s="39">
        <f t="shared" si="1"/>
        <v>0.75</v>
      </c>
      <c r="H35" s="51">
        <f t="shared" si="3"/>
        <v>2857439</v>
      </c>
      <c r="I35" s="74">
        <f>Alloc_Req08!D35</f>
        <v>0</v>
      </c>
      <c r="J35" s="74">
        <f>MIN(SUMIF($F$5:I$5,I$5,$F35:I35),J$3)-SUMIF($G$5:G$5,J$5,$G35:G35)</f>
        <v>0.25</v>
      </c>
      <c r="K35" s="51">
        <f>ROUND($E35*J35,0)-1</f>
        <v>952479</v>
      </c>
      <c r="L35" s="74">
        <f>Alloc_Req08!F35</f>
        <v>0</v>
      </c>
      <c r="M35" s="74">
        <f>MIN(SUMIF($F$5:L$5,L$5,$F35:L35),M$3)-SUMIF($G$5:J$5,M$5,$G35:J35)</f>
        <v>0</v>
      </c>
      <c r="N35" s="51">
        <f t="shared" si="5"/>
        <v>0</v>
      </c>
      <c r="O35" s="74">
        <f>Alloc_Req08!G35</f>
        <v>0</v>
      </c>
      <c r="P35" s="74">
        <f>P$3-(SUMIF($G$5:M$5,P$5,$G35:M35))</f>
        <v>0</v>
      </c>
      <c r="Q35" s="51">
        <f>E35-SUMIF($H$5:$N$5,Q$5,H35:N35)</f>
        <v>1</v>
      </c>
      <c r="R35" s="34">
        <f t="shared" si="7"/>
        <v>0</v>
      </c>
      <c r="S35" s="34">
        <f t="shared" si="8"/>
        <v>1</v>
      </c>
      <c r="U35" s="74">
        <f t="shared" si="18"/>
        <v>1</v>
      </c>
      <c r="V35" s="74">
        <f t="shared" si="10"/>
        <v>1</v>
      </c>
      <c r="W35" s="51">
        <f t="shared" si="10"/>
        <v>3809919</v>
      </c>
      <c r="X35" s="30">
        <f t="shared" si="11"/>
        <v>3809919</v>
      </c>
      <c r="Y35" s="30">
        <f t="shared" si="12"/>
        <v>0</v>
      </c>
      <c r="AB35" s="74">
        <f t="shared" si="13"/>
        <v>0.75</v>
      </c>
      <c r="AC35" s="74">
        <f t="shared" si="14"/>
        <v>0.25</v>
      </c>
      <c r="AD35" s="74">
        <f t="shared" si="15"/>
        <v>0</v>
      </c>
      <c r="AE35" s="74">
        <f t="shared" si="16"/>
        <v>0</v>
      </c>
      <c r="AG35" s="74">
        <f>SUM($AB35:AB35)</f>
        <v>0.75</v>
      </c>
      <c r="AH35" s="74">
        <f>SUM($AB35:AC35)</f>
        <v>1</v>
      </c>
      <c r="AI35" s="74">
        <f>SUM($AB35:AD35)</f>
        <v>1</v>
      </c>
      <c r="AJ35" s="74">
        <f>SUM($AB35:AE35)</f>
        <v>1</v>
      </c>
      <c r="AL35" s="30" t="b">
        <f t="shared" si="17"/>
        <v>1</v>
      </c>
    </row>
    <row r="36" spans="1:38" ht="12.75">
      <c r="A36" s="45" t="s">
        <v>30</v>
      </c>
      <c r="B36" s="50">
        <v>0.00794588</v>
      </c>
      <c r="C36" s="51">
        <f t="shared" si="2"/>
        <v>15496963</v>
      </c>
      <c r="D36" s="34"/>
      <c r="E36" s="51">
        <f t="shared" si="0"/>
        <v>15496963</v>
      </c>
      <c r="F36" s="39">
        <f>Alloc_Req08!C36</f>
        <v>0.9</v>
      </c>
      <c r="G36" s="39">
        <f t="shared" si="1"/>
        <v>0.75</v>
      </c>
      <c r="H36" s="51">
        <f t="shared" si="3"/>
        <v>11622722</v>
      </c>
      <c r="I36" s="74">
        <f>Alloc_Req08!D36</f>
        <v>0</v>
      </c>
      <c r="J36" s="74">
        <f>MIN(SUMIF($F$5:I$5,I$5,$F36:I36),J$3)-SUMIF($G$5:G$5,J$5,$G36:G36)</f>
        <v>0.15000000000000002</v>
      </c>
      <c r="K36" s="51">
        <f t="shared" si="4"/>
        <v>2324544</v>
      </c>
      <c r="L36" s="74">
        <f>Alloc_Req08!F36</f>
        <v>0</v>
      </c>
      <c r="M36" s="74">
        <f>MIN(SUMIF($F$5:L$5,L$5,$F36:L36),M$3)-SUMIF($G$5:J$5,M$5,$G36:J36)</f>
        <v>0</v>
      </c>
      <c r="N36" s="51">
        <f t="shared" si="5"/>
        <v>0</v>
      </c>
      <c r="O36" s="74">
        <f>Alloc_Req08!G36</f>
        <v>0.1</v>
      </c>
      <c r="P36" s="74">
        <f>P$3-(SUMIF($G$5:M$5,P$5,$G36:M36))</f>
        <v>0.09999999999999998</v>
      </c>
      <c r="Q36" s="51">
        <f t="shared" si="6"/>
        <v>1549697</v>
      </c>
      <c r="R36" s="34">
        <f t="shared" si="7"/>
        <v>1549696</v>
      </c>
      <c r="S36" s="34">
        <f t="shared" si="8"/>
        <v>1</v>
      </c>
      <c r="U36" s="74">
        <f t="shared" si="18"/>
        <v>1</v>
      </c>
      <c r="V36" s="74">
        <f t="shared" si="10"/>
        <v>1</v>
      </c>
      <c r="W36" s="51">
        <f t="shared" si="10"/>
        <v>15496963</v>
      </c>
      <c r="X36" s="30">
        <f t="shared" si="11"/>
        <v>15496963</v>
      </c>
      <c r="Y36" s="30">
        <f t="shared" si="12"/>
        <v>0</v>
      </c>
      <c r="AB36" s="74">
        <f t="shared" si="13"/>
        <v>0.75</v>
      </c>
      <c r="AC36" s="74">
        <f t="shared" si="14"/>
        <v>0.15000000000000002</v>
      </c>
      <c r="AD36" s="74">
        <f t="shared" si="15"/>
        <v>0</v>
      </c>
      <c r="AE36" s="74">
        <f t="shared" si="16"/>
        <v>0.09999999999999998</v>
      </c>
      <c r="AG36" s="74">
        <f>SUM($AB36:AB36)</f>
        <v>0.75</v>
      </c>
      <c r="AH36" s="74">
        <f>SUM($AB36:AC36)</f>
        <v>0.9</v>
      </c>
      <c r="AI36" s="74">
        <f>SUM($AB36:AD36)</f>
        <v>0.9</v>
      </c>
      <c r="AJ36" s="74">
        <f>SUM($AB36:AE36)</f>
        <v>1</v>
      </c>
      <c r="AL36" s="30" t="b">
        <f t="shared" si="17"/>
        <v>0</v>
      </c>
    </row>
    <row r="37" spans="1:38" ht="12.75">
      <c r="A37" s="45" t="s">
        <v>31</v>
      </c>
      <c r="B37" s="50">
        <v>0.03897152</v>
      </c>
      <c r="C37" s="51">
        <f t="shared" si="2"/>
        <v>76006713</v>
      </c>
      <c r="D37" s="34">
        <f>Tribes!H98</f>
        <v>190027</v>
      </c>
      <c r="E37" s="51">
        <f t="shared" si="0"/>
        <v>75816686</v>
      </c>
      <c r="F37" s="39">
        <f>Alloc_Req08!C37</f>
        <v>1</v>
      </c>
      <c r="G37" s="39">
        <f t="shared" si="1"/>
        <v>0.75</v>
      </c>
      <c r="H37" s="51">
        <f t="shared" si="3"/>
        <v>56862515</v>
      </c>
      <c r="I37" s="74">
        <f>Alloc_Req08!D37</f>
        <v>0</v>
      </c>
      <c r="J37" s="74">
        <f>MIN(SUMIF($F$5:I$5,I$5,$F37:I37),J$3)-SUMIF($G$5:G$5,J$5,$G37:G37)</f>
        <v>0.25</v>
      </c>
      <c r="K37" s="51">
        <f t="shared" si="4"/>
        <v>18954172</v>
      </c>
      <c r="L37" s="74">
        <f>Alloc_Req08!F37</f>
        <v>0</v>
      </c>
      <c r="M37" s="74">
        <f>MIN(SUMIF($F$5:L$5,L$5,$F37:L37),M$3)-SUMIF($G$5:J$5,M$5,$G37:J37)</f>
        <v>0</v>
      </c>
      <c r="N37" s="51">
        <f t="shared" si="5"/>
        <v>0</v>
      </c>
      <c r="O37" s="74">
        <f>Alloc_Req08!G37</f>
        <v>0</v>
      </c>
      <c r="P37" s="74">
        <f>P$3-(SUMIF($G$5:M$5,P$5,$G37:M37))</f>
        <v>0</v>
      </c>
      <c r="Q37" s="51">
        <f t="shared" si="6"/>
        <v>-1</v>
      </c>
      <c r="R37" s="34">
        <f t="shared" si="7"/>
        <v>0</v>
      </c>
      <c r="S37" s="34">
        <f t="shared" si="8"/>
        <v>-1</v>
      </c>
      <c r="U37" s="74">
        <f t="shared" si="18"/>
        <v>1</v>
      </c>
      <c r="V37" s="74">
        <f t="shared" si="10"/>
        <v>1</v>
      </c>
      <c r="W37" s="51">
        <f t="shared" si="10"/>
        <v>75816686</v>
      </c>
      <c r="X37" s="30">
        <f t="shared" si="11"/>
        <v>75816686</v>
      </c>
      <c r="Y37" s="30">
        <f t="shared" si="12"/>
        <v>0</v>
      </c>
      <c r="AB37" s="74">
        <f t="shared" si="13"/>
        <v>0.75</v>
      </c>
      <c r="AC37" s="74">
        <f t="shared" si="14"/>
        <v>0.25</v>
      </c>
      <c r="AD37" s="74">
        <f t="shared" si="15"/>
        <v>0</v>
      </c>
      <c r="AE37" s="74">
        <f t="shared" si="16"/>
        <v>0</v>
      </c>
      <c r="AG37" s="74">
        <f>SUM($AB37:AB37)</f>
        <v>0.75</v>
      </c>
      <c r="AH37" s="74">
        <f>SUM($AB37:AC37)</f>
        <v>1</v>
      </c>
      <c r="AI37" s="74">
        <f>SUM($AB37:AD37)</f>
        <v>1</v>
      </c>
      <c r="AJ37" s="74">
        <f>SUM($AB37:AE37)</f>
        <v>1</v>
      </c>
      <c r="AL37" s="30" t="b">
        <f t="shared" si="17"/>
        <v>1</v>
      </c>
    </row>
    <row r="38" spans="1:38" ht="12.75">
      <c r="A38" s="45" t="s">
        <v>32</v>
      </c>
      <c r="B38" s="50">
        <v>0.00520713</v>
      </c>
      <c r="C38" s="51">
        <f t="shared" si="2"/>
        <v>10155540</v>
      </c>
      <c r="D38" s="34">
        <f>Tribes!H100</f>
        <v>808498</v>
      </c>
      <c r="E38" s="51">
        <f t="shared" si="0"/>
        <v>9347042</v>
      </c>
      <c r="F38" s="39">
        <f>Alloc_Req08!C38</f>
        <v>1</v>
      </c>
      <c r="G38" s="39">
        <f t="shared" si="1"/>
        <v>0.75</v>
      </c>
      <c r="H38" s="51">
        <f t="shared" si="3"/>
        <v>7010282</v>
      </c>
      <c r="I38" s="74">
        <f>Alloc_Req08!D38</f>
        <v>0</v>
      </c>
      <c r="J38" s="74">
        <f>MIN(SUMIF($F$5:I$5,I$5,$F38:I38),J$3)-SUMIF($G$5:G$5,J$5,$G38:G38)</f>
        <v>0.25</v>
      </c>
      <c r="K38" s="51">
        <f>ROUND($E38*J38,0)-1</f>
        <v>2336760</v>
      </c>
      <c r="L38" s="74">
        <f>Alloc_Req08!F38</f>
        <v>0</v>
      </c>
      <c r="M38" s="74">
        <f>MIN(SUMIF($F$5:L$5,L$5,$F38:L38),M$3)-SUMIF($G$5:J$5,M$5,$G38:J38)</f>
        <v>0</v>
      </c>
      <c r="N38" s="51">
        <f t="shared" si="5"/>
        <v>0</v>
      </c>
      <c r="O38" s="74">
        <f>Alloc_Req08!G38</f>
        <v>0</v>
      </c>
      <c r="P38" s="74">
        <f>P$3-(SUMIF($G$5:M$5,P$5,$G38:M38))</f>
        <v>0</v>
      </c>
      <c r="Q38" s="51">
        <f>E38-SUMIF($H$5:$N$5,Q$5,H38:N38)</f>
        <v>0</v>
      </c>
      <c r="R38" s="34">
        <f t="shared" si="7"/>
        <v>0</v>
      </c>
      <c r="S38" s="34">
        <f t="shared" si="8"/>
        <v>0</v>
      </c>
      <c r="U38" s="74">
        <f t="shared" si="18"/>
        <v>1</v>
      </c>
      <c r="V38" s="74">
        <f t="shared" si="10"/>
        <v>1</v>
      </c>
      <c r="W38" s="51">
        <f t="shared" si="10"/>
        <v>9347042</v>
      </c>
      <c r="X38" s="30">
        <f t="shared" si="11"/>
        <v>9347042</v>
      </c>
      <c r="Y38" s="30">
        <f t="shared" si="12"/>
        <v>0</v>
      </c>
      <c r="AB38" s="74">
        <f t="shared" si="13"/>
        <v>0.75</v>
      </c>
      <c r="AC38" s="74">
        <f t="shared" si="14"/>
        <v>0.25</v>
      </c>
      <c r="AD38" s="74">
        <f t="shared" si="15"/>
        <v>0</v>
      </c>
      <c r="AE38" s="74">
        <f t="shared" si="16"/>
        <v>0</v>
      </c>
      <c r="AG38" s="74">
        <f>SUM($AB38:AB38)</f>
        <v>0.75</v>
      </c>
      <c r="AH38" s="74">
        <f>SUM($AB38:AC38)</f>
        <v>1</v>
      </c>
      <c r="AI38" s="74">
        <f>SUM($AB38:AD38)</f>
        <v>1</v>
      </c>
      <c r="AJ38" s="74">
        <f>SUM($AB38:AE38)</f>
        <v>1</v>
      </c>
      <c r="AL38" s="30" t="b">
        <f t="shared" si="17"/>
        <v>0</v>
      </c>
    </row>
    <row r="39" spans="1:38" ht="12.75">
      <c r="A39" s="45" t="s">
        <v>33</v>
      </c>
      <c r="B39" s="50">
        <v>0.12724791</v>
      </c>
      <c r="C39" s="51">
        <f>ROUND(+B39*$B$67,0)</f>
        <v>248173419</v>
      </c>
      <c r="D39" s="34">
        <f>Tribes!H108</f>
        <v>404220</v>
      </c>
      <c r="E39" s="51">
        <f aca="true" t="shared" si="19" ref="E39:E57">C39-D39</f>
        <v>247769199</v>
      </c>
      <c r="F39" s="39">
        <f>Alloc_Req08!C39</f>
        <v>1</v>
      </c>
      <c r="G39" s="39">
        <f aca="true" t="shared" si="20" ref="G39:G57">MIN(F39,$G$3)</f>
        <v>0.75</v>
      </c>
      <c r="H39" s="51">
        <f>ROUND($E39*G39,0)-4</f>
        <v>185826895</v>
      </c>
      <c r="I39" s="74">
        <f>Alloc_Req08!D39</f>
        <v>0</v>
      </c>
      <c r="J39" s="74">
        <f>MIN(SUMIF($F$5:I$5,I$5,$F39:I39),J$3)-SUMIF($G$5:G$5,J$5,$G39:G39)</f>
        <v>0.25</v>
      </c>
      <c r="K39" s="51">
        <f>ROUND($E39*J39,0)+4</f>
        <v>61942304</v>
      </c>
      <c r="L39" s="74">
        <f>Alloc_Req08!F39</f>
        <v>0</v>
      </c>
      <c r="M39" s="74">
        <f>MIN(SUMIF($F$5:L$5,L$5,$F39:L39),M$3)-SUMIF($G$5:J$5,M$5,$G39:J39)</f>
        <v>0</v>
      </c>
      <c r="N39" s="51">
        <f t="shared" si="5"/>
        <v>0</v>
      </c>
      <c r="O39" s="74">
        <f>Alloc_Req08!G39</f>
        <v>0</v>
      </c>
      <c r="P39" s="74">
        <f>P$3-(SUMIF($G$5:M$5,P$5,$G39:M39))</f>
        <v>0</v>
      </c>
      <c r="Q39" s="51">
        <f>E39-SUMIF($H$5:$N$5,Q$5,H39:N39)</f>
        <v>0</v>
      </c>
      <c r="R39" s="34">
        <f>ROUND($E39*P39,0)-4</f>
        <v>-4</v>
      </c>
      <c r="S39" s="34">
        <f t="shared" si="8"/>
        <v>4</v>
      </c>
      <c r="U39" s="74">
        <f t="shared" si="18"/>
        <v>1</v>
      </c>
      <c r="V39" s="74">
        <f t="shared" si="10"/>
        <v>1</v>
      </c>
      <c r="W39" s="51">
        <f t="shared" si="10"/>
        <v>247769199</v>
      </c>
      <c r="X39" s="30">
        <f t="shared" si="11"/>
        <v>247769199</v>
      </c>
      <c r="Y39" s="30">
        <f t="shared" si="12"/>
        <v>0</v>
      </c>
      <c r="AB39" s="74">
        <f t="shared" si="13"/>
        <v>0.75</v>
      </c>
      <c r="AC39" s="74">
        <f t="shared" si="14"/>
        <v>0.25</v>
      </c>
      <c r="AD39" s="74">
        <f t="shared" si="15"/>
        <v>0</v>
      </c>
      <c r="AE39" s="74">
        <f t="shared" si="16"/>
        <v>0</v>
      </c>
      <c r="AG39" s="74">
        <f>SUM($AB39:AB39)</f>
        <v>0.75</v>
      </c>
      <c r="AH39" s="74">
        <f>SUM($AB39:AC39)</f>
        <v>1</v>
      </c>
      <c r="AI39" s="74">
        <f>SUM($AB39:AD39)</f>
        <v>1</v>
      </c>
      <c r="AJ39" s="74">
        <f>SUM($AB39:AE39)</f>
        <v>1</v>
      </c>
      <c r="AL39" s="30" t="b">
        <f t="shared" si="17"/>
        <v>0</v>
      </c>
    </row>
    <row r="40" spans="1:38" ht="12.75">
      <c r="A40" s="45" t="s">
        <v>34</v>
      </c>
      <c r="B40" s="50">
        <v>0.0189638</v>
      </c>
      <c r="C40" s="51">
        <f aca="true" t="shared" si="21" ref="C40:C56">ROUND(+B40*$B$67,0)</f>
        <v>36985370</v>
      </c>
      <c r="D40" s="34">
        <f>Tribes!H111</f>
        <v>657759</v>
      </c>
      <c r="E40" s="51">
        <f t="shared" si="19"/>
        <v>36327611</v>
      </c>
      <c r="F40" s="39">
        <f>Alloc_Req08!C40</f>
        <v>0.25</v>
      </c>
      <c r="G40" s="39">
        <f t="shared" si="20"/>
        <v>0.25</v>
      </c>
      <c r="H40" s="51">
        <f t="shared" si="3"/>
        <v>9081903</v>
      </c>
      <c r="I40" s="74">
        <f>Alloc_Req08!D40</f>
        <v>0.45</v>
      </c>
      <c r="J40" s="74">
        <f>MIN(SUMIF($F$5:I$5,I$5,$F40:I40),J$3)-SUMIF($G$5:G$5,J$5,$G40:G40)</f>
        <v>0.44999999999999996</v>
      </c>
      <c r="K40" s="51">
        <f t="shared" si="4"/>
        <v>16347425</v>
      </c>
      <c r="L40" s="74">
        <f>Alloc_Req08!F40</f>
        <v>0.2</v>
      </c>
      <c r="M40" s="74">
        <f>MIN(SUMIF($F$5:L$5,L$5,$F40:L40),M$3)-SUMIF($G$5:J$5,M$5,$G40:J40)</f>
        <v>0.19999999999999996</v>
      </c>
      <c r="N40" s="51">
        <f t="shared" si="5"/>
        <v>7265522</v>
      </c>
      <c r="O40" s="74">
        <f>Alloc_Req08!G40</f>
        <v>0.1</v>
      </c>
      <c r="P40" s="74">
        <f>P$3-(SUMIF($G$5:M$5,P$5,$G40:M40))</f>
        <v>0.10000000000000009</v>
      </c>
      <c r="Q40" s="51">
        <f t="shared" si="6"/>
        <v>3632761</v>
      </c>
      <c r="R40" s="34">
        <f t="shared" si="7"/>
        <v>3632761</v>
      </c>
      <c r="S40" s="34">
        <f t="shared" si="8"/>
        <v>0</v>
      </c>
      <c r="U40" s="74">
        <f t="shared" si="18"/>
        <v>0.9999999999999999</v>
      </c>
      <c r="V40" s="74">
        <f t="shared" si="10"/>
        <v>1</v>
      </c>
      <c r="W40" s="51">
        <f t="shared" si="10"/>
        <v>36327611</v>
      </c>
      <c r="X40" s="30">
        <f t="shared" si="11"/>
        <v>36327611</v>
      </c>
      <c r="Y40" s="30">
        <f t="shared" si="12"/>
        <v>0</v>
      </c>
      <c r="AB40" s="74">
        <f t="shared" si="13"/>
        <v>0.25</v>
      </c>
      <c r="AC40" s="74">
        <f t="shared" si="14"/>
        <v>0.44999999999999996</v>
      </c>
      <c r="AD40" s="74">
        <f t="shared" si="15"/>
        <v>0.19999999999999996</v>
      </c>
      <c r="AE40" s="74">
        <f t="shared" si="16"/>
        <v>0.10000000000000009</v>
      </c>
      <c r="AG40" s="74">
        <f>SUM($AB40:AB40)</f>
        <v>0.25</v>
      </c>
      <c r="AH40" s="74">
        <f>SUM($AB40:AC40)</f>
        <v>0.7</v>
      </c>
      <c r="AI40" s="74">
        <f>SUM($AB40:AD40)</f>
        <v>0.8999999999999999</v>
      </c>
      <c r="AJ40" s="74">
        <f>SUM($AB40:AE40)</f>
        <v>1</v>
      </c>
      <c r="AL40" s="30" t="b">
        <f t="shared" si="17"/>
        <v>0</v>
      </c>
    </row>
    <row r="41" spans="1:38" ht="12.75">
      <c r="A41" s="45" t="s">
        <v>35</v>
      </c>
      <c r="B41" s="50">
        <v>0.00799548</v>
      </c>
      <c r="C41" s="51">
        <f t="shared" si="21"/>
        <v>15593699</v>
      </c>
      <c r="D41" s="34">
        <f>Tribes!H113</f>
        <v>2838053</v>
      </c>
      <c r="E41" s="51">
        <f t="shared" si="19"/>
        <v>12755646</v>
      </c>
      <c r="F41" s="39">
        <f>Alloc_Req08!C41</f>
        <v>0.5</v>
      </c>
      <c r="G41" s="39">
        <f t="shared" si="20"/>
        <v>0.5</v>
      </c>
      <c r="H41" s="51">
        <f t="shared" si="3"/>
        <v>6377823</v>
      </c>
      <c r="I41" s="74">
        <f>Alloc_Req08!D41</f>
        <v>0.5</v>
      </c>
      <c r="J41" s="74">
        <f>MIN(SUMIF($F$5:I$5,I$5,$F41:I41),J$3)-SUMIF($G$5:G$5,J$5,$G41:G41)</f>
        <v>0.5</v>
      </c>
      <c r="K41" s="51">
        <f>ROUND($E41*J41,0)-1</f>
        <v>6377822</v>
      </c>
      <c r="L41" s="74">
        <f>Alloc_Req08!F41</f>
        <v>0</v>
      </c>
      <c r="M41" s="74">
        <f>MIN(SUMIF($F$5:L$5,L$5,$F41:L41),M$3)-SUMIF($G$5:J$5,M$5,$G41:J41)</f>
        <v>0</v>
      </c>
      <c r="N41" s="51">
        <f t="shared" si="5"/>
        <v>0</v>
      </c>
      <c r="O41" s="74">
        <f>Alloc_Req08!G41</f>
        <v>0</v>
      </c>
      <c r="P41" s="74">
        <f>P$3-(SUMIF($G$5:M$5,P$5,$G41:M41))</f>
        <v>0</v>
      </c>
      <c r="Q41" s="51">
        <f>E41-SUMIF($H$5:$N$5,Q$5,H41:N41)</f>
        <v>1</v>
      </c>
      <c r="R41" s="34">
        <f t="shared" si="7"/>
        <v>0</v>
      </c>
      <c r="S41" s="34">
        <f t="shared" si="8"/>
        <v>1</v>
      </c>
      <c r="U41" s="74">
        <f t="shared" si="18"/>
        <v>1</v>
      </c>
      <c r="V41" s="74">
        <f t="shared" si="10"/>
        <v>1</v>
      </c>
      <c r="W41" s="51">
        <f t="shared" si="10"/>
        <v>12755646</v>
      </c>
      <c r="X41" s="30">
        <f t="shared" si="11"/>
        <v>12755646</v>
      </c>
      <c r="Y41" s="30">
        <f t="shared" si="12"/>
        <v>0</v>
      </c>
      <c r="AB41" s="74">
        <f t="shared" si="13"/>
        <v>0.5</v>
      </c>
      <c r="AC41" s="74">
        <f t="shared" si="14"/>
        <v>0.5</v>
      </c>
      <c r="AD41" s="74">
        <f t="shared" si="15"/>
        <v>0</v>
      </c>
      <c r="AE41" s="74">
        <f t="shared" si="16"/>
        <v>0</v>
      </c>
      <c r="AG41" s="74">
        <f>SUM($AB41:AB41)</f>
        <v>0.5</v>
      </c>
      <c r="AH41" s="74">
        <f>SUM($AB41:AC41)</f>
        <v>1</v>
      </c>
      <c r="AI41" s="74">
        <f>SUM($AB41:AD41)</f>
        <v>1</v>
      </c>
      <c r="AJ41" s="74">
        <f>SUM($AB41:AE41)</f>
        <v>1</v>
      </c>
      <c r="AL41" s="30" t="b">
        <f t="shared" si="17"/>
        <v>1</v>
      </c>
    </row>
    <row r="42" spans="1:38" ht="12.75">
      <c r="A42" s="45" t="s">
        <v>36</v>
      </c>
      <c r="B42" s="50">
        <v>0.0513862</v>
      </c>
      <c r="C42" s="51">
        <f t="shared" si="21"/>
        <v>100219241</v>
      </c>
      <c r="D42" s="34"/>
      <c r="E42" s="51">
        <f t="shared" si="19"/>
        <v>100219241</v>
      </c>
      <c r="F42" s="39">
        <f>Alloc_Req08!C42</f>
        <v>0.9</v>
      </c>
      <c r="G42" s="39">
        <f t="shared" si="20"/>
        <v>0.75</v>
      </c>
      <c r="H42" s="51">
        <f t="shared" si="3"/>
        <v>75164431</v>
      </c>
      <c r="I42" s="74">
        <f>Alloc_Req08!D42</f>
        <v>0.05</v>
      </c>
      <c r="J42" s="74">
        <f>MIN(SUMIF($F$5:I$5,I$5,$F42:I42),J$3)-SUMIF($G$5:G$5,J$5,$G42:G42)</f>
        <v>0.20000000000000007</v>
      </c>
      <c r="K42" s="51">
        <f t="shared" si="4"/>
        <v>20043848</v>
      </c>
      <c r="L42" s="74">
        <f>Alloc_Req08!F42</f>
        <v>0.05</v>
      </c>
      <c r="M42" s="74">
        <f>MIN(SUMIF($F$5:L$5,L$5,$F42:L42),M$3)-SUMIF($G$5:J$5,M$5,$G42:J42)</f>
        <v>0.04999999999999993</v>
      </c>
      <c r="N42" s="51">
        <f t="shared" si="5"/>
        <v>5010962</v>
      </c>
      <c r="O42" s="74">
        <f>Alloc_Req08!G42</f>
        <v>0</v>
      </c>
      <c r="P42" s="74">
        <f>P$3-(SUMIF($G$5:M$5,P$5,$G42:M42))</f>
        <v>0</v>
      </c>
      <c r="Q42" s="51">
        <f t="shared" si="6"/>
        <v>0</v>
      </c>
      <c r="R42" s="34">
        <f t="shared" si="7"/>
        <v>0</v>
      </c>
      <c r="S42" s="34">
        <f t="shared" si="8"/>
        <v>0</v>
      </c>
      <c r="U42" s="74">
        <f t="shared" si="18"/>
        <v>1</v>
      </c>
      <c r="V42" s="74">
        <f t="shared" si="10"/>
        <v>1</v>
      </c>
      <c r="W42" s="51">
        <f t="shared" si="10"/>
        <v>100219241</v>
      </c>
      <c r="X42" s="30">
        <f t="shared" si="11"/>
        <v>100219241</v>
      </c>
      <c r="Y42" s="30">
        <f t="shared" si="12"/>
        <v>0</v>
      </c>
      <c r="AB42" s="74">
        <f t="shared" si="13"/>
        <v>0.75</v>
      </c>
      <c r="AC42" s="74">
        <f t="shared" si="14"/>
        <v>0.20000000000000007</v>
      </c>
      <c r="AD42" s="74">
        <f t="shared" si="15"/>
        <v>0.04999999999999993</v>
      </c>
      <c r="AE42" s="74">
        <f t="shared" si="16"/>
        <v>0</v>
      </c>
      <c r="AG42" s="74">
        <f>SUM($AB42:AB42)</f>
        <v>0.75</v>
      </c>
      <c r="AH42" s="74">
        <f>SUM($AB42:AC42)</f>
        <v>0.9500000000000001</v>
      </c>
      <c r="AI42" s="74">
        <f>SUM($AB42:AD42)</f>
        <v>1</v>
      </c>
      <c r="AJ42" s="74">
        <f>SUM($AB42:AE42)</f>
        <v>1</v>
      </c>
      <c r="AL42" s="30" t="b">
        <f t="shared" si="17"/>
        <v>0</v>
      </c>
    </row>
    <row r="43" spans="1:38" ht="12.75">
      <c r="A43" s="45" t="s">
        <v>37</v>
      </c>
      <c r="B43" s="50">
        <v>0.00790558</v>
      </c>
      <c r="C43" s="51">
        <f t="shared" si="21"/>
        <v>15418366</v>
      </c>
      <c r="D43" s="34">
        <f>Tribes!H118</f>
        <v>1414934</v>
      </c>
      <c r="E43" s="51">
        <f t="shared" si="19"/>
        <v>14003432</v>
      </c>
      <c r="F43" s="39">
        <f>Alloc_Req08!C43</f>
        <v>0.9</v>
      </c>
      <c r="G43" s="39">
        <f t="shared" si="20"/>
        <v>0.75</v>
      </c>
      <c r="H43" s="51">
        <f t="shared" si="3"/>
        <v>10502574</v>
      </c>
      <c r="I43" s="74">
        <f>Alloc_Req08!D43</f>
        <v>0</v>
      </c>
      <c r="J43" s="74">
        <f>MIN(SUMIF($F$5:I$5,I$5,$F43:I43),J$3)-SUMIF($G$5:G$5,J$5,$G43:G43)</f>
        <v>0.15000000000000002</v>
      </c>
      <c r="K43" s="51">
        <f>ROUND($E43*J43,0)-1</f>
        <v>2100514</v>
      </c>
      <c r="L43" s="74">
        <f>Alloc_Req08!F43</f>
        <v>0.1</v>
      </c>
      <c r="M43" s="74">
        <f>MIN(SUMIF($F$5:L$5,L$5,$F43:L43),M$3)-SUMIF($G$5:J$5,M$5,$G43:J43)</f>
        <v>0.09999999999999998</v>
      </c>
      <c r="N43" s="51">
        <f t="shared" si="5"/>
        <v>1400343</v>
      </c>
      <c r="O43" s="74">
        <f>Alloc_Req08!G43</f>
        <v>0</v>
      </c>
      <c r="P43" s="74">
        <f>P$3-(SUMIF($G$5:M$5,P$5,$G43:M43))</f>
        <v>0</v>
      </c>
      <c r="Q43" s="51">
        <f>E43-SUMIF($H$5:$N$5,Q$5,H43:N43)</f>
        <v>1</v>
      </c>
      <c r="R43" s="34">
        <f t="shared" si="7"/>
        <v>0</v>
      </c>
      <c r="S43" s="34">
        <f t="shared" si="8"/>
        <v>1</v>
      </c>
      <c r="U43" s="74">
        <f t="shared" si="18"/>
        <v>1</v>
      </c>
      <c r="V43" s="74">
        <f t="shared" si="10"/>
        <v>1</v>
      </c>
      <c r="W43" s="51">
        <f t="shared" si="10"/>
        <v>14003432</v>
      </c>
      <c r="X43" s="30">
        <f t="shared" si="11"/>
        <v>14003432</v>
      </c>
      <c r="Y43" s="30">
        <f t="shared" si="12"/>
        <v>0</v>
      </c>
      <c r="AB43" s="74">
        <f t="shared" si="13"/>
        <v>0.75</v>
      </c>
      <c r="AC43" s="74">
        <f t="shared" si="14"/>
        <v>0.15000000000000002</v>
      </c>
      <c r="AD43" s="74">
        <f t="shared" si="15"/>
        <v>0.09999999999999998</v>
      </c>
      <c r="AE43" s="74">
        <f t="shared" si="16"/>
        <v>0</v>
      </c>
      <c r="AG43" s="74">
        <f>SUM($AB43:AB43)</f>
        <v>0.75</v>
      </c>
      <c r="AH43" s="74">
        <f>SUM($AB43:AC43)</f>
        <v>0.9</v>
      </c>
      <c r="AI43" s="74">
        <f>SUM($AB43:AD43)</f>
        <v>1</v>
      </c>
      <c r="AJ43" s="74">
        <f>SUM($AB43:AE43)</f>
        <v>1</v>
      </c>
      <c r="AL43" s="30" t="b">
        <f t="shared" si="17"/>
        <v>1</v>
      </c>
    </row>
    <row r="44" spans="1:38" ht="12.75">
      <c r="A44" s="45" t="s">
        <v>38</v>
      </c>
      <c r="B44" s="50">
        <v>0.01246826</v>
      </c>
      <c r="C44" s="51">
        <f t="shared" si="21"/>
        <v>24317026</v>
      </c>
      <c r="D44" s="34">
        <f>Tribes!H151</f>
        <v>567394</v>
      </c>
      <c r="E44" s="51">
        <f t="shared" si="19"/>
        <v>23749632</v>
      </c>
      <c r="F44" s="39">
        <f>Alloc_Req08!C44</f>
        <v>0.9</v>
      </c>
      <c r="G44" s="39">
        <f t="shared" si="20"/>
        <v>0.75</v>
      </c>
      <c r="H44" s="51">
        <f t="shared" si="3"/>
        <v>17812224</v>
      </c>
      <c r="I44" s="74">
        <f>Alloc_Req08!D44</f>
        <v>0.1</v>
      </c>
      <c r="J44" s="74">
        <f>MIN(SUMIF($F$5:I$5,I$5,$F44:I44),J$3)-SUMIF($G$5:G$5,J$5,$G44:G44)</f>
        <v>0.25</v>
      </c>
      <c r="K44" s="51">
        <f>ROUND($E44*J44,0)-1</f>
        <v>5937407</v>
      </c>
      <c r="L44" s="74">
        <f>Alloc_Req08!F44</f>
        <v>0</v>
      </c>
      <c r="M44" s="74">
        <f>MIN(SUMIF($F$5:L$5,L$5,$F44:L44),M$3)-SUMIF($G$5:J$5,M$5,$G44:J44)</f>
        <v>0</v>
      </c>
      <c r="N44" s="51">
        <f t="shared" si="5"/>
        <v>0</v>
      </c>
      <c r="O44" s="74">
        <f>Alloc_Req08!G44</f>
        <v>0</v>
      </c>
      <c r="P44" s="74">
        <f>P$3-(SUMIF($G$5:M$5,P$5,$G44:M44))</f>
        <v>0</v>
      </c>
      <c r="Q44" s="51">
        <f aca="true" t="shared" si="22" ref="Q44:Q57">E44-SUMIF($H$5:$N$5,Q$5,H44:N44)</f>
        <v>1</v>
      </c>
      <c r="R44" s="34">
        <f t="shared" si="7"/>
        <v>0</v>
      </c>
      <c r="S44" s="34">
        <f t="shared" si="8"/>
        <v>1</v>
      </c>
      <c r="U44" s="74">
        <f t="shared" si="18"/>
        <v>1</v>
      </c>
      <c r="V44" s="74">
        <f t="shared" si="10"/>
        <v>1</v>
      </c>
      <c r="W44" s="51">
        <f t="shared" si="10"/>
        <v>23749632</v>
      </c>
      <c r="X44" s="30">
        <f t="shared" si="11"/>
        <v>23749632</v>
      </c>
      <c r="Y44" s="30">
        <f t="shared" si="12"/>
        <v>0</v>
      </c>
      <c r="AB44" s="74">
        <f t="shared" si="13"/>
        <v>0.75</v>
      </c>
      <c r="AC44" s="74">
        <f t="shared" si="14"/>
        <v>0.25</v>
      </c>
      <c r="AD44" s="74">
        <f t="shared" si="15"/>
        <v>0</v>
      </c>
      <c r="AE44" s="74">
        <f t="shared" si="16"/>
        <v>0</v>
      </c>
      <c r="AG44" s="74">
        <f>SUM($AB44:AB44)</f>
        <v>0.75</v>
      </c>
      <c r="AH44" s="74">
        <f>SUM($AB44:AC44)</f>
        <v>1</v>
      </c>
      <c r="AI44" s="74">
        <f>SUM($AB44:AD44)</f>
        <v>1</v>
      </c>
      <c r="AJ44" s="74">
        <f>SUM($AB44:AE44)</f>
        <v>1</v>
      </c>
      <c r="AL44" s="30" t="b">
        <f t="shared" si="17"/>
        <v>1</v>
      </c>
    </row>
    <row r="45" spans="1:38" ht="12.75">
      <c r="A45" s="45" t="s">
        <v>39</v>
      </c>
      <c r="B45" s="50">
        <v>0.0683509</v>
      </c>
      <c r="C45" s="51">
        <f t="shared" si="21"/>
        <v>133305738</v>
      </c>
      <c r="D45" s="34"/>
      <c r="E45" s="51">
        <f t="shared" si="19"/>
        <v>133305738</v>
      </c>
      <c r="F45" s="39">
        <f>Alloc_Req08!C45</f>
        <v>0.75</v>
      </c>
      <c r="G45" s="39">
        <f t="shared" si="20"/>
        <v>0.75</v>
      </c>
      <c r="H45" s="51">
        <f t="shared" si="3"/>
        <v>99979304</v>
      </c>
      <c r="I45" s="74">
        <f>Alloc_Req08!D45</f>
        <v>0.15</v>
      </c>
      <c r="J45" s="74">
        <f>MIN(SUMIF($F$5:I$5,I$5,$F45:I45),J$3)-SUMIF($G$5:G$5,J$5,$G45:G45)</f>
        <v>0.15000000000000002</v>
      </c>
      <c r="K45" s="51">
        <f t="shared" si="4"/>
        <v>19995861</v>
      </c>
      <c r="L45" s="74">
        <f>Alloc_Req08!F45</f>
        <v>0.05</v>
      </c>
      <c r="M45" s="74">
        <f>MIN(SUMIF($F$5:L$5,L$5,$F45:L45),M$3)-SUMIF($G$5:J$5,M$5,$G45:J45)</f>
        <v>0.050000000000000044</v>
      </c>
      <c r="N45" s="51">
        <f t="shared" si="5"/>
        <v>6665287</v>
      </c>
      <c r="O45" s="74">
        <f>Alloc_Req08!G45</f>
        <v>0.05</v>
      </c>
      <c r="P45" s="74">
        <f>P$3-(SUMIF($G$5:M$5,P$5,$G45:M45))</f>
        <v>0.04999999999999993</v>
      </c>
      <c r="Q45" s="51">
        <f t="shared" si="22"/>
        <v>6665286</v>
      </c>
      <c r="R45" s="34">
        <f t="shared" si="7"/>
        <v>6665287</v>
      </c>
      <c r="S45" s="34">
        <f t="shared" si="8"/>
        <v>-1</v>
      </c>
      <c r="U45" s="74">
        <f t="shared" si="18"/>
        <v>1</v>
      </c>
      <c r="V45" s="74">
        <f t="shared" si="10"/>
        <v>1</v>
      </c>
      <c r="W45" s="51">
        <f t="shared" si="10"/>
        <v>133305738</v>
      </c>
      <c r="X45" s="30">
        <f t="shared" si="11"/>
        <v>133305738</v>
      </c>
      <c r="Y45" s="30">
        <f t="shared" si="12"/>
        <v>0</v>
      </c>
      <c r="AB45" s="74">
        <f t="shared" si="13"/>
        <v>0.75</v>
      </c>
      <c r="AC45" s="74">
        <f t="shared" si="14"/>
        <v>0.15000000000000002</v>
      </c>
      <c r="AD45" s="74">
        <f t="shared" si="15"/>
        <v>0.050000000000000044</v>
      </c>
      <c r="AE45" s="74">
        <f t="shared" si="16"/>
        <v>0.04999999999999993</v>
      </c>
      <c r="AG45" s="74">
        <f>SUM($AB45:AB45)</f>
        <v>0.75</v>
      </c>
      <c r="AH45" s="74">
        <f>SUM($AB45:AC45)</f>
        <v>0.9</v>
      </c>
      <c r="AI45" s="74">
        <f>SUM($AB45:AD45)</f>
        <v>0.9500000000000001</v>
      </c>
      <c r="AJ45" s="74">
        <f>SUM($AB45:AE45)</f>
        <v>1</v>
      </c>
      <c r="AL45" s="30" t="b">
        <f t="shared" si="17"/>
        <v>0</v>
      </c>
    </row>
    <row r="46" spans="1:38" ht="12.75">
      <c r="A46" s="45" t="s">
        <v>40</v>
      </c>
      <c r="B46" s="50">
        <v>0.00691008</v>
      </c>
      <c r="C46" s="51">
        <f t="shared" si="21"/>
        <v>13476828</v>
      </c>
      <c r="D46" s="34">
        <f>Tribes!H158</f>
        <v>38186</v>
      </c>
      <c r="E46" s="51">
        <f t="shared" si="19"/>
        <v>13438642</v>
      </c>
      <c r="F46" s="39">
        <f>Alloc_Req08!C46</f>
        <v>0.75</v>
      </c>
      <c r="G46" s="39">
        <f t="shared" si="20"/>
        <v>0.75</v>
      </c>
      <c r="H46" s="51">
        <f t="shared" si="3"/>
        <v>10078982</v>
      </c>
      <c r="I46" s="74">
        <f>Alloc_Req08!D46</f>
        <v>0.25</v>
      </c>
      <c r="J46" s="74">
        <f>MIN(SUMIF($F$5:I$5,I$5,$F46:I46),J$3)-SUMIF($G$5:G$5,J$5,$G46:G46)</f>
        <v>0.25</v>
      </c>
      <c r="K46" s="51">
        <f t="shared" si="4"/>
        <v>3359661</v>
      </c>
      <c r="L46" s="74">
        <f>Alloc_Req08!F46</f>
        <v>0</v>
      </c>
      <c r="M46" s="74">
        <f>MIN(SUMIF($F$5:L$5,L$5,$F46:L46),M$3)-SUMIF($G$5:J$5,M$5,$G46:J46)</f>
        <v>0</v>
      </c>
      <c r="N46" s="51">
        <f t="shared" si="5"/>
        <v>0</v>
      </c>
      <c r="O46" s="74">
        <f>Alloc_Req08!G46</f>
        <v>0</v>
      </c>
      <c r="P46" s="74">
        <f>P$3-(SUMIF($G$5:M$5,P$5,$G46:M46))</f>
        <v>0</v>
      </c>
      <c r="Q46" s="51">
        <f t="shared" si="22"/>
        <v>-1</v>
      </c>
      <c r="R46" s="34">
        <f t="shared" si="7"/>
        <v>0</v>
      </c>
      <c r="S46" s="34">
        <f t="shared" si="8"/>
        <v>-1</v>
      </c>
      <c r="U46" s="74">
        <f t="shared" si="18"/>
        <v>1</v>
      </c>
      <c r="V46" s="74">
        <f t="shared" si="10"/>
        <v>1</v>
      </c>
      <c r="W46" s="51">
        <f t="shared" si="10"/>
        <v>13438642</v>
      </c>
      <c r="X46" s="30">
        <f t="shared" si="11"/>
        <v>13438642</v>
      </c>
      <c r="Y46" s="30">
        <f t="shared" si="12"/>
        <v>0</v>
      </c>
      <c r="AB46" s="74">
        <f t="shared" si="13"/>
        <v>0.75</v>
      </c>
      <c r="AC46" s="74">
        <f t="shared" si="14"/>
        <v>0.25</v>
      </c>
      <c r="AD46" s="74">
        <f t="shared" si="15"/>
        <v>0</v>
      </c>
      <c r="AE46" s="74">
        <f t="shared" si="16"/>
        <v>0</v>
      </c>
      <c r="AG46" s="74">
        <f>SUM($AB46:AB46)</f>
        <v>0.75</v>
      </c>
      <c r="AH46" s="74">
        <f>SUM($AB46:AC46)</f>
        <v>1</v>
      </c>
      <c r="AI46" s="74">
        <f>SUM($AB46:AD46)</f>
        <v>1</v>
      </c>
      <c r="AJ46" s="74">
        <f>SUM($AB46:AE46)</f>
        <v>1</v>
      </c>
      <c r="AL46" s="30" t="b">
        <f t="shared" si="17"/>
        <v>1</v>
      </c>
    </row>
    <row r="47" spans="1:38" ht="12.75">
      <c r="A47" s="45" t="s">
        <v>41</v>
      </c>
      <c r="B47" s="50">
        <v>0.00683051</v>
      </c>
      <c r="C47" s="51">
        <f t="shared" si="21"/>
        <v>13321641</v>
      </c>
      <c r="D47" s="34"/>
      <c r="E47" s="51">
        <f t="shared" si="19"/>
        <v>13321641</v>
      </c>
      <c r="F47" s="39">
        <f>Alloc_Req08!C47</f>
        <v>0.5</v>
      </c>
      <c r="G47" s="39">
        <f t="shared" si="20"/>
        <v>0.5</v>
      </c>
      <c r="H47" s="51">
        <f t="shared" si="3"/>
        <v>6660821</v>
      </c>
      <c r="I47" s="74">
        <f>Alloc_Req08!D47</f>
        <v>0.25</v>
      </c>
      <c r="J47" s="74">
        <f>MIN(SUMIF($F$5:I$5,I$5,$F47:I47),J$3)-SUMIF($G$5:G$5,J$5,$G47:G47)</f>
        <v>0.25</v>
      </c>
      <c r="K47" s="51">
        <f>ROUND($E47*J47,0)-1</f>
        <v>3330409</v>
      </c>
      <c r="L47" s="74">
        <f>Alloc_Req08!F47</f>
        <v>0.25</v>
      </c>
      <c r="M47" s="74">
        <f>MIN(SUMIF($F$5:L$5,L$5,$F47:L47),M$3)-SUMIF($G$5:J$5,M$5,$G47:J47)</f>
        <v>0.25</v>
      </c>
      <c r="N47" s="51">
        <f t="shared" si="5"/>
        <v>3330410</v>
      </c>
      <c r="O47" s="74">
        <f>Alloc_Req08!G47</f>
        <v>0</v>
      </c>
      <c r="P47" s="74">
        <f>P$3-(SUMIF($G$5:M$5,P$5,$G47:M47))</f>
        <v>0</v>
      </c>
      <c r="Q47" s="51">
        <f t="shared" si="22"/>
        <v>1</v>
      </c>
      <c r="R47" s="34">
        <f t="shared" si="7"/>
        <v>0</v>
      </c>
      <c r="S47" s="34">
        <f t="shared" si="8"/>
        <v>1</v>
      </c>
      <c r="U47" s="74">
        <f t="shared" si="18"/>
        <v>1</v>
      </c>
      <c r="V47" s="74">
        <f t="shared" si="10"/>
        <v>1</v>
      </c>
      <c r="W47" s="51">
        <f t="shared" si="10"/>
        <v>13321641</v>
      </c>
      <c r="X47" s="30">
        <f t="shared" si="11"/>
        <v>13321641</v>
      </c>
      <c r="Y47" s="30">
        <f t="shared" si="12"/>
        <v>0</v>
      </c>
      <c r="AB47" s="74">
        <f t="shared" si="13"/>
        <v>0.5</v>
      </c>
      <c r="AC47" s="74">
        <f t="shared" si="14"/>
        <v>0.25</v>
      </c>
      <c r="AD47" s="74">
        <f t="shared" si="15"/>
        <v>0.25</v>
      </c>
      <c r="AE47" s="74">
        <f t="shared" si="16"/>
        <v>0</v>
      </c>
      <c r="AG47" s="74">
        <f>SUM($AB47:AB47)</f>
        <v>0.5</v>
      </c>
      <c r="AH47" s="74">
        <f>SUM($AB47:AC47)</f>
        <v>0.75</v>
      </c>
      <c r="AI47" s="74">
        <f>SUM($AB47:AD47)</f>
        <v>1</v>
      </c>
      <c r="AJ47" s="74">
        <f>SUM($AB47:AE47)</f>
        <v>1</v>
      </c>
      <c r="AL47" s="30" t="b">
        <f t="shared" si="17"/>
        <v>1</v>
      </c>
    </row>
    <row r="48" spans="1:38" ht="12.75">
      <c r="A48" s="45" t="s">
        <v>42</v>
      </c>
      <c r="B48" s="50">
        <v>0.00649373</v>
      </c>
      <c r="C48" s="51">
        <f t="shared" si="21"/>
        <v>12664815</v>
      </c>
      <c r="D48" s="34">
        <f>Tribes!H160</f>
        <v>2251804</v>
      </c>
      <c r="E48" s="51">
        <f t="shared" si="19"/>
        <v>10413011</v>
      </c>
      <c r="F48" s="39">
        <f>Alloc_Req08!C48</f>
        <v>0.9</v>
      </c>
      <c r="G48" s="39">
        <f t="shared" si="20"/>
        <v>0.75</v>
      </c>
      <c r="H48" s="51">
        <f t="shared" si="3"/>
        <v>7809758</v>
      </c>
      <c r="I48" s="74">
        <f>Alloc_Req08!D48</f>
        <v>0.08</v>
      </c>
      <c r="J48" s="74">
        <f>MIN(SUMIF($F$5:I$5,I$5,$F48:I48),J$3)-SUMIF($G$5:G$5,J$5,$G48:G48)</f>
        <v>0.22999999999999998</v>
      </c>
      <c r="K48" s="51">
        <f t="shared" si="4"/>
        <v>2394993</v>
      </c>
      <c r="L48" s="74">
        <f>Alloc_Req08!F48</f>
        <v>0.01</v>
      </c>
      <c r="M48" s="74">
        <f>MIN(SUMIF($F$5:L$5,L$5,$F48:L48),M$3)-SUMIF($G$5:J$5,M$5,$G48:J48)</f>
        <v>0.010000000000000009</v>
      </c>
      <c r="N48" s="51">
        <f t="shared" si="5"/>
        <v>104130</v>
      </c>
      <c r="O48" s="74">
        <f>Alloc_Req08!G48</f>
        <v>0.01</v>
      </c>
      <c r="P48" s="74">
        <f>P$3-(SUMIF($G$5:M$5,P$5,$G48:M48))</f>
        <v>0.010000000000000009</v>
      </c>
      <c r="Q48" s="51">
        <f t="shared" si="22"/>
        <v>104130</v>
      </c>
      <c r="R48" s="34">
        <f t="shared" si="7"/>
        <v>104130</v>
      </c>
      <c r="S48" s="34">
        <f t="shared" si="8"/>
        <v>0</v>
      </c>
      <c r="U48" s="74">
        <f t="shared" si="18"/>
        <v>1</v>
      </c>
      <c r="V48" s="74">
        <f t="shared" si="10"/>
        <v>1</v>
      </c>
      <c r="W48" s="51">
        <f t="shared" si="10"/>
        <v>10413011</v>
      </c>
      <c r="X48" s="30">
        <f t="shared" si="11"/>
        <v>10413011</v>
      </c>
      <c r="Y48" s="30">
        <f t="shared" si="12"/>
        <v>0</v>
      </c>
      <c r="AB48" s="74">
        <f t="shared" si="13"/>
        <v>0.75</v>
      </c>
      <c r="AC48" s="74">
        <f t="shared" si="14"/>
        <v>0.22999999999999998</v>
      </c>
      <c r="AD48" s="74">
        <f t="shared" si="15"/>
        <v>0.010000000000000009</v>
      </c>
      <c r="AE48" s="74">
        <f t="shared" si="16"/>
        <v>0.010000000000000009</v>
      </c>
      <c r="AG48" s="74">
        <f>SUM($AB48:AB48)</f>
        <v>0.75</v>
      </c>
      <c r="AH48" s="74">
        <f>SUM($AB48:AC48)</f>
        <v>0.98</v>
      </c>
      <c r="AI48" s="74">
        <f>SUM($AB48:AD48)</f>
        <v>0.99</v>
      </c>
      <c r="AJ48" s="74">
        <f>SUM($AB48:AE48)</f>
        <v>1</v>
      </c>
      <c r="AL48" s="30" t="b">
        <f t="shared" si="17"/>
        <v>0</v>
      </c>
    </row>
    <row r="49" spans="1:38" ht="12.75">
      <c r="A49" s="45" t="s">
        <v>43</v>
      </c>
      <c r="B49" s="50">
        <v>0.01386403</v>
      </c>
      <c r="C49" s="51">
        <f t="shared" si="21"/>
        <v>27039216</v>
      </c>
      <c r="D49" s="34"/>
      <c r="E49" s="51">
        <f t="shared" si="19"/>
        <v>27039216</v>
      </c>
      <c r="F49" s="39">
        <f>Alloc_Req08!C49</f>
        <v>0.25</v>
      </c>
      <c r="G49" s="39">
        <f t="shared" si="20"/>
        <v>0.25</v>
      </c>
      <c r="H49" s="51">
        <f t="shared" si="3"/>
        <v>6759804</v>
      </c>
      <c r="I49" s="74">
        <f>Alloc_Req08!D49</f>
        <v>0.25</v>
      </c>
      <c r="J49" s="74">
        <f>MIN(SUMIF($F$5:I$5,I$5,$F49:I49),J$3)-SUMIF($G$5:G$5,J$5,$G49:G49)</f>
        <v>0.25</v>
      </c>
      <c r="K49" s="51">
        <f t="shared" si="4"/>
        <v>6759804</v>
      </c>
      <c r="L49" s="74">
        <f>Alloc_Req08!F49</f>
        <v>0.25</v>
      </c>
      <c r="M49" s="74">
        <f>MIN(SUMIF($F$5:L$5,L$5,$F49:L49),M$3)-SUMIF($G$5:J$5,M$5,$G49:J49)</f>
        <v>0.25</v>
      </c>
      <c r="N49" s="51">
        <f t="shared" si="5"/>
        <v>6759804</v>
      </c>
      <c r="O49" s="74">
        <f>Alloc_Req08!G49</f>
        <v>0.25</v>
      </c>
      <c r="P49" s="74">
        <f>P$3-(SUMIF($G$5:M$5,P$5,$G49:M49))</f>
        <v>0.25</v>
      </c>
      <c r="Q49" s="51">
        <f t="shared" si="22"/>
        <v>6759804</v>
      </c>
      <c r="R49" s="34">
        <f t="shared" si="7"/>
        <v>6759804</v>
      </c>
      <c r="S49" s="34">
        <f t="shared" si="8"/>
        <v>0</v>
      </c>
      <c r="U49" s="74">
        <f t="shared" si="18"/>
        <v>1</v>
      </c>
      <c r="V49" s="74">
        <f t="shared" si="10"/>
        <v>1</v>
      </c>
      <c r="W49" s="51">
        <f t="shared" si="10"/>
        <v>27039216</v>
      </c>
      <c r="X49" s="30">
        <f t="shared" si="11"/>
        <v>27039216</v>
      </c>
      <c r="Y49" s="30">
        <f t="shared" si="12"/>
        <v>0</v>
      </c>
      <c r="AB49" s="74">
        <f t="shared" si="13"/>
        <v>0.25</v>
      </c>
      <c r="AC49" s="74">
        <f t="shared" si="14"/>
        <v>0.25</v>
      </c>
      <c r="AD49" s="74">
        <f t="shared" si="15"/>
        <v>0.25</v>
      </c>
      <c r="AE49" s="74">
        <f t="shared" si="16"/>
        <v>0.25</v>
      </c>
      <c r="AG49" s="74">
        <f>SUM($AB49:AB49)</f>
        <v>0.25</v>
      </c>
      <c r="AH49" s="74">
        <f>SUM($AB49:AC49)</f>
        <v>0.5</v>
      </c>
      <c r="AI49" s="74">
        <f>SUM($AB49:AD49)</f>
        <v>0.75</v>
      </c>
      <c r="AJ49" s="74">
        <f>SUM($AB49:AE49)</f>
        <v>1</v>
      </c>
      <c r="AL49" s="30" t="b">
        <f t="shared" si="17"/>
        <v>0</v>
      </c>
    </row>
    <row r="50" spans="1:38" ht="12.75">
      <c r="A50" s="45" t="s">
        <v>44</v>
      </c>
      <c r="B50" s="50">
        <v>0.02263997</v>
      </c>
      <c r="C50" s="51">
        <f t="shared" si="21"/>
        <v>44155057</v>
      </c>
      <c r="D50" s="34"/>
      <c r="E50" s="51">
        <f t="shared" si="19"/>
        <v>44155057</v>
      </c>
      <c r="F50" s="39">
        <f>Alloc_Req08!C50</f>
        <v>0.85</v>
      </c>
      <c r="G50" s="39">
        <f t="shared" si="20"/>
        <v>0.75</v>
      </c>
      <c r="H50" s="51">
        <f t="shared" si="3"/>
        <v>33116293</v>
      </c>
      <c r="I50" s="74">
        <f>Alloc_Req08!D50</f>
        <v>0.15</v>
      </c>
      <c r="J50" s="74">
        <f>MIN(SUMIF($F$5:I$5,I$5,$F50:I50),J$3)-SUMIF($G$5:G$5,J$5,$G50:G50)</f>
        <v>0.25</v>
      </c>
      <c r="K50" s="51">
        <f t="shared" si="4"/>
        <v>11038764</v>
      </c>
      <c r="L50" s="74">
        <f>Alloc_Req08!F50</f>
        <v>0</v>
      </c>
      <c r="M50" s="74">
        <f>MIN(SUMIF($F$5:L$5,L$5,$F50:L50),M$3)-SUMIF($G$5:J$5,M$5,$G50:J50)</f>
        <v>0</v>
      </c>
      <c r="N50" s="51">
        <f t="shared" si="5"/>
        <v>0</v>
      </c>
      <c r="O50" s="74">
        <f>Alloc_Req08!G50</f>
        <v>0</v>
      </c>
      <c r="P50" s="74">
        <f>P$3-(SUMIF($G$5:M$5,P$5,$G50:M50))</f>
        <v>0</v>
      </c>
      <c r="Q50" s="51">
        <f t="shared" si="22"/>
        <v>0</v>
      </c>
      <c r="R50" s="34">
        <f t="shared" si="7"/>
        <v>0</v>
      </c>
      <c r="S50" s="34">
        <f t="shared" si="8"/>
        <v>0</v>
      </c>
      <c r="U50" s="74">
        <f t="shared" si="18"/>
        <v>1</v>
      </c>
      <c r="V50" s="74">
        <f t="shared" si="10"/>
        <v>1</v>
      </c>
      <c r="W50" s="51">
        <f t="shared" si="10"/>
        <v>44155057</v>
      </c>
      <c r="X50" s="30">
        <f t="shared" si="11"/>
        <v>44155057</v>
      </c>
      <c r="Y50" s="30">
        <f t="shared" si="12"/>
        <v>0</v>
      </c>
      <c r="AB50" s="74">
        <f t="shared" si="13"/>
        <v>0.75</v>
      </c>
      <c r="AC50" s="74">
        <f t="shared" si="14"/>
        <v>0.25</v>
      </c>
      <c r="AD50" s="74">
        <f t="shared" si="15"/>
        <v>0</v>
      </c>
      <c r="AE50" s="74">
        <f t="shared" si="16"/>
        <v>0</v>
      </c>
      <c r="AG50" s="74">
        <f>SUM($AB50:AB50)</f>
        <v>0.75</v>
      </c>
      <c r="AH50" s="74">
        <f>SUM($AB50:AC50)</f>
        <v>1</v>
      </c>
      <c r="AI50" s="74">
        <f>SUM($AB50:AD50)</f>
        <v>1</v>
      </c>
      <c r="AJ50" s="74">
        <f>SUM($AB50:AE50)</f>
        <v>1</v>
      </c>
      <c r="AL50" s="30" t="b">
        <f t="shared" si="17"/>
        <v>0</v>
      </c>
    </row>
    <row r="51" spans="1:38" ht="12.75">
      <c r="A51" s="45" t="s">
        <v>45</v>
      </c>
      <c r="B51" s="50">
        <v>0.00747576</v>
      </c>
      <c r="C51" s="51">
        <f t="shared" si="21"/>
        <v>14580082</v>
      </c>
      <c r="D51" s="34">
        <f>Tribes!H168</f>
        <v>291095</v>
      </c>
      <c r="E51" s="51">
        <f t="shared" si="19"/>
        <v>14288987</v>
      </c>
      <c r="F51" s="39">
        <f>Alloc_Req08!C51</f>
        <v>0.6</v>
      </c>
      <c r="G51" s="39">
        <f t="shared" si="20"/>
        <v>0.6</v>
      </c>
      <c r="H51" s="51">
        <f t="shared" si="3"/>
        <v>8573392</v>
      </c>
      <c r="I51" s="74">
        <f>Alloc_Req08!D51</f>
        <v>0.3</v>
      </c>
      <c r="J51" s="74">
        <f>MIN(SUMIF($F$5:I$5,I$5,$F51:I51),J$3)-SUMIF($G$5:G$5,J$5,$G51:G51)</f>
        <v>0.29999999999999993</v>
      </c>
      <c r="K51" s="51">
        <f t="shared" si="4"/>
        <v>4286696</v>
      </c>
      <c r="L51" s="74">
        <f>Alloc_Req08!F51</f>
        <v>0.05</v>
      </c>
      <c r="M51" s="74">
        <f>MIN(SUMIF($F$5:L$5,L$5,$F51:L51),M$3)-SUMIF($G$5:J$5,M$5,$G51:J51)</f>
        <v>0.050000000000000044</v>
      </c>
      <c r="N51" s="51">
        <f t="shared" si="5"/>
        <v>714449</v>
      </c>
      <c r="O51" s="74">
        <f>Alloc_Req08!G51</f>
        <v>0.05</v>
      </c>
      <c r="P51" s="74">
        <f>P$3-(SUMIF($G$5:M$5,P$5,$G51:M51))</f>
        <v>0.050000000000000044</v>
      </c>
      <c r="Q51" s="51">
        <f t="shared" si="22"/>
        <v>714450</v>
      </c>
      <c r="R51" s="34">
        <f t="shared" si="7"/>
        <v>714449</v>
      </c>
      <c r="S51" s="34">
        <f t="shared" si="8"/>
        <v>1</v>
      </c>
      <c r="U51" s="74">
        <f t="shared" si="18"/>
        <v>1</v>
      </c>
      <c r="V51" s="74">
        <f t="shared" si="10"/>
        <v>1</v>
      </c>
      <c r="W51" s="51">
        <f t="shared" si="10"/>
        <v>14288987</v>
      </c>
      <c r="X51" s="30">
        <f t="shared" si="11"/>
        <v>14288987</v>
      </c>
      <c r="Y51" s="30">
        <f t="shared" si="12"/>
        <v>0</v>
      </c>
      <c r="AB51" s="74">
        <f t="shared" si="13"/>
        <v>0.6</v>
      </c>
      <c r="AC51" s="74">
        <f t="shared" si="14"/>
        <v>0.29999999999999993</v>
      </c>
      <c r="AD51" s="74">
        <f t="shared" si="15"/>
        <v>0.050000000000000044</v>
      </c>
      <c r="AE51" s="74">
        <f t="shared" si="16"/>
        <v>0.050000000000000044</v>
      </c>
      <c r="AG51" s="74">
        <f>SUM($AB51:AB51)</f>
        <v>0.6</v>
      </c>
      <c r="AH51" s="74">
        <f>SUM($AB51:AC51)</f>
        <v>0.8999999999999999</v>
      </c>
      <c r="AI51" s="74">
        <f>SUM($AB51:AD51)</f>
        <v>0.95</v>
      </c>
      <c r="AJ51" s="74">
        <f>SUM($AB51:AE51)</f>
        <v>1</v>
      </c>
      <c r="AL51" s="30" t="b">
        <f t="shared" si="17"/>
        <v>0</v>
      </c>
    </row>
    <row r="52" spans="1:38" ht="12.75">
      <c r="A52" s="45" t="s">
        <v>46</v>
      </c>
      <c r="B52" s="50">
        <v>0.00595572</v>
      </c>
      <c r="C52" s="51">
        <f t="shared" si="21"/>
        <v>11615526</v>
      </c>
      <c r="D52" s="34"/>
      <c r="E52" s="51">
        <f t="shared" si="19"/>
        <v>11615526</v>
      </c>
      <c r="F52" s="39">
        <f>Alloc_Req08!C52</f>
        <v>0.88</v>
      </c>
      <c r="G52" s="39">
        <f t="shared" si="20"/>
        <v>0.75</v>
      </c>
      <c r="H52" s="51">
        <f t="shared" si="3"/>
        <v>8711645</v>
      </c>
      <c r="I52" s="74">
        <f>Alloc_Req08!D52</f>
        <v>0.02</v>
      </c>
      <c r="J52" s="74">
        <f>MIN(SUMIF($F$5:I$5,I$5,$F52:I52),J$3)-SUMIF($G$5:G$5,J$5,$G52:G52)</f>
        <v>0.15000000000000002</v>
      </c>
      <c r="K52" s="51">
        <f t="shared" si="4"/>
        <v>1742329</v>
      </c>
      <c r="L52" s="74">
        <f>Alloc_Req08!F52</f>
        <v>0.08</v>
      </c>
      <c r="M52" s="74">
        <f>MIN(SUMIF($F$5:L$5,L$5,$F52:L52),M$3)-SUMIF($G$5:J$5,M$5,$G52:J52)</f>
        <v>0.07999999999999996</v>
      </c>
      <c r="N52" s="51">
        <f t="shared" si="5"/>
        <v>929242</v>
      </c>
      <c r="O52" s="74">
        <f>Alloc_Req08!G52</f>
        <v>0.02</v>
      </c>
      <c r="P52" s="74">
        <f>P$3-(SUMIF($G$5:M$5,P$5,$G52:M52))</f>
        <v>0.020000000000000018</v>
      </c>
      <c r="Q52" s="51">
        <f t="shared" si="22"/>
        <v>232310</v>
      </c>
      <c r="R52" s="34">
        <f t="shared" si="7"/>
        <v>232311</v>
      </c>
      <c r="S52" s="34">
        <f t="shared" si="8"/>
        <v>-1</v>
      </c>
      <c r="U52" s="74">
        <f t="shared" si="18"/>
        <v>1</v>
      </c>
      <c r="V52" s="74">
        <f t="shared" si="10"/>
        <v>1</v>
      </c>
      <c r="W52" s="51">
        <f t="shared" si="10"/>
        <v>11615526</v>
      </c>
      <c r="X52" s="30">
        <f t="shared" si="11"/>
        <v>11615526</v>
      </c>
      <c r="Y52" s="30">
        <f t="shared" si="12"/>
        <v>0</v>
      </c>
      <c r="AB52" s="74">
        <f t="shared" si="13"/>
        <v>0.75</v>
      </c>
      <c r="AC52" s="74">
        <f t="shared" si="14"/>
        <v>0.15000000000000002</v>
      </c>
      <c r="AD52" s="74">
        <f t="shared" si="15"/>
        <v>0.07999999999999996</v>
      </c>
      <c r="AE52" s="74">
        <f t="shared" si="16"/>
        <v>0.020000000000000018</v>
      </c>
      <c r="AG52" s="74">
        <f>SUM($AB52:AB52)</f>
        <v>0.75</v>
      </c>
      <c r="AH52" s="74">
        <f>SUM($AB52:AC52)</f>
        <v>0.9</v>
      </c>
      <c r="AI52" s="74">
        <f>SUM($AB52:AD52)</f>
        <v>0.98</v>
      </c>
      <c r="AJ52" s="74">
        <f>SUM($AB52:AE52)</f>
        <v>1</v>
      </c>
      <c r="AL52" s="30" t="b">
        <f t="shared" si="17"/>
        <v>0</v>
      </c>
    </row>
    <row r="53" spans="1:38" ht="12.75">
      <c r="A53" s="45" t="s">
        <v>47</v>
      </c>
      <c r="B53" s="50">
        <v>0.01957379</v>
      </c>
      <c r="C53" s="51">
        <f t="shared" si="21"/>
        <v>38175043</v>
      </c>
      <c r="D53" s="34"/>
      <c r="E53" s="51">
        <f t="shared" si="19"/>
        <v>38175043</v>
      </c>
      <c r="F53" s="39">
        <f>Alloc_Req08!C53</f>
        <v>0.51</v>
      </c>
      <c r="G53" s="39">
        <f t="shared" si="20"/>
        <v>0.51</v>
      </c>
      <c r="H53" s="51">
        <f t="shared" si="3"/>
        <v>19469272</v>
      </c>
      <c r="I53" s="74">
        <f>Alloc_Req08!D53</f>
        <v>0.25</v>
      </c>
      <c r="J53" s="74">
        <f>MIN(SUMIF($F$5:I$5,I$5,$F53:I53),J$3)-SUMIF($G$5:G$5,J$5,$G53:G53)</f>
        <v>0.25</v>
      </c>
      <c r="K53" s="51">
        <f t="shared" si="4"/>
        <v>9543761</v>
      </c>
      <c r="L53" s="74">
        <f>Alloc_Req08!F53</f>
        <v>0.08</v>
      </c>
      <c r="M53" s="74">
        <f>MIN(SUMIF($F$5:L$5,L$5,$F53:L53),M$3)-SUMIF($G$5:J$5,M$5,$G53:J53)</f>
        <v>0.07999999999999996</v>
      </c>
      <c r="N53" s="51">
        <f t="shared" si="5"/>
        <v>3054003</v>
      </c>
      <c r="O53" s="74">
        <f>Alloc_Req08!G53</f>
        <v>0.16</v>
      </c>
      <c r="P53" s="74">
        <f>P$3-(SUMIF($G$5:M$5,P$5,$G53:M53))</f>
        <v>0.16000000000000003</v>
      </c>
      <c r="Q53" s="51">
        <f t="shared" si="22"/>
        <v>6108007</v>
      </c>
      <c r="R53" s="34">
        <f t="shared" si="7"/>
        <v>6108007</v>
      </c>
      <c r="S53" s="34">
        <f t="shared" si="8"/>
        <v>0</v>
      </c>
      <c r="U53" s="74">
        <f t="shared" si="18"/>
        <v>1</v>
      </c>
      <c r="V53" s="74">
        <f t="shared" si="10"/>
        <v>1</v>
      </c>
      <c r="W53" s="51">
        <f t="shared" si="10"/>
        <v>38175043</v>
      </c>
      <c r="X53" s="30">
        <f t="shared" si="11"/>
        <v>38175043</v>
      </c>
      <c r="Y53" s="30">
        <f t="shared" si="12"/>
        <v>0</v>
      </c>
      <c r="AB53" s="74">
        <f t="shared" si="13"/>
        <v>0.51</v>
      </c>
      <c r="AC53" s="74">
        <f t="shared" si="14"/>
        <v>0.25</v>
      </c>
      <c r="AD53" s="74">
        <f t="shared" si="15"/>
        <v>0.07999999999999996</v>
      </c>
      <c r="AE53" s="74">
        <f t="shared" si="16"/>
        <v>0.16000000000000003</v>
      </c>
      <c r="AG53" s="74">
        <f>SUM($AB53:AB53)</f>
        <v>0.51</v>
      </c>
      <c r="AH53" s="74">
        <f>SUM($AB53:AC53)</f>
        <v>0.76</v>
      </c>
      <c r="AI53" s="74">
        <f>SUM($AB53:AD53)</f>
        <v>0.84</v>
      </c>
      <c r="AJ53" s="74">
        <f>SUM($AB53:AE53)</f>
        <v>1</v>
      </c>
      <c r="AL53" s="30" t="b">
        <f t="shared" si="17"/>
        <v>0</v>
      </c>
    </row>
    <row r="54" spans="1:38" ht="12.75">
      <c r="A54" s="45" t="s">
        <v>48</v>
      </c>
      <c r="B54" s="50">
        <v>0.02050857</v>
      </c>
      <c r="C54" s="51">
        <f t="shared" si="21"/>
        <v>39998157</v>
      </c>
      <c r="D54" s="34">
        <f>Tribes!H172</f>
        <v>1631306</v>
      </c>
      <c r="E54" s="51">
        <f t="shared" si="19"/>
        <v>38366851</v>
      </c>
      <c r="F54" s="39">
        <f>Alloc_Req08!C54</f>
        <v>0.75</v>
      </c>
      <c r="G54" s="39">
        <f t="shared" si="20"/>
        <v>0.75</v>
      </c>
      <c r="H54" s="51">
        <f t="shared" si="3"/>
        <v>28775138</v>
      </c>
      <c r="I54" s="74">
        <f>Alloc_Req08!D54</f>
        <v>0.25</v>
      </c>
      <c r="J54" s="74">
        <f>MIN(SUMIF($F$5:I$5,I$5,$F54:I54),J$3)-SUMIF($G$5:G$5,J$5,$G54:G54)</f>
        <v>0.25</v>
      </c>
      <c r="K54" s="51">
        <f t="shared" si="4"/>
        <v>9591713</v>
      </c>
      <c r="L54" s="74">
        <f>Alloc_Req08!F54</f>
        <v>0</v>
      </c>
      <c r="M54" s="74">
        <f>MIN(SUMIF($F$5:L$5,L$5,$F54:L54),M$3)-SUMIF($G$5:J$5,M$5,$G54:J54)</f>
        <v>0</v>
      </c>
      <c r="N54" s="51">
        <f t="shared" si="5"/>
        <v>0</v>
      </c>
      <c r="O54" s="74">
        <f>Alloc_Req08!G54</f>
        <v>0</v>
      </c>
      <c r="P54" s="74">
        <f>P$3-(SUMIF($G$5:M$5,P$5,$G54:M54))</f>
        <v>0</v>
      </c>
      <c r="Q54" s="51">
        <f t="shared" si="22"/>
        <v>0</v>
      </c>
      <c r="R54" s="34">
        <f t="shared" si="7"/>
        <v>0</v>
      </c>
      <c r="S54" s="34">
        <f t="shared" si="8"/>
        <v>0</v>
      </c>
      <c r="U54" s="74">
        <f t="shared" si="18"/>
        <v>1</v>
      </c>
      <c r="V54" s="74">
        <f t="shared" si="10"/>
        <v>1</v>
      </c>
      <c r="W54" s="51">
        <f t="shared" si="10"/>
        <v>38366851</v>
      </c>
      <c r="X54" s="30">
        <f t="shared" si="11"/>
        <v>38366851</v>
      </c>
      <c r="Y54" s="30">
        <f t="shared" si="12"/>
        <v>0</v>
      </c>
      <c r="AB54" s="74">
        <f t="shared" si="13"/>
        <v>0.75</v>
      </c>
      <c r="AC54" s="74">
        <f t="shared" si="14"/>
        <v>0.25</v>
      </c>
      <c r="AD54" s="74">
        <f t="shared" si="15"/>
        <v>0</v>
      </c>
      <c r="AE54" s="74">
        <f t="shared" si="16"/>
        <v>0</v>
      </c>
      <c r="AG54" s="74">
        <f>SUM($AB54:AB54)</f>
        <v>0.75</v>
      </c>
      <c r="AH54" s="74">
        <f>SUM($AB54:AC54)</f>
        <v>1</v>
      </c>
      <c r="AI54" s="74">
        <f>SUM($AB54:AD54)</f>
        <v>1</v>
      </c>
      <c r="AJ54" s="74">
        <f>SUM($AB54:AE54)</f>
        <v>1</v>
      </c>
      <c r="AL54" s="30" t="b">
        <f t="shared" si="17"/>
        <v>0</v>
      </c>
    </row>
    <row r="55" spans="1:38" ht="12.75">
      <c r="A55" s="45" t="s">
        <v>49</v>
      </c>
      <c r="B55" s="50">
        <v>0.00905733</v>
      </c>
      <c r="C55" s="51">
        <f t="shared" si="21"/>
        <v>17664640</v>
      </c>
      <c r="D55" s="34"/>
      <c r="E55" s="51">
        <f t="shared" si="19"/>
        <v>17664640</v>
      </c>
      <c r="F55" s="39">
        <f>Alloc_Req08!C55</f>
        <v>0.8</v>
      </c>
      <c r="G55" s="39">
        <f t="shared" si="20"/>
        <v>0.75</v>
      </c>
      <c r="H55" s="51">
        <f t="shared" si="3"/>
        <v>13248480</v>
      </c>
      <c r="I55" s="74">
        <f>Alloc_Req08!D55</f>
        <v>0.2</v>
      </c>
      <c r="J55" s="74">
        <f>MIN(SUMIF($F$5:I$5,I$5,$F55:I55),J$3)-SUMIF($G$5:G$5,J$5,$G55:G55)</f>
        <v>0.25</v>
      </c>
      <c r="K55" s="51">
        <f t="shared" si="4"/>
        <v>4416160</v>
      </c>
      <c r="L55" s="74">
        <f>Alloc_Req08!F55</f>
        <v>0</v>
      </c>
      <c r="M55" s="74">
        <f>MIN(SUMIF($F$5:L$5,L$5,$F55:L55),M$3)-SUMIF($G$5:J$5,M$5,$G55:J55)</f>
        <v>0</v>
      </c>
      <c r="N55" s="51">
        <f t="shared" si="5"/>
        <v>0</v>
      </c>
      <c r="O55" s="74">
        <f>Alloc_Req08!G55</f>
        <v>0</v>
      </c>
      <c r="P55" s="74">
        <f>P$3-(SUMIF($G$5:M$5,P$5,$G55:M55))</f>
        <v>0</v>
      </c>
      <c r="Q55" s="51">
        <f t="shared" si="22"/>
        <v>0</v>
      </c>
      <c r="R55" s="34">
        <f t="shared" si="7"/>
        <v>0</v>
      </c>
      <c r="S55" s="34">
        <f t="shared" si="8"/>
        <v>0</v>
      </c>
      <c r="U55" s="74">
        <f t="shared" si="18"/>
        <v>1</v>
      </c>
      <c r="V55" s="74">
        <f t="shared" si="10"/>
        <v>1</v>
      </c>
      <c r="W55" s="51">
        <f t="shared" si="10"/>
        <v>17664640</v>
      </c>
      <c r="X55" s="30">
        <f t="shared" si="11"/>
        <v>17664640</v>
      </c>
      <c r="Y55" s="30">
        <f t="shared" si="12"/>
        <v>0</v>
      </c>
      <c r="AB55" s="74">
        <f t="shared" si="13"/>
        <v>0.75</v>
      </c>
      <c r="AC55" s="74">
        <f t="shared" si="14"/>
        <v>0.25</v>
      </c>
      <c r="AD55" s="74">
        <f t="shared" si="15"/>
        <v>0</v>
      </c>
      <c r="AE55" s="74">
        <f t="shared" si="16"/>
        <v>0</v>
      </c>
      <c r="AG55" s="74">
        <f>SUM($AB55:AB55)</f>
        <v>0.75</v>
      </c>
      <c r="AH55" s="74">
        <f>SUM($AB55:AC55)</f>
        <v>1</v>
      </c>
      <c r="AI55" s="74">
        <f>SUM($AB55:AD55)</f>
        <v>1</v>
      </c>
      <c r="AJ55" s="74">
        <f>SUM($AB55:AE55)</f>
        <v>1</v>
      </c>
      <c r="AL55" s="30" t="b">
        <f t="shared" si="17"/>
        <v>0</v>
      </c>
    </row>
    <row r="56" spans="1:38" ht="12.75">
      <c r="A56" s="45" t="s">
        <v>50</v>
      </c>
      <c r="B56" s="50">
        <v>0.03576365</v>
      </c>
      <c r="C56" s="51">
        <f t="shared" si="21"/>
        <v>69750358</v>
      </c>
      <c r="D56" s="34"/>
      <c r="E56" s="51">
        <f t="shared" si="19"/>
        <v>69750358</v>
      </c>
      <c r="F56" s="39">
        <f>Alloc_Req08!C56</f>
        <v>1</v>
      </c>
      <c r="G56" s="39">
        <f t="shared" si="20"/>
        <v>0.75</v>
      </c>
      <c r="H56" s="51">
        <f t="shared" si="3"/>
        <v>52312769</v>
      </c>
      <c r="I56" s="74">
        <f>Alloc_Req08!D56</f>
        <v>0</v>
      </c>
      <c r="J56" s="74">
        <f>MIN(SUMIF($F$5:I$5,I$5,$F56:I56),J$3)-SUMIF($G$5:G$5,J$5,$G56:G56)</f>
        <v>0.25</v>
      </c>
      <c r="K56" s="51">
        <f t="shared" si="4"/>
        <v>17437590</v>
      </c>
      <c r="L56" s="74">
        <f>Alloc_Req08!F56</f>
        <v>0</v>
      </c>
      <c r="M56" s="74">
        <f>MIN(SUMIF($F$5:L$5,L$5,$F56:L56),M$3)-SUMIF($G$5:J$5,M$5,$G56:J56)</f>
        <v>0</v>
      </c>
      <c r="N56" s="51">
        <f t="shared" si="5"/>
        <v>0</v>
      </c>
      <c r="O56" s="74">
        <f>Alloc_Req08!G56</f>
        <v>0</v>
      </c>
      <c r="P56" s="74">
        <f>P$3-(SUMIF($G$5:M$5,P$5,$G56:M56))</f>
        <v>0</v>
      </c>
      <c r="Q56" s="51">
        <f t="shared" si="22"/>
        <v>-1</v>
      </c>
      <c r="R56" s="34">
        <f t="shared" si="7"/>
        <v>0</v>
      </c>
      <c r="S56" s="34">
        <f t="shared" si="8"/>
        <v>-1</v>
      </c>
      <c r="U56" s="74">
        <f t="shared" si="18"/>
        <v>1</v>
      </c>
      <c r="V56" s="74">
        <f t="shared" si="10"/>
        <v>1</v>
      </c>
      <c r="W56" s="51">
        <f t="shared" si="10"/>
        <v>69750358</v>
      </c>
      <c r="X56" s="30">
        <f t="shared" si="11"/>
        <v>69750358</v>
      </c>
      <c r="Y56" s="30">
        <f t="shared" si="12"/>
        <v>0</v>
      </c>
      <c r="AB56" s="74">
        <f t="shared" si="13"/>
        <v>0.75</v>
      </c>
      <c r="AC56" s="74">
        <f t="shared" si="14"/>
        <v>0.25</v>
      </c>
      <c r="AD56" s="74">
        <f t="shared" si="15"/>
        <v>0</v>
      </c>
      <c r="AE56" s="74">
        <f t="shared" si="16"/>
        <v>0</v>
      </c>
      <c r="AG56" s="74">
        <f>SUM($AB56:AB56)</f>
        <v>0.75</v>
      </c>
      <c r="AH56" s="74">
        <f>SUM($AB56:AC56)</f>
        <v>1</v>
      </c>
      <c r="AI56" s="74">
        <f>SUM($AB56:AD56)</f>
        <v>1</v>
      </c>
      <c r="AJ56" s="74">
        <f>SUM($AB56:AE56)</f>
        <v>1</v>
      </c>
      <c r="AL56" s="30" t="b">
        <f t="shared" si="17"/>
        <v>1</v>
      </c>
    </row>
    <row r="57" spans="1:38" ht="13.5" thickBot="1">
      <c r="A57" s="52" t="s">
        <v>51</v>
      </c>
      <c r="B57" s="53">
        <v>0.00299313</v>
      </c>
      <c r="C57" s="99">
        <f>ROUND(+B57*$B$67,0)</f>
        <v>5837544</v>
      </c>
      <c r="D57" s="54">
        <f>Tribes!H194</f>
        <v>210000</v>
      </c>
      <c r="E57" s="86">
        <f t="shared" si="19"/>
        <v>5627544</v>
      </c>
      <c r="F57" s="39">
        <f>Alloc_Req08!C57</f>
        <v>0.5</v>
      </c>
      <c r="G57" s="39">
        <f t="shared" si="20"/>
        <v>0.5</v>
      </c>
      <c r="H57" s="51">
        <f t="shared" si="3"/>
        <v>2813772</v>
      </c>
      <c r="I57" s="74">
        <f>Alloc_Req08!D57</f>
        <v>0.5</v>
      </c>
      <c r="J57" s="74">
        <f>MIN(SUMIF($F$5:I$5,I$5,$F57:I57),J$3)-SUMIF($G$5:G$5,J$5,$G57:G57)</f>
        <v>0.5</v>
      </c>
      <c r="K57" s="51">
        <f t="shared" si="4"/>
        <v>2813772</v>
      </c>
      <c r="L57" s="74">
        <f>Alloc_Req08!F57</f>
        <v>0</v>
      </c>
      <c r="M57" s="74">
        <f>MIN(SUMIF($F$5:L$5,L$5,$F57:L57),M$3)-SUMIF($G$5:J$5,M$5,$G57:J57)</f>
        <v>0</v>
      </c>
      <c r="N57" s="51">
        <f t="shared" si="5"/>
        <v>0</v>
      </c>
      <c r="O57" s="74">
        <f>Alloc_Req08!G57</f>
        <v>0</v>
      </c>
      <c r="P57" s="74">
        <f>P$3-(SUMIF($G$5:M$5,P$5,$G57:M57))</f>
        <v>0</v>
      </c>
      <c r="Q57" s="51">
        <f t="shared" si="22"/>
        <v>0</v>
      </c>
      <c r="R57" s="34">
        <f t="shared" si="7"/>
        <v>0</v>
      </c>
      <c r="S57" s="34">
        <f t="shared" si="8"/>
        <v>0</v>
      </c>
      <c r="U57" s="74">
        <f t="shared" si="18"/>
        <v>1</v>
      </c>
      <c r="V57" s="74">
        <f t="shared" si="10"/>
        <v>1</v>
      </c>
      <c r="W57" s="51">
        <f t="shared" si="10"/>
        <v>5627544</v>
      </c>
      <c r="X57" s="30">
        <f t="shared" si="11"/>
        <v>5627544</v>
      </c>
      <c r="Y57" s="30">
        <f t="shared" si="12"/>
        <v>0</v>
      </c>
      <c r="AB57" s="74">
        <f t="shared" si="13"/>
        <v>0.5</v>
      </c>
      <c r="AC57" s="74">
        <f t="shared" si="14"/>
        <v>0.5</v>
      </c>
      <c r="AD57" s="74">
        <f t="shared" si="15"/>
        <v>0</v>
      </c>
      <c r="AE57" s="74">
        <f t="shared" si="16"/>
        <v>0</v>
      </c>
      <c r="AG57" s="74">
        <f>SUM($AB57:AB57)</f>
        <v>0.5</v>
      </c>
      <c r="AH57" s="74">
        <f>SUM($AB57:AC57)</f>
        <v>1</v>
      </c>
      <c r="AI57" s="74">
        <f>SUM($AB57:AD57)</f>
        <v>1</v>
      </c>
      <c r="AJ57" s="74">
        <f>SUM($AB57:AE57)</f>
        <v>1</v>
      </c>
      <c r="AL57" s="30" t="b">
        <f t="shared" si="17"/>
        <v>0</v>
      </c>
    </row>
    <row r="58" spans="1:25" ht="13.5" thickTop="1">
      <c r="A58" s="55" t="s">
        <v>54</v>
      </c>
      <c r="B58" s="50"/>
      <c r="C58" s="51">
        <f>SUM(C7:C57)</f>
        <v>1950314307</v>
      </c>
      <c r="D58" s="34">
        <f>SUM(D7:D57)</f>
        <v>21107343</v>
      </c>
      <c r="E58" s="66">
        <f>SUM(E7:E57)</f>
        <v>1929206964</v>
      </c>
      <c r="F58" s="73"/>
      <c r="G58" s="73"/>
      <c r="H58" s="66">
        <f>SUM(H7:H57)</f>
        <v>1318547315</v>
      </c>
      <c r="I58" s="66"/>
      <c r="J58" s="66"/>
      <c r="K58" s="66">
        <f>SUM(K7:K57)</f>
        <v>463149592</v>
      </c>
      <c r="L58" s="66"/>
      <c r="M58" s="66"/>
      <c r="N58" s="66">
        <f>SUM(N7:N57)</f>
        <v>87798180</v>
      </c>
      <c r="O58" s="66"/>
      <c r="P58" s="66"/>
      <c r="Q58" s="66">
        <f>SUM(Q7:Q57)</f>
        <v>59711877</v>
      </c>
      <c r="R58" s="72">
        <f>SUM(R7:R57)</f>
        <v>59711881</v>
      </c>
      <c r="S58" s="86"/>
      <c r="X58" s="30" t="s">
        <v>324</v>
      </c>
      <c r="Y58" s="30">
        <f>SUM(Y7:Y57)</f>
        <v>0</v>
      </c>
    </row>
    <row r="59" spans="3:19" ht="12.75">
      <c r="C59" s="55" t="s">
        <v>1</v>
      </c>
      <c r="H59" s="36">
        <f>ROUND(SUMPRODUCT(G7:G57,$E7:$E57),0)</f>
        <v>1318547312</v>
      </c>
      <c r="I59" s="36"/>
      <c r="J59" s="36"/>
      <c r="K59" s="36">
        <f>ROUND(SUMPRODUCT(J7:J57,$E7:$E57),0)</f>
        <v>463149587</v>
      </c>
      <c r="L59" s="36"/>
      <c r="M59" s="36"/>
      <c r="N59" s="36">
        <f>ROUND(SUMPRODUCT(M7:M57,$E7:$E57),0)</f>
        <v>87798181</v>
      </c>
      <c r="O59" s="36"/>
      <c r="P59" s="36"/>
      <c r="Q59" s="36">
        <f>SUM(H58:Q58)</f>
        <v>1929206964</v>
      </c>
      <c r="R59" s="36">
        <f>ROUND(SUMPRODUCT(P7:P57,$E7:$E57),0)</f>
        <v>59711885</v>
      </c>
      <c r="S59" s="36"/>
    </row>
    <row r="60" spans="1:16" ht="42.75" customHeight="1">
      <c r="A60" s="56" t="s">
        <v>341</v>
      </c>
      <c r="B60" s="36">
        <f>B3</f>
        <v>1980000351.18</v>
      </c>
      <c r="C60" s="47" t="s">
        <v>52</v>
      </c>
      <c r="D60" s="47" t="s">
        <v>213</v>
      </c>
      <c r="E60" s="84" t="s">
        <v>307</v>
      </c>
      <c r="F60" s="57" t="str">
        <f>"Territory Allocations (at "&amp;TEXT(G3,"0%")&amp;")"</f>
        <v>Territory Allocations (at 75%)</v>
      </c>
      <c r="I60" s="38"/>
      <c r="J60" s="38"/>
      <c r="K60" s="38"/>
      <c r="L60" s="38"/>
      <c r="M60" s="38"/>
      <c r="N60" s="38"/>
      <c r="O60" s="38"/>
      <c r="P60" s="38"/>
    </row>
    <row r="61" spans="1:22" ht="12.75">
      <c r="A61" s="58" t="s">
        <v>227</v>
      </c>
      <c r="B61" s="36">
        <v>26749379</v>
      </c>
      <c r="C61" s="59" t="s">
        <v>208</v>
      </c>
      <c r="D61" s="60">
        <v>0.01654258</v>
      </c>
      <c r="E61" s="34">
        <f>ROUND(D61*$B$66,0)</f>
        <v>43753</v>
      </c>
      <c r="F61" s="86">
        <f>ROUND(E61*$G$3,0)</f>
        <v>32815</v>
      </c>
      <c r="G61" s="102" t="s">
        <v>299</v>
      </c>
      <c r="H61" s="102"/>
      <c r="J61" s="102" t="s">
        <v>325</v>
      </c>
      <c r="K61" s="102"/>
      <c r="L61" s="38"/>
      <c r="M61" s="102" t="s">
        <v>326</v>
      </c>
      <c r="N61" s="102"/>
      <c r="O61" s="38"/>
      <c r="P61" s="102" t="s">
        <v>327</v>
      </c>
      <c r="Q61" s="102"/>
      <c r="R61" s="87"/>
      <c r="S61" s="87"/>
      <c r="U61" s="102"/>
      <c r="V61" s="102"/>
    </row>
    <row r="62" spans="1:22" ht="12.75">
      <c r="A62" s="61" t="s">
        <v>59</v>
      </c>
      <c r="B62" s="36">
        <f>B60-B61</f>
        <v>1953250972.18</v>
      </c>
      <c r="C62" s="59" t="s">
        <v>209</v>
      </c>
      <c r="D62" s="60">
        <v>0.03626904</v>
      </c>
      <c r="E62" s="34">
        <f>ROUND(D62*$B$66,0)</f>
        <v>95926</v>
      </c>
      <c r="F62" s="86">
        <f>ROUND(E62*$G$3,0)</f>
        <v>71945</v>
      </c>
      <c r="G62" s="40" t="s">
        <v>300</v>
      </c>
      <c r="H62" s="35">
        <f>H58</f>
        <v>1318547315</v>
      </c>
      <c r="J62" s="40" t="s">
        <v>300</v>
      </c>
      <c r="K62" s="35">
        <f>K58</f>
        <v>463149592</v>
      </c>
      <c r="L62" s="38"/>
      <c r="M62" s="40" t="s">
        <v>300</v>
      </c>
      <c r="N62" s="35">
        <f>N58</f>
        <v>87798180</v>
      </c>
      <c r="O62" s="38"/>
      <c r="P62" s="40" t="s">
        <v>300</v>
      </c>
      <c r="Q62" s="35">
        <f>Q58</f>
        <v>59711877</v>
      </c>
      <c r="R62" s="35"/>
      <c r="S62" s="35"/>
      <c r="U62" s="40"/>
      <c r="V62" s="35"/>
    </row>
    <row r="63" spans="1:22" ht="12.75">
      <c r="A63" s="58" t="s">
        <v>58</v>
      </c>
      <c r="B63" s="36">
        <v>291811</v>
      </c>
      <c r="C63" s="59" t="s">
        <v>210</v>
      </c>
      <c r="D63" s="60">
        <v>0.01259719</v>
      </c>
      <c r="E63" s="34">
        <f>ROUND(D63*$B$66,0)</f>
        <v>33318</v>
      </c>
      <c r="F63" s="86">
        <f>ROUND(E63*$G$3,0)</f>
        <v>24989</v>
      </c>
      <c r="G63" s="40" t="s">
        <v>52</v>
      </c>
      <c r="H63" s="35">
        <f>F66</f>
        <v>1983642</v>
      </c>
      <c r="J63" s="40" t="s">
        <v>52</v>
      </c>
      <c r="K63" s="35">
        <v>0</v>
      </c>
      <c r="L63" s="38"/>
      <c r="M63" s="40" t="s">
        <v>52</v>
      </c>
      <c r="N63" s="35">
        <v>0</v>
      </c>
      <c r="O63" s="38"/>
      <c r="P63" s="40" t="s">
        <v>52</v>
      </c>
      <c r="Q63" s="35">
        <f>E66-H63</f>
        <v>661212</v>
      </c>
      <c r="R63" s="35"/>
      <c r="S63" s="35"/>
      <c r="U63" s="40"/>
      <c r="V63" s="35"/>
    </row>
    <row r="64" spans="1:22" ht="12.75">
      <c r="A64" s="61" t="s">
        <v>59</v>
      </c>
      <c r="B64" s="36">
        <f>B62-B63</f>
        <v>1952959161.18</v>
      </c>
      <c r="C64" s="59" t="s">
        <v>211</v>
      </c>
      <c r="D64" s="60">
        <v>0.90029483</v>
      </c>
      <c r="E64" s="34">
        <f>ROUND(D64*$B$66,0)</f>
        <v>2381148</v>
      </c>
      <c r="F64" s="86">
        <f>ROUND(E64*$G$3,0)</f>
        <v>1785861</v>
      </c>
      <c r="G64" s="40" t="s">
        <v>301</v>
      </c>
      <c r="H64" s="35" t="e">
        <f>Tribes!#REF!</f>
        <v>#REF!</v>
      </c>
      <c r="J64" s="40" t="s">
        <v>301</v>
      </c>
      <c r="K64" s="35">
        <v>0</v>
      </c>
      <c r="L64" s="38"/>
      <c r="M64" s="40" t="s">
        <v>301</v>
      </c>
      <c r="N64" s="35">
        <v>0</v>
      </c>
      <c r="O64" s="38"/>
      <c r="P64" s="40" t="s">
        <v>301</v>
      </c>
      <c r="Q64" s="35" t="e">
        <f>D58-States!H64</f>
        <v>#REF!</v>
      </c>
      <c r="R64" s="35"/>
      <c r="S64" s="35"/>
      <c r="U64" s="40"/>
      <c r="V64" s="35"/>
    </row>
    <row r="65" spans="1:22" ht="13.5" thickBot="1">
      <c r="A65" s="62" t="s">
        <v>308</v>
      </c>
      <c r="B65" s="60">
        <v>0.00135428</v>
      </c>
      <c r="C65" s="59" t="s">
        <v>212</v>
      </c>
      <c r="D65" s="60">
        <v>0.03429636</v>
      </c>
      <c r="E65" s="34">
        <f>ROUND(D65*$B$66,0)</f>
        <v>90709</v>
      </c>
      <c r="F65" s="86">
        <f>ROUND(E65*$G$3,0)</f>
        <v>68032</v>
      </c>
      <c r="G65" s="40" t="s">
        <v>302</v>
      </c>
      <c r="H65" s="75" t="e">
        <f>SUM(H62:H64)</f>
        <v>#REF!</v>
      </c>
      <c r="J65" s="40" t="s">
        <v>302</v>
      </c>
      <c r="K65" s="75">
        <f>SUM(K62:K64)</f>
        <v>463149592</v>
      </c>
      <c r="L65" s="38"/>
      <c r="M65" s="40" t="s">
        <v>302</v>
      </c>
      <c r="N65" s="75">
        <f>SUM(N62:N64)</f>
        <v>87798180</v>
      </c>
      <c r="O65" s="38"/>
      <c r="P65" s="40" t="s">
        <v>302</v>
      </c>
      <c r="Q65" s="75" t="e">
        <f>SUM(Q62:Q64)</f>
        <v>#REF!</v>
      </c>
      <c r="R65" s="75"/>
      <c r="S65" s="75"/>
      <c r="U65" s="40"/>
      <c r="V65" s="75"/>
    </row>
    <row r="66" spans="1:19" ht="13.5" thickTop="1">
      <c r="A66" s="63" t="s">
        <v>309</v>
      </c>
      <c r="B66" s="36">
        <f>ROUND(B64*B65,0)</f>
        <v>2644854</v>
      </c>
      <c r="C66" s="64" t="s">
        <v>54</v>
      </c>
      <c r="D66" s="65"/>
      <c r="E66" s="72">
        <f>SUM(E61:E65)</f>
        <v>2644854</v>
      </c>
      <c r="F66" s="66">
        <f>SUM(F61:F65)</f>
        <v>1983642</v>
      </c>
      <c r="G66" s="36"/>
      <c r="H66" s="38"/>
      <c r="P66" s="40"/>
      <c r="Q66" s="75"/>
      <c r="R66" s="75"/>
      <c r="S66" s="75"/>
    </row>
    <row r="67" spans="1:22" ht="12.75">
      <c r="A67" s="58" t="s">
        <v>53</v>
      </c>
      <c r="B67" s="36">
        <f>ROUND(+B64-B66,0)</f>
        <v>1950314307</v>
      </c>
      <c r="C67" s="37"/>
      <c r="D67" s="38"/>
      <c r="E67" s="38"/>
      <c r="F67" s="30">
        <f>ROUND(E66*G3,0)</f>
        <v>1983641</v>
      </c>
      <c r="P67" s="102" t="s">
        <v>328</v>
      </c>
      <c r="Q67" s="102"/>
      <c r="R67" s="87"/>
      <c r="S67" s="87"/>
      <c r="U67" s="40"/>
      <c r="V67" s="35"/>
    </row>
    <row r="68" spans="1:22" ht="12.75">
      <c r="A68" s="38"/>
      <c r="B68" s="38"/>
      <c r="C68" s="38"/>
      <c r="D68" s="38"/>
      <c r="E68" s="38"/>
      <c r="F68" s="34"/>
      <c r="G68" s="34"/>
      <c r="H68" s="35"/>
      <c r="P68" s="40" t="s">
        <v>300</v>
      </c>
      <c r="Q68" s="35">
        <f>H62+K62+N62+Q62</f>
        <v>1929206964</v>
      </c>
      <c r="R68" s="35"/>
      <c r="S68" s="35"/>
      <c r="U68" s="40"/>
      <c r="V68" s="35"/>
    </row>
    <row r="69" spans="1:22" ht="12.75">
      <c r="A69" s="30" t="s">
        <v>351</v>
      </c>
      <c r="P69" s="40" t="s">
        <v>52</v>
      </c>
      <c r="Q69" s="35">
        <f>H63+K63+N63+Q63</f>
        <v>2644854</v>
      </c>
      <c r="R69" s="35"/>
      <c r="S69" s="35"/>
      <c r="U69" s="40"/>
      <c r="V69" s="75"/>
    </row>
    <row r="70" spans="16:19" ht="12.75">
      <c r="P70" s="40" t="s">
        <v>301</v>
      </c>
      <c r="Q70" s="35" t="e">
        <f>H64+K64+N64+Q64</f>
        <v>#REF!</v>
      </c>
      <c r="R70" s="35"/>
      <c r="S70" s="35"/>
    </row>
    <row r="71" spans="16:22" ht="12.75">
      <c r="P71" s="40" t="s">
        <v>302</v>
      </c>
      <c r="Q71" s="75" t="e">
        <f>H65+K65+N65+Q65</f>
        <v>#REF!</v>
      </c>
      <c r="R71" s="75"/>
      <c r="S71" s="75"/>
      <c r="U71" s="89"/>
      <c r="V71" s="75"/>
    </row>
    <row r="73" spans="16:19" ht="12.75">
      <c r="P73" s="40" t="s">
        <v>227</v>
      </c>
      <c r="Q73" s="35">
        <f>B61</f>
        <v>26749379</v>
      </c>
      <c r="R73" s="35"/>
      <c r="S73" s="35"/>
    </row>
    <row r="74" spans="16:19" ht="12.75">
      <c r="P74" s="40" t="s">
        <v>329</v>
      </c>
      <c r="Q74" s="35">
        <f>B63</f>
        <v>291811</v>
      </c>
      <c r="R74" s="35"/>
      <c r="S74" s="35"/>
    </row>
    <row r="75" spans="16:19" ht="12.75">
      <c r="P75" s="40" t="s">
        <v>302</v>
      </c>
      <c r="Q75" s="75">
        <f>SUM(Q73:Q74)</f>
        <v>27041190</v>
      </c>
      <c r="R75" s="75"/>
      <c r="S75" s="75"/>
    </row>
    <row r="77" spans="16:19" ht="63.75">
      <c r="P77" s="89" t="s">
        <v>330</v>
      </c>
      <c r="Q77" s="75" t="e">
        <f>Q75+Q71</f>
        <v>#REF!</v>
      </c>
      <c r="R77" s="75"/>
      <c r="S77" s="75"/>
    </row>
  </sheetData>
  <sheetProtection/>
  <mergeCells count="12">
    <mergeCell ref="G61:H61"/>
    <mergeCell ref="F4:H4"/>
    <mergeCell ref="A1:E1"/>
    <mergeCell ref="A2:E2"/>
    <mergeCell ref="U61:V61"/>
    <mergeCell ref="P67:Q67"/>
    <mergeCell ref="O4:Q4"/>
    <mergeCell ref="J61:K61"/>
    <mergeCell ref="M61:N61"/>
    <mergeCell ref="P61:Q61"/>
    <mergeCell ref="I4:K4"/>
    <mergeCell ref="L4:N4"/>
  </mergeCells>
  <conditionalFormatting sqref="R7:R57 W7:W57">
    <cfRule type="cellIs" priority="1" dxfId="0" operator="equal" stopIfTrue="1">
      <formula>MAX(R$7:R$57)</formula>
    </cfRule>
    <cfRule type="cellIs" priority="2" dxfId="1" operator="equal" stopIfTrue="1">
      <formula>DMIN(R$5:R$57,R$5,R$5:R$6)</formula>
    </cfRule>
  </conditionalFormatting>
  <conditionalFormatting sqref="H5 N5 K5 Q5:S5 W5">
    <cfRule type="cellIs" priority="3" dxfId="0" operator="equal" stopIfTrue="1">
      <formula>MAX($I$8:$I$58)</formula>
    </cfRule>
    <cfRule type="cellIs" priority="4" dxfId="1" operator="equal" stopIfTrue="1">
      <formula>DMIN($I$6:$I$58,$I$6,$I$6:$I$7)</formula>
    </cfRule>
  </conditionalFormatting>
  <conditionalFormatting sqref="AJ7:AJ57">
    <cfRule type="cellIs" priority="5" dxfId="0" operator="notEqual" stopIfTrue="1">
      <formula>1</formula>
    </cfRule>
  </conditionalFormatting>
  <conditionalFormatting sqref="AG7:AI57">
    <cfRule type="cellIs" priority="6" dxfId="0" operator="greaterThan" stopIfTrue="1">
      <formula>$M$3</formula>
    </cfRule>
  </conditionalFormatting>
  <printOptions gridLines="1" horizontalCentered="1"/>
  <pageMargins left="0.17" right="0.2" top="0.5" bottom="0.75" header="0.5" footer="0.5"/>
  <pageSetup horizontalDpi="600" verticalDpi="600" orientation="landscape" scale="80" r:id="rId1"/>
  <headerFooter alignWithMargins="0">
    <oddFooter>&amp;L&amp;"Arial,Regular"'&amp;F' [&amp;A]&amp;C&amp;"Arial,Regular"                                                  19-Nov-07&amp;R&amp;"Arial,Regular"Page &amp;P of &amp;N</oddFoot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1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15.625" defaultRowHeight="12.75"/>
  <cols>
    <col min="1" max="1" width="37.125" style="10" customWidth="1"/>
    <col min="2" max="2" width="14.375" style="10" customWidth="1"/>
    <col min="3" max="3" width="13.375" style="10" customWidth="1"/>
    <col min="4" max="4" width="12.50390625" style="10" customWidth="1"/>
    <col min="5" max="5" width="14.50390625" style="10" customWidth="1"/>
    <col min="6" max="6" width="15.00390625" style="10" customWidth="1"/>
    <col min="7" max="7" width="15.50390625" style="10" bestFit="1" customWidth="1"/>
    <col min="8" max="9" width="14.50390625" style="10" customWidth="1"/>
    <col min="10" max="10" width="19.375" style="10" customWidth="1"/>
    <col min="11" max="11" width="15.50390625" style="10" hidden="1" customWidth="1"/>
    <col min="12" max="12" width="15.625" style="10" hidden="1" customWidth="1"/>
    <col min="13" max="16384" width="15.625" style="10" customWidth="1"/>
  </cols>
  <sheetData>
    <row r="1" spans="1:11" ht="12.75" customHeight="1">
      <c r="A1" s="104" t="str">
        <f>"FY 2008 Low Income Home Energy Assistance Program (LIHEAP) Indian Tribe and Tribal Organization Allocations at "&amp;TEXT(States!$B$3/1000000000,"$0.00")&amp;" Billion"</f>
        <v>FY 2008 Low Income Home Energy Assistance Program (LIHEAP) Indian Tribe and Tribal Organization Allocations at $1.98 Billion</v>
      </c>
      <c r="B1" s="104"/>
      <c r="C1" s="104"/>
      <c r="D1" s="104"/>
      <c r="E1" s="104"/>
      <c r="F1" s="104"/>
      <c r="G1" s="104"/>
      <c r="H1" s="104"/>
      <c r="I1" s="104"/>
      <c r="J1" s="104"/>
      <c r="K1" s="41"/>
    </row>
    <row r="2" spans="1:6" ht="12.75">
      <c r="A2" s="6" t="s">
        <v>346</v>
      </c>
      <c r="B2" s="44">
        <f>States!B3</f>
        <v>1980000351.18</v>
      </c>
      <c r="D2" s="45" t="s">
        <v>226</v>
      </c>
      <c r="F2" s="33" t="s">
        <v>350</v>
      </c>
    </row>
    <row r="3" spans="1:11" ht="12.75">
      <c r="A3" s="6"/>
      <c r="B3" s="44"/>
      <c r="D3" s="45"/>
      <c r="F3" s="33"/>
      <c r="K3" s="79"/>
    </row>
    <row r="4" spans="1:6" ht="14.25">
      <c r="A4" s="12" t="s">
        <v>310</v>
      </c>
      <c r="F4" s="13" t="s">
        <v>1</v>
      </c>
    </row>
    <row r="5" spans="1:2" ht="12.75">
      <c r="A5" s="1" t="s">
        <v>311</v>
      </c>
      <c r="B5" s="1" t="s">
        <v>214</v>
      </c>
    </row>
    <row r="6" spans="1:2" ht="12.75">
      <c r="A6" s="1" t="s">
        <v>60</v>
      </c>
      <c r="B6" s="1" t="s">
        <v>215</v>
      </c>
    </row>
    <row r="7" spans="1:11" ht="12.75">
      <c r="A7" s="1" t="s">
        <v>216</v>
      </c>
      <c r="B7" s="1" t="s">
        <v>312</v>
      </c>
      <c r="K7" s="13"/>
    </row>
    <row r="8" spans="1:11" ht="12.75">
      <c r="A8" s="1" t="s">
        <v>217</v>
      </c>
      <c r="B8" s="1" t="s">
        <v>218</v>
      </c>
      <c r="K8" s="13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81"/>
    </row>
    <row r="10" spans="1:14" s="14" customFormat="1" ht="45.75" customHeight="1">
      <c r="A10" s="67" t="s">
        <v>57</v>
      </c>
      <c r="B10" s="67" t="s">
        <v>223</v>
      </c>
      <c r="C10" s="67" t="s">
        <v>224</v>
      </c>
      <c r="D10" s="67" t="s">
        <v>61</v>
      </c>
      <c r="E10" s="67" t="s">
        <v>313</v>
      </c>
      <c r="F10" s="42" t="s">
        <v>225</v>
      </c>
      <c r="G10" s="80" t="s">
        <v>237</v>
      </c>
      <c r="H10" s="67" t="s">
        <v>347</v>
      </c>
      <c r="I10" s="67" t="s">
        <v>348</v>
      </c>
      <c r="J10" s="42" t="s">
        <v>349</v>
      </c>
      <c r="K10" s="67" t="e">
        <f>"Remaining Tribal Grant Amount (Calculated at "&amp;TEXT(1-#REF!,"0%")&amp;")"</f>
        <v>#VALUE!</v>
      </c>
      <c r="N10" s="42"/>
    </row>
    <row r="11" spans="7:11" ht="12.75">
      <c r="G11" s="13"/>
      <c r="K11" s="13"/>
    </row>
    <row r="12" spans="1:12" ht="12.75">
      <c r="A12" s="11" t="s">
        <v>2</v>
      </c>
      <c r="E12" s="4">
        <f>States!C7</f>
        <v>16773581</v>
      </c>
      <c r="G12" s="13"/>
      <c r="H12" s="4">
        <f>SUM(G13:G16)</f>
        <v>105590</v>
      </c>
      <c r="I12" s="4">
        <f>E12-H12</f>
        <v>16667991</v>
      </c>
      <c r="L12" s="10" t="e">
        <f>K12-#REF!</f>
        <v>#REF!</v>
      </c>
    </row>
    <row r="13" spans="1:14" ht="12.75">
      <c r="A13" s="10" t="s">
        <v>62</v>
      </c>
      <c r="B13" s="10">
        <v>449603</v>
      </c>
      <c r="C13" s="10">
        <v>96</v>
      </c>
      <c r="D13" s="3" t="s">
        <v>63</v>
      </c>
      <c r="E13" s="4"/>
      <c r="F13" s="15">
        <f>C13/B13</f>
        <v>0.00021352170692811212</v>
      </c>
      <c r="G13" s="82">
        <f>ROUND($E$12*F13,0)</f>
        <v>3582</v>
      </c>
      <c r="H13" s="4"/>
      <c r="J13" s="43">
        <f>G13/$E$12</f>
        <v>0.00021355010596723503</v>
      </c>
      <c r="K13" s="4" t="e">
        <f>ROUND(G13*(1-#REF!),0)</f>
        <v>#REF!</v>
      </c>
      <c r="L13" s="4" t="e">
        <f>K13-#REF!</f>
        <v>#REF!</v>
      </c>
      <c r="N13" s="43"/>
    </row>
    <row r="14" spans="1:14" ht="12.75">
      <c r="A14" s="1" t="s">
        <v>64</v>
      </c>
      <c r="B14" s="2">
        <v>449603</v>
      </c>
      <c r="C14" s="1" t="s">
        <v>1</v>
      </c>
      <c r="D14" s="3" t="s">
        <v>65</v>
      </c>
      <c r="E14" s="4"/>
      <c r="F14" s="9">
        <v>0.00317</v>
      </c>
      <c r="G14" s="82">
        <f>ROUND($E$12*F14,0)</f>
        <v>53172</v>
      </c>
      <c r="H14" s="4"/>
      <c r="I14" s="4"/>
      <c r="J14" s="43">
        <f>G14/$E$12</f>
        <v>0.003169984990086494</v>
      </c>
      <c r="K14" s="4" t="e">
        <f>ROUND(G14*(1-#REF!),0)</f>
        <v>#REF!</v>
      </c>
      <c r="L14" s="4" t="e">
        <f>K14-#REF!</f>
        <v>#REF!</v>
      </c>
      <c r="N14" s="43"/>
    </row>
    <row r="15" spans="1:14" ht="12.75">
      <c r="A15" s="1" t="s">
        <v>66</v>
      </c>
      <c r="B15" s="2">
        <v>449603</v>
      </c>
      <c r="C15" s="2">
        <v>1075</v>
      </c>
      <c r="D15" s="3" t="s">
        <v>63</v>
      </c>
      <c r="E15" s="4"/>
      <c r="F15" s="9">
        <f>C15/B15</f>
        <v>0.0023909982807054225</v>
      </c>
      <c r="G15" s="82">
        <f>ROUND($E$12*F15,0)</f>
        <v>40106</v>
      </c>
      <c r="H15" s="4"/>
      <c r="I15" s="4"/>
      <c r="J15" s="43">
        <f>G15/$E$12</f>
        <v>0.002391021929068098</v>
      </c>
      <c r="K15" s="4" t="e">
        <f>ROUND(G15*(1-#REF!),0)</f>
        <v>#REF!</v>
      </c>
      <c r="L15" s="4" t="e">
        <f>K15-#REF!</f>
        <v>#REF!</v>
      </c>
      <c r="N15" s="43"/>
    </row>
    <row r="16" spans="1:14" ht="12.75">
      <c r="A16" s="92" t="s">
        <v>343</v>
      </c>
      <c r="B16" s="2">
        <v>449603</v>
      </c>
      <c r="C16" s="93">
        <v>234</v>
      </c>
      <c r="D16" s="94" t="s">
        <v>63</v>
      </c>
      <c r="E16" s="4"/>
      <c r="F16" s="9">
        <f>C16/B16</f>
        <v>0.0005204591606372734</v>
      </c>
      <c r="G16" s="82">
        <f>ROUND($E$12*F16,0)</f>
        <v>8730</v>
      </c>
      <c r="H16" s="4"/>
      <c r="I16" s="4"/>
      <c r="J16" s="43">
        <f>G16/$E$12</f>
        <v>0.0005204613135382361</v>
      </c>
      <c r="K16" s="4" t="e">
        <f>ROUND(G16*(1-#REF!),0)</f>
        <v>#REF!</v>
      </c>
      <c r="L16" s="4"/>
      <c r="N16" s="43"/>
    </row>
    <row r="17" spans="1:12" ht="12.75">
      <c r="A17" s="11" t="s">
        <v>3</v>
      </c>
      <c r="E17" s="4">
        <f>States!C8</f>
        <v>10706953</v>
      </c>
      <c r="F17" s="9"/>
      <c r="G17" s="13"/>
      <c r="H17" s="4">
        <f>SUM(G18:G26)</f>
        <v>3287034</v>
      </c>
      <c r="I17" s="4">
        <f>E17-H17</f>
        <v>7419919</v>
      </c>
      <c r="K17" s="4"/>
      <c r="L17" s="4" t="e">
        <f>K17-#REF!</f>
        <v>#REF!</v>
      </c>
    </row>
    <row r="18" spans="1:14" ht="12.75">
      <c r="A18" s="1" t="s">
        <v>67</v>
      </c>
      <c r="B18" s="2">
        <v>54295</v>
      </c>
      <c r="C18" s="16">
        <v>164</v>
      </c>
      <c r="D18" s="3" t="s">
        <v>65</v>
      </c>
      <c r="E18" s="4"/>
      <c r="F18" s="9">
        <v>0.00854</v>
      </c>
      <c r="G18" s="82">
        <f>ROUND($E$17*F18,0)</f>
        <v>91437</v>
      </c>
      <c r="H18" s="4"/>
      <c r="I18" s="1"/>
      <c r="J18" s="43">
        <f>G18/$E$17</f>
        <v>0.008539964637932005</v>
      </c>
      <c r="K18" s="4" t="e">
        <f>ROUND(G18*(1-#REF!),0)</f>
        <v>#REF!</v>
      </c>
      <c r="L18" s="4" t="e">
        <f>K18-#REF!</f>
        <v>#REF!</v>
      </c>
      <c r="N18" s="43"/>
    </row>
    <row r="19" spans="1:14" ht="12.75">
      <c r="A19" s="1" t="s">
        <v>68</v>
      </c>
      <c r="B19" s="2">
        <v>54295</v>
      </c>
      <c r="C19" s="16">
        <v>2029</v>
      </c>
      <c r="D19" s="3" t="s">
        <v>65</v>
      </c>
      <c r="E19" s="4"/>
      <c r="F19" s="9">
        <v>0.13824948</v>
      </c>
      <c r="G19" s="82">
        <f aca="true" t="shared" si="0" ref="G19:G26">ROUND($E$17*F19,0)</f>
        <v>1480231</v>
      </c>
      <c r="H19" s="4"/>
      <c r="I19" s="1"/>
      <c r="J19" s="43">
        <f aca="true" t="shared" si="1" ref="J19:J26">G19/$E$17</f>
        <v>0.13824950945427705</v>
      </c>
      <c r="K19" s="4" t="e">
        <f>ROUND(G19*(1-#REF!),0)</f>
        <v>#REF!</v>
      </c>
      <c r="L19" s="4" t="e">
        <f>K19-#REF!</f>
        <v>#REF!</v>
      </c>
      <c r="N19" s="43"/>
    </row>
    <row r="20" spans="1:14" ht="12.75">
      <c r="A20" s="1" t="s">
        <v>70</v>
      </c>
      <c r="B20" s="2">
        <v>54295</v>
      </c>
      <c r="C20" s="16">
        <v>111</v>
      </c>
      <c r="D20" s="3" t="s">
        <v>65</v>
      </c>
      <c r="E20" s="4"/>
      <c r="F20" s="9">
        <v>0.0068015</v>
      </c>
      <c r="G20" s="82">
        <f t="shared" si="0"/>
        <v>72823</v>
      </c>
      <c r="H20" s="4"/>
      <c r="J20" s="43">
        <f t="shared" si="1"/>
        <v>0.006801468167460902</v>
      </c>
      <c r="K20" s="4" t="e">
        <f>ROUND(G20*(1-#REF!),0)</f>
        <v>#REF!</v>
      </c>
      <c r="L20" s="4" t="e">
        <f>K20-#REF!</f>
        <v>#REF!</v>
      </c>
      <c r="N20" s="43"/>
    </row>
    <row r="21" spans="1:14" ht="12.75">
      <c r="A21" s="1" t="s">
        <v>71</v>
      </c>
      <c r="B21" s="2">
        <v>54295</v>
      </c>
      <c r="C21" s="16">
        <v>229</v>
      </c>
      <c r="D21" s="3" t="s">
        <v>65</v>
      </c>
      <c r="E21" s="4"/>
      <c r="F21" s="9">
        <v>0.02074</v>
      </c>
      <c r="G21" s="82">
        <f t="shared" si="0"/>
        <v>222062</v>
      </c>
      <c r="H21" s="4"/>
      <c r="I21" s="1" t="s">
        <v>1</v>
      </c>
      <c r="J21" s="43">
        <f t="shared" si="1"/>
        <v>0.020739980833015703</v>
      </c>
      <c r="K21" s="4" t="e">
        <f>ROUND(G21*(1-#REF!),0)</f>
        <v>#REF!</v>
      </c>
      <c r="L21" s="4" t="e">
        <f>K21-#REF!</f>
        <v>#REF!</v>
      </c>
      <c r="N21" s="43"/>
    </row>
    <row r="22" spans="1:14" ht="12.75">
      <c r="A22" s="1" t="s">
        <v>72</v>
      </c>
      <c r="B22" s="2">
        <v>54295</v>
      </c>
      <c r="C22" s="16">
        <v>275</v>
      </c>
      <c r="D22" s="3" t="s">
        <v>65</v>
      </c>
      <c r="E22" s="4"/>
      <c r="F22" s="9">
        <v>0.008235</v>
      </c>
      <c r="G22" s="82">
        <f t="shared" si="0"/>
        <v>88172</v>
      </c>
      <c r="H22" s="4"/>
      <c r="J22" s="43">
        <f t="shared" si="1"/>
        <v>0.008235022606338143</v>
      </c>
      <c r="K22" s="4" t="e">
        <f>ROUND(G22*(1-#REF!),0)</f>
        <v>#REF!</v>
      </c>
      <c r="L22" s="4" t="e">
        <f>K22-#REF!</f>
        <v>#REF!</v>
      </c>
      <c r="N22" s="43"/>
    </row>
    <row r="23" spans="1:14" ht="12.75">
      <c r="A23" s="1" t="s">
        <v>73</v>
      </c>
      <c r="B23" s="2">
        <v>54295</v>
      </c>
      <c r="C23" s="16">
        <v>8</v>
      </c>
      <c r="D23" s="3" t="s">
        <v>65</v>
      </c>
      <c r="E23" s="4"/>
      <c r="F23" s="9">
        <v>0.0007015</v>
      </c>
      <c r="G23" s="82">
        <f t="shared" si="0"/>
        <v>7511</v>
      </c>
      <c r="H23" s="4"/>
      <c r="J23" s="43">
        <f t="shared" si="1"/>
        <v>0.0007015067685456357</v>
      </c>
      <c r="K23" s="4" t="e">
        <f>ROUND(G23*(1-#REF!),0)</f>
        <v>#REF!</v>
      </c>
      <c r="L23" s="4" t="e">
        <f>K23-#REF!</f>
        <v>#REF!</v>
      </c>
      <c r="N23" s="43"/>
    </row>
    <row r="24" spans="1:14" ht="12.75">
      <c r="A24" s="1" t="s">
        <v>74</v>
      </c>
      <c r="B24" s="2">
        <v>54295</v>
      </c>
      <c r="C24" s="16">
        <v>1385</v>
      </c>
      <c r="D24" s="3" t="s">
        <v>65</v>
      </c>
      <c r="E24" s="4"/>
      <c r="F24" s="9">
        <v>0.07750751</v>
      </c>
      <c r="G24" s="82">
        <f t="shared" si="0"/>
        <v>829869</v>
      </c>
      <c r="H24" s="4"/>
      <c r="J24" s="43">
        <f t="shared" si="1"/>
        <v>0.07750748508936202</v>
      </c>
      <c r="K24" s="4" t="e">
        <f>ROUND(G24*(1-#REF!),0)</f>
        <v>#REF!</v>
      </c>
      <c r="L24" s="4" t="e">
        <f>K24-#REF!</f>
        <v>#REF!</v>
      </c>
      <c r="N24" s="43"/>
    </row>
    <row r="25" spans="1:14" ht="12.75">
      <c r="A25" s="1" t="s">
        <v>75</v>
      </c>
      <c r="B25" s="2">
        <v>54295</v>
      </c>
      <c r="C25" s="16">
        <v>1171</v>
      </c>
      <c r="D25" s="3" t="s">
        <v>65</v>
      </c>
      <c r="E25" s="4"/>
      <c r="F25" s="9">
        <v>0.044225</v>
      </c>
      <c r="G25" s="82">
        <f t="shared" si="0"/>
        <v>473515</v>
      </c>
      <c r="H25" s="4"/>
      <c r="I25" s="1" t="s">
        <v>1</v>
      </c>
      <c r="J25" s="43">
        <f t="shared" si="1"/>
        <v>0.04422500033389518</v>
      </c>
      <c r="K25" s="4" t="e">
        <f>ROUND(G25*(1-#REF!),0)</f>
        <v>#REF!</v>
      </c>
      <c r="L25" s="4" t="e">
        <f>K25-#REF!</f>
        <v>#REF!</v>
      </c>
      <c r="N25" s="43"/>
    </row>
    <row r="26" spans="1:14" ht="12.75">
      <c r="A26" s="8" t="s">
        <v>232</v>
      </c>
      <c r="B26" s="2">
        <v>54295</v>
      </c>
      <c r="C26" s="8">
        <v>77</v>
      </c>
      <c r="D26" s="3" t="s">
        <v>65</v>
      </c>
      <c r="E26" s="4"/>
      <c r="F26" s="9">
        <v>0.002</v>
      </c>
      <c r="G26" s="82">
        <f t="shared" si="0"/>
        <v>21414</v>
      </c>
      <c r="H26" s="4"/>
      <c r="I26" s="1"/>
      <c r="J26" s="43">
        <f t="shared" si="1"/>
        <v>0.002000008779341798</v>
      </c>
      <c r="K26" s="4" t="e">
        <f>ROUND(G26*(1-#REF!),0)</f>
        <v>#REF!</v>
      </c>
      <c r="L26" s="4" t="e">
        <f>K26-#REF!</f>
        <v>#REF!</v>
      </c>
      <c r="N26" s="43"/>
    </row>
    <row r="27" spans="1:12" ht="12.75">
      <c r="A27" s="11" t="s">
        <v>4</v>
      </c>
      <c r="E27" s="4">
        <f>States!C9</f>
        <v>8111903</v>
      </c>
      <c r="F27" s="9"/>
      <c r="G27" s="13"/>
      <c r="H27" s="4">
        <f>SUM(G28:G36)</f>
        <v>659088</v>
      </c>
      <c r="I27" s="4">
        <f>E27-H27</f>
        <v>7452815</v>
      </c>
      <c r="K27" s="4"/>
      <c r="L27" s="4" t="e">
        <f>K27-#REF!</f>
        <v>#REF!</v>
      </c>
    </row>
    <row r="28" spans="1:14" ht="12.75">
      <c r="A28" s="1" t="s">
        <v>76</v>
      </c>
      <c r="B28" s="2">
        <v>343522</v>
      </c>
      <c r="C28" s="16">
        <v>228</v>
      </c>
      <c r="D28" s="3" t="s">
        <v>63</v>
      </c>
      <c r="F28" s="9">
        <f aca="true" t="shared" si="2" ref="F28:F36">C28/B28</f>
        <v>0.0006637129499711809</v>
      </c>
      <c r="G28" s="82">
        <f aca="true" t="shared" si="3" ref="G28:G36">ROUND($E$27*F28,0)</f>
        <v>5384</v>
      </c>
      <c r="H28" s="4"/>
      <c r="J28" s="43">
        <f>G28/$E$27</f>
        <v>0.0006637160232315401</v>
      </c>
      <c r="K28" s="4" t="e">
        <f>ROUND(G28*(1-#REF!),0)</f>
        <v>#REF!</v>
      </c>
      <c r="L28" s="4" t="e">
        <f>K28-#REF!</f>
        <v>#REF!</v>
      </c>
      <c r="N28" s="43"/>
    </row>
    <row r="29" spans="1:14" ht="12.75">
      <c r="A29" s="1" t="s">
        <v>77</v>
      </c>
      <c r="B29" s="2">
        <v>343522</v>
      </c>
      <c r="C29" s="16">
        <v>680</v>
      </c>
      <c r="D29" s="3" t="s">
        <v>63</v>
      </c>
      <c r="E29" s="4"/>
      <c r="F29" s="9">
        <f t="shared" si="2"/>
        <v>0.001979494763071943</v>
      </c>
      <c r="G29" s="82">
        <f t="shared" si="3"/>
        <v>16057</v>
      </c>
      <c r="H29" s="4"/>
      <c r="J29" s="43">
        <f aca="true" t="shared" si="4" ref="J29:J36">G29/$E$27</f>
        <v>0.0019794368842921324</v>
      </c>
      <c r="K29" s="4" t="e">
        <f>ROUND(G29*(1-#REF!),0)</f>
        <v>#REF!</v>
      </c>
      <c r="L29" s="4" t="e">
        <f>K29-#REF!</f>
        <v>#REF!</v>
      </c>
      <c r="N29" s="43"/>
    </row>
    <row r="30" spans="1:14" ht="12.75">
      <c r="A30" s="1" t="s">
        <v>78</v>
      </c>
      <c r="B30" s="2">
        <v>343522</v>
      </c>
      <c r="C30" s="16">
        <v>2301</v>
      </c>
      <c r="D30" s="3" t="s">
        <v>63</v>
      </c>
      <c r="E30" s="4"/>
      <c r="F30" s="9">
        <f t="shared" si="2"/>
        <v>0.006698260955630207</v>
      </c>
      <c r="G30" s="82">
        <f t="shared" si="3"/>
        <v>54336</v>
      </c>
      <c r="H30" s="4"/>
      <c r="J30" s="43">
        <f t="shared" si="4"/>
        <v>0.006698304947679971</v>
      </c>
      <c r="K30" s="4" t="e">
        <f>ROUND(G30*(1-#REF!),0)</f>
        <v>#REF!</v>
      </c>
      <c r="L30" s="4" t="e">
        <f>K30-#REF!</f>
        <v>#REF!</v>
      </c>
      <c r="N30" s="43"/>
    </row>
    <row r="31" spans="1:14" ht="12.75">
      <c r="A31" s="1" t="s">
        <v>79</v>
      </c>
      <c r="B31" s="2">
        <v>343522</v>
      </c>
      <c r="C31" s="16">
        <v>19524</v>
      </c>
      <c r="D31" s="3" t="s">
        <v>63</v>
      </c>
      <c r="E31" s="4"/>
      <c r="F31" s="9">
        <f>C31/B31</f>
        <v>0.056834787873847964</v>
      </c>
      <c r="G31" s="82">
        <f t="shared" si="3"/>
        <v>461038</v>
      </c>
      <c r="H31" s="4"/>
      <c r="J31" s="43">
        <f t="shared" si="4"/>
        <v>0.05683475258518254</v>
      </c>
      <c r="K31" s="4" t="e">
        <f>ROUND(G31*(1-#REF!),0)</f>
        <v>#REF!</v>
      </c>
      <c r="L31" s="4" t="e">
        <f>K31-#REF!</f>
        <v>#REF!</v>
      </c>
      <c r="N31" s="43"/>
    </row>
    <row r="32" spans="1:14" ht="12.75">
      <c r="A32" s="1" t="s">
        <v>80</v>
      </c>
      <c r="B32" s="2">
        <v>343522</v>
      </c>
      <c r="C32" s="16">
        <v>879</v>
      </c>
      <c r="D32" s="3" t="s">
        <v>63</v>
      </c>
      <c r="E32" s="4"/>
      <c r="F32" s="9">
        <f t="shared" si="2"/>
        <v>0.0025587880834415265</v>
      </c>
      <c r="G32" s="82">
        <f t="shared" si="3"/>
        <v>20757</v>
      </c>
      <c r="H32" s="4"/>
      <c r="J32" s="43">
        <f t="shared" si="4"/>
        <v>0.0025588323726257575</v>
      </c>
      <c r="K32" s="4" t="e">
        <f>ROUND(G32*(1-#REF!),0)</f>
        <v>#REF!</v>
      </c>
      <c r="L32" s="4" t="e">
        <f>K32-#REF!</f>
        <v>#REF!</v>
      </c>
      <c r="N32" s="43"/>
    </row>
    <row r="33" spans="1:14" ht="12.75">
      <c r="A33" s="1" t="s">
        <v>81</v>
      </c>
      <c r="B33" s="2">
        <v>343522</v>
      </c>
      <c r="C33" s="16">
        <v>50</v>
      </c>
      <c r="D33" s="3" t="s">
        <v>63</v>
      </c>
      <c r="E33" s="4"/>
      <c r="F33" s="9">
        <f t="shared" si="2"/>
        <v>0.00014555108551999582</v>
      </c>
      <c r="G33" s="82">
        <f t="shared" si="3"/>
        <v>1181</v>
      </c>
      <c r="H33" s="4"/>
      <c r="J33" s="43">
        <f t="shared" si="4"/>
        <v>0.00014558852589830032</v>
      </c>
      <c r="K33" s="4" t="e">
        <f>ROUND(G33*(1-#REF!),0)</f>
        <v>#REF!</v>
      </c>
      <c r="L33" s="4" t="e">
        <f>K33-#REF!</f>
        <v>#REF!</v>
      </c>
      <c r="N33" s="43"/>
    </row>
    <row r="34" spans="1:14" ht="12.75">
      <c r="A34" s="1" t="s">
        <v>82</v>
      </c>
      <c r="B34" s="2">
        <v>343522</v>
      </c>
      <c r="C34" s="16">
        <v>849</v>
      </c>
      <c r="D34" s="3" t="s">
        <v>63</v>
      </c>
      <c r="E34" s="4"/>
      <c r="F34" s="9">
        <f t="shared" si="2"/>
        <v>0.002471457432129529</v>
      </c>
      <c r="G34" s="82">
        <f t="shared" si="3"/>
        <v>20048</v>
      </c>
      <c r="H34" s="4"/>
      <c r="J34" s="43">
        <f t="shared" si="4"/>
        <v>0.0024714299468324512</v>
      </c>
      <c r="K34" s="4" t="e">
        <f>ROUND(G34*(1-#REF!),0)</f>
        <v>#REF!</v>
      </c>
      <c r="L34" s="4" t="e">
        <f>K34-#REF!</f>
        <v>#REF!</v>
      </c>
      <c r="N34" s="43"/>
    </row>
    <row r="35" spans="1:14" ht="12.75">
      <c r="A35" s="1" t="s">
        <v>83</v>
      </c>
      <c r="B35" s="2">
        <v>343522</v>
      </c>
      <c r="C35" s="16">
        <v>1400</v>
      </c>
      <c r="D35" s="3" t="s">
        <v>63</v>
      </c>
      <c r="F35" s="9">
        <f t="shared" si="2"/>
        <v>0.004075430394559883</v>
      </c>
      <c r="G35" s="82">
        <f t="shared" si="3"/>
        <v>33059</v>
      </c>
      <c r="H35" s="4"/>
      <c r="J35" s="43">
        <f t="shared" si="4"/>
        <v>0.004075369244430068</v>
      </c>
      <c r="K35" s="4" t="e">
        <f>ROUND(G35*(1-#REF!),0)</f>
        <v>#REF!</v>
      </c>
      <c r="L35" s="4" t="e">
        <f>K35-#REF!</f>
        <v>#REF!</v>
      </c>
      <c r="N35" s="43"/>
    </row>
    <row r="36" spans="1:14" ht="12.75">
      <c r="A36" s="1" t="s">
        <v>230</v>
      </c>
      <c r="B36" s="2">
        <v>343522</v>
      </c>
      <c r="C36" s="16">
        <v>2000</v>
      </c>
      <c r="D36" s="3" t="s">
        <v>63</v>
      </c>
      <c r="F36" s="9">
        <f t="shared" si="2"/>
        <v>0.005822043420799832</v>
      </c>
      <c r="G36" s="82">
        <f t="shared" si="3"/>
        <v>47228</v>
      </c>
      <c r="H36" s="4"/>
      <c r="J36" s="43">
        <f t="shared" si="4"/>
        <v>0.005822061728302225</v>
      </c>
      <c r="K36" s="4" t="e">
        <f>ROUND(G36*(1-#REF!),0)</f>
        <v>#REF!</v>
      </c>
      <c r="L36" s="4" t="e">
        <f>K36-#REF!</f>
        <v>#REF!</v>
      </c>
      <c r="N36" s="43"/>
    </row>
    <row r="37" spans="1:12" ht="12.75">
      <c r="A37" s="11" t="s">
        <v>6</v>
      </c>
      <c r="E37" s="4">
        <f>States!C11</f>
        <v>89985376</v>
      </c>
      <c r="F37" s="9"/>
      <c r="G37" s="13"/>
      <c r="H37" s="4">
        <f>SUM(G38:G61)</f>
        <v>726996</v>
      </c>
      <c r="I37" s="4">
        <f>E37-H37</f>
        <v>89258380</v>
      </c>
      <c r="K37" s="4"/>
      <c r="L37" s="4" t="e">
        <f>K37-#REF!</f>
        <v>#REF!</v>
      </c>
    </row>
    <row r="38" spans="1:14" ht="12.75">
      <c r="A38" s="1" t="s">
        <v>84</v>
      </c>
      <c r="B38" s="2">
        <v>1659723</v>
      </c>
      <c r="C38" s="10">
        <v>130</v>
      </c>
      <c r="D38" s="3" t="s">
        <v>63</v>
      </c>
      <c r="E38" s="4"/>
      <c r="F38" s="9">
        <f aca="true" t="shared" si="5" ref="F38:F47">C38/B38</f>
        <v>7.832632312741343E-05</v>
      </c>
      <c r="G38" s="82">
        <f aca="true" t="shared" si="6" ref="G38:G61">ROUND($E$37*F38,0)</f>
        <v>7048</v>
      </c>
      <c r="H38" s="4"/>
      <c r="I38" s="4"/>
      <c r="J38" s="43">
        <f aca="true" t="shared" si="7" ref="J38:J61">G38/$E$37</f>
        <v>7.832383786449923E-05</v>
      </c>
      <c r="K38" s="4" t="e">
        <f>ROUND(G38*(1-#REF!),0)</f>
        <v>#REF!</v>
      </c>
      <c r="L38" s="4" t="e">
        <f>K38-#REF!</f>
        <v>#REF!</v>
      </c>
      <c r="N38" s="43"/>
    </row>
    <row r="39" spans="1:14" ht="12.75">
      <c r="A39" s="8" t="s">
        <v>235</v>
      </c>
      <c r="B39" s="2">
        <v>1659723</v>
      </c>
      <c r="C39" s="10">
        <v>412</v>
      </c>
      <c r="D39" s="3" t="s">
        <v>63</v>
      </c>
      <c r="E39" s="4"/>
      <c r="F39" s="9">
        <f t="shared" si="5"/>
        <v>0.00024823419329611025</v>
      </c>
      <c r="G39" s="82">
        <f t="shared" si="6"/>
        <v>22337</v>
      </c>
      <c r="H39" s="4"/>
      <c r="I39" s="4"/>
      <c r="J39" s="43">
        <f t="shared" si="7"/>
        <v>0.0002482292233795856</v>
      </c>
      <c r="K39" s="4" t="e">
        <f>ROUND(G39*(1-#REF!),0)</f>
        <v>#REF!</v>
      </c>
      <c r="L39" s="4" t="e">
        <f>K39-#REF!</f>
        <v>#REF!</v>
      </c>
      <c r="N39" s="43"/>
    </row>
    <row r="40" spans="1:14" ht="12.75">
      <c r="A40" s="1" t="s">
        <v>85</v>
      </c>
      <c r="B40" s="2">
        <v>1659723</v>
      </c>
      <c r="C40" s="16">
        <v>24</v>
      </c>
      <c r="D40" s="3" t="s">
        <v>63</v>
      </c>
      <c r="E40" s="4"/>
      <c r="F40" s="9">
        <f t="shared" si="5"/>
        <v>1.4460244269676325E-05</v>
      </c>
      <c r="G40" s="82">
        <f t="shared" si="6"/>
        <v>1301</v>
      </c>
      <c r="H40" s="4"/>
      <c r="J40" s="43">
        <f t="shared" si="7"/>
        <v>1.445790480444289E-05</v>
      </c>
      <c r="K40" s="4" t="e">
        <f>ROUND(G40*(1-#REF!),0)</f>
        <v>#REF!</v>
      </c>
      <c r="L40" s="4" t="e">
        <f>K40-#REF!</f>
        <v>#REF!</v>
      </c>
      <c r="N40" s="43"/>
    </row>
    <row r="41" spans="1:14" ht="12.75">
      <c r="A41" s="1" t="s">
        <v>86</v>
      </c>
      <c r="B41" s="2">
        <v>1659723</v>
      </c>
      <c r="C41" s="16">
        <v>108</v>
      </c>
      <c r="D41" s="3" t="s">
        <v>63</v>
      </c>
      <c r="E41" s="4"/>
      <c r="F41" s="9">
        <f t="shared" si="5"/>
        <v>6.507109921354347E-05</v>
      </c>
      <c r="G41" s="82">
        <f t="shared" si="6"/>
        <v>5855</v>
      </c>
      <c r="H41" s="4"/>
      <c r="I41" s="4"/>
      <c r="J41" s="43">
        <f t="shared" si="7"/>
        <v>6.506612807841132E-05</v>
      </c>
      <c r="K41" s="4" t="e">
        <f>ROUND(G41*(1-#REF!),0)</f>
        <v>#REF!</v>
      </c>
      <c r="L41" s="4" t="e">
        <f>K41-#REF!</f>
        <v>#REF!</v>
      </c>
      <c r="N41" s="43"/>
    </row>
    <row r="42" spans="1:14" ht="12.75">
      <c r="A42" s="1" t="s">
        <v>87</v>
      </c>
      <c r="B42" s="2">
        <v>1659723</v>
      </c>
      <c r="C42" s="16">
        <v>50</v>
      </c>
      <c r="D42" s="3" t="s">
        <v>63</v>
      </c>
      <c r="E42" s="4"/>
      <c r="F42" s="9">
        <f t="shared" si="5"/>
        <v>3.012550889515901E-05</v>
      </c>
      <c r="G42" s="82">
        <f t="shared" si="6"/>
        <v>2711</v>
      </c>
      <c r="H42" s="4"/>
      <c r="I42" s="4"/>
      <c r="J42" s="43">
        <f t="shared" si="7"/>
        <v>3.0127117544077385E-05</v>
      </c>
      <c r="K42" s="4" t="e">
        <f>ROUND(G42*(1-#REF!),0)</f>
        <v>#REF!</v>
      </c>
      <c r="L42" s="4" t="e">
        <f>K42-#REF!</f>
        <v>#REF!</v>
      </c>
      <c r="N42" s="43"/>
    </row>
    <row r="43" spans="1:14" ht="12.75">
      <c r="A43" s="1" t="s">
        <v>88</v>
      </c>
      <c r="B43" s="2">
        <v>1659723</v>
      </c>
      <c r="C43" s="16">
        <v>896</v>
      </c>
      <c r="D43" s="3" t="s">
        <v>63</v>
      </c>
      <c r="E43" s="4"/>
      <c r="F43" s="9">
        <f t="shared" si="5"/>
        <v>0.0005398491194012495</v>
      </c>
      <c r="G43" s="82">
        <f t="shared" si="6"/>
        <v>48579</v>
      </c>
      <c r="H43" s="4"/>
      <c r="J43" s="43">
        <f t="shared" si="7"/>
        <v>0.0005398543870061731</v>
      </c>
      <c r="K43" s="4" t="e">
        <f>ROUND(G43*(1-#REF!),0)</f>
        <v>#REF!</v>
      </c>
      <c r="L43" s="4" t="e">
        <f>K43-#REF!</f>
        <v>#REF!</v>
      </c>
      <c r="N43" s="43"/>
    </row>
    <row r="44" spans="1:14" ht="12.75">
      <c r="A44" s="1" t="s">
        <v>89</v>
      </c>
      <c r="B44" s="2">
        <v>1659723</v>
      </c>
      <c r="C44" s="16">
        <v>136</v>
      </c>
      <c r="D44" s="3" t="s">
        <v>63</v>
      </c>
      <c r="F44" s="9">
        <f t="shared" si="5"/>
        <v>8.194138419483252E-05</v>
      </c>
      <c r="G44" s="82">
        <f t="shared" si="6"/>
        <v>7374</v>
      </c>
      <c r="H44" s="4"/>
      <c r="J44" s="43">
        <f t="shared" si="7"/>
        <v>8.194664875323741E-05</v>
      </c>
      <c r="K44" s="4" t="e">
        <f>ROUND(G44*(1-#REF!),0)</f>
        <v>#REF!</v>
      </c>
      <c r="L44" s="4" t="e">
        <f>K44-#REF!</f>
        <v>#REF!</v>
      </c>
      <c r="N44" s="43"/>
    </row>
    <row r="45" spans="1:14" ht="12.75">
      <c r="A45" s="1" t="s">
        <v>90</v>
      </c>
      <c r="B45" s="2">
        <v>1659723</v>
      </c>
      <c r="C45" s="16">
        <v>650</v>
      </c>
      <c r="D45" s="3" t="s">
        <v>63</v>
      </c>
      <c r="E45" s="4"/>
      <c r="F45" s="9">
        <f t="shared" si="5"/>
        <v>0.00039163161563706713</v>
      </c>
      <c r="G45" s="82">
        <f t="shared" si="6"/>
        <v>35241</v>
      </c>
      <c r="H45" s="4"/>
      <c r="I45" s="4"/>
      <c r="J45" s="43">
        <f t="shared" si="7"/>
        <v>0.00039163030223933275</v>
      </c>
      <c r="K45" s="4" t="e">
        <f>ROUND(G45*(1-#REF!),0)</f>
        <v>#REF!</v>
      </c>
      <c r="L45" s="4" t="e">
        <f>K45-#REF!</f>
        <v>#REF!</v>
      </c>
      <c r="N45" s="43"/>
    </row>
    <row r="46" spans="1:14" ht="12.75">
      <c r="A46" s="1" t="s">
        <v>91</v>
      </c>
      <c r="B46" s="2">
        <v>1659723</v>
      </c>
      <c r="C46" s="16">
        <v>371</v>
      </c>
      <c r="D46" s="3" t="s">
        <v>63</v>
      </c>
      <c r="E46" s="4"/>
      <c r="F46" s="9">
        <f t="shared" si="5"/>
        <v>0.00022353127600207987</v>
      </c>
      <c r="G46" s="82">
        <f t="shared" si="6"/>
        <v>20115</v>
      </c>
      <c r="H46" s="4"/>
      <c r="I46" s="4"/>
      <c r="J46" s="43">
        <f t="shared" si="7"/>
        <v>0.0002235363221686155</v>
      </c>
      <c r="K46" s="4" t="e">
        <f>ROUND(G46*(1-#REF!),0)</f>
        <v>#REF!</v>
      </c>
      <c r="L46" s="4" t="e">
        <f>K46-#REF!</f>
        <v>#REF!</v>
      </c>
      <c r="N46" s="43"/>
    </row>
    <row r="47" spans="1:14" ht="12.75">
      <c r="A47" s="1" t="s">
        <v>92</v>
      </c>
      <c r="B47" s="2">
        <v>1659723</v>
      </c>
      <c r="C47" s="32">
        <v>5129</v>
      </c>
      <c r="D47" s="3" t="s">
        <v>63</v>
      </c>
      <c r="E47" s="4"/>
      <c r="F47" s="9">
        <f t="shared" si="5"/>
        <v>0.0030902747024654114</v>
      </c>
      <c r="G47" s="82">
        <f t="shared" si="6"/>
        <v>278080</v>
      </c>
      <c r="H47" s="4"/>
      <c r="I47" s="4"/>
      <c r="J47" s="43">
        <f t="shared" si="7"/>
        <v>0.0030902799139273475</v>
      </c>
      <c r="K47" s="4" t="e">
        <f>ROUND(G47*(1-#REF!),0)</f>
        <v>#REF!</v>
      </c>
      <c r="L47" s="4" t="e">
        <f>K47-#REF!</f>
        <v>#REF!</v>
      </c>
      <c r="N47" s="43"/>
    </row>
    <row r="48" spans="1:14" ht="12.75">
      <c r="A48" s="1" t="s">
        <v>93</v>
      </c>
      <c r="B48" s="2">
        <v>1659723</v>
      </c>
      <c r="C48" s="16">
        <v>82</v>
      </c>
      <c r="D48" s="3" t="s">
        <v>65</v>
      </c>
      <c r="E48" s="4"/>
      <c r="F48" s="9">
        <v>0.0001</v>
      </c>
      <c r="G48" s="82">
        <f t="shared" si="6"/>
        <v>8999</v>
      </c>
      <c r="H48" s="4"/>
      <c r="J48" s="43">
        <f t="shared" si="7"/>
        <v>0.00010000513861274525</v>
      </c>
      <c r="K48" s="4" t="e">
        <f>ROUND(G48*(1-#REF!),0)</f>
        <v>#REF!</v>
      </c>
      <c r="L48" s="4" t="e">
        <f>K48-#REF!</f>
        <v>#REF!</v>
      </c>
      <c r="N48" s="43"/>
    </row>
    <row r="49" spans="1:14" ht="12.75">
      <c r="A49" s="1" t="s">
        <v>94</v>
      </c>
      <c r="B49" s="2">
        <v>1659723</v>
      </c>
      <c r="C49" s="16">
        <v>779</v>
      </c>
      <c r="D49" s="3" t="s">
        <v>63</v>
      </c>
      <c r="E49" s="4"/>
      <c r="F49" s="9">
        <f aca="true" t="shared" si="8" ref="F49:F61">C49/B49</f>
        <v>0.0004693554285865774</v>
      </c>
      <c r="G49" s="82">
        <f t="shared" si="6"/>
        <v>42235</v>
      </c>
      <c r="H49" s="4"/>
      <c r="I49" s="4"/>
      <c r="J49" s="43">
        <f t="shared" si="7"/>
        <v>0.0004693540425946545</v>
      </c>
      <c r="K49" s="4" t="e">
        <f>ROUND(G49*(1-#REF!),0)</f>
        <v>#REF!</v>
      </c>
      <c r="L49" s="4" t="e">
        <f>K49-#REF!</f>
        <v>#REF!</v>
      </c>
      <c r="N49" s="43"/>
    </row>
    <row r="50" spans="1:14" ht="12.75">
      <c r="A50" s="1" t="s">
        <v>95</v>
      </c>
      <c r="B50" s="2">
        <v>1659723</v>
      </c>
      <c r="C50" s="16">
        <v>78</v>
      </c>
      <c r="D50" s="3" t="s">
        <v>63</v>
      </c>
      <c r="E50" s="4"/>
      <c r="F50" s="9">
        <f t="shared" si="8"/>
        <v>4.699579387644806E-05</v>
      </c>
      <c r="G50" s="82">
        <f t="shared" si="6"/>
        <v>4229</v>
      </c>
      <c r="H50" s="4"/>
      <c r="I50" s="4"/>
      <c r="J50" s="43">
        <f t="shared" si="7"/>
        <v>4.699652530206686E-05</v>
      </c>
      <c r="K50" s="4" t="e">
        <f>ROUND(G50*(1-#REF!),0)</f>
        <v>#REF!</v>
      </c>
      <c r="L50" s="4" t="e">
        <f>K50-#REF!</f>
        <v>#REF!</v>
      </c>
      <c r="N50" s="43"/>
    </row>
    <row r="51" spans="1:14" ht="12.75">
      <c r="A51" s="1" t="s">
        <v>96</v>
      </c>
      <c r="B51" s="2">
        <v>1659723</v>
      </c>
      <c r="C51" s="16">
        <v>375</v>
      </c>
      <c r="D51" s="3" t="s">
        <v>63</v>
      </c>
      <c r="E51" s="4"/>
      <c r="F51" s="9">
        <f t="shared" si="8"/>
        <v>0.00022594131671369258</v>
      </c>
      <c r="G51" s="82">
        <f t="shared" si="6"/>
        <v>20331</v>
      </c>
      <c r="H51" s="4"/>
      <c r="J51" s="43">
        <f t="shared" si="7"/>
        <v>0.00022593671220532546</v>
      </c>
      <c r="K51" s="4" t="e">
        <f>ROUND(G51*(1-#REF!),0)</f>
        <v>#REF!</v>
      </c>
      <c r="L51" s="4" t="e">
        <f>K51-#REF!</f>
        <v>#REF!</v>
      </c>
      <c r="N51" s="43"/>
    </row>
    <row r="52" spans="1:14" ht="12.75">
      <c r="A52" s="1" t="s">
        <v>97</v>
      </c>
      <c r="B52" s="2">
        <v>1659723</v>
      </c>
      <c r="C52" s="16">
        <v>962</v>
      </c>
      <c r="D52" s="3" t="s">
        <v>63</v>
      </c>
      <c r="E52" s="4"/>
      <c r="F52" s="9">
        <f t="shared" si="8"/>
        <v>0.0005796147911428593</v>
      </c>
      <c r="G52" s="82">
        <f t="shared" si="6"/>
        <v>52157</v>
      </c>
      <c r="H52" s="4"/>
      <c r="J52" s="43">
        <f t="shared" si="7"/>
        <v>0.0005796164034476002</v>
      </c>
      <c r="K52" s="4" t="e">
        <f>ROUND(G52*(1-#REF!),0)</f>
        <v>#REF!</v>
      </c>
      <c r="L52" s="4" t="e">
        <f>K52-#REF!</f>
        <v>#REF!</v>
      </c>
      <c r="N52" s="43"/>
    </row>
    <row r="53" spans="1:14" ht="12.75">
      <c r="A53" s="1" t="s">
        <v>98</v>
      </c>
      <c r="B53" s="2">
        <v>1659723</v>
      </c>
      <c r="C53" s="16">
        <v>44</v>
      </c>
      <c r="D53" s="3" t="s">
        <v>63</v>
      </c>
      <c r="E53" s="4"/>
      <c r="F53" s="9">
        <f t="shared" si="8"/>
        <v>2.651044782773993E-05</v>
      </c>
      <c r="G53" s="82">
        <f t="shared" si="6"/>
        <v>2386</v>
      </c>
      <c r="H53" s="4"/>
      <c r="J53" s="43">
        <f t="shared" si="7"/>
        <v>2.6515419572175817E-05</v>
      </c>
      <c r="K53" s="4" t="e">
        <f>ROUND(G53*(1-#REF!),0)</f>
        <v>#REF!</v>
      </c>
      <c r="L53" s="4" t="e">
        <f>K53-#REF!</f>
        <v>#REF!</v>
      </c>
      <c r="N53" s="43"/>
    </row>
    <row r="54" spans="1:14" ht="12.75">
      <c r="A54" s="1" t="s">
        <v>99</v>
      </c>
      <c r="B54" s="2">
        <v>1659723</v>
      </c>
      <c r="C54" s="16">
        <v>894</v>
      </c>
      <c r="D54" s="3" t="s">
        <v>63</v>
      </c>
      <c r="E54" s="4"/>
      <c r="F54" s="9">
        <f t="shared" si="8"/>
        <v>0.0005386440990454431</v>
      </c>
      <c r="G54" s="82">
        <f t="shared" si="6"/>
        <v>48470</v>
      </c>
      <c r="H54" s="4"/>
      <c r="I54" s="4"/>
      <c r="J54" s="43">
        <f t="shared" si="7"/>
        <v>0.0005386430790709815</v>
      </c>
      <c r="K54" s="4" t="e">
        <f>ROUND(G54*(1-#REF!),0)</f>
        <v>#REF!</v>
      </c>
      <c r="L54" s="4" t="e">
        <f>K54-#REF!</f>
        <v>#REF!</v>
      </c>
      <c r="N54" s="43"/>
    </row>
    <row r="55" spans="1:14" ht="12.75">
      <c r="A55" s="1" t="s">
        <v>100</v>
      </c>
      <c r="B55" s="2">
        <v>1659723</v>
      </c>
      <c r="C55" s="16">
        <v>575</v>
      </c>
      <c r="D55" s="3" t="s">
        <v>63</v>
      </c>
      <c r="E55" s="4"/>
      <c r="F55" s="9">
        <f t="shared" si="8"/>
        <v>0.00034644335229432863</v>
      </c>
      <c r="G55" s="82">
        <f t="shared" si="6"/>
        <v>31175</v>
      </c>
      <c r="H55" s="4"/>
      <c r="I55" s="4"/>
      <c r="J55" s="43">
        <f t="shared" si="7"/>
        <v>0.000346445182381635</v>
      </c>
      <c r="K55" s="4" t="e">
        <f>ROUND(G55*(1-#REF!),0)</f>
        <v>#REF!</v>
      </c>
      <c r="L55" s="4" t="e">
        <f>K55-#REF!</f>
        <v>#REF!</v>
      </c>
      <c r="N55" s="43"/>
    </row>
    <row r="56" spans="1:14" ht="12.75">
      <c r="A56" s="1" t="s">
        <v>102</v>
      </c>
      <c r="B56" s="2">
        <v>1659723</v>
      </c>
      <c r="C56" s="16">
        <v>146</v>
      </c>
      <c r="D56" s="3" t="s">
        <v>63</v>
      </c>
      <c r="E56" s="4"/>
      <c r="F56" s="9">
        <f t="shared" si="8"/>
        <v>8.796648597386432E-05</v>
      </c>
      <c r="G56" s="82">
        <f t="shared" si="6"/>
        <v>7916</v>
      </c>
      <c r="H56" s="4"/>
      <c r="I56" s="4"/>
      <c r="J56" s="43">
        <f t="shared" si="7"/>
        <v>8.796984967868556E-05</v>
      </c>
      <c r="K56" s="4" t="e">
        <f>ROUND(G56*(1-#REF!),0)</f>
        <v>#REF!</v>
      </c>
      <c r="L56" s="4" t="e">
        <f>K56-#REF!</f>
        <v>#REF!</v>
      </c>
      <c r="N56" s="43"/>
    </row>
    <row r="57" spans="1:14" ht="12.75">
      <c r="A57" s="10" t="s">
        <v>219</v>
      </c>
      <c r="B57" s="2">
        <v>1659723</v>
      </c>
      <c r="C57" s="17">
        <v>66</v>
      </c>
      <c r="D57" s="3" t="s">
        <v>63</v>
      </c>
      <c r="F57" s="9">
        <f t="shared" si="8"/>
        <v>3.97656717416099E-05</v>
      </c>
      <c r="G57" s="82">
        <f t="shared" si="6"/>
        <v>3578</v>
      </c>
      <c r="H57" s="4"/>
      <c r="J57" s="43">
        <f t="shared" si="7"/>
        <v>3.976201644142711E-05</v>
      </c>
      <c r="K57" s="4" t="e">
        <f>ROUND(G57*(1-#REF!),0)</f>
        <v>#REF!</v>
      </c>
      <c r="L57" s="4" t="e">
        <f>K57-#REF!</f>
        <v>#REF!</v>
      </c>
      <c r="N57" s="43"/>
    </row>
    <row r="58" spans="1:14" ht="12.75">
      <c r="A58" s="1" t="s">
        <v>101</v>
      </c>
      <c r="B58" s="2">
        <v>1659723</v>
      </c>
      <c r="C58" s="16">
        <v>66</v>
      </c>
      <c r="D58" s="3" t="s">
        <v>63</v>
      </c>
      <c r="E58" s="4"/>
      <c r="F58" s="9">
        <f t="shared" si="8"/>
        <v>3.97656717416099E-05</v>
      </c>
      <c r="G58" s="82">
        <f t="shared" si="6"/>
        <v>3578</v>
      </c>
      <c r="H58" s="4"/>
      <c r="J58" s="43">
        <f t="shared" si="7"/>
        <v>3.976201644142711E-05</v>
      </c>
      <c r="K58" s="4" t="e">
        <f>ROUND(G58*(1-#REF!),0)</f>
        <v>#REF!</v>
      </c>
      <c r="L58" s="4" t="e">
        <f>K58-#REF!</f>
        <v>#REF!</v>
      </c>
      <c r="N58" s="43"/>
    </row>
    <row r="59" spans="1:14" ht="12.75">
      <c r="A59" s="1" t="s">
        <v>103</v>
      </c>
      <c r="B59" s="2">
        <v>1659723</v>
      </c>
      <c r="C59" s="16">
        <v>101</v>
      </c>
      <c r="D59" s="3" t="s">
        <v>63</v>
      </c>
      <c r="E59" s="4"/>
      <c r="F59" s="9">
        <f t="shared" si="8"/>
        <v>6.08535279682212E-05</v>
      </c>
      <c r="G59" s="82">
        <f t="shared" si="6"/>
        <v>5476</v>
      </c>
      <c r="H59" s="4"/>
      <c r="J59" s="43">
        <f t="shared" si="7"/>
        <v>6.085433259733226E-05</v>
      </c>
      <c r="K59" s="4" t="e">
        <f>ROUND(G59*(1-#REF!),0)</f>
        <v>#REF!</v>
      </c>
      <c r="L59" s="4" t="e">
        <f>K59-#REF!</f>
        <v>#REF!</v>
      </c>
      <c r="N59" s="43"/>
    </row>
    <row r="60" spans="1:14" ht="12.75">
      <c r="A60" s="1" t="s">
        <v>104</v>
      </c>
      <c r="B60" s="2">
        <v>1659723</v>
      </c>
      <c r="C60" s="16">
        <v>85</v>
      </c>
      <c r="D60" s="3" t="s">
        <v>63</v>
      </c>
      <c r="E60" s="4"/>
      <c r="F60" s="9">
        <f t="shared" si="8"/>
        <v>5.121336512177032E-05</v>
      </c>
      <c r="G60" s="82">
        <f t="shared" si="6"/>
        <v>4608</v>
      </c>
      <c r="H60" s="4"/>
      <c r="J60" s="43">
        <f t="shared" si="7"/>
        <v>5.120832078314592E-05</v>
      </c>
      <c r="K60" s="4" t="e">
        <f>ROUND(G60*(1-#REF!),0)</f>
        <v>#REF!</v>
      </c>
      <c r="L60" s="4" t="e">
        <f>K60-#REF!</f>
        <v>#REF!</v>
      </c>
      <c r="N60" s="43"/>
    </row>
    <row r="61" spans="1:14" ht="12.75">
      <c r="A61" s="1" t="s">
        <v>105</v>
      </c>
      <c r="B61" s="2">
        <v>1659723</v>
      </c>
      <c r="C61" s="16">
        <v>1166</v>
      </c>
      <c r="D61" s="3" t="s">
        <v>63</v>
      </c>
      <c r="E61" s="4"/>
      <c r="F61" s="9">
        <f t="shared" si="8"/>
        <v>0.0007025268674351082</v>
      </c>
      <c r="G61" s="82">
        <f t="shared" si="6"/>
        <v>63217</v>
      </c>
      <c r="H61" s="4"/>
      <c r="J61" s="43">
        <f t="shared" si="7"/>
        <v>0.0007025252636606197</v>
      </c>
      <c r="K61" s="4" t="e">
        <f>ROUND(G61*(1-#REF!),0)</f>
        <v>#REF!</v>
      </c>
      <c r="L61" s="4" t="e">
        <f>K61-#REF!</f>
        <v>#REF!</v>
      </c>
      <c r="N61" s="43"/>
    </row>
    <row r="62" spans="1:12" ht="12.75">
      <c r="A62" s="11" t="s">
        <v>10</v>
      </c>
      <c r="E62" s="4">
        <f>States!C16</f>
        <v>26540813</v>
      </c>
      <c r="G62" s="13"/>
      <c r="H62" s="4">
        <f>G63</f>
        <v>6804</v>
      </c>
      <c r="I62" s="4">
        <f>E62-H62</f>
        <v>26534009</v>
      </c>
      <c r="K62" s="4"/>
      <c r="L62" s="4" t="e">
        <f>K62-#REF!</f>
        <v>#REF!</v>
      </c>
    </row>
    <row r="63" spans="1:14" ht="12.75">
      <c r="A63" s="1" t="s">
        <v>107</v>
      </c>
      <c r="B63" s="2">
        <v>1205419</v>
      </c>
      <c r="C63" s="2">
        <v>309</v>
      </c>
      <c r="D63" s="3" t="s">
        <v>63</v>
      </c>
      <c r="E63" s="4"/>
      <c r="F63" s="9">
        <f>C63/B63</f>
        <v>0.00025634240044333133</v>
      </c>
      <c r="G63" s="82">
        <f>ROUND($E$62*F63,0)</f>
        <v>6804</v>
      </c>
      <c r="H63" s="4"/>
      <c r="I63" s="4"/>
      <c r="J63" s="43">
        <f>G63/E62</f>
        <v>0.000256359893722924</v>
      </c>
      <c r="K63" s="4" t="e">
        <f>ROUND(G63*(1-#REF!),0)</f>
        <v>#REF!</v>
      </c>
      <c r="L63" s="4" t="e">
        <f>K63-#REF!</f>
        <v>#REF!</v>
      </c>
      <c r="N63" s="43"/>
    </row>
    <row r="64" spans="1:12" ht="12.75">
      <c r="A64" s="11" t="s">
        <v>13</v>
      </c>
      <c r="D64" s="1" t="s">
        <v>1</v>
      </c>
      <c r="E64" s="4">
        <f>States!C19</f>
        <v>12238378</v>
      </c>
      <c r="F64" s="9"/>
      <c r="G64" s="13"/>
      <c r="H64" s="4">
        <f>SUM(G65:G67)</f>
        <v>593868</v>
      </c>
      <c r="I64" s="4">
        <f>E64-H64</f>
        <v>11644510</v>
      </c>
      <c r="K64" s="4"/>
      <c r="L64" s="4" t="e">
        <f>K64-#REF!</f>
        <v>#REF!</v>
      </c>
    </row>
    <row r="65" spans="1:14" ht="12.75">
      <c r="A65" s="1" t="s">
        <v>108</v>
      </c>
      <c r="B65" s="2">
        <v>84047</v>
      </c>
      <c r="C65" s="10">
        <v>113</v>
      </c>
      <c r="D65" s="19" t="s">
        <v>65</v>
      </c>
      <c r="E65" s="4"/>
      <c r="F65" s="9">
        <v>0.003025</v>
      </c>
      <c r="G65" s="82">
        <f>ROUND($E$64*F65,0)</f>
        <v>37021</v>
      </c>
      <c r="H65" s="4"/>
      <c r="I65" s="4"/>
      <c r="J65" s="43">
        <f>G65/$E$64</f>
        <v>0.003024992364184208</v>
      </c>
      <c r="K65" s="4" t="e">
        <f>ROUND(G65*(1-#REF!),0)</f>
        <v>#REF!</v>
      </c>
      <c r="L65" s="4" t="e">
        <f>K65-#REF!</f>
        <v>#REF!</v>
      </c>
      <c r="N65" s="43"/>
    </row>
    <row r="66" spans="1:14" ht="12.75">
      <c r="A66" s="1" t="s">
        <v>109</v>
      </c>
      <c r="B66" s="2">
        <v>84047</v>
      </c>
      <c r="C66" s="2">
        <v>593</v>
      </c>
      <c r="D66" s="3" t="s">
        <v>65</v>
      </c>
      <c r="E66" s="4"/>
      <c r="F66" s="20">
        <v>0.007</v>
      </c>
      <c r="G66" s="82">
        <f>ROUND($E$64*F66,0)</f>
        <v>85669</v>
      </c>
      <c r="H66" s="4"/>
      <c r="I66" s="4"/>
      <c r="J66" s="43">
        <f>G66/$E$64</f>
        <v>0.0070000289254017155</v>
      </c>
      <c r="K66" s="4" t="e">
        <f>ROUND(G66*(1-#REF!),0)</f>
        <v>#REF!</v>
      </c>
      <c r="L66" s="4" t="e">
        <f>K66-#REF!</f>
        <v>#REF!</v>
      </c>
      <c r="N66" s="43"/>
    </row>
    <row r="67" spans="1:14" ht="12.75">
      <c r="A67" s="1" t="s">
        <v>110</v>
      </c>
      <c r="B67" s="2">
        <v>84047</v>
      </c>
      <c r="C67" s="2">
        <v>796</v>
      </c>
      <c r="D67" s="3" t="s">
        <v>65</v>
      </c>
      <c r="E67" s="4"/>
      <c r="F67" s="20">
        <v>0.0385</v>
      </c>
      <c r="G67" s="82">
        <f>ROUND($E$64*F67,0)</f>
        <v>471178</v>
      </c>
      <c r="H67" s="4"/>
      <c r="I67" s="4"/>
      <c r="J67" s="43">
        <f>G67/$E$64</f>
        <v>0.03850003652444793</v>
      </c>
      <c r="K67" s="4" t="e">
        <f>ROUND(G67*(1-#REF!),0)</f>
        <v>#REF!</v>
      </c>
      <c r="L67" s="4" t="e">
        <f>K67-#REF!</f>
        <v>#REF!</v>
      </c>
      <c r="N67" s="43"/>
    </row>
    <row r="68" spans="1:12" ht="12.75">
      <c r="A68" s="11" t="s">
        <v>15</v>
      </c>
      <c r="E68" s="4">
        <f>States!C21</f>
        <v>51293149</v>
      </c>
      <c r="G68" s="13"/>
      <c r="H68" s="4">
        <f>G69</f>
        <v>6664</v>
      </c>
      <c r="I68" s="4">
        <f>E68-H68</f>
        <v>51286485</v>
      </c>
      <c r="K68" s="4"/>
      <c r="L68" s="4" t="e">
        <f>K68-#REF!</f>
        <v>#REF!</v>
      </c>
    </row>
    <row r="69" spans="1:14" ht="12.75">
      <c r="A69" s="1" t="s">
        <v>111</v>
      </c>
      <c r="B69" s="2">
        <v>434091</v>
      </c>
      <c r="C69" s="2">
        <v>0</v>
      </c>
      <c r="D69" s="3" t="s">
        <v>106</v>
      </c>
      <c r="F69" s="9">
        <f>$C69/$B69</f>
        <v>0</v>
      </c>
      <c r="G69" s="82">
        <v>6664</v>
      </c>
      <c r="H69" s="4"/>
      <c r="I69" s="4"/>
      <c r="J69" s="43">
        <f>G69/E68</f>
        <v>0.00012991988462240835</v>
      </c>
      <c r="K69" s="4" t="e">
        <f>ROUND(G69*(1-#REF!),0)</f>
        <v>#REF!</v>
      </c>
      <c r="L69" s="4" t="e">
        <f>K69-#REF!</f>
        <v>#REF!</v>
      </c>
      <c r="N69" s="43"/>
    </row>
    <row r="70" spans="1:12" ht="12.75">
      <c r="A70" s="11" t="s">
        <v>17</v>
      </c>
      <c r="D70" s="1" t="s">
        <v>1</v>
      </c>
      <c r="E70" s="4">
        <f>States!C23</f>
        <v>16694534</v>
      </c>
      <c r="F70" s="4"/>
      <c r="G70" s="13"/>
      <c r="H70" s="4">
        <f>G71</f>
        <v>41400</v>
      </c>
      <c r="I70" s="4">
        <f>E70-H70</f>
        <v>16653134</v>
      </c>
      <c r="K70" s="4"/>
      <c r="L70" s="4" t="e">
        <f>K70-#REF!</f>
        <v>#REF!</v>
      </c>
    </row>
    <row r="71" spans="1:14" ht="12.75">
      <c r="A71" s="1" t="s">
        <v>112</v>
      </c>
      <c r="B71" s="2">
        <v>222152</v>
      </c>
      <c r="C71" s="2">
        <v>120</v>
      </c>
      <c r="D71" s="3" t="s">
        <v>106</v>
      </c>
      <c r="E71" s="4"/>
      <c r="F71" s="5">
        <f>C71/B71</f>
        <v>0.0005401706939392848</v>
      </c>
      <c r="G71" s="82">
        <v>41400</v>
      </c>
      <c r="H71" s="4"/>
      <c r="I71" s="4"/>
      <c r="J71" s="43">
        <f>G71/E70</f>
        <v>0.0024798535856107155</v>
      </c>
      <c r="K71" s="4" t="e">
        <f>ROUND(G71*(1-#REF!),0)</f>
        <v>#REF!</v>
      </c>
      <c r="L71" s="4" t="e">
        <f>K71-#REF!</f>
        <v>#REF!</v>
      </c>
      <c r="N71" s="43"/>
    </row>
    <row r="72" spans="1:12" ht="12.75">
      <c r="A72" s="11" t="s">
        <v>20</v>
      </c>
      <c r="E72" s="4">
        <f>States!C26</f>
        <v>26516064</v>
      </c>
      <c r="G72" s="13"/>
      <c r="H72" s="4">
        <f>SUM(G73:G77)</f>
        <v>969162</v>
      </c>
      <c r="I72" s="4">
        <f>E72-H72</f>
        <v>25546902</v>
      </c>
      <c r="K72" s="4"/>
      <c r="L72" s="4" t="e">
        <f>K72-#REF!</f>
        <v>#REF!</v>
      </c>
    </row>
    <row r="73" spans="1:14" ht="12.75">
      <c r="A73" s="1" t="s">
        <v>113</v>
      </c>
      <c r="B73" s="2">
        <v>100697</v>
      </c>
      <c r="D73" s="3" t="s">
        <v>65</v>
      </c>
      <c r="F73" s="9">
        <v>0.00435</v>
      </c>
      <c r="G73" s="82">
        <f>ROUND($E$72*F73,0)</f>
        <v>115345</v>
      </c>
      <c r="H73" s="4"/>
      <c r="I73" s="4"/>
      <c r="J73" s="43">
        <f>G73/$E$72</f>
        <v>0.004350004585899325</v>
      </c>
      <c r="K73" s="4" t="e">
        <f>ROUND(G73*(1-#REF!),0)</f>
        <v>#REF!</v>
      </c>
      <c r="L73" s="4" t="e">
        <f>K73-#REF!</f>
        <v>#REF!</v>
      </c>
      <c r="N73" s="43"/>
    </row>
    <row r="74" spans="1:14" ht="12.75">
      <c r="A74" s="1" t="s">
        <v>114</v>
      </c>
      <c r="B74" s="2">
        <v>100697</v>
      </c>
      <c r="D74" s="3" t="s">
        <v>65</v>
      </c>
      <c r="E74" s="4"/>
      <c r="F74" s="9">
        <v>0.00435</v>
      </c>
      <c r="G74" s="82">
        <f>ROUND($E$72*F74,0)</f>
        <v>115345</v>
      </c>
      <c r="H74" s="4"/>
      <c r="I74" s="4"/>
      <c r="J74" s="43">
        <f>G74/$E$72</f>
        <v>0.004350004585899325</v>
      </c>
      <c r="K74" s="4" t="e">
        <f>ROUND(G74*(1-#REF!),0)</f>
        <v>#REF!</v>
      </c>
      <c r="L74" s="4" t="e">
        <f>K74-#REF!</f>
        <v>#REF!</v>
      </c>
      <c r="N74" s="43"/>
    </row>
    <row r="75" spans="1:14" ht="12.75">
      <c r="A75" s="1" t="s">
        <v>115</v>
      </c>
      <c r="B75" s="2">
        <v>100697</v>
      </c>
      <c r="C75" s="2">
        <v>83</v>
      </c>
      <c r="D75" s="3" t="s">
        <v>65</v>
      </c>
      <c r="E75" s="4"/>
      <c r="F75" s="9">
        <v>0.0083</v>
      </c>
      <c r="G75" s="82">
        <f>ROUND($E$72*F75,0)</f>
        <v>220083</v>
      </c>
      <c r="H75" s="4"/>
      <c r="I75" s="4"/>
      <c r="J75" s="43">
        <f>G75/$E$72</f>
        <v>0.008299987509458418</v>
      </c>
      <c r="K75" s="4" t="e">
        <f>ROUND(G75*(1-#REF!),0)</f>
        <v>#REF!</v>
      </c>
      <c r="L75" s="4" t="e">
        <f>K75-#REF!</f>
        <v>#REF!</v>
      </c>
      <c r="N75" s="43"/>
    </row>
    <row r="76" spans="1:14" ht="12.75">
      <c r="A76" s="1" t="s">
        <v>116</v>
      </c>
      <c r="B76" s="2">
        <v>100697</v>
      </c>
      <c r="C76" s="2">
        <v>69</v>
      </c>
      <c r="D76" s="3" t="s">
        <v>65</v>
      </c>
      <c r="E76" s="4"/>
      <c r="F76" s="9">
        <v>0.01158</v>
      </c>
      <c r="G76" s="82">
        <f>ROUND($E$72*F76,0)</f>
        <v>307056</v>
      </c>
      <c r="H76" s="4"/>
      <c r="I76" s="4"/>
      <c r="J76" s="43">
        <f>G76/$E$72</f>
        <v>0.011579999203501697</v>
      </c>
      <c r="K76" s="4" t="e">
        <f>ROUND(G76*(1-#REF!),0)</f>
        <v>#REF!</v>
      </c>
      <c r="L76" s="4" t="e">
        <f>K76-#REF!</f>
        <v>#REF!</v>
      </c>
      <c r="N76" s="43"/>
    </row>
    <row r="77" spans="1:14" ht="12.75">
      <c r="A77" s="1" t="s">
        <v>117</v>
      </c>
      <c r="B77" s="2">
        <v>100697</v>
      </c>
      <c r="C77" s="2">
        <v>95</v>
      </c>
      <c r="D77" s="3" t="s">
        <v>65</v>
      </c>
      <c r="E77" s="4"/>
      <c r="F77" s="9">
        <v>0.00797</v>
      </c>
      <c r="G77" s="82">
        <f>ROUND($E$72*F77,0)</f>
        <v>211333</v>
      </c>
      <c r="H77" s="4"/>
      <c r="I77" s="4"/>
      <c r="J77" s="43">
        <f>G77/$E$72</f>
        <v>0.007969998865593325</v>
      </c>
      <c r="K77" s="4" t="e">
        <f>ROUND(G77*(1-#REF!),0)</f>
        <v>#REF!</v>
      </c>
      <c r="L77" s="4" t="e">
        <f>K77-#REF!</f>
        <v>#REF!</v>
      </c>
      <c r="N77" s="43"/>
    </row>
    <row r="78" spans="1:12" ht="12.75">
      <c r="A78" s="11" t="s">
        <v>22</v>
      </c>
      <c r="E78" s="4">
        <f>States!C28</f>
        <v>81873395</v>
      </c>
      <c r="G78" s="13"/>
      <c r="H78" s="4">
        <f>G79</f>
        <v>32749</v>
      </c>
      <c r="I78" s="4">
        <f>E78-H78</f>
        <v>81840646</v>
      </c>
      <c r="K78" s="4"/>
      <c r="L78" s="4" t="e">
        <f>K78-#REF!</f>
        <v>#REF!</v>
      </c>
    </row>
    <row r="79" spans="1:14" ht="12.75">
      <c r="A79" s="1" t="s">
        <v>118</v>
      </c>
      <c r="B79" s="2">
        <v>531692</v>
      </c>
      <c r="C79" s="2">
        <v>127</v>
      </c>
      <c r="D79" s="3" t="s">
        <v>65</v>
      </c>
      <c r="E79" s="4"/>
      <c r="F79" s="9">
        <v>0.0004</v>
      </c>
      <c r="G79" s="82">
        <f>ROUND($E$78*F79,0)</f>
        <v>32749</v>
      </c>
      <c r="H79" s="4"/>
      <c r="I79" s="4"/>
      <c r="J79" s="43">
        <f>G79/E78</f>
        <v>0.00039999562739519964</v>
      </c>
      <c r="K79" s="4" t="e">
        <f>ROUND(G79*(1-#REF!),0)</f>
        <v>#REF!</v>
      </c>
      <c r="L79" s="4" t="e">
        <f>K79-#REF!</f>
        <v>#REF!</v>
      </c>
      <c r="N79" s="43"/>
    </row>
    <row r="80" spans="1:12" ht="12.75">
      <c r="A80" s="11" t="s">
        <v>23</v>
      </c>
      <c r="E80" s="4">
        <f>States!C29</f>
        <v>107556031</v>
      </c>
      <c r="G80" s="13"/>
      <c r="H80" s="4">
        <f>SUM(G81:G86)</f>
        <v>823145</v>
      </c>
      <c r="I80" s="4">
        <f>E80-H80</f>
        <v>106732886</v>
      </c>
      <c r="K80" s="4"/>
      <c r="L80" s="4" t="e">
        <f>K80-#REF!</f>
        <v>#REF!</v>
      </c>
    </row>
    <row r="81" spans="1:14" ht="12.75">
      <c r="A81" s="1" t="s">
        <v>119</v>
      </c>
      <c r="B81" s="2">
        <v>856399</v>
      </c>
      <c r="C81" s="2">
        <v>335</v>
      </c>
      <c r="D81" s="3" t="s">
        <v>63</v>
      </c>
      <c r="E81" s="4"/>
      <c r="F81" s="9">
        <f>C81/B81</f>
        <v>0.0003911728061335896</v>
      </c>
      <c r="G81" s="82">
        <f>ROUND($E$80*F81,0)</f>
        <v>42073</v>
      </c>
      <c r="H81" s="4"/>
      <c r="I81" s="4"/>
      <c r="J81" s="43">
        <f aca="true" t="shared" si="9" ref="J81:J86">G81/$E$80</f>
        <v>0.000391172857615023</v>
      </c>
      <c r="K81" s="4" t="e">
        <f>ROUND(G81*(1-#REF!),0)</f>
        <v>#REF!</v>
      </c>
      <c r="L81" s="4" t="e">
        <f>K81-#REF!</f>
        <v>#REF!</v>
      </c>
      <c r="N81" s="43"/>
    </row>
    <row r="82" spans="1:14" ht="12.75">
      <c r="A82" s="1" t="s">
        <v>120</v>
      </c>
      <c r="B82" s="2">
        <v>856399</v>
      </c>
      <c r="C82" s="2">
        <v>637</v>
      </c>
      <c r="D82" s="3" t="s">
        <v>63</v>
      </c>
      <c r="E82" s="4"/>
      <c r="F82" s="9">
        <f>C82/B82</f>
        <v>0.0007438121716629749</v>
      </c>
      <c r="G82" s="82">
        <f>ROUND($E$80*F82,0)</f>
        <v>80001</v>
      </c>
      <c r="H82" s="4"/>
      <c r="J82" s="43">
        <f t="shared" si="9"/>
        <v>0.0007438076624452607</v>
      </c>
      <c r="K82" s="4" t="e">
        <f>ROUND(G82*(1-#REF!),0)</f>
        <v>#REF!</v>
      </c>
      <c r="L82" s="4" t="e">
        <f>K82-#REF!</f>
        <v>#REF!</v>
      </c>
      <c r="N82" s="43"/>
    </row>
    <row r="83" spans="1:14" ht="12.75">
      <c r="A83" s="1" t="s">
        <v>220</v>
      </c>
      <c r="B83" s="2">
        <v>856399</v>
      </c>
      <c r="C83" s="2">
        <v>884</v>
      </c>
      <c r="D83" s="3" t="s">
        <v>63</v>
      </c>
      <c r="E83" s="4"/>
      <c r="F83" s="9">
        <f>C83/B83</f>
        <v>0.0010322291361853529</v>
      </c>
      <c r="G83" s="82">
        <f>ROUND($E$80*F83,0)</f>
        <v>111022</v>
      </c>
      <c r="H83" s="4"/>
      <c r="J83" s="43">
        <f t="shared" si="9"/>
        <v>0.0010322247759402725</v>
      </c>
      <c r="K83" s="4" t="e">
        <f>ROUND(G83*(1-#REF!),0)</f>
        <v>#REF!</v>
      </c>
      <c r="L83" s="4" t="e">
        <f>K83-#REF!</f>
        <v>#REF!</v>
      </c>
      <c r="N83" s="43"/>
    </row>
    <row r="84" spans="1:14" ht="12.75">
      <c r="A84" s="1" t="s">
        <v>121</v>
      </c>
      <c r="B84" s="2">
        <v>856399</v>
      </c>
      <c r="C84" s="2">
        <v>162</v>
      </c>
      <c r="D84" s="3" t="s">
        <v>63</v>
      </c>
      <c r="E84" s="4"/>
      <c r="F84" s="9">
        <f>C84/B84</f>
        <v>0.00018916416296609406</v>
      </c>
      <c r="G84" s="82">
        <f>ROUND($E$80*F84,0)</f>
        <v>20346</v>
      </c>
      <c r="H84" s="4"/>
      <c r="J84" s="43">
        <f t="shared" si="9"/>
        <v>0.00018916651916990132</v>
      </c>
      <c r="K84" s="4" t="e">
        <f>ROUND(G84*(1-#REF!),0)</f>
        <v>#REF!</v>
      </c>
      <c r="L84" s="4" t="e">
        <f>K84-#REF!</f>
        <v>#REF!</v>
      </c>
      <c r="N84" s="43"/>
    </row>
    <row r="85" spans="1:14" ht="12.75">
      <c r="A85" s="1" t="s">
        <v>122</v>
      </c>
      <c r="B85" s="2">
        <v>856399</v>
      </c>
      <c r="C85" s="2">
        <v>555</v>
      </c>
      <c r="D85" s="3" t="s">
        <v>63</v>
      </c>
      <c r="E85" s="4"/>
      <c r="F85" s="9">
        <f>C85/B85</f>
        <v>0.0006480624101616186</v>
      </c>
      <c r="G85" s="82">
        <f>ROUND($E$80*F85,0)</f>
        <v>69703</v>
      </c>
      <c r="H85" s="4"/>
      <c r="J85" s="43">
        <f t="shared" si="9"/>
        <v>0.0006480622179150512</v>
      </c>
      <c r="K85" s="4" t="e">
        <f>ROUND(G85*(1-#REF!),0)</f>
        <v>#REF!</v>
      </c>
      <c r="L85" s="4" t="e">
        <f>K85-#REF!</f>
        <v>#REF!</v>
      </c>
      <c r="N85" s="43"/>
    </row>
    <row r="86" spans="1:14" ht="12.75">
      <c r="A86" s="1" t="s">
        <v>123</v>
      </c>
      <c r="B86" s="2">
        <v>856399</v>
      </c>
      <c r="C86" s="2">
        <v>1744</v>
      </c>
      <c r="D86" s="3" t="s">
        <v>106</v>
      </c>
      <c r="E86" s="4"/>
      <c r="F86" s="9">
        <f>$C86/$B86</f>
        <v>0.0020364339519312845</v>
      </c>
      <c r="G86" s="82">
        <v>500000</v>
      </c>
      <c r="H86" s="4"/>
      <c r="I86" s="4"/>
      <c r="J86" s="43">
        <f t="shared" si="9"/>
        <v>0.004648739781035617</v>
      </c>
      <c r="K86" s="4" t="e">
        <f>ROUND(G86*(1-#REF!),0)</f>
        <v>#REF!</v>
      </c>
      <c r="L86" s="4" t="e">
        <f>K86-#REF!</f>
        <v>#REF!</v>
      </c>
      <c r="N86" s="43"/>
    </row>
    <row r="87" spans="1:12" ht="12.75">
      <c r="A87" s="11" t="s">
        <v>25</v>
      </c>
      <c r="E87" s="4">
        <f>States!C31</f>
        <v>14380740</v>
      </c>
      <c r="G87" s="13"/>
      <c r="H87" s="4">
        <f>G88</f>
        <v>27254</v>
      </c>
      <c r="I87" s="4">
        <f>E87-H87</f>
        <v>14353486</v>
      </c>
      <c r="K87" s="4"/>
      <c r="L87" s="4" t="e">
        <f>K87-#REF!</f>
        <v>#REF!</v>
      </c>
    </row>
    <row r="88" spans="1:14" ht="12.75">
      <c r="A88" s="1" t="s">
        <v>124</v>
      </c>
      <c r="B88" s="2">
        <v>319230</v>
      </c>
      <c r="C88" s="2">
        <v>605</v>
      </c>
      <c r="D88" s="3" t="s">
        <v>69</v>
      </c>
      <c r="E88" s="4"/>
      <c r="F88" s="9">
        <f>$C88/$B88</f>
        <v>0.0018951852896031075</v>
      </c>
      <c r="G88" s="82">
        <f>ROUND($E$87*F88,0)</f>
        <v>27254</v>
      </c>
      <c r="H88" s="4"/>
      <c r="I88" s="4"/>
      <c r="J88" s="43">
        <f>G88/E87</f>
        <v>0.0018951736836908253</v>
      </c>
      <c r="K88" s="4" t="e">
        <f>ROUND(G88*(1-#REF!),0)</f>
        <v>#REF!</v>
      </c>
      <c r="L88" s="4" t="e">
        <f>K88-#REF!</f>
        <v>#REF!</v>
      </c>
      <c r="N88" s="43"/>
    </row>
    <row r="89" spans="1:12" ht="12.75">
      <c r="A89" s="11" t="s">
        <v>27</v>
      </c>
      <c r="E89" s="4">
        <f>States!C33</f>
        <v>14354840</v>
      </c>
      <c r="F89" s="20"/>
      <c r="G89" s="13"/>
      <c r="H89" s="4">
        <f>SUM(G90:G95)</f>
        <v>2509313</v>
      </c>
      <c r="I89" s="4">
        <f>E89-H89</f>
        <v>11845527</v>
      </c>
      <c r="K89" s="4"/>
      <c r="L89" s="4" t="e">
        <f>K89-#REF!</f>
        <v>#REF!</v>
      </c>
    </row>
    <row r="90" spans="1:14" ht="12.75">
      <c r="A90" s="1" t="s">
        <v>125</v>
      </c>
      <c r="C90" s="10">
        <v>928</v>
      </c>
      <c r="D90" s="3" t="s">
        <v>65</v>
      </c>
      <c r="E90" s="4"/>
      <c r="F90" s="20">
        <v>0.038999</v>
      </c>
      <c r="G90" s="82">
        <f aca="true" t="shared" si="10" ref="G90:G95">ROUND($E$89*F90,0)</f>
        <v>559824</v>
      </c>
      <c r="H90" s="4"/>
      <c r="I90" s="20"/>
      <c r="J90" s="43">
        <f aca="true" t="shared" si="11" ref="J90:J95">G90/$E$89</f>
        <v>0.03899897177537332</v>
      </c>
      <c r="K90" s="4" t="e">
        <f>ROUND(G90*(1-#REF!),0)</f>
        <v>#REF!</v>
      </c>
      <c r="L90" s="4" t="e">
        <f>K90-#REF!</f>
        <v>#REF!</v>
      </c>
      <c r="N90" s="43"/>
    </row>
    <row r="91" spans="1:14" ht="12.75">
      <c r="A91" s="1" t="s">
        <v>126</v>
      </c>
      <c r="C91" s="10">
        <v>1135</v>
      </c>
      <c r="D91" s="3" t="s">
        <v>65</v>
      </c>
      <c r="E91" s="4"/>
      <c r="F91" s="20">
        <v>0.044521</v>
      </c>
      <c r="G91" s="82">
        <f t="shared" si="10"/>
        <v>639092</v>
      </c>
      <c r="H91" s="4"/>
      <c r="J91" s="43">
        <f t="shared" si="11"/>
        <v>0.044521011728448384</v>
      </c>
      <c r="K91" s="4" t="e">
        <f>ROUND(G91*(1-#REF!),0)</f>
        <v>#REF!</v>
      </c>
      <c r="L91" s="4" t="e">
        <f>K91-#REF!</f>
        <v>#REF!</v>
      </c>
      <c r="N91" s="43"/>
    </row>
    <row r="92" spans="1:14" ht="12.75">
      <c r="A92" s="1" t="s">
        <v>127</v>
      </c>
      <c r="C92" s="10">
        <v>246</v>
      </c>
      <c r="D92" s="3" t="s">
        <v>65</v>
      </c>
      <c r="E92" s="4"/>
      <c r="F92" s="20">
        <v>0.01139</v>
      </c>
      <c r="G92" s="82">
        <f t="shared" si="10"/>
        <v>163502</v>
      </c>
      <c r="H92" s="4"/>
      <c r="J92" s="43">
        <f t="shared" si="11"/>
        <v>0.011390025942469578</v>
      </c>
      <c r="K92" s="4" t="e">
        <f>ROUND(G92*(1-#REF!),0)</f>
        <v>#REF!</v>
      </c>
      <c r="L92" s="4" t="e">
        <f>K92-#REF!</f>
        <v>#REF!</v>
      </c>
      <c r="N92" s="43"/>
    </row>
    <row r="93" spans="1:14" ht="12.75">
      <c r="A93" s="1" t="s">
        <v>128</v>
      </c>
      <c r="C93" s="10">
        <v>871</v>
      </c>
      <c r="D93" s="3" t="s">
        <v>65</v>
      </c>
      <c r="E93" s="4"/>
      <c r="F93" s="20">
        <v>0.043658</v>
      </c>
      <c r="G93" s="82">
        <f t="shared" si="10"/>
        <v>626704</v>
      </c>
      <c r="H93" s="4"/>
      <c r="J93" s="43">
        <f t="shared" si="11"/>
        <v>0.04365802753635708</v>
      </c>
      <c r="K93" s="4" t="e">
        <f>ROUND(G93*(1-#REF!),0)</f>
        <v>#REF!</v>
      </c>
      <c r="L93" s="4" t="e">
        <f>K93-#REF!</f>
        <v>#REF!</v>
      </c>
      <c r="N93" s="43"/>
    </row>
    <row r="94" spans="1:14" ht="12.75">
      <c r="A94" s="1" t="s">
        <v>129</v>
      </c>
      <c r="C94" s="10">
        <v>381</v>
      </c>
      <c r="D94" s="3" t="s">
        <v>65</v>
      </c>
      <c r="E94" s="4"/>
      <c r="F94" s="20">
        <v>0.015703</v>
      </c>
      <c r="G94" s="82">
        <f t="shared" si="10"/>
        <v>225414</v>
      </c>
      <c r="H94" s="4"/>
      <c r="J94" s="43">
        <f t="shared" si="11"/>
        <v>0.0157029963413037</v>
      </c>
      <c r="K94" s="4" t="e">
        <f>ROUND(G94*(1-#REF!),0)</f>
        <v>#REF!</v>
      </c>
      <c r="L94" s="4" t="e">
        <f>K94-#REF!</f>
        <v>#REF!</v>
      </c>
      <c r="N94" s="43"/>
    </row>
    <row r="95" spans="1:14" ht="12.75">
      <c r="A95" s="1" t="s">
        <v>130</v>
      </c>
      <c r="C95" s="10">
        <v>536</v>
      </c>
      <c r="D95" s="3" t="s">
        <v>65</v>
      </c>
      <c r="E95" s="4"/>
      <c r="F95" s="20">
        <v>0.020535</v>
      </c>
      <c r="G95" s="82">
        <f t="shared" si="10"/>
        <v>294777</v>
      </c>
      <c r="H95" s="4"/>
      <c r="J95" s="43">
        <f t="shared" si="11"/>
        <v>0.020535025120447182</v>
      </c>
      <c r="K95" s="4" t="e">
        <f>ROUND(G95*(1-#REF!),0)</f>
        <v>#REF!</v>
      </c>
      <c r="L95" s="4" t="e">
        <f>K95-#REF!</f>
        <v>#REF!</v>
      </c>
      <c r="N95" s="43"/>
    </row>
    <row r="96" spans="1:12" ht="12.75">
      <c r="A96" s="11" t="s">
        <v>28</v>
      </c>
      <c r="D96" s="3"/>
      <c r="E96" s="4">
        <f>States!C34</f>
        <v>17977529</v>
      </c>
      <c r="F96" s="20"/>
      <c r="G96" s="82"/>
      <c r="H96" s="18">
        <f>G97</f>
        <v>15000</v>
      </c>
      <c r="I96" s="4">
        <f>E96-H96</f>
        <v>17962529</v>
      </c>
      <c r="K96" s="4"/>
      <c r="L96" s="4" t="e">
        <f>K96-#REF!</f>
        <v>#REF!</v>
      </c>
    </row>
    <row r="97" spans="1:14" ht="12.75">
      <c r="A97" s="1" t="s">
        <v>131</v>
      </c>
      <c r="B97" s="10">
        <v>136572</v>
      </c>
      <c r="C97" s="10">
        <v>50</v>
      </c>
      <c r="D97" s="3" t="s">
        <v>106</v>
      </c>
      <c r="E97" s="4"/>
      <c r="F97" s="9">
        <f>$C97/$B97</f>
        <v>0.00036610725478136073</v>
      </c>
      <c r="G97" s="82">
        <v>15000</v>
      </c>
      <c r="H97" s="4"/>
      <c r="J97" s="43">
        <f>G97/E96</f>
        <v>0.0008343749577597678</v>
      </c>
      <c r="K97" s="4" t="e">
        <f>ROUND(G97*(1-#REF!),0)</f>
        <v>#REF!</v>
      </c>
      <c r="L97" s="4" t="e">
        <f>K97-#REF!</f>
        <v>#REF!</v>
      </c>
      <c r="N97" s="43"/>
    </row>
    <row r="98" spans="1:12" ht="12.75">
      <c r="A98" s="11" t="s">
        <v>31</v>
      </c>
      <c r="E98" s="4">
        <f>States!C37</f>
        <v>76006713</v>
      </c>
      <c r="G98" s="13"/>
      <c r="H98" s="4">
        <f>G99</f>
        <v>190027</v>
      </c>
      <c r="I98" s="4">
        <f>E98-H98</f>
        <v>75816686</v>
      </c>
      <c r="K98" s="4"/>
      <c r="L98" s="4" t="e">
        <f>K98-#REF!</f>
        <v>#REF!</v>
      </c>
    </row>
    <row r="99" spans="1:14" ht="12.75">
      <c r="A99" s="1" t="s">
        <v>132</v>
      </c>
      <c r="B99" s="2">
        <v>602367</v>
      </c>
      <c r="C99" s="2">
        <v>1506</v>
      </c>
      <c r="D99" s="3" t="s">
        <v>69</v>
      </c>
      <c r="E99" s="4"/>
      <c r="F99" s="9">
        <f>$C99/$B99</f>
        <v>0.002500136959694007</v>
      </c>
      <c r="G99" s="82">
        <f>ROUND($E$98*F99,0)</f>
        <v>190027</v>
      </c>
      <c r="H99" s="4"/>
      <c r="I99" s="4"/>
      <c r="J99" s="43">
        <f>G99/E98</f>
        <v>0.0025001344289155092</v>
      </c>
      <c r="K99" s="4" t="e">
        <f>ROUND(G99*(1-#REF!),0)</f>
        <v>#REF!</v>
      </c>
      <c r="L99" s="4" t="e">
        <f>K99-#REF!</f>
        <v>#REF!</v>
      </c>
      <c r="N99" s="43"/>
    </row>
    <row r="100" spans="1:12" ht="12.75">
      <c r="A100" s="11" t="s">
        <v>32</v>
      </c>
      <c r="E100" s="4">
        <f>States!C38</f>
        <v>10155540</v>
      </c>
      <c r="F100" s="20"/>
      <c r="G100" s="13"/>
      <c r="H100" s="4">
        <f>SUM(G101:G107)</f>
        <v>808498</v>
      </c>
      <c r="I100" s="4">
        <f>E100-H100</f>
        <v>9347042</v>
      </c>
      <c r="K100" s="4"/>
      <c r="L100" s="4" t="e">
        <f>K100-#REF!</f>
        <v>#REF!</v>
      </c>
    </row>
    <row r="101" spans="1:14" ht="12.75">
      <c r="A101" s="1" t="s">
        <v>133</v>
      </c>
      <c r="B101" s="2">
        <v>154990</v>
      </c>
      <c r="C101" s="2">
        <v>262</v>
      </c>
      <c r="D101" s="3" t="s">
        <v>69</v>
      </c>
      <c r="E101" s="4"/>
      <c r="F101" s="9">
        <f aca="true" t="shared" si="12" ref="F101:F107">$C101/$B101</f>
        <v>0.001690431640751016</v>
      </c>
      <c r="G101" s="82">
        <f aca="true" t="shared" si="13" ref="G101:G107">ROUND($E$100*F101,0)</f>
        <v>17167</v>
      </c>
      <c r="H101" s="4"/>
      <c r="I101" s="4"/>
      <c r="J101" s="43">
        <f aca="true" t="shared" si="14" ref="J101:J107">G101/$E$100</f>
        <v>0.0016904074032498518</v>
      </c>
      <c r="K101" s="4" t="e">
        <f>ROUND(G101*(1-#REF!),0)</f>
        <v>#REF!</v>
      </c>
      <c r="L101" s="4" t="e">
        <f>K101-#REF!</f>
        <v>#REF!</v>
      </c>
      <c r="N101" s="43"/>
    </row>
    <row r="102" spans="1:14" ht="12.75">
      <c r="A102" s="1" t="s">
        <v>134</v>
      </c>
      <c r="B102" s="2">
        <v>154990</v>
      </c>
      <c r="C102" s="2">
        <v>261</v>
      </c>
      <c r="D102" s="3" t="s">
        <v>69</v>
      </c>
      <c r="E102" s="4"/>
      <c r="F102" s="9">
        <f t="shared" si="12"/>
        <v>0.0016839796115878443</v>
      </c>
      <c r="G102" s="82">
        <f t="shared" si="13"/>
        <v>17102</v>
      </c>
      <c r="H102" s="4"/>
      <c r="I102" s="4"/>
      <c r="J102" s="43">
        <f t="shared" si="14"/>
        <v>0.0016840069558093414</v>
      </c>
      <c r="K102" s="4" t="e">
        <f>ROUND(G102*(1-#REF!),0)</f>
        <v>#REF!</v>
      </c>
      <c r="L102" s="4" t="e">
        <f>K102-#REF!</f>
        <v>#REF!</v>
      </c>
      <c r="N102" s="43"/>
    </row>
    <row r="103" spans="1:14" ht="12.75">
      <c r="A103" s="1" t="s">
        <v>135</v>
      </c>
      <c r="B103" s="2">
        <v>154990</v>
      </c>
      <c r="C103" s="2">
        <v>9939</v>
      </c>
      <c r="D103" s="3" t="s">
        <v>69</v>
      </c>
      <c r="E103" s="4"/>
      <c r="F103" s="9">
        <f t="shared" si="12"/>
        <v>0.06412671785276469</v>
      </c>
      <c r="G103" s="82">
        <f t="shared" si="13"/>
        <v>651241</v>
      </c>
      <c r="H103" s="4"/>
      <c r="I103" s="4"/>
      <c r="J103" s="43">
        <f t="shared" si="14"/>
        <v>0.0641266737170057</v>
      </c>
      <c r="K103" s="4" t="e">
        <f>ROUND(G103*(1-#REF!),0)</f>
        <v>#REF!</v>
      </c>
      <c r="L103" s="4" t="e">
        <f>K103-#REF!</f>
        <v>#REF!</v>
      </c>
      <c r="N103" s="43"/>
    </row>
    <row r="104" spans="1:14" ht="12.75">
      <c r="A104" s="1" t="s">
        <v>221</v>
      </c>
      <c r="B104" s="2">
        <v>154990</v>
      </c>
      <c r="C104" s="2">
        <v>200</v>
      </c>
      <c r="D104" s="3" t="s">
        <v>69</v>
      </c>
      <c r="E104" s="4"/>
      <c r="F104" s="9">
        <f t="shared" si="12"/>
        <v>0.0012904058326343635</v>
      </c>
      <c r="G104" s="82">
        <f t="shared" si="13"/>
        <v>13105</v>
      </c>
      <c r="H104" s="4"/>
      <c r="I104" s="4"/>
      <c r="J104" s="43">
        <f t="shared" si="14"/>
        <v>0.0012904286724290388</v>
      </c>
      <c r="K104" s="4" t="e">
        <f>ROUND(G104*(1-#REF!),0)</f>
        <v>#REF!</v>
      </c>
      <c r="L104" s="4" t="e">
        <f>K104-#REF!</f>
        <v>#REF!</v>
      </c>
      <c r="N104" s="43"/>
    </row>
    <row r="105" spans="1:14" ht="12.75">
      <c r="A105" s="1" t="s">
        <v>228</v>
      </c>
      <c r="B105" s="2">
        <v>154990</v>
      </c>
      <c r="C105" s="2">
        <v>520</v>
      </c>
      <c r="D105" s="3" t="s">
        <v>69</v>
      </c>
      <c r="E105" s="4"/>
      <c r="F105" s="9">
        <f t="shared" si="12"/>
        <v>0.003355055164849345</v>
      </c>
      <c r="G105" s="82">
        <f t="shared" si="13"/>
        <v>34072</v>
      </c>
      <c r="H105" s="4"/>
      <c r="I105" s="4"/>
      <c r="J105" s="43">
        <f t="shared" si="14"/>
        <v>0.003355016079893339</v>
      </c>
      <c r="K105" s="4" t="e">
        <f>ROUND(G105*(1-#REF!),0)</f>
        <v>#REF!</v>
      </c>
      <c r="L105" s="4" t="e">
        <f>K105-#REF!</f>
        <v>#REF!</v>
      </c>
      <c r="N105" s="43"/>
    </row>
    <row r="106" spans="1:14" ht="12.75">
      <c r="A106" s="1" t="s">
        <v>344</v>
      </c>
      <c r="B106" s="2">
        <v>154990</v>
      </c>
      <c r="C106" s="2">
        <v>205</v>
      </c>
      <c r="D106" s="3" t="s">
        <v>69</v>
      </c>
      <c r="E106" s="4"/>
      <c r="F106" s="9">
        <f t="shared" si="12"/>
        <v>0.0013226659784502225</v>
      </c>
      <c r="G106" s="82">
        <f t="shared" si="13"/>
        <v>13432</v>
      </c>
      <c r="H106" s="4"/>
      <c r="I106" s="4"/>
      <c r="J106" s="43">
        <f t="shared" si="14"/>
        <v>0.0013226278464759137</v>
      </c>
      <c r="K106" s="4" t="e">
        <f>ROUND(G106*(1-#REF!),0)</f>
        <v>#REF!</v>
      </c>
      <c r="L106" s="4"/>
      <c r="N106" s="43"/>
    </row>
    <row r="107" spans="1:14" ht="12.75">
      <c r="A107" s="1" t="s">
        <v>136</v>
      </c>
      <c r="B107" s="2">
        <v>154990</v>
      </c>
      <c r="C107" s="2">
        <v>952</v>
      </c>
      <c r="D107" s="3" t="s">
        <v>69</v>
      </c>
      <c r="E107" s="4"/>
      <c r="F107" s="9">
        <f t="shared" si="12"/>
        <v>0.00614233176333957</v>
      </c>
      <c r="G107" s="82">
        <f t="shared" si="13"/>
        <v>62379</v>
      </c>
      <c r="H107" s="4"/>
      <c r="I107" s="4"/>
      <c r="J107" s="43">
        <f t="shared" si="14"/>
        <v>0.006142361706024495</v>
      </c>
      <c r="K107" s="4" t="e">
        <f>ROUND(G107*(1-#REF!),0)</f>
        <v>#REF!</v>
      </c>
      <c r="L107" s="4" t="e">
        <f>K107-#REF!</f>
        <v>#REF!</v>
      </c>
      <c r="N107" s="43"/>
    </row>
    <row r="108" spans="1:12" ht="12.75">
      <c r="A108" s="11" t="s">
        <v>33</v>
      </c>
      <c r="E108" s="4">
        <f>States!C39</f>
        <v>248173419</v>
      </c>
      <c r="G108" s="13"/>
      <c r="H108" s="4">
        <f>SUM(G109:G110)</f>
        <v>404220</v>
      </c>
      <c r="I108" s="4">
        <f>E108-H108</f>
        <v>247769199</v>
      </c>
      <c r="K108" s="4"/>
      <c r="L108" s="4" t="e">
        <f>K108-#REF!</f>
        <v>#REF!</v>
      </c>
    </row>
    <row r="109" spans="1:14" ht="12.75">
      <c r="A109" s="92" t="s">
        <v>137</v>
      </c>
      <c r="B109" s="2">
        <v>1622237</v>
      </c>
      <c r="C109" s="93">
        <v>547</v>
      </c>
      <c r="D109" s="94" t="s">
        <v>63</v>
      </c>
      <c r="E109" s="4"/>
      <c r="F109" s="9">
        <f>C109/B109</f>
        <v>0.000337188709171348</v>
      </c>
      <c r="G109" s="82">
        <f>ROUND($E$108*F109,0)+117846</f>
        <v>201527</v>
      </c>
      <c r="H109" s="4"/>
      <c r="I109" s="4"/>
      <c r="J109" s="43">
        <f>G109/$E$108</f>
        <v>0.0008120410349022915</v>
      </c>
      <c r="K109" s="4" t="e">
        <f>ROUND(G109*(1-#REF!),0)</f>
        <v>#REF!</v>
      </c>
      <c r="L109" s="4" t="e">
        <f>K109-#REF!</f>
        <v>#REF!</v>
      </c>
      <c r="N109" s="43"/>
    </row>
    <row r="110" spans="1:14" ht="12.75">
      <c r="A110" s="92" t="s">
        <v>138</v>
      </c>
      <c r="B110" s="2">
        <v>1622237</v>
      </c>
      <c r="C110" s="93">
        <v>317</v>
      </c>
      <c r="D110" s="94" t="s">
        <v>63</v>
      </c>
      <c r="E110" s="4"/>
      <c r="F110" s="9">
        <f>C110/B110</f>
        <v>0.0001954091788067958</v>
      </c>
      <c r="G110" s="82">
        <f>ROUND($E$108*F110,0)+154198</f>
        <v>202693</v>
      </c>
      <c r="H110" s="4"/>
      <c r="I110" s="4"/>
      <c r="J110" s="43">
        <f>G110/$E$108</f>
        <v>0.0008167393624052865</v>
      </c>
      <c r="K110" s="4" t="e">
        <f>ROUND(G110*(1-#REF!),0)</f>
        <v>#REF!</v>
      </c>
      <c r="L110" s="4" t="e">
        <f>K110-#REF!</f>
        <v>#REF!</v>
      </c>
      <c r="N110" s="43"/>
    </row>
    <row r="111" spans="1:12" ht="12.75">
      <c r="A111" s="11" t="s">
        <v>34</v>
      </c>
      <c r="E111" s="4">
        <f>States!C40</f>
        <v>36985370</v>
      </c>
      <c r="G111" s="13"/>
      <c r="H111" s="4">
        <f>G112</f>
        <v>657759</v>
      </c>
      <c r="I111" s="4">
        <f>E111-H111</f>
        <v>36327611</v>
      </c>
      <c r="K111" s="4"/>
      <c r="L111" s="4" t="e">
        <f>K111-#REF!</f>
        <v>#REF!</v>
      </c>
    </row>
    <row r="112" spans="1:14" ht="12.75">
      <c r="A112" s="1" t="s">
        <v>139</v>
      </c>
      <c r="B112" s="2">
        <v>618221</v>
      </c>
      <c r="C112" s="2">
        <v>6441</v>
      </c>
      <c r="D112" s="3" t="s">
        <v>65</v>
      </c>
      <c r="E112" s="4"/>
      <c r="F112" s="9">
        <v>0.01778431</v>
      </c>
      <c r="G112" s="82">
        <f>ROUND($E$111*F112,0)</f>
        <v>657759</v>
      </c>
      <c r="H112" s="4"/>
      <c r="I112" s="4"/>
      <c r="J112" s="43">
        <f>G112/E111</f>
        <v>0.01778430227952296</v>
      </c>
      <c r="K112" s="4" t="e">
        <f>ROUND(G112*(1-#REF!),0)</f>
        <v>#REF!</v>
      </c>
      <c r="L112" s="4" t="e">
        <f>K112-#REF!</f>
        <v>#REF!</v>
      </c>
      <c r="N112" s="43"/>
    </row>
    <row r="113" spans="1:12" ht="12.75">
      <c r="A113" s="11" t="s">
        <v>35</v>
      </c>
      <c r="D113" s="1" t="s">
        <v>1</v>
      </c>
      <c r="E113" s="4">
        <f>States!C41</f>
        <v>15593699</v>
      </c>
      <c r="F113" s="20"/>
      <c r="G113" s="13"/>
      <c r="H113" s="4">
        <f>SUM(G114:G117)</f>
        <v>2838053</v>
      </c>
      <c r="I113" s="4">
        <f>E113-H113</f>
        <v>12755646</v>
      </c>
      <c r="K113" s="4"/>
      <c r="L113" s="4" t="e">
        <f>K113-#REF!</f>
        <v>#REF!</v>
      </c>
    </row>
    <row r="114" spans="1:14" ht="12.75">
      <c r="A114" s="1" t="s">
        <v>140</v>
      </c>
      <c r="D114" s="3" t="s">
        <v>65</v>
      </c>
      <c r="E114" s="4"/>
      <c r="F114" s="21">
        <v>0.0402</v>
      </c>
      <c r="G114" s="82">
        <f>ROUND($E$113*F114,0)</f>
        <v>626867</v>
      </c>
      <c r="H114" s="4"/>
      <c r="I114" s="4"/>
      <c r="J114" s="43">
        <f>G114/$E$113</f>
        <v>0.04020001925136557</v>
      </c>
      <c r="K114" s="4" t="e">
        <f>ROUND(G114*(1-#REF!),0)</f>
        <v>#REF!</v>
      </c>
      <c r="L114" s="4" t="e">
        <f>K114-#REF!</f>
        <v>#REF!</v>
      </c>
      <c r="N114" s="43"/>
    </row>
    <row r="115" spans="1:14" ht="12.75">
      <c r="A115" s="1" t="s">
        <v>141</v>
      </c>
      <c r="D115" s="3" t="s">
        <v>65</v>
      </c>
      <c r="E115" s="4"/>
      <c r="F115" s="21">
        <v>0.0314</v>
      </c>
      <c r="G115" s="82">
        <f>ROUND($E$113*F115,0)</f>
        <v>489642</v>
      </c>
      <c r="H115" s="4"/>
      <c r="I115" s="4"/>
      <c r="J115" s="43">
        <f>G115/$E$113</f>
        <v>0.03139999047050992</v>
      </c>
      <c r="K115" s="4" t="e">
        <f>ROUND(G115*(1-#REF!),0)</f>
        <v>#REF!</v>
      </c>
      <c r="L115" s="4" t="e">
        <f>K115-#REF!</f>
        <v>#REF!</v>
      </c>
      <c r="N115" s="43"/>
    </row>
    <row r="116" spans="1:14" ht="12.75">
      <c r="A116" s="1" t="s">
        <v>142</v>
      </c>
      <c r="D116" s="3" t="s">
        <v>65</v>
      </c>
      <c r="E116" s="4"/>
      <c r="F116" s="21">
        <v>0.0301</v>
      </c>
      <c r="G116" s="82">
        <f>ROUND($E$113*F116,0)</f>
        <v>469370</v>
      </c>
      <c r="H116" s="4"/>
      <c r="I116" s="4"/>
      <c r="J116" s="43">
        <f>G116/$E$113</f>
        <v>0.030099978202734322</v>
      </c>
      <c r="K116" s="4" t="e">
        <f>ROUND(G116*(1-#REF!),0)</f>
        <v>#REF!</v>
      </c>
      <c r="L116" s="4" t="e">
        <f>K116-#REF!</f>
        <v>#REF!</v>
      </c>
      <c r="N116" s="43"/>
    </row>
    <row r="117" spans="1:14" ht="12.75">
      <c r="A117" s="1" t="s">
        <v>143</v>
      </c>
      <c r="D117" s="3" t="s">
        <v>65</v>
      </c>
      <c r="E117" s="4"/>
      <c r="F117" s="21">
        <v>0.0803</v>
      </c>
      <c r="G117" s="82">
        <f>ROUND($E$113*F117,0)</f>
        <v>1252174</v>
      </c>
      <c r="H117" s="4"/>
      <c r="I117" s="4"/>
      <c r="J117" s="43">
        <f>G117/$E$113</f>
        <v>0.08029999809538456</v>
      </c>
      <c r="K117" s="4" t="e">
        <f>ROUND(G117*(1-#REF!),0)</f>
        <v>#REF!</v>
      </c>
      <c r="L117" s="4" t="e">
        <f>K117-#REF!</f>
        <v>#REF!</v>
      </c>
      <c r="N117" s="43"/>
    </row>
    <row r="118" spans="1:12" ht="12.75">
      <c r="A118" s="11" t="s">
        <v>37</v>
      </c>
      <c r="E118" s="4">
        <f>States!C43</f>
        <v>15418366</v>
      </c>
      <c r="F118" s="20"/>
      <c r="G118" s="13"/>
      <c r="H118" s="4">
        <f>SUM(G119:G150)</f>
        <v>1414934</v>
      </c>
      <c r="I118" s="4">
        <f>E118-H118</f>
        <v>14003432</v>
      </c>
      <c r="K118" s="4"/>
      <c r="L118" s="4" t="e">
        <f>K118-#REF!</f>
        <v>#REF!</v>
      </c>
    </row>
    <row r="119" spans="1:14" ht="12.75">
      <c r="A119" s="1" t="s">
        <v>144</v>
      </c>
      <c r="B119" s="2">
        <v>334782</v>
      </c>
      <c r="C119" s="2">
        <v>195</v>
      </c>
      <c r="D119" s="19" t="s">
        <v>63</v>
      </c>
      <c r="E119" s="4"/>
      <c r="F119" s="9">
        <f aca="true" t="shared" si="15" ref="F119:F124">C119/B119</f>
        <v>0.0005824685915013352</v>
      </c>
      <c r="G119" s="82">
        <f aca="true" t="shared" si="16" ref="G119:G150">ROUND(MAXA($E$118*F119,4000),0)</f>
        <v>8981</v>
      </c>
      <c r="H119" s="4"/>
      <c r="I119" s="4"/>
      <c r="J119" s="43">
        <f>G119/$E$118</f>
        <v>0.0005824871455250187</v>
      </c>
      <c r="K119" s="4" t="e">
        <f>ROUND(G119*(1-#REF!),0)</f>
        <v>#REF!</v>
      </c>
      <c r="L119" s="4" t="e">
        <f>K119-#REF!</f>
        <v>#REF!</v>
      </c>
      <c r="N119" s="43"/>
    </row>
    <row r="120" spans="1:14" ht="12.75">
      <c r="A120" s="1" t="s">
        <v>145</v>
      </c>
      <c r="B120" s="2">
        <v>334782</v>
      </c>
      <c r="C120" s="2">
        <v>125</v>
      </c>
      <c r="D120" s="19" t="s">
        <v>63</v>
      </c>
      <c r="E120" s="4"/>
      <c r="F120" s="9">
        <f t="shared" si="15"/>
        <v>0.00037337730224444566</v>
      </c>
      <c r="G120" s="82">
        <f t="shared" si="16"/>
        <v>5757</v>
      </c>
      <c r="H120" s="4"/>
      <c r="I120" s="4"/>
      <c r="J120" s="43">
        <f aca="true" t="shared" si="17" ref="J120:J150">G120/$E$118</f>
        <v>0.0003733858698126637</v>
      </c>
      <c r="K120" s="4" t="e">
        <f>ROUND(G120*(1-#REF!),0)</f>
        <v>#REF!</v>
      </c>
      <c r="L120" s="4" t="e">
        <f>K120-#REF!</f>
        <v>#REF!</v>
      </c>
      <c r="N120" s="43"/>
    </row>
    <row r="121" spans="1:14" ht="12.75">
      <c r="A121" s="1" t="s">
        <v>146</v>
      </c>
      <c r="B121" s="2">
        <v>334782</v>
      </c>
      <c r="C121" s="2">
        <v>168</v>
      </c>
      <c r="D121" s="19" t="s">
        <v>63</v>
      </c>
      <c r="E121" s="4"/>
      <c r="F121" s="9">
        <f t="shared" si="15"/>
        <v>0.000501819094216535</v>
      </c>
      <c r="G121" s="82">
        <f t="shared" si="16"/>
        <v>7737</v>
      </c>
      <c r="H121" s="4"/>
      <c r="I121" s="4"/>
      <c r="J121" s="43">
        <f t="shared" si="17"/>
        <v>0.0005018041470801769</v>
      </c>
      <c r="K121" s="4" t="e">
        <f>ROUND(G121*(1-#REF!),0)</f>
        <v>#REF!</v>
      </c>
      <c r="L121" s="4" t="e">
        <f>K121-#REF!</f>
        <v>#REF!</v>
      </c>
      <c r="N121" s="43"/>
    </row>
    <row r="122" spans="1:14" ht="12.75">
      <c r="A122" s="1" t="s">
        <v>147</v>
      </c>
      <c r="B122" s="2">
        <v>334782</v>
      </c>
      <c r="C122" s="2">
        <v>196</v>
      </c>
      <c r="D122" s="19" t="s">
        <v>63</v>
      </c>
      <c r="E122" s="4"/>
      <c r="F122" s="9">
        <f t="shared" si="15"/>
        <v>0.0005854556099192908</v>
      </c>
      <c r="G122" s="82">
        <f t="shared" si="16"/>
        <v>9027</v>
      </c>
      <c r="H122" s="4"/>
      <c r="I122" s="4"/>
      <c r="J122" s="43">
        <f t="shared" si="17"/>
        <v>0.0005854706004514357</v>
      </c>
      <c r="K122" s="4" t="e">
        <f>ROUND(G122*(1-#REF!),0)</f>
        <v>#REF!</v>
      </c>
      <c r="L122" s="4" t="e">
        <f>K122-#REF!</f>
        <v>#REF!</v>
      </c>
      <c r="N122" s="43"/>
    </row>
    <row r="123" spans="1:14" ht="12.75">
      <c r="A123" s="1" t="s">
        <v>148</v>
      </c>
      <c r="B123" s="2">
        <v>334782</v>
      </c>
      <c r="C123" s="2">
        <v>12117</v>
      </c>
      <c r="D123" s="19" t="s">
        <v>63</v>
      </c>
      <c r="E123" s="4"/>
      <c r="F123" s="9">
        <f t="shared" si="15"/>
        <v>0.03619370217036758</v>
      </c>
      <c r="G123" s="82">
        <f t="shared" si="16"/>
        <v>558048</v>
      </c>
      <c r="H123" s="4"/>
      <c r="I123" s="22" t="s">
        <v>1</v>
      </c>
      <c r="J123" s="43">
        <f t="shared" si="17"/>
        <v>0.03619371858211175</v>
      </c>
      <c r="K123" s="4" t="e">
        <f>ROUND(G123*(1-#REF!),0)</f>
        <v>#REF!</v>
      </c>
      <c r="L123" s="4" t="e">
        <f>K123-#REF!</f>
        <v>#REF!</v>
      </c>
      <c r="N123" s="43"/>
    </row>
    <row r="124" spans="1:14" ht="12.75">
      <c r="A124" s="1" t="s">
        <v>149</v>
      </c>
      <c r="B124" s="2">
        <v>334782</v>
      </c>
      <c r="C124" s="2">
        <v>635</v>
      </c>
      <c r="D124" s="19" t="s">
        <v>63</v>
      </c>
      <c r="E124" s="4"/>
      <c r="F124" s="9">
        <f t="shared" si="15"/>
        <v>0.0018967566954017838</v>
      </c>
      <c r="G124" s="82">
        <f t="shared" si="16"/>
        <v>29245</v>
      </c>
      <c r="H124" s="4"/>
      <c r="I124" s="4"/>
      <c r="J124" s="43">
        <f t="shared" si="17"/>
        <v>0.0018967638983274882</v>
      </c>
      <c r="K124" s="4" t="e">
        <f>ROUND(G124*(1-#REF!),0)</f>
        <v>#REF!</v>
      </c>
      <c r="L124" s="4" t="e">
        <f>K124-#REF!</f>
        <v>#REF!</v>
      </c>
      <c r="N124" s="43"/>
    </row>
    <row r="125" spans="1:14" ht="12.75">
      <c r="A125" s="1" t="s">
        <v>150</v>
      </c>
      <c r="B125" s="2">
        <v>334782</v>
      </c>
      <c r="C125" s="2">
        <v>1377</v>
      </c>
      <c r="D125" s="3" t="s">
        <v>65</v>
      </c>
      <c r="E125" s="4"/>
      <c r="F125" s="9">
        <v>0.00487272</v>
      </c>
      <c r="G125" s="82">
        <f t="shared" si="16"/>
        <v>75129</v>
      </c>
      <c r="H125" s="4"/>
      <c r="I125" s="4"/>
      <c r="J125" s="43">
        <f t="shared" si="17"/>
        <v>0.004872695329712629</v>
      </c>
      <c r="K125" s="4" t="e">
        <f>ROUND(G125*(1-#REF!),0)</f>
        <v>#REF!</v>
      </c>
      <c r="L125" s="4" t="e">
        <f>K125-#REF!</f>
        <v>#REF!</v>
      </c>
      <c r="N125" s="43"/>
    </row>
    <row r="126" spans="1:14" ht="12.75">
      <c r="A126" s="1" t="s">
        <v>151</v>
      </c>
      <c r="B126" s="2">
        <v>334782</v>
      </c>
      <c r="C126" s="2">
        <v>4412</v>
      </c>
      <c r="D126" s="3" t="s">
        <v>65</v>
      </c>
      <c r="E126" s="4"/>
      <c r="F126" s="9">
        <v>0.01368002</v>
      </c>
      <c r="G126" s="82">
        <f t="shared" si="16"/>
        <v>210924</v>
      </c>
      <c r="H126" s="4"/>
      <c r="I126" s="22" t="s">
        <v>1</v>
      </c>
      <c r="J126" s="43">
        <f t="shared" si="17"/>
        <v>0.013680048845642917</v>
      </c>
      <c r="K126" s="4" t="e">
        <f>ROUND(G126*(1-#REF!),0)</f>
        <v>#REF!</v>
      </c>
      <c r="L126" s="4" t="e">
        <f>K126-#REF!</f>
        <v>#REF!</v>
      </c>
      <c r="N126" s="43"/>
    </row>
    <row r="127" spans="1:14" ht="12.75">
      <c r="A127" s="1" t="s">
        <v>152</v>
      </c>
      <c r="B127" s="2">
        <v>334782</v>
      </c>
      <c r="C127" s="2">
        <v>256</v>
      </c>
      <c r="D127" s="19" t="s">
        <v>63</v>
      </c>
      <c r="E127" s="4"/>
      <c r="F127" s="9">
        <f>C127/B127</f>
        <v>0.0007646767149966247</v>
      </c>
      <c r="G127" s="82">
        <f t="shared" si="16"/>
        <v>11790</v>
      </c>
      <c r="H127" s="4"/>
      <c r="I127" s="4"/>
      <c r="J127" s="43">
        <f t="shared" si="17"/>
        <v>0.0007646724691838293</v>
      </c>
      <c r="K127" s="4" t="e">
        <f>ROUND(G127*(1-#REF!),0)</f>
        <v>#REF!</v>
      </c>
      <c r="L127" s="4" t="e">
        <f>K127-#REF!</f>
        <v>#REF!</v>
      </c>
      <c r="N127" s="43"/>
    </row>
    <row r="128" spans="1:14" ht="12.75">
      <c r="A128" s="1" t="s">
        <v>153</v>
      </c>
      <c r="B128" s="2">
        <v>334782</v>
      </c>
      <c r="C128" s="2">
        <v>696</v>
      </c>
      <c r="D128" s="3" t="s">
        <v>65</v>
      </c>
      <c r="E128" s="4"/>
      <c r="F128" s="9">
        <v>0.00218432</v>
      </c>
      <c r="G128" s="82">
        <f t="shared" si="16"/>
        <v>33679</v>
      </c>
      <c r="H128" s="4"/>
      <c r="I128" s="4"/>
      <c r="J128" s="43">
        <f t="shared" si="17"/>
        <v>0.002184343010147768</v>
      </c>
      <c r="K128" s="4" t="e">
        <f>ROUND(G128*(1-#REF!),0)</f>
        <v>#REF!</v>
      </c>
      <c r="L128" s="4" t="e">
        <f>K128-#REF!</f>
        <v>#REF!</v>
      </c>
      <c r="N128" s="43"/>
    </row>
    <row r="129" spans="1:14" ht="12.75">
      <c r="A129" s="1" t="s">
        <v>154</v>
      </c>
      <c r="B129" s="2">
        <v>334782</v>
      </c>
      <c r="C129" s="2">
        <v>27</v>
      </c>
      <c r="D129" s="19" t="s">
        <v>63</v>
      </c>
      <c r="E129" s="4"/>
      <c r="F129" s="9">
        <f aca="true" t="shared" si="18" ref="F129:F136">C129/B129</f>
        <v>8.064949728480026E-05</v>
      </c>
      <c r="G129" s="82">
        <f t="shared" si="16"/>
        <v>4000</v>
      </c>
      <c r="H129" s="4"/>
      <c r="I129" s="4"/>
      <c r="J129" s="43">
        <f t="shared" si="17"/>
        <v>0.00025943086316669356</v>
      </c>
      <c r="K129" s="4" t="e">
        <f>ROUND(G129*(1-#REF!),0)</f>
        <v>#REF!</v>
      </c>
      <c r="L129" s="4" t="e">
        <f>K129-#REF!</f>
        <v>#REF!</v>
      </c>
      <c r="N129" s="43"/>
    </row>
    <row r="130" spans="1:14" ht="12.75">
      <c r="A130" s="1" t="s">
        <v>155</v>
      </c>
      <c r="B130" s="2">
        <v>334782</v>
      </c>
      <c r="C130" s="2">
        <v>8</v>
      </c>
      <c r="D130" s="19" t="s">
        <v>63</v>
      </c>
      <c r="E130" s="4"/>
      <c r="F130" s="9">
        <f t="shared" si="18"/>
        <v>2.389614734364452E-05</v>
      </c>
      <c r="G130" s="82">
        <f t="shared" si="16"/>
        <v>4000</v>
      </c>
      <c r="H130" s="4"/>
      <c r="I130" s="4"/>
      <c r="J130" s="43">
        <f t="shared" si="17"/>
        <v>0.00025943086316669356</v>
      </c>
      <c r="K130" s="4" t="e">
        <f>ROUND(G130*(1-#REF!),0)</f>
        <v>#REF!</v>
      </c>
      <c r="L130" s="4" t="e">
        <f>K130-#REF!</f>
        <v>#REF!</v>
      </c>
      <c r="N130" s="43"/>
    </row>
    <row r="131" spans="1:14" ht="12.75">
      <c r="A131" s="1" t="s">
        <v>345</v>
      </c>
      <c r="B131" s="2">
        <v>334782</v>
      </c>
      <c r="C131" s="2"/>
      <c r="D131" s="19" t="s">
        <v>63</v>
      </c>
      <c r="E131" s="4"/>
      <c r="F131" s="9">
        <f t="shared" si="18"/>
        <v>0</v>
      </c>
      <c r="G131" s="82">
        <f t="shared" si="16"/>
        <v>4000</v>
      </c>
      <c r="H131" s="4"/>
      <c r="I131" s="4"/>
      <c r="J131" s="43">
        <f t="shared" si="17"/>
        <v>0.00025943086316669356</v>
      </c>
      <c r="K131" s="4" t="e">
        <f>ROUND(G131*(1-#REF!),0)</f>
        <v>#REF!</v>
      </c>
      <c r="L131" s="4" t="e">
        <f>K131-#REF!</f>
        <v>#REF!</v>
      </c>
      <c r="N131" s="43"/>
    </row>
    <row r="132" spans="1:14" ht="12.75">
      <c r="A132" s="1" t="s">
        <v>156</v>
      </c>
      <c r="B132" s="2">
        <v>334782</v>
      </c>
      <c r="C132" s="2">
        <v>170</v>
      </c>
      <c r="D132" s="19" t="s">
        <v>63</v>
      </c>
      <c r="F132" s="9">
        <f t="shared" si="18"/>
        <v>0.0005077931310524461</v>
      </c>
      <c r="G132" s="82">
        <f t="shared" si="16"/>
        <v>7829</v>
      </c>
      <c r="H132" s="4"/>
      <c r="J132" s="43">
        <f t="shared" si="17"/>
        <v>0.0005077710569330109</v>
      </c>
      <c r="K132" s="4" t="e">
        <f>ROUND(G132*(1-#REF!),0)</f>
        <v>#REF!</v>
      </c>
      <c r="L132" s="4" t="e">
        <f>K132-#REF!</f>
        <v>#REF!</v>
      </c>
      <c r="N132" s="43"/>
    </row>
    <row r="133" spans="1:14" ht="12.75">
      <c r="A133" s="85" t="s">
        <v>314</v>
      </c>
      <c r="B133" s="2">
        <v>334782</v>
      </c>
      <c r="C133" s="2">
        <v>612</v>
      </c>
      <c r="D133" s="19" t="s">
        <v>63</v>
      </c>
      <c r="F133" s="9">
        <f t="shared" si="18"/>
        <v>0.0018280552717888057</v>
      </c>
      <c r="G133" s="82">
        <f t="shared" si="16"/>
        <v>28186</v>
      </c>
      <c r="H133" s="4"/>
      <c r="J133" s="43">
        <f t="shared" si="17"/>
        <v>0.001828079577304106</v>
      </c>
      <c r="K133" s="4" t="e">
        <f>ROUND(G133*(1-#REF!),0)</f>
        <v>#REF!</v>
      </c>
      <c r="L133" s="4" t="e">
        <f>K133-#REF!</f>
        <v>#REF!</v>
      </c>
      <c r="N133" s="43"/>
    </row>
    <row r="134" spans="1:14" ht="12.75">
      <c r="A134" s="1" t="s">
        <v>157</v>
      </c>
      <c r="B134" s="2">
        <v>334782</v>
      </c>
      <c r="C134" s="2">
        <v>100</v>
      </c>
      <c r="D134" s="19" t="s">
        <v>63</v>
      </c>
      <c r="E134" s="4"/>
      <c r="F134" s="9">
        <f t="shared" si="18"/>
        <v>0.0002987018417955565</v>
      </c>
      <c r="G134" s="82">
        <f t="shared" si="16"/>
        <v>4605</v>
      </c>
      <c r="H134" s="4"/>
      <c r="I134" s="4"/>
      <c r="J134" s="43">
        <f t="shared" si="17"/>
        <v>0.0002986697812206559</v>
      </c>
      <c r="K134" s="4" t="e">
        <f>ROUND(G134*(1-#REF!),0)</f>
        <v>#REF!</v>
      </c>
      <c r="L134" s="4" t="e">
        <f>K134-#REF!</f>
        <v>#REF!</v>
      </c>
      <c r="N134" s="43"/>
    </row>
    <row r="135" spans="1:14" ht="12.75">
      <c r="A135" s="1" t="s">
        <v>158</v>
      </c>
      <c r="B135" s="2">
        <v>334782</v>
      </c>
      <c r="C135" s="2">
        <v>6</v>
      </c>
      <c r="D135" s="19" t="s">
        <v>63</v>
      </c>
      <c r="F135" s="9">
        <f t="shared" si="18"/>
        <v>1.792211050773339E-05</v>
      </c>
      <c r="G135" s="82">
        <f t="shared" si="16"/>
        <v>4000</v>
      </c>
      <c r="H135" s="4"/>
      <c r="J135" s="43">
        <f t="shared" si="17"/>
        <v>0.00025943086316669356</v>
      </c>
      <c r="K135" s="4" t="e">
        <f>ROUND(G135*(1-#REF!),0)</f>
        <v>#REF!</v>
      </c>
      <c r="L135" s="4" t="e">
        <f>K135-#REF!</f>
        <v>#REF!</v>
      </c>
      <c r="N135" s="43"/>
    </row>
    <row r="136" spans="1:14" ht="12.75">
      <c r="A136" s="1" t="s">
        <v>159</v>
      </c>
      <c r="B136" s="2">
        <v>334782</v>
      </c>
      <c r="C136" s="2">
        <v>3057</v>
      </c>
      <c r="D136" s="19" t="s">
        <v>63</v>
      </c>
      <c r="E136" s="4"/>
      <c r="F136" s="9">
        <f t="shared" si="18"/>
        <v>0.009131315303690163</v>
      </c>
      <c r="G136" s="82">
        <f t="shared" si="16"/>
        <v>140790</v>
      </c>
      <c r="H136" s="4"/>
      <c r="I136" s="4"/>
      <c r="J136" s="43">
        <f t="shared" si="17"/>
        <v>0.009131317806309696</v>
      </c>
      <c r="K136" s="4" t="e">
        <f>ROUND(G136*(1-#REF!),0)</f>
        <v>#REF!</v>
      </c>
      <c r="L136" s="4" t="e">
        <f>K136-#REF!</f>
        <v>#REF!</v>
      </c>
      <c r="N136" s="43"/>
    </row>
    <row r="137" spans="1:14" ht="12.75">
      <c r="A137" s="1" t="s">
        <v>160</v>
      </c>
      <c r="B137" s="2">
        <v>334782</v>
      </c>
      <c r="C137" s="2">
        <v>678</v>
      </c>
      <c r="D137" s="3" t="s">
        <v>65</v>
      </c>
      <c r="E137" s="4"/>
      <c r="F137" s="9">
        <v>0.00345851</v>
      </c>
      <c r="G137" s="82">
        <f t="shared" si="16"/>
        <v>53325</v>
      </c>
      <c r="H137" s="4"/>
      <c r="I137" s="4"/>
      <c r="J137" s="43">
        <f t="shared" si="17"/>
        <v>0.003458537694590983</v>
      </c>
      <c r="K137" s="4" t="e">
        <f>ROUND(G137*(1-#REF!),0)</f>
        <v>#REF!</v>
      </c>
      <c r="L137" s="4" t="e">
        <f>K137-#REF!</f>
        <v>#REF!</v>
      </c>
      <c r="N137" s="43"/>
    </row>
    <row r="138" spans="1:14" ht="12.75">
      <c r="A138" s="1" t="s">
        <v>161</v>
      </c>
      <c r="B138" s="2">
        <v>334782</v>
      </c>
      <c r="C138" s="2">
        <v>92</v>
      </c>
      <c r="D138" s="19" t="s">
        <v>63</v>
      </c>
      <c r="E138" s="4"/>
      <c r="F138" s="9">
        <f>C138/B138</f>
        <v>0.000274805694451912</v>
      </c>
      <c r="G138" s="82">
        <f t="shared" si="16"/>
        <v>4237</v>
      </c>
      <c r="H138" s="4"/>
      <c r="I138" s="4"/>
      <c r="J138" s="43">
        <f t="shared" si="17"/>
        <v>0.00027480214180932013</v>
      </c>
      <c r="K138" s="4" t="e">
        <f>ROUND(G138*(1-#REF!),0)</f>
        <v>#REF!</v>
      </c>
      <c r="L138" s="4" t="e">
        <f>K138-#REF!</f>
        <v>#REF!</v>
      </c>
      <c r="N138" s="43"/>
    </row>
    <row r="139" spans="1:14" ht="12.75">
      <c r="A139" s="1" t="s">
        <v>162</v>
      </c>
      <c r="B139" s="2">
        <v>334782</v>
      </c>
      <c r="C139" s="2">
        <v>23</v>
      </c>
      <c r="D139" s="19" t="s">
        <v>63</v>
      </c>
      <c r="E139" s="4"/>
      <c r="F139" s="9">
        <f>C139/B139</f>
        <v>6.8701423612978E-05</v>
      </c>
      <c r="G139" s="82">
        <f t="shared" si="16"/>
        <v>4000</v>
      </c>
      <c r="H139" s="4"/>
      <c r="I139" s="4"/>
      <c r="J139" s="43">
        <f t="shared" si="17"/>
        <v>0.00025943086316669356</v>
      </c>
      <c r="K139" s="4" t="e">
        <f>ROUND(G139*(1-#REF!),0)</f>
        <v>#REF!</v>
      </c>
      <c r="L139" s="4" t="e">
        <f>K139-#REF!</f>
        <v>#REF!</v>
      </c>
      <c r="N139" s="43"/>
    </row>
    <row r="140" spans="1:14" ht="12.75">
      <c r="A140" s="1" t="s">
        <v>163</v>
      </c>
      <c r="B140" s="2">
        <v>334782</v>
      </c>
      <c r="C140" s="2">
        <v>104</v>
      </c>
      <c r="D140" s="19" t="s">
        <v>63</v>
      </c>
      <c r="E140" s="4"/>
      <c r="F140" s="9">
        <f>C140/B140</f>
        <v>0.0003106499154673788</v>
      </c>
      <c r="G140" s="82">
        <f t="shared" si="16"/>
        <v>4790</v>
      </c>
      <c r="H140" s="4"/>
      <c r="I140" s="4"/>
      <c r="J140" s="43">
        <f t="shared" si="17"/>
        <v>0.0003106684586421155</v>
      </c>
      <c r="K140" s="4" t="e">
        <f>ROUND(G140*(1-#REF!),0)</f>
        <v>#REF!</v>
      </c>
      <c r="L140" s="4" t="e">
        <f>K140-#REF!</f>
        <v>#REF!</v>
      </c>
      <c r="N140" s="43"/>
    </row>
    <row r="141" spans="1:14" ht="12.75">
      <c r="A141" s="1" t="s">
        <v>164</v>
      </c>
      <c r="B141" s="2">
        <v>334782</v>
      </c>
      <c r="C141" s="2">
        <v>225</v>
      </c>
      <c r="D141" s="19" t="s">
        <v>63</v>
      </c>
      <c r="F141" s="9">
        <f>C141/B141</f>
        <v>0.0006720791440400022</v>
      </c>
      <c r="G141" s="82">
        <f t="shared" si="16"/>
        <v>10362</v>
      </c>
      <c r="H141" s="4"/>
      <c r="J141" s="43">
        <f t="shared" si="17"/>
        <v>0.0006720556510333197</v>
      </c>
      <c r="K141" s="4" t="e">
        <f>ROUND(G141*(1-#REF!),0)</f>
        <v>#REF!</v>
      </c>
      <c r="L141" s="4" t="e">
        <f>K141-#REF!</f>
        <v>#REF!</v>
      </c>
      <c r="N141" s="43"/>
    </row>
    <row r="142" spans="1:14" ht="12.75">
      <c r="A142" s="1" t="s">
        <v>165</v>
      </c>
      <c r="B142" s="2">
        <v>334782</v>
      </c>
      <c r="C142" s="2">
        <v>246</v>
      </c>
      <c r="D142" s="19" t="s">
        <v>63</v>
      </c>
      <c r="F142" s="9">
        <f>C142/B142</f>
        <v>0.000734806530817069</v>
      </c>
      <c r="G142" s="82">
        <f t="shared" si="16"/>
        <v>11330</v>
      </c>
      <c r="H142" s="4"/>
      <c r="J142" s="43">
        <f t="shared" si="17"/>
        <v>0.0007348379199196594</v>
      </c>
      <c r="K142" s="4" t="e">
        <f>ROUND(G142*(1-#REF!),0)</f>
        <v>#REF!</v>
      </c>
      <c r="L142" s="4" t="e">
        <f>K142-#REF!</f>
        <v>#REF!</v>
      </c>
      <c r="N142" s="43"/>
    </row>
    <row r="143" spans="1:14" ht="12.75">
      <c r="A143" s="1" t="s">
        <v>166</v>
      </c>
      <c r="B143" s="2">
        <v>334782</v>
      </c>
      <c r="C143" s="2">
        <v>194</v>
      </c>
      <c r="D143" s="3" t="s">
        <v>65</v>
      </c>
      <c r="E143" s="4"/>
      <c r="F143" s="9">
        <v>0.0006441</v>
      </c>
      <c r="G143" s="82">
        <f t="shared" si="16"/>
        <v>9931</v>
      </c>
      <c r="H143" s="4"/>
      <c r="I143" s="4"/>
      <c r="J143" s="43">
        <f t="shared" si="17"/>
        <v>0.0006441019755271084</v>
      </c>
      <c r="K143" s="4" t="e">
        <f>ROUND(G143*(1-#REF!),0)</f>
        <v>#REF!</v>
      </c>
      <c r="L143" s="4" t="e">
        <f>K143-#REF!</f>
        <v>#REF!</v>
      </c>
      <c r="N143" s="43"/>
    </row>
    <row r="144" spans="1:14" ht="12.75">
      <c r="A144" s="1" t="s">
        <v>167</v>
      </c>
      <c r="B144" s="2">
        <v>334782</v>
      </c>
      <c r="C144" s="2">
        <v>606</v>
      </c>
      <c r="D144" s="19" t="s">
        <v>63</v>
      </c>
      <c r="E144" s="4"/>
      <c r="F144" s="9">
        <f aca="true" t="shared" si="19" ref="F144:F150">C144/B144</f>
        <v>0.0018101331612810725</v>
      </c>
      <c r="G144" s="82">
        <f t="shared" si="16"/>
        <v>27909</v>
      </c>
      <c r="H144" s="4"/>
      <c r="I144" s="4"/>
      <c r="J144" s="43">
        <f t="shared" si="17"/>
        <v>0.0018101139900298126</v>
      </c>
      <c r="K144" s="4" t="e">
        <f>ROUND(G144*(1-#REF!),0)</f>
        <v>#REF!</v>
      </c>
      <c r="L144" s="4" t="e">
        <f>K144-#REF!</f>
        <v>#REF!</v>
      </c>
      <c r="N144" s="43"/>
    </row>
    <row r="145" spans="1:14" ht="12.75">
      <c r="A145" s="1" t="s">
        <v>168</v>
      </c>
      <c r="B145" s="2">
        <v>334782</v>
      </c>
      <c r="C145" s="2">
        <v>119</v>
      </c>
      <c r="D145" s="19" t="s">
        <v>63</v>
      </c>
      <c r="E145" s="4"/>
      <c r="F145" s="9">
        <f t="shared" si="19"/>
        <v>0.00035545519173671225</v>
      </c>
      <c r="G145" s="82">
        <f t="shared" si="16"/>
        <v>5481</v>
      </c>
      <c r="H145" s="4"/>
      <c r="I145" s="4"/>
      <c r="J145" s="43">
        <f t="shared" si="17"/>
        <v>0.0003554851402541618</v>
      </c>
      <c r="K145" s="4" t="e">
        <f>ROUND(G145*(1-#REF!),0)</f>
        <v>#REF!</v>
      </c>
      <c r="L145" s="4" t="e">
        <f>K145-#REF!</f>
        <v>#REF!</v>
      </c>
      <c r="N145" s="43"/>
    </row>
    <row r="146" spans="1:14" ht="12.75">
      <c r="A146" s="1" t="s">
        <v>169</v>
      </c>
      <c r="B146" s="2">
        <v>334782</v>
      </c>
      <c r="C146" s="2"/>
      <c r="D146" s="19" t="s">
        <v>63</v>
      </c>
      <c r="E146" s="4"/>
      <c r="F146" s="9">
        <f t="shared" si="19"/>
        <v>0</v>
      </c>
      <c r="G146" s="82">
        <f t="shared" si="16"/>
        <v>4000</v>
      </c>
      <c r="H146" s="4"/>
      <c r="I146" s="4"/>
      <c r="J146" s="43">
        <f t="shared" si="17"/>
        <v>0.00025943086316669356</v>
      </c>
      <c r="K146" s="4" t="e">
        <f>ROUND(G146*(1-#REF!),0)</f>
        <v>#REF!</v>
      </c>
      <c r="L146" s="4" t="e">
        <f>K146-#REF!</f>
        <v>#REF!</v>
      </c>
      <c r="N146" s="43"/>
    </row>
    <row r="147" spans="1:14" ht="12.75">
      <c r="A147" s="1" t="s">
        <v>170</v>
      </c>
      <c r="B147" s="2">
        <v>334782</v>
      </c>
      <c r="C147" s="2">
        <v>34</v>
      </c>
      <c r="D147" s="19" t="s">
        <v>63</v>
      </c>
      <c r="E147" s="4"/>
      <c r="F147" s="9">
        <f t="shared" si="19"/>
        <v>0.00010155862621048922</v>
      </c>
      <c r="G147" s="82">
        <f t="shared" si="16"/>
        <v>4000</v>
      </c>
      <c r="H147" s="4"/>
      <c r="I147" s="4"/>
      <c r="J147" s="43">
        <f t="shared" si="17"/>
        <v>0.00025943086316669356</v>
      </c>
      <c r="K147" s="4" t="e">
        <f>ROUND(G147*(1-#REF!),0)</f>
        <v>#REF!</v>
      </c>
      <c r="L147" s="4" t="e">
        <f>K147-#REF!</f>
        <v>#REF!</v>
      </c>
      <c r="N147" s="43"/>
    </row>
    <row r="148" spans="1:14" ht="12.75">
      <c r="A148" s="1" t="s">
        <v>171</v>
      </c>
      <c r="B148" s="2">
        <v>334782</v>
      </c>
      <c r="C148" s="2">
        <v>2600</v>
      </c>
      <c r="D148" s="19" t="s">
        <v>63</v>
      </c>
      <c r="E148" s="4"/>
      <c r="F148" s="9">
        <f t="shared" si="19"/>
        <v>0.007766247886684469</v>
      </c>
      <c r="G148" s="82">
        <f t="shared" si="16"/>
        <v>119743</v>
      </c>
      <c r="H148" s="4"/>
      <c r="I148" s="4"/>
      <c r="J148" s="43">
        <f t="shared" si="17"/>
        <v>0.007766257462042346</v>
      </c>
      <c r="K148" s="4" t="e">
        <f>ROUND(G148*(1-#REF!),0)</f>
        <v>#REF!</v>
      </c>
      <c r="L148" s="4" t="e">
        <f>K148-#REF!</f>
        <v>#REF!</v>
      </c>
      <c r="N148" s="43"/>
    </row>
    <row r="149" spans="1:14" ht="12.75">
      <c r="A149" s="1" t="s">
        <v>172</v>
      </c>
      <c r="B149" s="2">
        <v>334782</v>
      </c>
      <c r="C149" s="2">
        <v>89</v>
      </c>
      <c r="D149" s="19" t="s">
        <v>63</v>
      </c>
      <c r="E149" s="4"/>
      <c r="F149" s="9">
        <f t="shared" si="19"/>
        <v>0.0002658446391980453</v>
      </c>
      <c r="G149" s="82">
        <f t="shared" si="16"/>
        <v>4099</v>
      </c>
      <c r="H149" s="4"/>
      <c r="I149" s="4"/>
      <c r="J149" s="43">
        <f t="shared" si="17"/>
        <v>0.0002658517770300692</v>
      </c>
      <c r="K149" s="4" t="e">
        <f>ROUND(G149*(1-#REF!),0)</f>
        <v>#REF!</v>
      </c>
      <c r="L149" s="4" t="e">
        <f>K149-#REF!</f>
        <v>#REF!</v>
      </c>
      <c r="N149" s="43"/>
    </row>
    <row r="150" spans="1:14" ht="12.75">
      <c r="A150" s="1" t="s">
        <v>229</v>
      </c>
      <c r="B150" s="2">
        <v>334782</v>
      </c>
      <c r="C150" s="2">
        <v>75</v>
      </c>
      <c r="D150" s="19" t="s">
        <v>63</v>
      </c>
      <c r="E150" s="4"/>
      <c r="F150" s="9">
        <f t="shared" si="19"/>
        <v>0.00022402638134666738</v>
      </c>
      <c r="G150" s="82">
        <f t="shared" si="16"/>
        <v>4000</v>
      </c>
      <c r="H150" s="4"/>
      <c r="I150" s="4"/>
      <c r="J150" s="43">
        <f t="shared" si="17"/>
        <v>0.00025943086316669356</v>
      </c>
      <c r="K150" s="4" t="e">
        <f>ROUND(G150*(1-#REF!),0)</f>
        <v>#REF!</v>
      </c>
      <c r="L150" s="4" t="e">
        <f>K150-#REF!</f>
        <v>#REF!</v>
      </c>
      <c r="N150" s="43"/>
    </row>
    <row r="151" spans="1:12" ht="12.75">
      <c r="A151" s="11" t="s">
        <v>38</v>
      </c>
      <c r="D151" s="1" t="s">
        <v>1</v>
      </c>
      <c r="E151" s="4">
        <f>States!C44</f>
        <v>24317026</v>
      </c>
      <c r="F151" s="9"/>
      <c r="G151" s="13"/>
      <c r="H151" s="4">
        <f>SUM(G152:G157)</f>
        <v>567394</v>
      </c>
      <c r="I151" s="4">
        <f>E151-H151</f>
        <v>23749632</v>
      </c>
      <c r="K151" s="4"/>
      <c r="L151" s="4" t="e">
        <f>K151-#REF!</f>
        <v>#REF!</v>
      </c>
    </row>
    <row r="152" spans="1:14" ht="12.75">
      <c r="A152" s="1" t="s">
        <v>233</v>
      </c>
      <c r="B152" s="2">
        <v>239405</v>
      </c>
      <c r="C152" s="10">
        <v>120</v>
      </c>
      <c r="D152" s="3" t="s">
        <v>106</v>
      </c>
      <c r="E152" s="4"/>
      <c r="F152" s="9"/>
      <c r="G152" s="82">
        <v>37000</v>
      </c>
      <c r="H152" s="4"/>
      <c r="I152" s="4"/>
      <c r="J152" s="43">
        <f aca="true" t="shared" si="20" ref="J152:J157">G152/$E$151</f>
        <v>0.001521567645648773</v>
      </c>
      <c r="K152" s="4" t="e">
        <f>ROUND(G152*(1-#REF!),0)</f>
        <v>#REF!</v>
      </c>
      <c r="L152" s="4" t="e">
        <f>K152-#REF!</f>
        <v>#REF!</v>
      </c>
      <c r="N152" s="43"/>
    </row>
    <row r="153" spans="1:14" ht="12.75">
      <c r="A153" s="1" t="s">
        <v>173</v>
      </c>
      <c r="B153" s="2">
        <v>239405</v>
      </c>
      <c r="D153" s="3" t="s">
        <v>106</v>
      </c>
      <c r="E153" s="4"/>
      <c r="F153" s="9">
        <f>$C153/$B153</f>
        <v>0</v>
      </c>
      <c r="G153" s="82">
        <v>118845</v>
      </c>
      <c r="H153" s="4"/>
      <c r="I153" s="4"/>
      <c r="J153" s="43">
        <f t="shared" si="20"/>
        <v>0.004887316401273741</v>
      </c>
      <c r="K153" s="4" t="e">
        <f>ROUND(G153*(1-#REF!),0)</f>
        <v>#REF!</v>
      </c>
      <c r="L153" s="4" t="e">
        <f>K153-#REF!</f>
        <v>#REF!</v>
      </c>
      <c r="N153" s="43"/>
    </row>
    <row r="154" spans="1:14" ht="12.75">
      <c r="A154" s="1" t="s">
        <v>222</v>
      </c>
      <c r="B154" s="2">
        <v>239405</v>
      </c>
      <c r="C154" s="10">
        <v>150</v>
      </c>
      <c r="D154" s="19" t="s">
        <v>106</v>
      </c>
      <c r="E154" s="4"/>
      <c r="F154" s="9">
        <f>$C154/$B154</f>
        <v>0.0006265533301309497</v>
      </c>
      <c r="G154" s="82">
        <v>114665</v>
      </c>
      <c r="H154" s="4"/>
      <c r="I154" s="4"/>
      <c r="J154" s="43">
        <f t="shared" si="20"/>
        <v>0.004715420380765312</v>
      </c>
      <c r="K154" s="4" t="e">
        <f>ROUND(G154*(1-#REF!),0)</f>
        <v>#REF!</v>
      </c>
      <c r="L154" s="4" t="e">
        <f>K154-#REF!</f>
        <v>#REF!</v>
      </c>
      <c r="N154" s="43"/>
    </row>
    <row r="155" spans="1:14" ht="12.75">
      <c r="A155" s="1" t="s">
        <v>174</v>
      </c>
      <c r="B155" s="2">
        <v>239405</v>
      </c>
      <c r="D155" s="3" t="s">
        <v>106</v>
      </c>
      <c r="E155" s="4"/>
      <c r="F155" s="9"/>
      <c r="G155" s="82">
        <v>114665</v>
      </c>
      <c r="H155" s="4"/>
      <c r="I155" s="4"/>
      <c r="J155" s="43">
        <f t="shared" si="20"/>
        <v>0.004715420380765312</v>
      </c>
      <c r="K155" s="4" t="e">
        <f>ROUND(G155*(1-#REF!),0)</f>
        <v>#REF!</v>
      </c>
      <c r="L155" s="4" t="e">
        <f>K155-#REF!</f>
        <v>#REF!</v>
      </c>
      <c r="N155" s="43"/>
    </row>
    <row r="156" spans="1:14" ht="12.75">
      <c r="A156" s="1" t="s">
        <v>175</v>
      </c>
      <c r="B156" s="2">
        <v>239405</v>
      </c>
      <c r="D156" s="3" t="s">
        <v>106</v>
      </c>
      <c r="E156" s="4"/>
      <c r="F156" s="23" t="s">
        <v>1</v>
      </c>
      <c r="G156" s="82">
        <v>12000</v>
      </c>
      <c r="H156" s="4"/>
      <c r="I156" s="4"/>
      <c r="J156" s="43">
        <f t="shared" si="20"/>
        <v>0.0004934813985887912</v>
      </c>
      <c r="K156" s="4" t="e">
        <f>ROUND(G156*(1-#REF!),0)</f>
        <v>#REF!</v>
      </c>
      <c r="L156" s="4" t="e">
        <f>K156-#REF!</f>
        <v>#REF!</v>
      </c>
      <c r="N156" s="43"/>
    </row>
    <row r="157" spans="1:14" ht="12.75">
      <c r="A157" s="1" t="s">
        <v>176</v>
      </c>
      <c r="B157" s="2">
        <v>239405</v>
      </c>
      <c r="D157" s="3" t="s">
        <v>65</v>
      </c>
      <c r="E157" s="4"/>
      <c r="F157" s="5">
        <v>0.007</v>
      </c>
      <c r="G157" s="82">
        <f>ROUND($E$151*F157,0)</f>
        <v>170219</v>
      </c>
      <c r="H157" s="4"/>
      <c r="I157" s="4"/>
      <c r="J157" s="43">
        <f t="shared" si="20"/>
        <v>0.006999992515532121</v>
      </c>
      <c r="K157" s="4" t="e">
        <f>ROUND(G157*(1-#REF!),0)</f>
        <v>#REF!</v>
      </c>
      <c r="L157" s="4" t="e">
        <f>K157-#REF!</f>
        <v>#REF!</v>
      </c>
      <c r="N157" s="43"/>
    </row>
    <row r="158" spans="1:12" ht="12.75">
      <c r="A158" s="11" t="s">
        <v>40</v>
      </c>
      <c r="E158" s="4">
        <f>States!C46</f>
        <v>13476828</v>
      </c>
      <c r="G158" s="13"/>
      <c r="H158" s="4">
        <f>G159</f>
        <v>38186</v>
      </c>
      <c r="I158" s="4">
        <f>E158-H158</f>
        <v>13438642</v>
      </c>
      <c r="K158" s="4"/>
      <c r="L158" s="4" t="e">
        <f>K158-#REF!</f>
        <v>#REF!</v>
      </c>
    </row>
    <row r="159" spans="1:14" ht="12.75">
      <c r="A159" s="1" t="s">
        <v>177</v>
      </c>
      <c r="B159" s="2">
        <v>84702</v>
      </c>
      <c r="C159" s="24">
        <v>240</v>
      </c>
      <c r="D159" s="3" t="s">
        <v>63</v>
      </c>
      <c r="E159" s="4"/>
      <c r="F159" s="9">
        <f>C159/B159</f>
        <v>0.002833463200396685</v>
      </c>
      <c r="G159" s="82">
        <f>ROUND($E$158*F159,0)</f>
        <v>38186</v>
      </c>
      <c r="H159" s="4"/>
      <c r="J159" s="43">
        <f>G159/E158</f>
        <v>0.002833456062509665</v>
      </c>
      <c r="K159" s="4" t="e">
        <f>ROUND(G159*(1-#REF!),0)</f>
        <v>#REF!</v>
      </c>
      <c r="L159" s="4" t="e">
        <f>K159-#REF!</f>
        <v>#REF!</v>
      </c>
      <c r="N159" s="43"/>
    </row>
    <row r="160" spans="1:12" ht="12.75">
      <c r="A160" s="11" t="s">
        <v>42</v>
      </c>
      <c r="D160" s="1" t="s">
        <v>1</v>
      </c>
      <c r="E160" s="4">
        <f>States!C48</f>
        <v>12664815</v>
      </c>
      <c r="F160" s="20"/>
      <c r="G160" s="13"/>
      <c r="H160" s="4">
        <f>SUM(G161:G167)</f>
        <v>2251804</v>
      </c>
      <c r="I160" s="4">
        <f>E160-H160</f>
        <v>10413011</v>
      </c>
      <c r="K160" s="4"/>
      <c r="L160" s="4" t="e">
        <f>K160-#REF!</f>
        <v>#REF!</v>
      </c>
    </row>
    <row r="161" spans="1:14" ht="12.75">
      <c r="A161" s="1" t="s">
        <v>178</v>
      </c>
      <c r="D161" s="3" t="s">
        <v>65</v>
      </c>
      <c r="E161" s="4"/>
      <c r="F161" s="20">
        <v>0.0282</v>
      </c>
      <c r="G161" s="82">
        <f aca="true" t="shared" si="21" ref="G161:G167">ROUND($E$160*F161,0)</f>
        <v>357148</v>
      </c>
      <c r="H161" s="4"/>
      <c r="I161" s="4"/>
      <c r="J161" s="43">
        <f>G161/$E$160</f>
        <v>0.02820001713408368</v>
      </c>
      <c r="K161" s="4" t="e">
        <f>ROUND(G161*(1-#REF!),0)</f>
        <v>#REF!</v>
      </c>
      <c r="L161" s="4" t="e">
        <f>K161-#REF!</f>
        <v>#REF!</v>
      </c>
      <c r="N161" s="43"/>
    </row>
    <row r="162" spans="1:14" ht="12.75">
      <c r="A162" s="1" t="s">
        <v>179</v>
      </c>
      <c r="D162" s="3" t="s">
        <v>65</v>
      </c>
      <c r="E162" s="4"/>
      <c r="F162" s="20">
        <v>0.0038</v>
      </c>
      <c r="G162" s="82">
        <f t="shared" si="21"/>
        <v>48126</v>
      </c>
      <c r="H162" s="4"/>
      <c r="I162" s="4"/>
      <c r="J162" s="43">
        <f aca="true" t="shared" si="22" ref="J162:J167">G162/$E$160</f>
        <v>0.0037999765492034428</v>
      </c>
      <c r="K162" s="4" t="e">
        <f>ROUND(G162*(1-#REF!),0)</f>
        <v>#REF!</v>
      </c>
      <c r="L162" s="4" t="e">
        <f>K162-#REF!</f>
        <v>#REF!</v>
      </c>
      <c r="N162" s="43"/>
    </row>
    <row r="163" spans="1:14" ht="12.75">
      <c r="A163" s="1" t="s">
        <v>180</v>
      </c>
      <c r="D163" s="3" t="s">
        <v>65</v>
      </c>
      <c r="E163" s="4"/>
      <c r="F163" s="20">
        <v>0.0584</v>
      </c>
      <c r="G163" s="82">
        <f t="shared" si="21"/>
        <v>739625</v>
      </c>
      <c r="H163" s="4"/>
      <c r="I163" s="4"/>
      <c r="J163" s="43">
        <f t="shared" si="22"/>
        <v>0.05839998452405345</v>
      </c>
      <c r="K163" s="4" t="e">
        <f>ROUND(G163*(1-#REF!),0)</f>
        <v>#REF!</v>
      </c>
      <c r="L163" s="4" t="e">
        <f>K163-#REF!</f>
        <v>#REF!</v>
      </c>
      <c r="N163" s="43"/>
    </row>
    <row r="164" spans="1:14" ht="12.75">
      <c r="A164" s="1" t="s">
        <v>181</v>
      </c>
      <c r="D164" s="3" t="s">
        <v>65</v>
      </c>
      <c r="E164" s="4"/>
      <c r="F164" s="20">
        <v>0.046</v>
      </c>
      <c r="G164" s="82">
        <f t="shared" si="21"/>
        <v>582581</v>
      </c>
      <c r="H164" s="4"/>
      <c r="I164" s="4"/>
      <c r="J164" s="43">
        <f t="shared" si="22"/>
        <v>0.045999961310133626</v>
      </c>
      <c r="K164" s="4" t="e">
        <f>ROUND(G164*(1-#REF!),0)</f>
        <v>#REF!</v>
      </c>
      <c r="L164" s="4" t="e">
        <f>K164-#REF!</f>
        <v>#REF!</v>
      </c>
      <c r="N164" s="43"/>
    </row>
    <row r="165" spans="1:14" ht="12.75">
      <c r="A165" s="1" t="s">
        <v>182</v>
      </c>
      <c r="D165" s="3" t="s">
        <v>65</v>
      </c>
      <c r="E165" s="4"/>
      <c r="F165" s="20">
        <v>0.0186</v>
      </c>
      <c r="G165" s="82">
        <f t="shared" si="21"/>
        <v>235566</v>
      </c>
      <c r="H165" s="4"/>
      <c r="I165" s="4"/>
      <c r="J165" s="43">
        <f t="shared" si="22"/>
        <v>0.018600034820879737</v>
      </c>
      <c r="K165" s="4" t="e">
        <f>ROUND(G165*(1-#REF!),0)</f>
        <v>#REF!</v>
      </c>
      <c r="L165" s="4" t="e">
        <f>K165-#REF!</f>
        <v>#REF!</v>
      </c>
      <c r="N165" s="43"/>
    </row>
    <row r="166" spans="1:14" ht="12.75">
      <c r="A166" s="1" t="s">
        <v>183</v>
      </c>
      <c r="D166" s="3" t="s">
        <v>65</v>
      </c>
      <c r="E166" s="4"/>
      <c r="F166" s="20">
        <v>0.0116</v>
      </c>
      <c r="G166" s="82">
        <f t="shared" si="21"/>
        <v>146912</v>
      </c>
      <c r="H166" s="4"/>
      <c r="I166" s="4"/>
      <c r="J166" s="43">
        <f t="shared" si="22"/>
        <v>0.011600011528001001</v>
      </c>
      <c r="K166" s="4" t="e">
        <f>ROUND(G166*(1-#REF!),0)</f>
        <v>#REF!</v>
      </c>
      <c r="L166" s="4" t="e">
        <f>K166-#REF!</f>
        <v>#REF!</v>
      </c>
      <c r="N166" s="43"/>
    </row>
    <row r="167" spans="1:14" ht="12.75">
      <c r="A167" s="1" t="s">
        <v>184</v>
      </c>
      <c r="D167" s="3" t="s">
        <v>65</v>
      </c>
      <c r="E167" s="4"/>
      <c r="F167" s="20">
        <v>0.0112</v>
      </c>
      <c r="G167" s="82">
        <f t="shared" si="21"/>
        <v>141846</v>
      </c>
      <c r="H167" s="4"/>
      <c r="I167" s="4"/>
      <c r="J167" s="43">
        <f t="shared" si="22"/>
        <v>0.01120000568504159</v>
      </c>
      <c r="K167" s="4" t="e">
        <f>ROUND(G167*(1-#REF!),0)</f>
        <v>#REF!</v>
      </c>
      <c r="L167" s="4" t="e">
        <f>K167-#REF!</f>
        <v>#REF!</v>
      </c>
      <c r="N167" s="43"/>
    </row>
    <row r="168" spans="1:12" ht="12.75">
      <c r="A168" s="11" t="s">
        <v>45</v>
      </c>
      <c r="D168" s="1" t="s">
        <v>1</v>
      </c>
      <c r="E168" s="4">
        <f>States!C51</f>
        <v>14580082</v>
      </c>
      <c r="F168" s="9"/>
      <c r="G168" s="13"/>
      <c r="H168" s="4">
        <f>SUM(G169:G171)</f>
        <v>291095</v>
      </c>
      <c r="I168" s="4">
        <f>E168-H168</f>
        <v>14288987</v>
      </c>
      <c r="K168" s="4"/>
      <c r="L168" s="4" t="e">
        <f>K168-#REF!</f>
        <v>#REF!</v>
      </c>
    </row>
    <row r="169" spans="1:14" ht="12.75">
      <c r="A169" s="1" t="s">
        <v>135</v>
      </c>
      <c r="B169" s="2">
        <v>110884</v>
      </c>
      <c r="C169" s="2">
        <v>997</v>
      </c>
      <c r="D169" s="3" t="s">
        <v>69</v>
      </c>
      <c r="E169" s="4"/>
      <c r="F169" s="9">
        <f>C169/B169</f>
        <v>0.008991378377403412</v>
      </c>
      <c r="G169" s="82">
        <f>ROUND($E$168*F169,0)</f>
        <v>131095</v>
      </c>
      <c r="H169" s="4"/>
      <c r="I169" s="4"/>
      <c r="J169" s="43">
        <f>G169/$E$168</f>
        <v>0.008991376043015396</v>
      </c>
      <c r="K169" s="4" t="e">
        <f>ROUND(G169*(1-#REF!),0)</f>
        <v>#REF!</v>
      </c>
      <c r="L169" s="4" t="e">
        <f>K169-#REF!</f>
        <v>#REF!</v>
      </c>
      <c r="N169" s="101"/>
    </row>
    <row r="170" spans="1:14" ht="12.75">
      <c r="A170" s="1" t="s">
        <v>185</v>
      </c>
      <c r="B170" s="2">
        <v>110884</v>
      </c>
      <c r="D170" s="3" t="s">
        <v>106</v>
      </c>
      <c r="E170" s="4"/>
      <c r="F170" s="23" t="s">
        <v>1</v>
      </c>
      <c r="G170" s="100">
        <v>60000</v>
      </c>
      <c r="H170" s="25"/>
      <c r="J170" s="43">
        <f>G170/$E$168</f>
        <v>0.004115203192958722</v>
      </c>
      <c r="K170" s="4" t="e">
        <f>ROUND(G170*(1-#REF!),0)</f>
        <v>#REF!</v>
      </c>
      <c r="L170" s="4" t="e">
        <f>K170-#REF!</f>
        <v>#REF!</v>
      </c>
      <c r="N170" s="43"/>
    </row>
    <row r="171" spans="1:14" ht="12.75">
      <c r="A171" s="1" t="s">
        <v>186</v>
      </c>
      <c r="B171" s="2">
        <v>110884</v>
      </c>
      <c r="D171" s="3" t="s">
        <v>106</v>
      </c>
      <c r="E171" s="4"/>
      <c r="F171" s="23" t="s">
        <v>1</v>
      </c>
      <c r="G171" s="100">
        <v>100000</v>
      </c>
      <c r="H171" s="25"/>
      <c r="I171" s="4"/>
      <c r="J171" s="43">
        <f>G171/$E$168</f>
        <v>0.006858671988264538</v>
      </c>
      <c r="K171" s="4" t="e">
        <f>ROUND(G171*(1-#REF!),0)</f>
        <v>#REF!</v>
      </c>
      <c r="L171" s="4" t="e">
        <f>K171-#REF!</f>
        <v>#REF!</v>
      </c>
      <c r="N171" s="43"/>
    </row>
    <row r="172" spans="1:12" ht="12.75">
      <c r="A172" s="11" t="s">
        <v>48</v>
      </c>
      <c r="E172" s="4">
        <f>States!C54</f>
        <v>39998157</v>
      </c>
      <c r="G172" s="13"/>
      <c r="H172" s="4">
        <f>SUM(G173:G193)</f>
        <v>1631306</v>
      </c>
      <c r="I172" s="4">
        <f>E172-H172</f>
        <v>38366851</v>
      </c>
      <c r="K172" s="4"/>
      <c r="L172" s="4" t="e">
        <f>K172-#REF!</f>
        <v>#REF!</v>
      </c>
    </row>
    <row r="173" spans="1:14" ht="12.75">
      <c r="A173" s="1" t="s">
        <v>187</v>
      </c>
      <c r="B173" s="4"/>
      <c r="D173" s="3" t="s">
        <v>65</v>
      </c>
      <c r="E173" s="4"/>
      <c r="F173" s="9">
        <v>0.00847</v>
      </c>
      <c r="G173" s="82">
        <f>ROUND($E$172*F173,0)</f>
        <v>338784</v>
      </c>
      <c r="H173" s="4"/>
      <c r="J173" s="43">
        <f>G173/$E$172</f>
        <v>0.00846999025480099</v>
      </c>
      <c r="K173" s="4" t="e">
        <f>ROUND(G173*(1-#REF!),0)</f>
        <v>#REF!</v>
      </c>
      <c r="L173" s="4" t="e">
        <f>K173-#REF!</f>
        <v>#REF!</v>
      </c>
      <c r="N173" s="43"/>
    </row>
    <row r="174" spans="1:14" ht="12.75">
      <c r="A174" s="1" t="s">
        <v>188</v>
      </c>
      <c r="B174" s="4"/>
      <c r="D174" s="3" t="s">
        <v>106</v>
      </c>
      <c r="E174" s="4"/>
      <c r="F174" s="9"/>
      <c r="G174" s="82">
        <v>8460</v>
      </c>
      <c r="H174" s="4"/>
      <c r="J174" s="43">
        <f aca="true" t="shared" si="23" ref="J174:J193">G174/$E$172</f>
        <v>0.00021150974531151522</v>
      </c>
      <c r="K174" s="4" t="e">
        <f>ROUND(G174*(1-#REF!),0)</f>
        <v>#REF!</v>
      </c>
      <c r="L174" s="4" t="e">
        <f>K174-#REF!</f>
        <v>#REF!</v>
      </c>
      <c r="N174" s="43"/>
    </row>
    <row r="175" spans="1:14" ht="12.75">
      <c r="A175" s="1" t="s">
        <v>189</v>
      </c>
      <c r="B175" s="4"/>
      <c r="D175" s="3" t="s">
        <v>65</v>
      </c>
      <c r="E175" s="4"/>
      <c r="F175" s="9">
        <v>0.000247</v>
      </c>
      <c r="G175" s="82">
        <f aca="true" t="shared" si="24" ref="G175:G193">ROUND($E$172*F175,0)</f>
        <v>9880</v>
      </c>
      <c r="H175" s="4"/>
      <c r="J175" s="43">
        <f t="shared" si="23"/>
        <v>0.0002470113810493818</v>
      </c>
      <c r="K175" s="4" t="e">
        <f>ROUND(G175*(1-#REF!),0)</f>
        <v>#REF!</v>
      </c>
      <c r="L175" s="4" t="e">
        <f>K175-#REF!</f>
        <v>#REF!</v>
      </c>
      <c r="N175" s="43"/>
    </row>
    <row r="176" spans="1:14" ht="12.75">
      <c r="A176" s="1" t="s">
        <v>190</v>
      </c>
      <c r="B176" s="4"/>
      <c r="D176" s="3" t="s">
        <v>65</v>
      </c>
      <c r="E176" s="4"/>
      <c r="F176" s="9">
        <v>0.000247</v>
      </c>
      <c r="G176" s="82">
        <f t="shared" si="24"/>
        <v>9880</v>
      </c>
      <c r="H176" s="4"/>
      <c r="J176" s="43">
        <f t="shared" si="23"/>
        <v>0.0002470113810493818</v>
      </c>
      <c r="K176" s="4" t="e">
        <f>ROUND(G176*(1-#REF!),0)</f>
        <v>#REF!</v>
      </c>
      <c r="L176" s="4" t="e">
        <f>K176-#REF!</f>
        <v>#REF!</v>
      </c>
      <c r="N176" s="43"/>
    </row>
    <row r="177" spans="1:14" ht="12.75">
      <c r="A177" s="1" t="s">
        <v>191</v>
      </c>
      <c r="B177" s="4"/>
      <c r="D177" s="3" t="s">
        <v>65</v>
      </c>
      <c r="E177" s="4"/>
      <c r="F177" s="9">
        <v>0.000604</v>
      </c>
      <c r="G177" s="82">
        <f t="shared" si="24"/>
        <v>24159</v>
      </c>
      <c r="H177" s="4"/>
      <c r="J177" s="43">
        <f t="shared" si="23"/>
        <v>0.000604002829430366</v>
      </c>
      <c r="K177" s="4" t="e">
        <f>ROUND(G177*(1-#REF!),0)</f>
        <v>#REF!</v>
      </c>
      <c r="L177" s="4" t="e">
        <f>K177-#REF!</f>
        <v>#REF!</v>
      </c>
      <c r="N177" s="43"/>
    </row>
    <row r="178" spans="1:14" ht="12.75">
      <c r="A178" s="1" t="s">
        <v>192</v>
      </c>
      <c r="B178" s="4"/>
      <c r="D178" s="3" t="s">
        <v>65</v>
      </c>
      <c r="E178" s="4"/>
      <c r="F178" s="9">
        <v>0.002499</v>
      </c>
      <c r="G178" s="82">
        <f t="shared" si="24"/>
        <v>99955</v>
      </c>
      <c r="H178" s="4"/>
      <c r="J178" s="43">
        <f t="shared" si="23"/>
        <v>0.002498990140970745</v>
      </c>
      <c r="K178" s="4" t="e">
        <f>ROUND(G178*(1-#REF!),0)</f>
        <v>#REF!</v>
      </c>
      <c r="L178" s="4" t="e">
        <f>K178-#REF!</f>
        <v>#REF!</v>
      </c>
      <c r="N178" s="43"/>
    </row>
    <row r="179" spans="1:14" ht="12.75">
      <c r="A179" s="1" t="s">
        <v>193</v>
      </c>
      <c r="B179" s="4"/>
      <c r="D179" s="3" t="s">
        <v>65</v>
      </c>
      <c r="E179" s="4"/>
      <c r="F179" s="9">
        <v>0.001949</v>
      </c>
      <c r="G179" s="82">
        <f t="shared" si="24"/>
        <v>77956</v>
      </c>
      <c r="H179" s="4"/>
      <c r="J179" s="43">
        <f t="shared" si="23"/>
        <v>0.0019489897997050213</v>
      </c>
      <c r="K179" s="4" t="e">
        <f>ROUND(G179*(1-#REF!),0)</f>
        <v>#REF!</v>
      </c>
      <c r="L179" s="4" t="e">
        <f>K179-#REF!</f>
        <v>#REF!</v>
      </c>
      <c r="N179" s="43"/>
    </row>
    <row r="180" spans="1:14" ht="12.75">
      <c r="A180" s="1" t="s">
        <v>194</v>
      </c>
      <c r="B180" s="4"/>
      <c r="D180" s="3" t="s">
        <v>65</v>
      </c>
      <c r="E180" s="4"/>
      <c r="F180" s="9">
        <v>0.000892</v>
      </c>
      <c r="G180" s="82">
        <f t="shared" si="24"/>
        <v>35678</v>
      </c>
      <c r="H180" s="4"/>
      <c r="J180" s="43">
        <f t="shared" si="23"/>
        <v>0.0008919910984898629</v>
      </c>
      <c r="K180" s="4" t="e">
        <f>ROUND(G180*(1-#REF!),0)</f>
        <v>#REF!</v>
      </c>
      <c r="L180" s="4" t="e">
        <f>K180-#REF!</f>
        <v>#REF!</v>
      </c>
      <c r="N180" s="43"/>
    </row>
    <row r="181" spans="1:14" ht="12.75">
      <c r="A181" s="1" t="s">
        <v>195</v>
      </c>
      <c r="B181" s="4"/>
      <c r="D181" s="3" t="s">
        <v>65</v>
      </c>
      <c r="E181" s="4"/>
      <c r="F181" s="9">
        <v>0.000686</v>
      </c>
      <c r="G181" s="82">
        <f t="shared" si="24"/>
        <v>27439</v>
      </c>
      <c r="H181" s="4"/>
      <c r="J181" s="43">
        <f t="shared" si="23"/>
        <v>0.0006860066077544523</v>
      </c>
      <c r="K181" s="4" t="e">
        <f>ROUND(G181*(1-#REF!),0)</f>
        <v>#REF!</v>
      </c>
      <c r="L181" s="4" t="e">
        <f>K181-#REF!</f>
        <v>#REF!</v>
      </c>
      <c r="N181" s="43"/>
    </row>
    <row r="182" spans="1:14" ht="12.75">
      <c r="A182" s="1" t="s">
        <v>196</v>
      </c>
      <c r="B182" s="4"/>
      <c r="D182" s="3" t="s">
        <v>65</v>
      </c>
      <c r="E182" s="4"/>
      <c r="F182" s="9">
        <v>0.000412</v>
      </c>
      <c r="G182" s="82">
        <f t="shared" si="24"/>
        <v>16479</v>
      </c>
      <c r="H182" s="4"/>
      <c r="J182" s="43">
        <f t="shared" si="23"/>
        <v>0.0004119939826227493</v>
      </c>
      <c r="K182" s="4" t="e">
        <f>ROUND(G182*(1-#REF!),0)</f>
        <v>#REF!</v>
      </c>
      <c r="L182" s="4" t="e">
        <f>K182-#REF!</f>
        <v>#REF!</v>
      </c>
      <c r="N182" s="43"/>
    </row>
    <row r="183" spans="1:14" ht="12.75">
      <c r="A183" s="1" t="s">
        <v>197</v>
      </c>
      <c r="B183" s="4"/>
      <c r="D183" s="3" t="s">
        <v>65</v>
      </c>
      <c r="E183" s="4"/>
      <c r="F183" s="9">
        <v>0.002787</v>
      </c>
      <c r="G183" s="82">
        <f t="shared" si="24"/>
        <v>111475</v>
      </c>
      <c r="H183" s="4"/>
      <c r="J183" s="43">
        <f t="shared" si="23"/>
        <v>0.00278700341118217</v>
      </c>
      <c r="K183" s="4" t="e">
        <f>ROUND(G183*(1-#REF!),0)</f>
        <v>#REF!</v>
      </c>
      <c r="L183" s="4" t="e">
        <f>K183-#REF!</f>
        <v>#REF!</v>
      </c>
      <c r="N183" s="43"/>
    </row>
    <row r="184" spans="1:14" ht="12.75">
      <c r="A184" s="1" t="s">
        <v>198</v>
      </c>
      <c r="B184" s="4"/>
      <c r="D184" s="3" t="s">
        <v>65</v>
      </c>
      <c r="E184" s="4"/>
      <c r="F184" s="9">
        <v>0.000796</v>
      </c>
      <c r="G184" s="82">
        <f t="shared" si="24"/>
        <v>31839</v>
      </c>
      <c r="H184" s="4"/>
      <c r="J184" s="43">
        <f t="shared" si="23"/>
        <v>0.0007960116762379827</v>
      </c>
      <c r="K184" s="4" t="e">
        <f>ROUND(G184*(1-#REF!),0)</f>
        <v>#REF!</v>
      </c>
      <c r="L184" s="4" t="e">
        <f>K184-#REF!</f>
        <v>#REF!</v>
      </c>
      <c r="N184" s="43"/>
    </row>
    <row r="185" spans="1:14" ht="12.75">
      <c r="A185" s="1" t="s">
        <v>199</v>
      </c>
      <c r="B185" s="4"/>
      <c r="D185" s="3" t="s">
        <v>65</v>
      </c>
      <c r="E185" s="4"/>
      <c r="F185" s="9">
        <v>0.002169</v>
      </c>
      <c r="G185" s="82">
        <f t="shared" si="24"/>
        <v>86756</v>
      </c>
      <c r="H185" s="4"/>
      <c r="J185" s="43">
        <f t="shared" si="23"/>
        <v>0.0021689999366720824</v>
      </c>
      <c r="K185" s="4" t="e">
        <f>ROUND(G185*(1-#REF!),0)</f>
        <v>#REF!</v>
      </c>
      <c r="L185" s="4" t="e">
        <f>K185-#REF!</f>
        <v>#REF!</v>
      </c>
      <c r="N185" s="43"/>
    </row>
    <row r="186" spans="1:14" ht="12.75">
      <c r="A186" s="1" t="s">
        <v>200</v>
      </c>
      <c r="B186" s="4"/>
      <c r="D186" s="3" t="s">
        <v>65</v>
      </c>
      <c r="E186" s="4"/>
      <c r="F186" s="9">
        <v>0.000823</v>
      </c>
      <c r="G186" s="82">
        <f t="shared" si="24"/>
        <v>32918</v>
      </c>
      <c r="H186" s="4"/>
      <c r="J186" s="43">
        <f t="shared" si="23"/>
        <v>0.0008229879191683757</v>
      </c>
      <c r="K186" s="4" t="e">
        <f>ROUND(G186*(1-#REF!),0)</f>
        <v>#REF!</v>
      </c>
      <c r="L186" s="4" t="e">
        <f>K186-#REF!</f>
        <v>#REF!</v>
      </c>
      <c r="N186" s="43"/>
    </row>
    <row r="187" spans="1:14" ht="12.75">
      <c r="A187" s="1" t="s">
        <v>201</v>
      </c>
      <c r="B187" s="4"/>
      <c r="D187" s="3" t="s">
        <v>65</v>
      </c>
      <c r="E187" s="4"/>
      <c r="F187" s="9">
        <v>0.001317</v>
      </c>
      <c r="G187" s="82">
        <f t="shared" si="24"/>
        <v>52678</v>
      </c>
      <c r="H187" s="4"/>
      <c r="J187" s="43">
        <f t="shared" si="23"/>
        <v>0.0013170106812671395</v>
      </c>
      <c r="K187" s="4" t="e">
        <f>ROUND(G187*(1-#REF!),0)</f>
        <v>#REF!</v>
      </c>
      <c r="L187" s="4" t="e">
        <f>K187-#REF!</f>
        <v>#REF!</v>
      </c>
      <c r="N187" s="43"/>
    </row>
    <row r="188" spans="1:14" ht="12.75">
      <c r="A188" s="1" t="s">
        <v>202</v>
      </c>
      <c r="B188" s="4"/>
      <c r="D188" s="3" t="s">
        <v>65</v>
      </c>
      <c r="E188" s="4"/>
      <c r="F188" s="9">
        <v>0.002782</v>
      </c>
      <c r="G188" s="82">
        <f t="shared" si="24"/>
        <v>111275</v>
      </c>
      <c r="H188" s="4"/>
      <c r="J188" s="43">
        <f t="shared" si="23"/>
        <v>0.002782003180796555</v>
      </c>
      <c r="K188" s="4" t="e">
        <f>ROUND(G188*(1-#REF!),0)</f>
        <v>#REF!</v>
      </c>
      <c r="L188" s="4" t="e">
        <f>K188-#REF!</f>
        <v>#REF!</v>
      </c>
      <c r="N188" s="43"/>
    </row>
    <row r="189" spans="1:14" ht="12.75">
      <c r="A189" s="1" t="s">
        <v>203</v>
      </c>
      <c r="B189" s="4"/>
      <c r="D189" s="3" t="s">
        <v>65</v>
      </c>
      <c r="E189" s="4"/>
      <c r="F189" s="9">
        <v>0.001744</v>
      </c>
      <c r="G189" s="82">
        <f t="shared" si="24"/>
        <v>69757</v>
      </c>
      <c r="H189" s="4"/>
      <c r="J189" s="43">
        <f t="shared" si="23"/>
        <v>0.0017440053550467338</v>
      </c>
      <c r="K189" s="4" t="e">
        <f>ROUND(G189*(1-#REF!),0)</f>
        <v>#REF!</v>
      </c>
      <c r="L189" s="4" t="e">
        <f>K189-#REF!</f>
        <v>#REF!</v>
      </c>
      <c r="N189" s="43"/>
    </row>
    <row r="190" spans="1:14" ht="12.75">
      <c r="A190" s="8" t="s">
        <v>234</v>
      </c>
      <c r="B190" s="4"/>
      <c r="D190" s="3" t="s">
        <v>65</v>
      </c>
      <c r="E190" s="4"/>
      <c r="F190" s="9">
        <v>0.000247</v>
      </c>
      <c r="G190" s="82">
        <f t="shared" si="24"/>
        <v>9880</v>
      </c>
      <c r="H190" s="4"/>
      <c r="J190" s="43">
        <f t="shared" si="23"/>
        <v>0.0002470113810493818</v>
      </c>
      <c r="K190" s="4" t="e">
        <f>ROUND(G190*(1-#REF!),0)</f>
        <v>#REF!</v>
      </c>
      <c r="L190" s="4" t="e">
        <f>K190-#REF!</f>
        <v>#REF!</v>
      </c>
      <c r="N190" s="43"/>
    </row>
    <row r="191" spans="1:14" ht="12.75">
      <c r="A191" s="1" t="s">
        <v>204</v>
      </c>
      <c r="B191" s="4"/>
      <c r="D191" s="3" t="s">
        <v>65</v>
      </c>
      <c r="E191" s="4"/>
      <c r="F191" s="9">
        <v>0.001057</v>
      </c>
      <c r="G191" s="82">
        <f t="shared" si="24"/>
        <v>42278</v>
      </c>
      <c r="H191" s="4"/>
      <c r="J191" s="43">
        <f t="shared" si="23"/>
        <v>0.0010569987012151584</v>
      </c>
      <c r="K191" s="4" t="e">
        <f>ROUND(G191*(1-#REF!),0)</f>
        <v>#REF!</v>
      </c>
      <c r="L191" s="4" t="e">
        <f>K191-#REF!</f>
        <v>#REF!</v>
      </c>
      <c r="N191" s="43"/>
    </row>
    <row r="192" spans="1:14" ht="12.75">
      <c r="A192" s="1" t="s">
        <v>231</v>
      </c>
      <c r="B192" s="4"/>
      <c r="D192" s="3" t="s">
        <v>65</v>
      </c>
      <c r="E192" s="4"/>
      <c r="F192" s="26">
        <v>0.001867</v>
      </c>
      <c r="G192" s="82">
        <f t="shared" si="24"/>
        <v>74677</v>
      </c>
      <c r="H192" s="4"/>
      <c r="J192" s="43">
        <f t="shared" si="23"/>
        <v>0.0018670110225328632</v>
      </c>
      <c r="K192" s="4" t="e">
        <f>ROUND(G192*(1-#REF!),0)</f>
        <v>#REF!</v>
      </c>
      <c r="L192" s="4" t="e">
        <f>K192-#REF!</f>
        <v>#REF!</v>
      </c>
      <c r="N192" s="43"/>
    </row>
    <row r="193" spans="1:14" ht="12.75">
      <c r="A193" s="1" t="s">
        <v>205</v>
      </c>
      <c r="B193" s="4"/>
      <c r="D193" s="3" t="s">
        <v>65</v>
      </c>
      <c r="E193" s="4"/>
      <c r="F193" s="9">
        <v>0.008978</v>
      </c>
      <c r="G193" s="82">
        <f t="shared" si="24"/>
        <v>359103</v>
      </c>
      <c r="H193" s="4"/>
      <c r="J193" s="43">
        <f t="shared" si="23"/>
        <v>0.008977988660827548</v>
      </c>
      <c r="K193" s="4" t="e">
        <f>ROUND(G193*(1-#REF!),0)</f>
        <v>#REF!</v>
      </c>
      <c r="L193" s="4" t="e">
        <f>K193-#REF!</f>
        <v>#REF!</v>
      </c>
      <c r="N193" s="43"/>
    </row>
    <row r="194" spans="1:12" ht="12.75">
      <c r="A194" s="11" t="s">
        <v>51</v>
      </c>
      <c r="B194" s="4"/>
      <c r="D194" s="3"/>
      <c r="E194" s="4">
        <f>States!C57</f>
        <v>5837544</v>
      </c>
      <c r="F194" s="9"/>
      <c r="G194" s="82"/>
      <c r="H194" s="18">
        <f>G195</f>
        <v>210000</v>
      </c>
      <c r="I194" s="4">
        <f>E194-H194</f>
        <v>5627544</v>
      </c>
      <c r="K194" s="4"/>
      <c r="L194" s="4" t="e">
        <f>K194-#REF!</f>
        <v>#REF!</v>
      </c>
    </row>
    <row r="195" spans="1:14" ht="13.5" thickBot="1">
      <c r="A195" s="1" t="s">
        <v>206</v>
      </c>
      <c r="B195" s="4"/>
      <c r="D195" s="3" t="s">
        <v>106</v>
      </c>
      <c r="E195" s="4"/>
      <c r="F195" s="9">
        <v>0.0146</v>
      </c>
      <c r="G195" s="82">
        <v>210000</v>
      </c>
      <c r="H195" s="4"/>
      <c r="J195" s="43">
        <f>G195/$E$194</f>
        <v>0.03597403291521229</v>
      </c>
      <c r="K195" s="4" t="e">
        <f>ROUND(G195*(1-#REF!),0)</f>
        <v>#REF!</v>
      </c>
      <c r="L195" s="4" t="e">
        <f>K195-#REF!</f>
        <v>#REF!</v>
      </c>
      <c r="N195" s="43"/>
    </row>
    <row r="196" spans="1:11" ht="13.5" thickTop="1">
      <c r="A196" s="27" t="s">
        <v>207</v>
      </c>
      <c r="B196" s="28"/>
      <c r="C196" s="28"/>
      <c r="D196" s="28"/>
      <c r="E196" s="29">
        <f>SUM(E12:E195)</f>
        <v>1008210845</v>
      </c>
      <c r="F196" s="28"/>
      <c r="G196" s="83">
        <f>SUM(G12:G195)</f>
        <v>21107343</v>
      </c>
      <c r="H196" s="29">
        <f>SUM(H12:H195)</f>
        <v>21107343</v>
      </c>
      <c r="I196" s="29">
        <f>SUM(I12:I195)</f>
        <v>987103502</v>
      </c>
      <c r="J196" s="29"/>
      <c r="K196" s="29"/>
    </row>
    <row r="198" ht="12.75">
      <c r="A198" s="30" t="s">
        <v>351</v>
      </c>
    </row>
    <row r="448" ht="12.75">
      <c r="J448" s="31"/>
    </row>
    <row r="450" ht="12.75">
      <c r="E450" s="31"/>
    </row>
    <row r="453" ht="12.75">
      <c r="E453" s="31"/>
    </row>
    <row r="454" ht="12.75">
      <c r="E454" s="31"/>
    </row>
    <row r="455" ht="12.75">
      <c r="E455" s="31"/>
    </row>
    <row r="456" ht="12.75">
      <c r="E456" s="31"/>
    </row>
    <row r="457" ht="12.75">
      <c r="E457" s="31"/>
    </row>
    <row r="458" ht="12.75">
      <c r="E458" s="31"/>
    </row>
    <row r="459" ht="12.75">
      <c r="E459" s="31"/>
    </row>
    <row r="460" ht="12.75">
      <c r="E460" s="31"/>
    </row>
    <row r="461" ht="12.75">
      <c r="E461" s="31"/>
    </row>
    <row r="462" ht="12.75">
      <c r="E462" s="31"/>
    </row>
    <row r="463" ht="12.75">
      <c r="E463" s="31"/>
    </row>
    <row r="464" ht="12.75">
      <c r="E464" s="31"/>
    </row>
    <row r="465" ht="12.75">
      <c r="E465" s="31"/>
    </row>
    <row r="466" ht="12.75">
      <c r="E466" s="31"/>
    </row>
    <row r="467" ht="12.75">
      <c r="E467" s="31"/>
    </row>
    <row r="468" ht="12.75">
      <c r="E468" s="31"/>
    </row>
    <row r="469" ht="12.75">
      <c r="E469" s="31"/>
    </row>
    <row r="470" ht="12.75">
      <c r="E470" s="31"/>
    </row>
    <row r="471" ht="12.75">
      <c r="E471" s="31"/>
    </row>
    <row r="472" ht="12.75">
      <c r="E472" s="31"/>
    </row>
    <row r="473" ht="12.75">
      <c r="E473" s="31"/>
    </row>
    <row r="474" ht="12.75">
      <c r="E474" s="31"/>
    </row>
    <row r="475" ht="12.75">
      <c r="E475" s="31"/>
    </row>
    <row r="476" ht="12.75">
      <c r="E476" s="31"/>
    </row>
    <row r="477" ht="12.75">
      <c r="E477" s="31"/>
    </row>
    <row r="478" ht="12.75">
      <c r="E478" s="31"/>
    </row>
    <row r="479" ht="12.75">
      <c r="E479" s="31"/>
    </row>
    <row r="480" ht="12.75">
      <c r="E480" s="31"/>
    </row>
    <row r="481" ht="12.75">
      <c r="E481" s="31"/>
    </row>
    <row r="482" ht="12.75">
      <c r="E482" s="31"/>
    </row>
    <row r="483" ht="12.75">
      <c r="E483" s="31"/>
    </row>
    <row r="484" ht="12.75">
      <c r="E484" s="31"/>
    </row>
    <row r="485" ht="12.75">
      <c r="E485" s="31"/>
    </row>
    <row r="486" ht="12.75">
      <c r="E486" s="31"/>
    </row>
    <row r="487" ht="12.75">
      <c r="E487" s="31"/>
    </row>
    <row r="488" ht="12.75">
      <c r="E488" s="31"/>
    </row>
    <row r="489" ht="12.75">
      <c r="E489" s="31"/>
    </row>
    <row r="490" ht="12.75">
      <c r="E490" s="31"/>
    </row>
    <row r="491" ht="12.75">
      <c r="E491" s="31"/>
    </row>
    <row r="492" ht="12.75">
      <c r="E492" s="31"/>
    </row>
    <row r="493" ht="12.75">
      <c r="E493" s="31"/>
    </row>
    <row r="494" ht="12.75">
      <c r="E494" s="31"/>
    </row>
    <row r="495" ht="12.75">
      <c r="E495" s="31"/>
    </row>
    <row r="496" ht="12.75">
      <c r="E496" s="31"/>
    </row>
    <row r="497" ht="12.75">
      <c r="E497" s="31"/>
    </row>
    <row r="498" ht="12.75">
      <c r="E498" s="31"/>
    </row>
    <row r="499" ht="12.75">
      <c r="E499" s="31"/>
    </row>
    <row r="500" ht="12.75">
      <c r="E500" s="31"/>
    </row>
    <row r="501" ht="12.75">
      <c r="E501" s="31"/>
    </row>
    <row r="502" ht="12.75">
      <c r="E502" s="31"/>
    </row>
    <row r="503" ht="12.75">
      <c r="E503" s="31"/>
    </row>
    <row r="504" ht="12.75">
      <c r="E504" s="31"/>
    </row>
    <row r="505" spans="5:11" ht="12.75">
      <c r="E505" s="31"/>
      <c r="G505" s="4"/>
      <c r="H505" s="4"/>
      <c r="I505" s="4"/>
      <c r="J505" s="4"/>
      <c r="K505" s="4"/>
    </row>
    <row r="507" spans="5:10" ht="12.75">
      <c r="E507" s="4"/>
      <c r="J507" s="4"/>
    </row>
    <row r="509" ht="12.75">
      <c r="J509" s="4"/>
    </row>
    <row r="510" spans="5:10" ht="12.75">
      <c r="E510" s="4"/>
      <c r="J510" s="4"/>
    </row>
    <row r="511" spans="5:10" ht="12.75">
      <c r="E511" s="4"/>
      <c r="J511" s="4"/>
    </row>
    <row r="512" spans="5:10" ht="12.75">
      <c r="E512" s="4"/>
      <c r="J512" s="4"/>
    </row>
    <row r="513" spans="5:10" ht="12.75">
      <c r="E513" s="4"/>
      <c r="J513" s="4"/>
    </row>
    <row r="514" spans="5:10" ht="12.75">
      <c r="E514" s="4"/>
      <c r="J514" s="4"/>
    </row>
    <row r="515" spans="5:10" ht="12.75">
      <c r="E515" s="4"/>
      <c r="J515" s="4"/>
    </row>
    <row r="516" spans="5:10" ht="12.75">
      <c r="E516" s="4"/>
      <c r="J516" s="4"/>
    </row>
  </sheetData>
  <sheetProtection/>
  <mergeCells count="1">
    <mergeCell ref="A1:J1"/>
  </mergeCells>
  <printOptions gridLines="1" horizontalCentered="1"/>
  <pageMargins left="0.25" right="0.25" top="0.5" bottom="0.75" header="0.5" footer="0.5"/>
  <pageSetup horizontalDpi="600" verticalDpi="600" orientation="landscape" scale="62" r:id="rId1"/>
  <headerFooter alignWithMargins="0">
    <oddFooter>&amp;L&amp;"Arial,Regular"'&amp;F' [&amp;A]&amp;C&amp;"Arial,Regular"                                              19-Nov-07&amp;R&amp;"Arial,Regular"Page &amp;P of &amp;N</oddFooter>
  </headerFooter>
  <rowBreaks count="3" manualBreakCount="3">
    <brk id="61" max="11" man="1"/>
    <brk id="110" max="11" man="1"/>
    <brk id="1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23.125" style="77" customWidth="1"/>
    <col min="2" max="2" width="3.375" style="77" customWidth="1"/>
    <col min="3" max="3" width="12.375" style="68" customWidth="1"/>
    <col min="4" max="5" width="11.625" style="68" customWidth="1"/>
    <col min="6" max="6" width="13.625" style="68" customWidth="1"/>
    <col min="7" max="7" width="12.125" style="68" customWidth="1"/>
    <col min="8" max="8" width="8.25390625" style="77" customWidth="1"/>
    <col min="9" max="16384" width="10.00390625" style="77" customWidth="1"/>
  </cols>
  <sheetData>
    <row r="1" spans="1:8" ht="12.75">
      <c r="A1" s="106" t="s">
        <v>296</v>
      </c>
      <c r="B1" s="106"/>
      <c r="C1" s="106"/>
      <c r="D1" s="106"/>
      <c r="E1" s="106"/>
      <c r="F1" s="106"/>
      <c r="G1" s="106"/>
      <c r="H1" s="106"/>
    </row>
    <row r="2" spans="1:8" ht="12.75">
      <c r="A2" s="76"/>
      <c r="B2" s="76"/>
      <c r="C2" s="76"/>
      <c r="D2" s="76"/>
      <c r="E2" s="76"/>
      <c r="F2" s="76"/>
      <c r="G2" s="76"/>
      <c r="H2" s="76"/>
    </row>
    <row r="3" ht="12.75">
      <c r="E3" s="69" t="s">
        <v>54</v>
      </c>
    </row>
    <row r="4" spans="1:7" s="76" customFormat="1" ht="12.75">
      <c r="A4" s="76" t="s">
        <v>238</v>
      </c>
      <c r="C4" s="69" t="s">
        <v>239</v>
      </c>
      <c r="D4" s="69" t="s">
        <v>240</v>
      </c>
      <c r="E4" s="69" t="s">
        <v>297</v>
      </c>
      <c r="F4" s="69" t="s">
        <v>242</v>
      </c>
      <c r="G4" s="69" t="s">
        <v>243</v>
      </c>
    </row>
    <row r="5" spans="3:8" s="76" customFormat="1" ht="12.75">
      <c r="C5" s="69" t="s">
        <v>244</v>
      </c>
      <c r="D5" s="69" t="s">
        <v>244</v>
      </c>
      <c r="E5" s="69" t="s">
        <v>298</v>
      </c>
      <c r="F5" s="69" t="s">
        <v>244</v>
      </c>
      <c r="G5" s="69" t="s">
        <v>244</v>
      </c>
      <c r="H5" s="76" t="s">
        <v>241</v>
      </c>
    </row>
    <row r="7" spans="1:9" ht="12.75">
      <c r="A7" s="77" t="s">
        <v>245</v>
      </c>
      <c r="C7" s="68">
        <v>0.45</v>
      </c>
      <c r="D7" s="68">
        <v>0.45</v>
      </c>
      <c r="E7" s="68">
        <f aca="true" t="shared" si="0" ref="E7:E38">C7+D7</f>
        <v>0.9</v>
      </c>
      <c r="F7" s="68">
        <v>0.1</v>
      </c>
      <c r="G7" s="68">
        <v>0</v>
      </c>
      <c r="H7" s="78">
        <f aca="true" t="shared" si="1" ref="H7:H38">+C7+D7+F7+G7</f>
        <v>1</v>
      </c>
      <c r="I7" s="78"/>
    </row>
    <row r="8" spans="1:9" ht="12.75">
      <c r="A8" s="77" t="s">
        <v>246</v>
      </c>
      <c r="C8" s="68">
        <v>0.5</v>
      </c>
      <c r="D8" s="68">
        <v>0.3</v>
      </c>
      <c r="E8" s="68">
        <f t="shared" si="0"/>
        <v>0.8</v>
      </c>
      <c r="F8" s="68">
        <v>0.1</v>
      </c>
      <c r="G8" s="68">
        <v>0.1</v>
      </c>
      <c r="H8" s="78">
        <f t="shared" si="1"/>
        <v>1</v>
      </c>
      <c r="I8" s="78"/>
    </row>
    <row r="9" spans="1:9" ht="12.75">
      <c r="A9" s="77" t="s">
        <v>247</v>
      </c>
      <c r="C9" s="68">
        <v>0.25</v>
      </c>
      <c r="D9" s="68">
        <v>0.25</v>
      </c>
      <c r="E9" s="68">
        <f t="shared" si="0"/>
        <v>0.5</v>
      </c>
      <c r="F9" s="68">
        <v>0.25</v>
      </c>
      <c r="G9" s="68">
        <v>0.25</v>
      </c>
      <c r="H9" s="78">
        <f t="shared" si="1"/>
        <v>1</v>
      </c>
      <c r="I9" s="78"/>
    </row>
    <row r="10" spans="1:9" ht="12.75">
      <c r="A10" s="77" t="s">
        <v>248</v>
      </c>
      <c r="C10" s="68">
        <v>0.7</v>
      </c>
      <c r="D10" s="68">
        <v>0.3</v>
      </c>
      <c r="E10" s="68">
        <f t="shared" si="0"/>
        <v>1</v>
      </c>
      <c r="F10" s="68">
        <v>0</v>
      </c>
      <c r="G10" s="68">
        <v>0</v>
      </c>
      <c r="H10" s="78">
        <f t="shared" si="1"/>
        <v>1</v>
      </c>
      <c r="I10" s="78"/>
    </row>
    <row r="11" spans="1:9" ht="12.75">
      <c r="A11" s="77" t="s">
        <v>249</v>
      </c>
      <c r="C11" s="68">
        <v>0.25</v>
      </c>
      <c r="D11" s="68">
        <v>0.25</v>
      </c>
      <c r="E11" s="68">
        <f t="shared" si="0"/>
        <v>0.5</v>
      </c>
      <c r="F11" s="68">
        <v>0.25</v>
      </c>
      <c r="G11" s="68">
        <v>0.25</v>
      </c>
      <c r="H11" s="78">
        <f t="shared" si="1"/>
        <v>1</v>
      </c>
      <c r="I11" s="78"/>
    </row>
    <row r="12" spans="1:9" ht="12.75">
      <c r="A12" s="77" t="s">
        <v>250</v>
      </c>
      <c r="C12" s="68">
        <v>0.5</v>
      </c>
      <c r="D12" s="68">
        <v>0.5</v>
      </c>
      <c r="E12" s="68">
        <f t="shared" si="0"/>
        <v>1</v>
      </c>
      <c r="F12" s="68">
        <v>0</v>
      </c>
      <c r="G12" s="68">
        <v>0</v>
      </c>
      <c r="H12" s="78">
        <f t="shared" si="1"/>
        <v>1</v>
      </c>
      <c r="I12" s="78"/>
    </row>
    <row r="13" spans="1:9" ht="12.75">
      <c r="A13" s="77" t="s">
        <v>251</v>
      </c>
      <c r="C13" s="68">
        <v>0.85</v>
      </c>
      <c r="D13" s="68">
        <v>0.15</v>
      </c>
      <c r="E13" s="68">
        <f t="shared" si="0"/>
        <v>1</v>
      </c>
      <c r="F13" s="68">
        <v>0</v>
      </c>
      <c r="G13" s="68">
        <v>0</v>
      </c>
      <c r="H13" s="78">
        <f t="shared" si="1"/>
        <v>1</v>
      </c>
      <c r="I13" s="78"/>
    </row>
    <row r="14" spans="1:9" ht="12.75">
      <c r="A14" s="77" t="s">
        <v>252</v>
      </c>
      <c r="C14" s="68">
        <v>0.7</v>
      </c>
      <c r="D14" s="68">
        <v>0.2</v>
      </c>
      <c r="E14" s="68">
        <f t="shared" si="0"/>
        <v>0.8999999999999999</v>
      </c>
      <c r="F14" s="68">
        <v>0.1</v>
      </c>
      <c r="G14" s="68">
        <v>0</v>
      </c>
      <c r="H14" s="78">
        <f t="shared" si="1"/>
        <v>0.9999999999999999</v>
      </c>
      <c r="I14" s="78"/>
    </row>
    <row r="15" spans="1:9" ht="12.75">
      <c r="A15" s="77" t="s">
        <v>253</v>
      </c>
      <c r="C15" s="68">
        <v>1</v>
      </c>
      <c r="D15" s="68">
        <v>0</v>
      </c>
      <c r="E15" s="68">
        <f t="shared" si="0"/>
        <v>1</v>
      </c>
      <c r="F15" s="68">
        <v>0</v>
      </c>
      <c r="G15" s="68">
        <v>0</v>
      </c>
      <c r="H15" s="78">
        <f t="shared" si="1"/>
        <v>1</v>
      </c>
      <c r="I15" s="78"/>
    </row>
    <row r="16" spans="1:9" ht="12.75">
      <c r="A16" s="77" t="s">
        <v>254</v>
      </c>
      <c r="C16" s="68">
        <v>0.9</v>
      </c>
      <c r="D16" s="68">
        <v>0</v>
      </c>
      <c r="E16" s="68">
        <f t="shared" si="0"/>
        <v>0.9</v>
      </c>
      <c r="F16" s="68">
        <v>0.1</v>
      </c>
      <c r="G16" s="68">
        <v>0</v>
      </c>
      <c r="H16" s="78">
        <f t="shared" si="1"/>
        <v>1</v>
      </c>
      <c r="I16" s="78"/>
    </row>
    <row r="17" spans="1:9" ht="12.75">
      <c r="A17" s="77" t="s">
        <v>255</v>
      </c>
      <c r="C17" s="68">
        <v>0.9</v>
      </c>
      <c r="D17" s="68">
        <v>0.1</v>
      </c>
      <c r="E17" s="68">
        <f t="shared" si="0"/>
        <v>1</v>
      </c>
      <c r="F17" s="68">
        <v>0</v>
      </c>
      <c r="G17" s="68">
        <v>0</v>
      </c>
      <c r="H17" s="78">
        <f t="shared" si="1"/>
        <v>1</v>
      </c>
      <c r="I17" s="78"/>
    </row>
    <row r="18" spans="1:9" ht="12.75">
      <c r="A18" s="77" t="s">
        <v>256</v>
      </c>
      <c r="C18" s="68">
        <v>0.25</v>
      </c>
      <c r="D18" s="68">
        <v>0.25</v>
      </c>
      <c r="E18" s="68">
        <f t="shared" si="0"/>
        <v>0.5</v>
      </c>
      <c r="F18" s="68">
        <v>0.25</v>
      </c>
      <c r="G18" s="68">
        <v>0.25</v>
      </c>
      <c r="H18" s="78">
        <f t="shared" si="1"/>
        <v>1</v>
      </c>
      <c r="I18" s="78"/>
    </row>
    <row r="19" spans="1:9" ht="12.75">
      <c r="A19" s="77" t="s">
        <v>257</v>
      </c>
      <c r="C19" s="68">
        <v>0.6</v>
      </c>
      <c r="D19" s="68">
        <v>0.3</v>
      </c>
      <c r="E19" s="68">
        <f t="shared" si="0"/>
        <v>0.8999999999999999</v>
      </c>
      <c r="F19" s="68">
        <v>0.1</v>
      </c>
      <c r="G19" s="68">
        <v>0</v>
      </c>
      <c r="H19" s="78">
        <f t="shared" si="1"/>
        <v>0.9999999999999999</v>
      </c>
      <c r="I19" s="78"/>
    </row>
    <row r="20" spans="1:9" ht="12.75">
      <c r="A20" s="77" t="s">
        <v>258</v>
      </c>
      <c r="C20" s="68">
        <v>1</v>
      </c>
      <c r="D20" s="68">
        <v>0</v>
      </c>
      <c r="E20" s="68">
        <f t="shared" si="0"/>
        <v>1</v>
      </c>
      <c r="F20" s="68">
        <v>0</v>
      </c>
      <c r="G20" s="68">
        <v>0</v>
      </c>
      <c r="H20" s="78">
        <f t="shared" si="1"/>
        <v>1</v>
      </c>
      <c r="I20" s="78"/>
    </row>
    <row r="21" spans="1:9" ht="12.75">
      <c r="A21" s="77" t="s">
        <v>259</v>
      </c>
      <c r="C21" s="68">
        <v>1</v>
      </c>
      <c r="D21" s="68">
        <v>0</v>
      </c>
      <c r="E21" s="68">
        <f t="shared" si="0"/>
        <v>1</v>
      </c>
      <c r="F21" s="68">
        <v>0</v>
      </c>
      <c r="G21" s="68">
        <v>0</v>
      </c>
      <c r="H21" s="78">
        <f t="shared" si="1"/>
        <v>1</v>
      </c>
      <c r="I21" s="78"/>
    </row>
    <row r="22" spans="1:9" ht="12.75">
      <c r="A22" s="77" t="s">
        <v>260</v>
      </c>
      <c r="C22" s="68">
        <v>0.9</v>
      </c>
      <c r="D22" s="68">
        <v>0.1</v>
      </c>
      <c r="E22" s="68">
        <f t="shared" si="0"/>
        <v>1</v>
      </c>
      <c r="F22" s="68">
        <v>0</v>
      </c>
      <c r="G22" s="68">
        <v>0</v>
      </c>
      <c r="H22" s="78">
        <f t="shared" si="1"/>
        <v>1</v>
      </c>
      <c r="I22" s="78"/>
    </row>
    <row r="23" spans="1:9" ht="12.75">
      <c r="A23" s="77" t="s">
        <v>261</v>
      </c>
      <c r="C23" s="68">
        <v>1</v>
      </c>
      <c r="D23" s="68">
        <v>0</v>
      </c>
      <c r="E23" s="68">
        <f t="shared" si="0"/>
        <v>1</v>
      </c>
      <c r="F23" s="68">
        <v>0</v>
      </c>
      <c r="G23" s="68">
        <v>0</v>
      </c>
      <c r="H23" s="78">
        <f t="shared" si="1"/>
        <v>1</v>
      </c>
      <c r="I23" s="78"/>
    </row>
    <row r="24" spans="1:9" ht="12.75">
      <c r="A24" s="77" t="s">
        <v>262</v>
      </c>
      <c r="C24" s="68">
        <v>0.9</v>
      </c>
      <c r="D24" s="68">
        <v>0.1</v>
      </c>
      <c r="E24" s="68">
        <f t="shared" si="0"/>
        <v>1</v>
      </c>
      <c r="F24" s="68">
        <v>0</v>
      </c>
      <c r="G24" s="68">
        <v>0</v>
      </c>
      <c r="H24" s="78">
        <f t="shared" si="1"/>
        <v>1</v>
      </c>
      <c r="I24" s="78"/>
    </row>
    <row r="25" spans="1:9" ht="12.75">
      <c r="A25" s="77" t="s">
        <v>263</v>
      </c>
      <c r="C25" s="68">
        <v>0.9</v>
      </c>
      <c r="D25" s="68">
        <v>0</v>
      </c>
      <c r="E25" s="68">
        <f t="shared" si="0"/>
        <v>0.9</v>
      </c>
      <c r="F25" s="68">
        <v>0.1</v>
      </c>
      <c r="G25" s="68">
        <v>0</v>
      </c>
      <c r="H25" s="78">
        <f t="shared" si="1"/>
        <v>1</v>
      </c>
      <c r="I25" s="78"/>
    </row>
    <row r="26" spans="1:9" ht="12.75">
      <c r="A26" s="77" t="s">
        <v>264</v>
      </c>
      <c r="C26" s="68">
        <v>1</v>
      </c>
      <c r="D26" s="68">
        <v>0</v>
      </c>
      <c r="E26" s="68">
        <f t="shared" si="0"/>
        <v>1</v>
      </c>
      <c r="F26" s="68">
        <v>0</v>
      </c>
      <c r="G26" s="68">
        <v>0</v>
      </c>
      <c r="H26" s="78">
        <f t="shared" si="1"/>
        <v>1</v>
      </c>
      <c r="I26" s="78"/>
    </row>
    <row r="27" spans="1:9" ht="12.75">
      <c r="A27" s="77" t="s">
        <v>265</v>
      </c>
      <c r="C27" s="68">
        <v>0.75</v>
      </c>
      <c r="D27" s="68">
        <v>0.2</v>
      </c>
      <c r="E27" s="68">
        <f t="shared" si="0"/>
        <v>0.95</v>
      </c>
      <c r="F27" s="68">
        <v>0.05</v>
      </c>
      <c r="G27" s="68">
        <v>0</v>
      </c>
      <c r="H27" s="78">
        <f t="shared" si="1"/>
        <v>1</v>
      </c>
      <c r="I27" s="78"/>
    </row>
    <row r="28" spans="1:9" ht="12.75">
      <c r="A28" s="77" t="s">
        <v>266</v>
      </c>
      <c r="C28" s="68">
        <v>1</v>
      </c>
      <c r="D28" s="68">
        <v>0</v>
      </c>
      <c r="E28" s="68">
        <f t="shared" si="0"/>
        <v>1</v>
      </c>
      <c r="F28" s="68">
        <v>0</v>
      </c>
      <c r="G28" s="68">
        <v>0</v>
      </c>
      <c r="H28" s="78">
        <f t="shared" si="1"/>
        <v>1</v>
      </c>
      <c r="I28" s="78"/>
    </row>
    <row r="29" spans="1:9" ht="12.75">
      <c r="A29" s="77" t="s">
        <v>267</v>
      </c>
      <c r="C29" s="68">
        <v>0.65</v>
      </c>
      <c r="D29" s="68">
        <v>0.15</v>
      </c>
      <c r="E29" s="68">
        <f t="shared" si="0"/>
        <v>0.8</v>
      </c>
      <c r="F29" s="68">
        <v>0.15</v>
      </c>
      <c r="G29" s="68">
        <v>0.05</v>
      </c>
      <c r="H29" s="78">
        <f t="shared" si="1"/>
        <v>1</v>
      </c>
      <c r="I29" s="78"/>
    </row>
    <row r="30" spans="1:9" ht="12.75">
      <c r="A30" s="77" t="s">
        <v>268</v>
      </c>
      <c r="C30" s="68">
        <v>1</v>
      </c>
      <c r="D30" s="68">
        <v>0</v>
      </c>
      <c r="E30" s="68">
        <f t="shared" si="0"/>
        <v>1</v>
      </c>
      <c r="F30" s="68">
        <v>0</v>
      </c>
      <c r="G30" s="68">
        <v>0</v>
      </c>
      <c r="H30" s="78">
        <f t="shared" si="1"/>
        <v>1</v>
      </c>
      <c r="I30" s="78"/>
    </row>
    <row r="31" spans="1:9" ht="12.75">
      <c r="A31" s="77" t="s">
        <v>269</v>
      </c>
      <c r="C31" s="68">
        <v>0.9</v>
      </c>
      <c r="D31" s="68">
        <v>0.1</v>
      </c>
      <c r="E31" s="68">
        <f t="shared" si="0"/>
        <v>1</v>
      </c>
      <c r="F31" s="68">
        <v>0</v>
      </c>
      <c r="G31" s="68">
        <v>0</v>
      </c>
      <c r="H31" s="78">
        <f t="shared" si="1"/>
        <v>1</v>
      </c>
      <c r="I31" s="78"/>
    </row>
    <row r="32" spans="1:9" ht="12.75">
      <c r="A32" s="77" t="s">
        <v>270</v>
      </c>
      <c r="C32" s="68">
        <v>0.9</v>
      </c>
      <c r="D32" s="68">
        <v>0.05</v>
      </c>
      <c r="E32" s="68">
        <f t="shared" si="0"/>
        <v>0.9500000000000001</v>
      </c>
      <c r="F32" s="68">
        <v>0</v>
      </c>
      <c r="G32" s="68">
        <v>0.05</v>
      </c>
      <c r="H32" s="78">
        <f t="shared" si="1"/>
        <v>1</v>
      </c>
      <c r="I32" s="78"/>
    </row>
    <row r="33" spans="1:9" ht="12.75">
      <c r="A33" s="77" t="s">
        <v>271</v>
      </c>
      <c r="C33" s="68">
        <v>0.85</v>
      </c>
      <c r="D33" s="68">
        <v>0.15</v>
      </c>
      <c r="E33" s="68">
        <f t="shared" si="0"/>
        <v>1</v>
      </c>
      <c r="F33" s="68">
        <v>0</v>
      </c>
      <c r="G33" s="68">
        <v>0</v>
      </c>
      <c r="H33" s="78">
        <f t="shared" si="1"/>
        <v>1</v>
      </c>
      <c r="I33" s="78"/>
    </row>
    <row r="34" spans="1:9" ht="12.75">
      <c r="A34" s="77" t="s">
        <v>272</v>
      </c>
      <c r="C34" s="68">
        <v>0.75</v>
      </c>
      <c r="D34" s="68">
        <v>0.1</v>
      </c>
      <c r="E34" s="68">
        <f t="shared" si="0"/>
        <v>0.85</v>
      </c>
      <c r="F34" s="68">
        <v>0.1</v>
      </c>
      <c r="G34" s="68">
        <v>0.05</v>
      </c>
      <c r="H34" s="78">
        <f t="shared" si="1"/>
        <v>1</v>
      </c>
      <c r="I34" s="78"/>
    </row>
    <row r="35" spans="1:9" ht="12.75">
      <c r="A35" s="77" t="s">
        <v>273</v>
      </c>
      <c r="C35" s="68">
        <v>1</v>
      </c>
      <c r="D35" s="68">
        <v>0</v>
      </c>
      <c r="E35" s="68">
        <f t="shared" si="0"/>
        <v>1</v>
      </c>
      <c r="F35" s="68">
        <v>0</v>
      </c>
      <c r="G35" s="68">
        <v>0</v>
      </c>
      <c r="H35" s="78">
        <f t="shared" si="1"/>
        <v>1</v>
      </c>
      <c r="I35" s="78"/>
    </row>
    <row r="36" spans="1:9" ht="12.75">
      <c r="A36" s="77" t="s">
        <v>274</v>
      </c>
      <c r="C36" s="68">
        <v>0.9</v>
      </c>
      <c r="D36" s="68">
        <v>0</v>
      </c>
      <c r="E36" s="68">
        <f t="shared" si="0"/>
        <v>0.9</v>
      </c>
      <c r="F36" s="68">
        <v>0</v>
      </c>
      <c r="G36" s="68">
        <v>0.1</v>
      </c>
      <c r="H36" s="78">
        <f t="shared" si="1"/>
        <v>1</v>
      </c>
      <c r="I36" s="78"/>
    </row>
    <row r="37" spans="1:9" ht="12.75">
      <c r="A37" s="77" t="s">
        <v>275</v>
      </c>
      <c r="C37" s="68">
        <v>1</v>
      </c>
      <c r="D37" s="68">
        <v>0</v>
      </c>
      <c r="E37" s="68">
        <f t="shared" si="0"/>
        <v>1</v>
      </c>
      <c r="F37" s="68">
        <v>0</v>
      </c>
      <c r="G37" s="68">
        <v>0</v>
      </c>
      <c r="H37" s="78">
        <f t="shared" si="1"/>
        <v>1</v>
      </c>
      <c r="I37" s="78"/>
    </row>
    <row r="38" spans="1:9" ht="12.75">
      <c r="A38" s="77" t="s">
        <v>276</v>
      </c>
      <c r="C38" s="68">
        <v>1</v>
      </c>
      <c r="D38" s="68">
        <v>0</v>
      </c>
      <c r="E38" s="68">
        <f t="shared" si="0"/>
        <v>1</v>
      </c>
      <c r="F38" s="68">
        <v>0</v>
      </c>
      <c r="G38" s="68">
        <v>0</v>
      </c>
      <c r="H38" s="78">
        <f t="shared" si="1"/>
        <v>1</v>
      </c>
      <c r="I38" s="78"/>
    </row>
    <row r="39" spans="1:9" ht="12.75">
      <c r="A39" s="77" t="s">
        <v>277</v>
      </c>
      <c r="C39" s="68">
        <v>1</v>
      </c>
      <c r="D39" s="68">
        <v>0</v>
      </c>
      <c r="E39" s="68">
        <f aca="true" t="shared" si="2" ref="E39:E57">C39+D39</f>
        <v>1</v>
      </c>
      <c r="F39" s="68">
        <v>0</v>
      </c>
      <c r="G39" s="68">
        <v>0</v>
      </c>
      <c r="H39" s="78">
        <f aca="true" t="shared" si="3" ref="H39:H57">+C39+D39+F39+G39</f>
        <v>1</v>
      </c>
      <c r="I39" s="78"/>
    </row>
    <row r="40" spans="1:9" ht="12.75">
      <c r="A40" s="77" t="s">
        <v>278</v>
      </c>
      <c r="C40" s="68">
        <v>0.25</v>
      </c>
      <c r="D40" s="68">
        <v>0.45</v>
      </c>
      <c r="E40" s="68">
        <f t="shared" si="2"/>
        <v>0.7</v>
      </c>
      <c r="F40" s="68">
        <v>0.2</v>
      </c>
      <c r="G40" s="68">
        <v>0.1</v>
      </c>
      <c r="H40" s="78">
        <f t="shared" si="3"/>
        <v>0.9999999999999999</v>
      </c>
      <c r="I40" s="78"/>
    </row>
    <row r="41" spans="1:9" ht="12.75">
      <c r="A41" s="77" t="s">
        <v>279</v>
      </c>
      <c r="C41" s="68">
        <v>0.5</v>
      </c>
      <c r="D41" s="68">
        <v>0.5</v>
      </c>
      <c r="E41" s="68">
        <f t="shared" si="2"/>
        <v>1</v>
      </c>
      <c r="F41" s="68">
        <v>0</v>
      </c>
      <c r="G41" s="68">
        <v>0</v>
      </c>
      <c r="H41" s="78">
        <f t="shared" si="3"/>
        <v>1</v>
      </c>
      <c r="I41" s="78"/>
    </row>
    <row r="42" spans="1:9" ht="12.75">
      <c r="A42" s="77" t="s">
        <v>280</v>
      </c>
      <c r="C42" s="68">
        <v>0.9</v>
      </c>
      <c r="D42" s="68">
        <v>0.05</v>
      </c>
      <c r="E42" s="68">
        <f t="shared" si="2"/>
        <v>0.9500000000000001</v>
      </c>
      <c r="F42" s="68">
        <v>0.05</v>
      </c>
      <c r="G42" s="68">
        <v>0</v>
      </c>
      <c r="H42" s="78">
        <f t="shared" si="3"/>
        <v>1</v>
      </c>
      <c r="I42" s="78"/>
    </row>
    <row r="43" spans="1:9" ht="12.75">
      <c r="A43" s="77" t="s">
        <v>281</v>
      </c>
      <c r="C43" s="68">
        <v>0.9</v>
      </c>
      <c r="D43" s="68">
        <v>0</v>
      </c>
      <c r="E43" s="68">
        <f t="shared" si="2"/>
        <v>0.9</v>
      </c>
      <c r="F43" s="68">
        <v>0.1</v>
      </c>
      <c r="G43" s="68">
        <v>0</v>
      </c>
      <c r="H43" s="78">
        <f t="shared" si="3"/>
        <v>1</v>
      </c>
      <c r="I43" s="78"/>
    </row>
    <row r="44" spans="1:9" ht="12.75">
      <c r="A44" s="77" t="s">
        <v>282</v>
      </c>
      <c r="C44" s="68">
        <v>0.9</v>
      </c>
      <c r="D44" s="68">
        <v>0.1</v>
      </c>
      <c r="E44" s="68">
        <f t="shared" si="2"/>
        <v>1</v>
      </c>
      <c r="F44" s="68">
        <v>0</v>
      </c>
      <c r="G44" s="68">
        <v>0</v>
      </c>
      <c r="H44" s="78">
        <f t="shared" si="3"/>
        <v>1</v>
      </c>
      <c r="I44" s="78"/>
    </row>
    <row r="45" spans="1:9" ht="12.75">
      <c r="A45" s="77" t="s">
        <v>283</v>
      </c>
      <c r="C45" s="68">
        <v>0.75</v>
      </c>
      <c r="D45" s="68">
        <v>0.15</v>
      </c>
      <c r="E45" s="68">
        <f t="shared" si="2"/>
        <v>0.9</v>
      </c>
      <c r="F45" s="68">
        <v>0.05</v>
      </c>
      <c r="G45" s="68">
        <v>0.05</v>
      </c>
      <c r="H45" s="78">
        <f t="shared" si="3"/>
        <v>1</v>
      </c>
      <c r="I45" s="78"/>
    </row>
    <row r="46" spans="1:9" ht="12.75">
      <c r="A46" s="77" t="s">
        <v>284</v>
      </c>
      <c r="C46" s="68">
        <v>0.75</v>
      </c>
      <c r="D46" s="68">
        <v>0.25</v>
      </c>
      <c r="E46" s="68">
        <f t="shared" si="2"/>
        <v>1</v>
      </c>
      <c r="F46" s="68">
        <v>0</v>
      </c>
      <c r="G46" s="68">
        <v>0</v>
      </c>
      <c r="H46" s="78">
        <f t="shared" si="3"/>
        <v>1</v>
      </c>
      <c r="I46" s="78"/>
    </row>
    <row r="47" spans="1:9" ht="12.75">
      <c r="A47" s="77" t="s">
        <v>285</v>
      </c>
      <c r="C47" s="68">
        <v>0.5</v>
      </c>
      <c r="D47" s="68">
        <v>0.25</v>
      </c>
      <c r="E47" s="68">
        <f t="shared" si="2"/>
        <v>0.75</v>
      </c>
      <c r="F47" s="68">
        <v>0.25</v>
      </c>
      <c r="G47" s="68">
        <v>0</v>
      </c>
      <c r="H47" s="78">
        <f t="shared" si="3"/>
        <v>1</v>
      </c>
      <c r="I47" s="78"/>
    </row>
    <row r="48" spans="1:9" ht="12.75">
      <c r="A48" s="77" t="s">
        <v>286</v>
      </c>
      <c r="C48" s="68">
        <v>0.9</v>
      </c>
      <c r="D48" s="68">
        <v>0.08</v>
      </c>
      <c r="E48" s="68">
        <f t="shared" si="2"/>
        <v>0.98</v>
      </c>
      <c r="F48" s="68">
        <v>0.01</v>
      </c>
      <c r="G48" s="68">
        <v>0.01</v>
      </c>
      <c r="H48" s="78">
        <f t="shared" si="3"/>
        <v>1</v>
      </c>
      <c r="I48" s="78"/>
    </row>
    <row r="49" spans="1:9" ht="12.75">
      <c r="A49" s="77" t="s">
        <v>287</v>
      </c>
      <c r="C49" s="68">
        <v>0.25</v>
      </c>
      <c r="D49" s="68">
        <v>0.25</v>
      </c>
      <c r="E49" s="68">
        <f t="shared" si="2"/>
        <v>0.5</v>
      </c>
      <c r="F49" s="68">
        <v>0.25</v>
      </c>
      <c r="G49" s="68">
        <v>0.25</v>
      </c>
      <c r="H49" s="78">
        <f t="shared" si="3"/>
        <v>1</v>
      </c>
      <c r="I49" s="78"/>
    </row>
    <row r="50" spans="1:9" ht="12.75">
      <c r="A50" s="77" t="s">
        <v>288</v>
      </c>
      <c r="C50" s="68">
        <v>0.85</v>
      </c>
      <c r="D50" s="68">
        <v>0.15</v>
      </c>
      <c r="E50" s="68">
        <f t="shared" si="2"/>
        <v>1</v>
      </c>
      <c r="F50" s="68">
        <v>0</v>
      </c>
      <c r="G50" s="68">
        <v>0</v>
      </c>
      <c r="H50" s="78">
        <f t="shared" si="3"/>
        <v>1</v>
      </c>
      <c r="I50" s="78"/>
    </row>
    <row r="51" spans="1:9" ht="12.75">
      <c r="A51" s="77" t="s">
        <v>289</v>
      </c>
      <c r="C51" s="68">
        <v>0.6</v>
      </c>
      <c r="D51" s="68">
        <v>0.3</v>
      </c>
      <c r="E51" s="68">
        <f t="shared" si="2"/>
        <v>0.8999999999999999</v>
      </c>
      <c r="F51" s="68">
        <v>0.05</v>
      </c>
      <c r="G51" s="68">
        <v>0.05</v>
      </c>
      <c r="H51" s="78">
        <f t="shared" si="3"/>
        <v>1</v>
      </c>
      <c r="I51" s="78"/>
    </row>
    <row r="52" spans="1:9" ht="12.75">
      <c r="A52" s="77" t="s">
        <v>290</v>
      </c>
      <c r="C52" s="68">
        <v>0.88</v>
      </c>
      <c r="D52" s="68">
        <v>0.02</v>
      </c>
      <c r="E52" s="68">
        <f t="shared" si="2"/>
        <v>0.9</v>
      </c>
      <c r="F52" s="68">
        <v>0.08</v>
      </c>
      <c r="G52" s="68">
        <v>0.02</v>
      </c>
      <c r="H52" s="78">
        <f t="shared" si="3"/>
        <v>1</v>
      </c>
      <c r="I52" s="78"/>
    </row>
    <row r="53" spans="1:9" ht="12.75">
      <c r="A53" s="77" t="s">
        <v>291</v>
      </c>
      <c r="C53" s="68">
        <v>0.51</v>
      </c>
      <c r="D53" s="68">
        <v>0.25</v>
      </c>
      <c r="E53" s="68">
        <f t="shared" si="2"/>
        <v>0.76</v>
      </c>
      <c r="F53" s="68">
        <v>0.08</v>
      </c>
      <c r="G53" s="68">
        <v>0.16</v>
      </c>
      <c r="H53" s="78">
        <f t="shared" si="3"/>
        <v>1</v>
      </c>
      <c r="I53" s="78"/>
    </row>
    <row r="54" spans="1:9" ht="12.75">
      <c r="A54" s="77" t="s">
        <v>292</v>
      </c>
      <c r="C54" s="68">
        <v>0.75</v>
      </c>
      <c r="D54" s="68">
        <v>0.25</v>
      </c>
      <c r="E54" s="68">
        <f t="shared" si="2"/>
        <v>1</v>
      </c>
      <c r="F54" s="68">
        <v>0</v>
      </c>
      <c r="G54" s="68">
        <v>0</v>
      </c>
      <c r="H54" s="78">
        <f t="shared" si="3"/>
        <v>1</v>
      </c>
      <c r="I54" s="78"/>
    </row>
    <row r="55" spans="1:9" ht="12.75">
      <c r="A55" s="77" t="s">
        <v>293</v>
      </c>
      <c r="C55" s="68">
        <v>0.8</v>
      </c>
      <c r="D55" s="68">
        <v>0.2</v>
      </c>
      <c r="E55" s="68">
        <f t="shared" si="2"/>
        <v>1</v>
      </c>
      <c r="F55" s="68">
        <v>0</v>
      </c>
      <c r="G55" s="68">
        <v>0</v>
      </c>
      <c r="H55" s="78">
        <f t="shared" si="3"/>
        <v>1</v>
      </c>
      <c r="I55" s="78"/>
    </row>
    <row r="56" spans="1:9" ht="12.75">
      <c r="A56" s="77" t="s">
        <v>294</v>
      </c>
      <c r="C56" s="68">
        <v>1</v>
      </c>
      <c r="D56" s="68">
        <v>0</v>
      </c>
      <c r="E56" s="68">
        <f t="shared" si="2"/>
        <v>1</v>
      </c>
      <c r="F56" s="68">
        <v>0</v>
      </c>
      <c r="G56" s="68">
        <v>0</v>
      </c>
      <c r="H56" s="78">
        <f t="shared" si="3"/>
        <v>1</v>
      </c>
      <c r="I56" s="78"/>
    </row>
    <row r="57" spans="1:9" ht="12.75">
      <c r="A57" s="77" t="s">
        <v>295</v>
      </c>
      <c r="C57" s="68">
        <v>0.5</v>
      </c>
      <c r="D57" s="68">
        <v>0.5</v>
      </c>
      <c r="E57" s="68">
        <f t="shared" si="2"/>
        <v>1</v>
      </c>
      <c r="F57" s="68">
        <v>0</v>
      </c>
      <c r="G57" s="68">
        <v>0</v>
      </c>
      <c r="H57" s="78">
        <f t="shared" si="3"/>
        <v>1</v>
      </c>
      <c r="I57" s="78"/>
    </row>
  </sheetData>
  <mergeCells count="1">
    <mergeCell ref="A1:H1"/>
  </mergeCells>
  <printOptions gridLines="1"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2008-01-03T14:16:37Z</cp:lastPrinted>
  <dcterms:created xsi:type="dcterms:W3CDTF">2005-12-20T14:12:07Z</dcterms:created>
  <dcterms:modified xsi:type="dcterms:W3CDTF">2008-01-03T17:43:22Z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