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4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50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52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<sst xmlns="http://schemas.openxmlformats.org/spreadsheetml/2006/main" count="41" uniqueCount="34">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</sst>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9" borderId="9" xfId="19" applyNumberFormat="1" applyFont="1" applyFill="1" applyBorder="1" applyAlignment="1">
      <alignment/>
      <protection/>
    </xf>
    <xf numFmtId="3" fontId="2" fillId="9" borderId="9" xfId="19" applyNumberFormat="1" applyFont="1" applyFill="1" applyBorder="1" applyAlignment="1">
      <alignment horizontal="center"/>
      <protection/>
    </xf>
    <xf numFmtId="164" fontId="2" fillId="11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3" xfId="19" applyNumberFormat="1" applyFont="1" applyFill="1" applyBorder="1" applyAlignment="1">
      <alignment/>
      <protection/>
    </xf>
    <xf numFmtId="3" fontId="2" fillId="9" borderId="14" xfId="19" applyNumberFormat="1" applyFont="1" applyFill="1" applyBorder="1" applyAlignment="1">
      <alignment horizontal="center"/>
      <protection/>
    </xf>
    <xf numFmtId="164" fontId="2" fillId="11" borderId="14" xfId="19" applyNumberFormat="1" applyFont="1" applyFill="1" applyBorder="1" applyAlignment="1">
      <alignment/>
      <protection/>
    </xf>
    <xf numFmtId="164" fontId="2" fillId="7" borderId="14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6" xfId="19" applyNumberFormat="1" applyFont="1" applyFill="1" applyBorder="1" applyAlignment="1">
      <alignment horizontal="center" vertical="center" wrapText="1"/>
      <protection/>
    </xf>
    <xf numFmtId="3" fontId="5" fillId="4" borderId="11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3" fontId="1" fillId="5" borderId="17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8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catonica_Crop_RWA_Matrix_052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Pecatonica River</v>
          </cell>
          <cell r="H3" t="str">
            <v>07090003</v>
          </cell>
        </row>
        <row r="5">
          <cell r="C5" t="str">
            <v>Cropland/Hayland</v>
          </cell>
          <cell r="H5">
            <v>850638</v>
          </cell>
          <cell r="K5">
            <v>0.06</v>
          </cell>
        </row>
        <row r="7">
          <cell r="C7">
            <v>60</v>
          </cell>
          <cell r="H7">
            <v>0.2</v>
          </cell>
          <cell r="K7">
            <v>0.5</v>
          </cell>
        </row>
        <row r="9">
          <cell r="G9">
            <v>0.033333333333333375</v>
          </cell>
        </row>
        <row r="14">
          <cell r="C14">
            <v>127595.7</v>
          </cell>
          <cell r="I14">
            <v>114836.13</v>
          </cell>
          <cell r="J14">
            <v>114836.13</v>
          </cell>
          <cell r="K14">
            <v>0</v>
          </cell>
        </row>
        <row r="21">
          <cell r="C21">
            <v>637978.5</v>
          </cell>
          <cell r="I21">
            <v>631598.715</v>
          </cell>
          <cell r="J21">
            <v>625218.9299999999</v>
          </cell>
          <cell r="K21">
            <v>6379.785000000033</v>
          </cell>
        </row>
        <row r="27">
          <cell r="C27">
            <v>85063.8</v>
          </cell>
          <cell r="I27">
            <v>104203.155</v>
          </cell>
          <cell r="J27">
            <v>85063.8</v>
          </cell>
          <cell r="K27">
            <v>19139.354999999996</v>
          </cell>
        </row>
      </sheetData>
      <sheetData sheetId="9">
        <row r="5">
          <cell r="A5" t="str">
            <v>Conservation Crop Rotation   (ac.)  328</v>
          </cell>
          <cell r="B5">
            <v>328</v>
          </cell>
          <cell r="G5">
            <v>114836.13</v>
          </cell>
          <cell r="H5">
            <v>103352.517</v>
          </cell>
          <cell r="I5">
            <v>0</v>
          </cell>
          <cell r="J5">
            <v>103352.517</v>
          </cell>
          <cell r="K5">
            <v>3</v>
          </cell>
          <cell r="L5">
            <v>3</v>
          </cell>
          <cell r="M5">
            <v>2</v>
          </cell>
          <cell r="N5">
            <v>0</v>
          </cell>
        </row>
        <row r="6">
          <cell r="A6" t="str">
            <v>Grassed Waterway   (ac.)  412</v>
          </cell>
          <cell r="B6">
            <v>412</v>
          </cell>
          <cell r="G6">
            <v>1913.9354999999998</v>
          </cell>
          <cell r="H6">
            <v>1722.54195</v>
          </cell>
          <cell r="I6">
            <v>0</v>
          </cell>
          <cell r="J6">
            <v>1722.54195</v>
          </cell>
          <cell r="K6">
            <v>0</v>
          </cell>
          <cell r="L6">
            <v>5</v>
          </cell>
          <cell r="M6">
            <v>2</v>
          </cell>
          <cell r="N6">
            <v>1</v>
          </cell>
        </row>
        <row r="7">
          <cell r="A7" t="str">
            <v>Residue and Tillage Management, Mulch Till (ac.) 345</v>
          </cell>
          <cell r="B7">
            <v>345</v>
          </cell>
          <cell r="G7">
            <v>63797.85</v>
          </cell>
          <cell r="H7">
            <v>57418.065</v>
          </cell>
          <cell r="I7">
            <v>0</v>
          </cell>
          <cell r="J7">
            <v>57418.065</v>
          </cell>
          <cell r="K7">
            <v>4</v>
          </cell>
          <cell r="L7">
            <v>2</v>
          </cell>
          <cell r="M7">
            <v>3</v>
          </cell>
          <cell r="N7">
            <v>1</v>
          </cell>
        </row>
        <row r="8">
          <cell r="A8" t="str">
            <v>na</v>
          </cell>
          <cell r="B8" t="str">
            <v>na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na</v>
          </cell>
          <cell r="B9" t="str">
            <v>na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3">
          <cell r="A13" t="str">
            <v>Conservation Crop Rotation   (ac.)  328</v>
          </cell>
          <cell r="B13">
            <v>328</v>
          </cell>
          <cell r="C13">
            <v>15</v>
          </cell>
          <cell r="D13">
            <v>1</v>
          </cell>
          <cell r="E13">
            <v>0</v>
          </cell>
          <cell r="G13">
            <v>637978.5</v>
          </cell>
          <cell r="H13">
            <v>630960.7364999999</v>
          </cell>
          <cell r="I13">
            <v>637.9785000000848</v>
          </cell>
          <cell r="J13">
            <v>631598.715</v>
          </cell>
          <cell r="K13">
            <v>3</v>
          </cell>
          <cell r="L13">
            <v>3</v>
          </cell>
          <cell r="M13">
            <v>2</v>
          </cell>
          <cell r="N13">
            <v>0</v>
          </cell>
        </row>
        <row r="14">
          <cell r="A14" t="str">
            <v>Contour Buffer Strips (ac.)  332</v>
          </cell>
          <cell r="B14">
            <v>332</v>
          </cell>
          <cell r="C14">
            <v>90</v>
          </cell>
          <cell r="D14">
            <v>10</v>
          </cell>
          <cell r="E14">
            <v>0.03</v>
          </cell>
          <cell r="G14">
            <v>31898.925000000003</v>
          </cell>
          <cell r="H14">
            <v>31260.9465</v>
          </cell>
          <cell r="I14">
            <v>318.98925000000236</v>
          </cell>
          <cell r="J14">
            <v>31579.93575</v>
          </cell>
          <cell r="K14">
            <v>4</v>
          </cell>
          <cell r="L14">
            <v>3</v>
          </cell>
          <cell r="M14">
            <v>3</v>
          </cell>
          <cell r="N14">
            <v>1</v>
          </cell>
        </row>
        <row r="15">
          <cell r="A15" t="str">
            <v>Contour Farming   (ac.)  330</v>
          </cell>
          <cell r="B15">
            <v>330</v>
          </cell>
          <cell r="C15">
            <v>48</v>
          </cell>
          <cell r="D15">
            <v>1</v>
          </cell>
          <cell r="E15">
            <v>0</v>
          </cell>
          <cell r="G15">
            <v>172254.195</v>
          </cell>
          <cell r="H15">
            <v>168809.11109999998</v>
          </cell>
          <cell r="I15">
            <v>1722.5419500000135</v>
          </cell>
          <cell r="J15">
            <v>170531.65305</v>
          </cell>
          <cell r="K15">
            <v>3</v>
          </cell>
          <cell r="L15">
            <v>3</v>
          </cell>
          <cell r="M15">
            <v>3</v>
          </cell>
          <cell r="N15">
            <v>0</v>
          </cell>
        </row>
        <row r="16">
          <cell r="A16" t="str">
            <v>Grassed Waterway   (ac.)  412</v>
          </cell>
          <cell r="B16">
            <v>412</v>
          </cell>
          <cell r="C16">
            <v>6100</v>
          </cell>
          <cell r="D16">
            <v>10</v>
          </cell>
          <cell r="E16">
            <v>0.02</v>
          </cell>
          <cell r="G16">
            <v>12759.57</v>
          </cell>
          <cell r="H16">
            <v>12600.075374999999</v>
          </cell>
          <cell r="I16">
            <v>31.898925000001327</v>
          </cell>
          <cell r="J16">
            <v>12631.9743</v>
          </cell>
          <cell r="K16">
            <v>0</v>
          </cell>
          <cell r="L16">
            <v>5</v>
          </cell>
          <cell r="M16">
            <v>2</v>
          </cell>
          <cell r="N16">
            <v>1</v>
          </cell>
        </row>
        <row r="17">
          <cell r="A17" t="str">
            <v>Nutrient Management   (ac.)  590</v>
          </cell>
          <cell r="B17">
            <v>590</v>
          </cell>
          <cell r="C17">
            <v>10.5</v>
          </cell>
          <cell r="D17">
            <v>1</v>
          </cell>
          <cell r="E17">
            <v>0</v>
          </cell>
          <cell r="G17">
            <v>446584.94999999995</v>
          </cell>
          <cell r="H17">
            <v>437653.25099999993</v>
          </cell>
          <cell r="I17">
            <v>4465.849500000011</v>
          </cell>
          <cell r="J17">
            <v>442119.10049999994</v>
          </cell>
          <cell r="K17">
            <v>1</v>
          </cell>
          <cell r="L17">
            <v>1</v>
          </cell>
          <cell r="M17">
            <v>5</v>
          </cell>
          <cell r="N17">
            <v>1</v>
          </cell>
        </row>
        <row r="18">
          <cell r="A18" t="str">
            <v>Residue and Tillage Management, Mulch Till (ac.) 345</v>
          </cell>
          <cell r="B18">
            <v>345</v>
          </cell>
          <cell r="C18">
            <v>20</v>
          </cell>
          <cell r="D18">
            <v>1</v>
          </cell>
          <cell r="E18">
            <v>0</v>
          </cell>
          <cell r="G18">
            <v>382787.1</v>
          </cell>
          <cell r="H18">
            <v>378321.25049999997</v>
          </cell>
          <cell r="I18">
            <v>637.9785000000265</v>
          </cell>
          <cell r="J18">
            <v>378959.229</v>
          </cell>
          <cell r="K18">
            <v>4</v>
          </cell>
          <cell r="L18">
            <v>2</v>
          </cell>
          <cell r="M18">
            <v>3</v>
          </cell>
          <cell r="N18">
            <v>1</v>
          </cell>
        </row>
        <row r="19">
          <cell r="A19" t="str">
            <v>Residue Management, No-Till/Strip Till/Direct Seed (ac.)  329</v>
          </cell>
          <cell r="B19">
            <v>329</v>
          </cell>
          <cell r="C19">
            <v>33.6</v>
          </cell>
          <cell r="D19">
            <v>1</v>
          </cell>
          <cell r="E19">
            <v>0</v>
          </cell>
          <cell r="G19">
            <v>127595.70000000001</v>
          </cell>
          <cell r="H19">
            <v>125043.786</v>
          </cell>
          <cell r="I19">
            <v>1275.9570000000094</v>
          </cell>
          <cell r="J19">
            <v>126319.743</v>
          </cell>
          <cell r="K19">
            <v>5</v>
          </cell>
          <cell r="L19">
            <v>3</v>
          </cell>
          <cell r="M19">
            <v>3</v>
          </cell>
          <cell r="N19">
            <v>1</v>
          </cell>
        </row>
        <row r="20">
          <cell r="A20" t="str">
            <v>Stripcropping (ac.)  585</v>
          </cell>
          <cell r="B20">
            <v>585</v>
          </cell>
          <cell r="C20">
            <v>53</v>
          </cell>
          <cell r="D20">
            <v>5</v>
          </cell>
          <cell r="E20">
            <v>0</v>
          </cell>
          <cell r="G20">
            <v>95696.775</v>
          </cell>
          <cell r="H20">
            <v>93782.83949999999</v>
          </cell>
          <cell r="I20">
            <v>956.9677500000107</v>
          </cell>
          <cell r="J20">
            <v>94739.80725</v>
          </cell>
          <cell r="K20">
            <v>4</v>
          </cell>
          <cell r="L20">
            <v>2</v>
          </cell>
          <cell r="M20">
            <v>1</v>
          </cell>
          <cell r="N20">
            <v>1</v>
          </cell>
        </row>
        <row r="21">
          <cell r="A21" t="str">
            <v>na</v>
          </cell>
          <cell r="B21" t="str">
            <v>na</v>
          </cell>
          <cell r="C21" t="str">
            <v>0</v>
          </cell>
          <cell r="D21" t="str">
            <v>0</v>
          </cell>
          <cell r="E21" t="str">
            <v>0</v>
          </cell>
          <cell r="G21" t="str">
            <v>0</v>
          </cell>
          <cell r="H21">
            <v>0</v>
          </cell>
          <cell r="I21">
            <v>0</v>
          </cell>
          <cell r="J21" t="str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na</v>
          </cell>
          <cell r="B22" t="str">
            <v>na</v>
          </cell>
          <cell r="C22" t="str">
            <v>0</v>
          </cell>
          <cell r="D22" t="str">
            <v>0</v>
          </cell>
          <cell r="E22" t="str">
            <v>0</v>
          </cell>
          <cell r="G22" t="str">
            <v>0</v>
          </cell>
          <cell r="H22">
            <v>0</v>
          </cell>
          <cell r="I22">
            <v>0</v>
          </cell>
          <cell r="J22" t="str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6">
          <cell r="A26" t="str">
            <v>Conservation Crop Rotation   (ac.)  328</v>
          </cell>
          <cell r="B26">
            <v>328</v>
          </cell>
          <cell r="C26">
            <v>15</v>
          </cell>
          <cell r="D26">
            <v>1</v>
          </cell>
          <cell r="E26">
            <v>0</v>
          </cell>
          <cell r="G26">
            <v>85063.8</v>
          </cell>
          <cell r="H26">
            <v>103565.1765</v>
          </cell>
          <cell r="I26">
            <v>637.9784999999974</v>
          </cell>
          <cell r="J26">
            <v>104203.155</v>
          </cell>
          <cell r="K26">
            <v>3</v>
          </cell>
          <cell r="L26">
            <v>3</v>
          </cell>
          <cell r="M26">
            <v>2</v>
          </cell>
          <cell r="N26">
            <v>0</v>
          </cell>
        </row>
        <row r="27">
          <cell r="A27" t="str">
            <v>Contour Buffer Strips (ac.)  332</v>
          </cell>
          <cell r="B27">
            <v>332</v>
          </cell>
          <cell r="C27">
            <v>90</v>
          </cell>
          <cell r="D27">
            <v>10</v>
          </cell>
          <cell r="E27">
            <v>0.03</v>
          </cell>
          <cell r="G27">
            <v>8506.380000000001</v>
          </cell>
          <cell r="H27">
            <v>9144.3585</v>
          </cell>
          <cell r="I27">
            <v>1275.9570000000003</v>
          </cell>
          <cell r="J27">
            <v>10420.3155</v>
          </cell>
          <cell r="K27">
            <v>4</v>
          </cell>
          <cell r="L27">
            <v>3</v>
          </cell>
          <cell r="M27">
            <v>3</v>
          </cell>
          <cell r="N27">
            <v>1</v>
          </cell>
        </row>
        <row r="28">
          <cell r="A28" t="str">
            <v>Contour Farming   (ac.)  330</v>
          </cell>
          <cell r="B28">
            <v>330</v>
          </cell>
          <cell r="C28">
            <v>48</v>
          </cell>
          <cell r="D28">
            <v>1</v>
          </cell>
          <cell r="E28">
            <v>0</v>
          </cell>
          <cell r="G28">
            <v>34025.520000000004</v>
          </cell>
          <cell r="H28">
            <v>37470.6039</v>
          </cell>
          <cell r="I28">
            <v>4210.658100000001</v>
          </cell>
          <cell r="J28">
            <v>41681.262</v>
          </cell>
          <cell r="K28">
            <v>3</v>
          </cell>
          <cell r="L28">
            <v>3</v>
          </cell>
          <cell r="M28">
            <v>3</v>
          </cell>
          <cell r="N28">
            <v>0</v>
          </cell>
        </row>
        <row r="29">
          <cell r="A29" t="str">
            <v>Grade Stabilization Structure   (no.)  410</v>
          </cell>
          <cell r="B29">
            <v>410</v>
          </cell>
          <cell r="C29">
            <v>9900</v>
          </cell>
          <cell r="D29">
            <v>15</v>
          </cell>
          <cell r="E29">
            <v>0.01</v>
          </cell>
          <cell r="G29">
            <v>354.4325</v>
          </cell>
          <cell r="H29">
            <v>354.4325</v>
          </cell>
          <cell r="I29">
            <v>79.74731249999996</v>
          </cell>
          <cell r="J29">
            <v>434.17981249999997</v>
          </cell>
          <cell r="K29">
            <v>0</v>
          </cell>
          <cell r="L29">
            <v>4</v>
          </cell>
          <cell r="M29">
            <v>0</v>
          </cell>
          <cell r="N29">
            <v>0</v>
          </cell>
        </row>
        <row r="30">
          <cell r="A30" t="str">
            <v>Grassed Waterway   (ac.)  412</v>
          </cell>
          <cell r="B30">
            <v>412</v>
          </cell>
          <cell r="C30">
            <v>6100</v>
          </cell>
          <cell r="D30">
            <v>10</v>
          </cell>
          <cell r="E30">
            <v>0.02</v>
          </cell>
          <cell r="G30">
            <v>2551.914</v>
          </cell>
          <cell r="H30">
            <v>2902.8021750000003</v>
          </cell>
          <cell r="I30">
            <v>223.29247499999974</v>
          </cell>
          <cell r="J30">
            <v>3126.09465</v>
          </cell>
          <cell r="K30">
            <v>0</v>
          </cell>
          <cell r="L30">
            <v>5</v>
          </cell>
          <cell r="M30">
            <v>2</v>
          </cell>
          <cell r="N30">
            <v>1</v>
          </cell>
        </row>
        <row r="31">
          <cell r="A31" t="str">
            <v>Nutrient Management   (ac.)  590</v>
          </cell>
          <cell r="B31">
            <v>590</v>
          </cell>
          <cell r="C31">
            <v>10.5</v>
          </cell>
          <cell r="D31">
            <v>1</v>
          </cell>
          <cell r="E31">
            <v>0</v>
          </cell>
          <cell r="G31">
            <v>85063.8</v>
          </cell>
          <cell r="H31">
            <v>93995.499</v>
          </cell>
          <cell r="I31">
            <v>10207.656000000003</v>
          </cell>
          <cell r="J31">
            <v>104203.155</v>
          </cell>
          <cell r="K31">
            <v>1</v>
          </cell>
          <cell r="L31">
            <v>1</v>
          </cell>
          <cell r="M31">
            <v>5</v>
          </cell>
          <cell r="N31">
            <v>1</v>
          </cell>
        </row>
        <row r="32">
          <cell r="A32" t="str">
            <v>Residue and Tillage Management, Mulch Till (ac.) 345</v>
          </cell>
          <cell r="B32">
            <v>345</v>
          </cell>
          <cell r="C32">
            <v>20</v>
          </cell>
          <cell r="D32">
            <v>1</v>
          </cell>
          <cell r="E32">
            <v>0</v>
          </cell>
          <cell r="G32">
            <v>34025.520000000004</v>
          </cell>
          <cell r="H32">
            <v>41681.262</v>
          </cell>
          <cell r="I32">
            <v>0</v>
          </cell>
          <cell r="J32">
            <v>41681.262</v>
          </cell>
          <cell r="K32">
            <v>4</v>
          </cell>
          <cell r="L32">
            <v>2</v>
          </cell>
          <cell r="M32">
            <v>3</v>
          </cell>
          <cell r="N32">
            <v>1</v>
          </cell>
        </row>
        <row r="33">
          <cell r="A33" t="str">
            <v>Residue Management, No-Till/Strip Till/Direct Seed (ac.)  329</v>
          </cell>
          <cell r="B33">
            <v>329</v>
          </cell>
          <cell r="C33">
            <v>33.6</v>
          </cell>
          <cell r="D33">
            <v>1</v>
          </cell>
          <cell r="E33">
            <v>0</v>
          </cell>
          <cell r="G33">
            <v>51038.28</v>
          </cell>
          <cell r="H33">
            <v>53590.193999999996</v>
          </cell>
          <cell r="I33">
            <v>8931.699</v>
          </cell>
          <cell r="J33">
            <v>62521.893</v>
          </cell>
          <cell r="K33">
            <v>5</v>
          </cell>
          <cell r="L33">
            <v>3</v>
          </cell>
          <cell r="M33">
            <v>3</v>
          </cell>
          <cell r="N33">
            <v>1</v>
          </cell>
        </row>
        <row r="34">
          <cell r="A34" t="str">
            <v>Sediment Basin   (no.)  350</v>
          </cell>
          <cell r="B34">
            <v>350</v>
          </cell>
          <cell r="C34">
            <v>5100</v>
          </cell>
          <cell r="D34">
            <v>20</v>
          </cell>
          <cell r="E34">
            <v>0.03</v>
          </cell>
          <cell r="G34">
            <v>21.26595</v>
          </cell>
          <cell r="H34">
            <v>21.26595</v>
          </cell>
          <cell r="I34">
            <v>4.784838749999999</v>
          </cell>
          <cell r="J34">
            <v>26.05078875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</row>
        <row r="35">
          <cell r="A35" t="str">
            <v>Stripcropping (ac.)  585</v>
          </cell>
          <cell r="B35">
            <v>585</v>
          </cell>
          <cell r="C35">
            <v>53</v>
          </cell>
          <cell r="D35">
            <v>5</v>
          </cell>
          <cell r="E35">
            <v>0</v>
          </cell>
          <cell r="G35">
            <v>17012.760000000002</v>
          </cell>
          <cell r="H35">
            <v>18926.6955</v>
          </cell>
          <cell r="I35">
            <v>1913.9354999999996</v>
          </cell>
          <cell r="J35">
            <v>20840.631</v>
          </cell>
          <cell r="K35">
            <v>4</v>
          </cell>
          <cell r="L35">
            <v>2</v>
          </cell>
          <cell r="M35">
            <v>1</v>
          </cell>
          <cell r="N35">
            <v>1</v>
          </cell>
        </row>
        <row r="36">
          <cell r="A36" t="str">
            <v>Upland Wildlife Habitat Management   (ac.)  645</v>
          </cell>
          <cell r="B36">
            <v>645</v>
          </cell>
          <cell r="C36">
            <v>10</v>
          </cell>
          <cell r="D36">
            <v>1</v>
          </cell>
          <cell r="E36">
            <v>0</v>
          </cell>
          <cell r="G36">
            <v>2126.5950000000003</v>
          </cell>
          <cell r="H36">
            <v>2126.5950000000003</v>
          </cell>
          <cell r="I36">
            <v>478.4838749999999</v>
          </cell>
          <cell r="J36">
            <v>2605.078875</v>
          </cell>
          <cell r="K36">
            <v>0</v>
          </cell>
          <cell r="L36">
            <v>0</v>
          </cell>
          <cell r="M36">
            <v>0</v>
          </cell>
          <cell r="N36">
            <v>5</v>
          </cell>
        </row>
        <row r="37">
          <cell r="A37" t="str">
            <v>Waste Storage Facility   (no.)  313</v>
          </cell>
          <cell r="B37">
            <v>313</v>
          </cell>
          <cell r="C37">
            <v>130000</v>
          </cell>
          <cell r="D37">
            <v>15</v>
          </cell>
          <cell r="E37">
            <v>0.02</v>
          </cell>
          <cell r="G37">
            <v>141.77300000000002</v>
          </cell>
          <cell r="H37">
            <v>141.77300000000002</v>
          </cell>
          <cell r="I37">
            <v>31.89892499999999</v>
          </cell>
          <cell r="J37">
            <v>173.67192500000002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A38" t="str">
            <v>Waste Utilization   (ac.)  633</v>
          </cell>
          <cell r="B38">
            <v>633</v>
          </cell>
          <cell r="C38">
            <v>15</v>
          </cell>
          <cell r="D38">
            <v>1</v>
          </cell>
          <cell r="E38">
            <v>0</v>
          </cell>
          <cell r="G38">
            <v>17012.760000000002</v>
          </cell>
          <cell r="H38">
            <v>17012.760000000002</v>
          </cell>
          <cell r="I38">
            <v>3827.870999999999</v>
          </cell>
          <cell r="J38">
            <v>20840.631</v>
          </cell>
          <cell r="K38">
            <v>1</v>
          </cell>
          <cell r="L38">
            <v>0</v>
          </cell>
          <cell r="M38">
            <v>3</v>
          </cell>
          <cell r="N38">
            <v>0</v>
          </cell>
        </row>
        <row r="39">
          <cell r="A39" t="str">
            <v>na</v>
          </cell>
          <cell r="B39" t="str">
            <v>na</v>
          </cell>
          <cell r="C39" t="str">
            <v>0</v>
          </cell>
          <cell r="D39" t="str">
            <v>0</v>
          </cell>
          <cell r="E39" t="str">
            <v>0</v>
          </cell>
          <cell r="G39" t="str">
            <v>0</v>
          </cell>
          <cell r="H39">
            <v>0</v>
          </cell>
          <cell r="I39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na</v>
          </cell>
          <cell r="B40" t="str">
            <v>na</v>
          </cell>
          <cell r="C40" t="str">
            <v>0</v>
          </cell>
          <cell r="D40" t="str">
            <v>0</v>
          </cell>
          <cell r="E40" t="str">
            <v>0</v>
          </cell>
          <cell r="G40" t="str">
            <v>0</v>
          </cell>
          <cell r="H40">
            <v>0</v>
          </cell>
          <cell r="I40">
            <v>0</v>
          </cell>
          <cell r="J40" t="str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na</v>
          </cell>
          <cell r="B41" t="str">
            <v>na</v>
          </cell>
          <cell r="C41" t="str">
            <v>0</v>
          </cell>
          <cell r="D41" t="str">
            <v>0</v>
          </cell>
          <cell r="E41" t="str">
            <v>0</v>
          </cell>
          <cell r="G41" t="str">
            <v>0</v>
          </cell>
          <cell r="H41">
            <v>0</v>
          </cell>
          <cell r="I41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na</v>
          </cell>
          <cell r="B42" t="str">
            <v>na</v>
          </cell>
          <cell r="C42" t="str">
            <v>0</v>
          </cell>
          <cell r="D42" t="str">
            <v>0</v>
          </cell>
          <cell r="E42" t="str">
            <v>0</v>
          </cell>
          <cell r="G42" t="str">
            <v>0</v>
          </cell>
          <cell r="H42">
            <v>0</v>
          </cell>
          <cell r="I42">
            <v>0</v>
          </cell>
          <cell r="J42" t="str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72">
          <cell r="K72">
            <v>3</v>
          </cell>
          <cell r="L72">
            <v>4</v>
          </cell>
          <cell r="M72">
            <v>2</v>
          </cell>
          <cell r="N72">
            <v>0</v>
          </cell>
        </row>
        <row r="113">
          <cell r="K113">
            <v>5</v>
          </cell>
          <cell r="L113">
            <v>5</v>
          </cell>
          <cell r="M113">
            <v>5</v>
          </cell>
          <cell r="N113">
            <v>1</v>
          </cell>
        </row>
        <row r="175">
          <cell r="K175">
            <v>5</v>
          </cell>
          <cell r="L175">
            <v>5</v>
          </cell>
          <cell r="M175">
            <v>5</v>
          </cell>
          <cell r="N175">
            <v>4</v>
          </cell>
        </row>
      </sheetData>
      <sheetData sheetId="10">
        <row r="6">
          <cell r="I6" t="str">
            <v>Soil Erosion – Sheet and Rill</v>
          </cell>
          <cell r="J6" t="str">
            <v>Soil Erosion – Ephemeral Gully</v>
          </cell>
          <cell r="K6" t="str">
            <v>Water Quality – Excessive Nutrients and Organics in Surface Water</v>
          </cell>
          <cell r="L6" t="str">
            <v>Fish and Wildlife – Inadequate Cover/Shelter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45.8515625" style="0" customWidth="1"/>
    <col min="2" max="2" width="18.57421875" style="0" customWidth="1"/>
    <col min="3" max="3" width="11.57421875" style="0" customWidth="1"/>
    <col min="4" max="4" width="10.140625" style="0" customWidth="1"/>
    <col min="7" max="7" width="15.140625" style="0" customWidth="1"/>
    <col min="8" max="8" width="10.28125" style="0" customWidth="1"/>
    <col min="9" max="9" width="12.8515625" style="0" customWidth="1"/>
  </cols>
  <sheetData>
    <row r="1" spans="1:9" ht="12.75">
      <c r="A1" s="1" t="s">
        <v>0</v>
      </c>
      <c r="B1" s="84" t="str">
        <f>UPPER(CONCATENATE(huc_name," - ",huc_code))</f>
        <v>PECATONICA RIVER - 07090003</v>
      </c>
      <c r="C1" s="84"/>
      <c r="D1" s="84"/>
      <c r="E1" s="84"/>
      <c r="F1" s="76" t="s">
        <v>1</v>
      </c>
      <c r="G1" s="76"/>
      <c r="H1" s="85">
        <f>landuse_acres</f>
        <v>850638</v>
      </c>
      <c r="I1" s="85"/>
    </row>
    <row r="2" spans="1:9" ht="12.75">
      <c r="A2" s="1" t="s">
        <v>2</v>
      </c>
      <c r="B2" s="86" t="str">
        <f>UPPER(landuse)</f>
        <v>CROPLAND/HAYLAND</v>
      </c>
      <c r="C2" s="86"/>
      <c r="D2" s="86"/>
      <c r="E2" s="86"/>
      <c r="F2" s="76" t="s">
        <v>3</v>
      </c>
      <c r="G2" s="76"/>
      <c r="H2" s="84">
        <f>TU</f>
        <v>60</v>
      </c>
      <c r="I2" s="84"/>
    </row>
    <row r="3" spans="1:9" ht="12.75">
      <c r="A3" s="15" t="s">
        <v>4</v>
      </c>
      <c r="B3" s="65"/>
      <c r="C3" s="65"/>
      <c r="D3" s="65"/>
      <c r="E3" s="66"/>
      <c r="F3" s="76" t="s">
        <v>5</v>
      </c>
      <c r="G3" s="76"/>
      <c r="H3" s="77">
        <f>calc_part_rate</f>
        <v>0.033333333333333375</v>
      </c>
      <c r="I3" s="77"/>
    </row>
    <row r="4" spans="1:9" ht="12.75">
      <c r="A4" s="78" t="s">
        <v>6</v>
      </c>
      <c r="B4" s="81" t="s">
        <v>7</v>
      </c>
      <c r="C4" s="82" t="s">
        <v>8</v>
      </c>
      <c r="D4" s="82"/>
      <c r="E4" s="82"/>
      <c r="F4" s="83" t="s">
        <v>9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90">
      <c r="A6" s="80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Soil Erosion – Sheet and Rill</v>
      </c>
      <c r="G6" s="4" t="str">
        <f>res_con2</f>
        <v>Soil Erosion – Ephemeral Gully</v>
      </c>
      <c r="H6" s="4" t="str">
        <f>res_con3</f>
        <v>Water Quality – Excessive Nutrients and Organics in Surface Water</v>
      </c>
      <c r="I6" s="4" t="str">
        <f>res_con4</f>
        <v>Fish and Wildlife – Inadequate Cover/Shelter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13</v>
      </c>
      <c r="B8" s="73" t="s">
        <v>14</v>
      </c>
      <c r="C8" s="73"/>
      <c r="D8" s="73"/>
      <c r="E8" s="73"/>
      <c r="F8" s="6">
        <f>'[1]Computations'!K72</f>
        <v>3</v>
      </c>
      <c r="G8" s="6">
        <f>'[1]Computations'!L72</f>
        <v>4</v>
      </c>
      <c r="H8" s="6">
        <f>'[1]Computations'!M72</f>
        <v>2</v>
      </c>
      <c r="I8" s="6">
        <f>'[1]Computations'!N72</f>
        <v>0</v>
      </c>
    </row>
    <row r="9" spans="1:9" ht="12.75">
      <c r="A9" s="7" t="s">
        <v>15</v>
      </c>
      <c r="B9" s="8">
        <f>at_b_cur_ac</f>
        <v>127595.7</v>
      </c>
      <c r="C9" s="8">
        <f>at_b_unch_ac</f>
        <v>114836.13</v>
      </c>
      <c r="D9" s="8">
        <f>at_b_new_ac</f>
        <v>0</v>
      </c>
      <c r="E9" s="8">
        <f>at_b_total_ac</f>
        <v>114836.13</v>
      </c>
      <c r="F9" s="58"/>
      <c r="G9" s="59"/>
      <c r="H9" s="59"/>
      <c r="I9" s="60"/>
    </row>
    <row r="10" spans="1:9" ht="12.75">
      <c r="A10" s="9" t="str">
        <f>IF('[1]Computations'!$B5="na","No Conservation Practices being applied at this level",'[1]Computations'!A5)</f>
        <v>Conservation Crop Rotation   (ac.)  328</v>
      </c>
      <c r="B10" s="10">
        <f>IF($A10="na","na",'[1]Computations'!G5)</f>
        <v>114836.13</v>
      </c>
      <c r="C10" s="10">
        <f>IF($A10="na","na",'[1]Computations'!H5)</f>
        <v>103352.517</v>
      </c>
      <c r="D10" s="10">
        <f>IF($A10="na","na",'[1]Computations'!I5)</f>
        <v>0</v>
      </c>
      <c r="E10" s="10">
        <f>IF($A10="na","na",'[1]Computations'!J5)</f>
        <v>103352.517</v>
      </c>
      <c r="F10" s="11">
        <f>IF($A10="na","na",'[1]Computations'!K5)</f>
        <v>3</v>
      </c>
      <c r="G10" s="11">
        <f>IF($A10="na","na",'[1]Computations'!L5)</f>
        <v>3</v>
      </c>
      <c r="H10" s="11">
        <f>IF($A10="na","na",'[1]Computations'!M5)</f>
        <v>2</v>
      </c>
      <c r="I10" s="11">
        <f>IF($A10="na","na",'[1]Computations'!N5)</f>
        <v>0</v>
      </c>
    </row>
    <row r="11" spans="1:9" ht="12.75">
      <c r="A11" s="9" t="str">
        <f>IF('[1]Computations'!$B6="na","na",'[1]Computations'!A6)</f>
        <v>Grassed Waterway   (ac.)  412</v>
      </c>
      <c r="B11" s="10">
        <f>IF($A11="na","na",'[1]Computations'!G6)</f>
        <v>1913.9354999999998</v>
      </c>
      <c r="C11" s="10">
        <f>IF($A11="na","na",'[1]Computations'!H6)</f>
        <v>1722.54195</v>
      </c>
      <c r="D11" s="10">
        <f>IF($A11="na","na",'[1]Computations'!I6)</f>
        <v>0</v>
      </c>
      <c r="E11" s="10">
        <f>IF($A11="na","na",'[1]Computations'!J6)</f>
        <v>1722.54195</v>
      </c>
      <c r="F11" s="11">
        <f>IF($A11="na","na",'[1]Computations'!K6)</f>
        <v>0</v>
      </c>
      <c r="G11" s="11">
        <f>IF($A11="na","na",'[1]Computations'!L6)</f>
        <v>5</v>
      </c>
      <c r="H11" s="11">
        <f>IF($A11="na","na",'[1]Computations'!M6)</f>
        <v>2</v>
      </c>
      <c r="I11" s="11">
        <f>IF($A11="na","na",'[1]Computations'!N6)</f>
        <v>1</v>
      </c>
    </row>
    <row r="12" spans="1:9" ht="12.75">
      <c r="A12" s="9" t="str">
        <f>IF('[1]Computations'!$B7="na","na",'[1]Computations'!A7)</f>
        <v>Residue and Tillage Management, Mulch Till (ac.) 345</v>
      </c>
      <c r="B12" s="10">
        <f>IF($A12="na","na",'[1]Computations'!G7)</f>
        <v>63797.85</v>
      </c>
      <c r="C12" s="10">
        <f>IF($A12="na","na",'[1]Computations'!H7)</f>
        <v>57418.065</v>
      </c>
      <c r="D12" s="10">
        <f>IF($A12="na","na",'[1]Computations'!I7)</f>
        <v>0</v>
      </c>
      <c r="E12" s="10">
        <f>IF($A12="na","na",'[1]Computations'!J7)</f>
        <v>57418.065</v>
      </c>
      <c r="F12" s="11">
        <f>IF($A12="na","na",'[1]Computations'!K7)</f>
        <v>4</v>
      </c>
      <c r="G12" s="11">
        <f>IF($A12="na","na",'[1]Computations'!L7)</f>
        <v>2</v>
      </c>
      <c r="H12" s="11">
        <f>IF($A12="na","na",'[1]Computations'!M7)</f>
        <v>3</v>
      </c>
      <c r="I12" s="11">
        <f>IF($A12="na","na",'[1]Computations'!N7)</f>
        <v>1</v>
      </c>
    </row>
    <row r="13" spans="1:9" ht="12.75" hidden="1">
      <c r="A13" s="9" t="str">
        <f>IF('[1]Computations'!$B8="na","na",'[1]Computations'!A8)</f>
        <v>na</v>
      </c>
      <c r="B13" s="10" t="str">
        <f>IF($A13="na","na",'[1]Computations'!G8)</f>
        <v>na</v>
      </c>
      <c r="C13" s="10" t="str">
        <f>IF($A13="na","na",'[1]Computations'!H8)</f>
        <v>na</v>
      </c>
      <c r="D13" s="10" t="str">
        <f>IF($A13="na","na",'[1]Computations'!I8)</f>
        <v>na</v>
      </c>
      <c r="E13" s="10" t="str">
        <f>IF($A13="na","na",'[1]Computations'!J8)</f>
        <v>na</v>
      </c>
      <c r="F13" s="11" t="str">
        <f>IF($A13="na","na",'[1]Computations'!K8)</f>
        <v>na</v>
      </c>
      <c r="G13" s="11" t="str">
        <f>IF($A13="na","na",'[1]Computations'!L8)</f>
        <v>na</v>
      </c>
      <c r="H13" s="11" t="str">
        <f>IF($A13="na","na",'[1]Computations'!M8)</f>
        <v>na</v>
      </c>
      <c r="I13" s="11" t="str">
        <f>IF($A13="na","na",'[1]Computations'!N8)</f>
        <v>na</v>
      </c>
    </row>
    <row r="14" spans="1:9" ht="12.75" hidden="1">
      <c r="A14" s="9" t="str">
        <f>IF('[1]Computations'!$B9="na","na",'[1]Computations'!A9)</f>
        <v>na</v>
      </c>
      <c r="B14" s="10" t="str">
        <f>IF($A14="na","na",'[1]Computations'!G9)</f>
        <v>na</v>
      </c>
      <c r="C14" s="10" t="str">
        <f>IF($A14="na","na",'[1]Computations'!H9)</f>
        <v>na</v>
      </c>
      <c r="D14" s="10" t="str">
        <f>IF($A14="na","na",'[1]Computations'!I9)</f>
        <v>na</v>
      </c>
      <c r="E14" s="10" t="str">
        <f>IF($A14="na","na",'[1]Computations'!J9)</f>
        <v>na</v>
      </c>
      <c r="F14" s="11" t="str">
        <f>IF($A14="na","na",'[1]Computations'!K9)</f>
        <v>na</v>
      </c>
      <c r="G14" s="11" t="str">
        <f>IF($A14="na","na",'[1]Computations'!L9)</f>
        <v>na</v>
      </c>
      <c r="H14" s="11" t="str">
        <f>IF($A14="na","na",'[1]Computations'!M9)</f>
        <v>na</v>
      </c>
      <c r="I14" s="11" t="str">
        <f>IF($A14="na","na",'[1]Computations'!N9)</f>
        <v>na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16</v>
      </c>
      <c r="B16" s="73" t="s">
        <v>14</v>
      </c>
      <c r="C16" s="73"/>
      <c r="D16" s="73"/>
      <c r="E16" s="73"/>
      <c r="F16" s="6">
        <f>'[1]Computations'!K113</f>
        <v>5</v>
      </c>
      <c r="G16" s="6">
        <f>'[1]Computations'!L113</f>
        <v>5</v>
      </c>
      <c r="H16" s="6">
        <f>'[1]Computations'!M113</f>
        <v>5</v>
      </c>
      <c r="I16" s="6">
        <f>'[1]Computations'!N113</f>
        <v>1</v>
      </c>
    </row>
    <row r="17" spans="1:9" ht="12.75">
      <c r="A17" s="7" t="s">
        <v>17</v>
      </c>
      <c r="B17" s="8">
        <f>at_p_cur_ac</f>
        <v>637978.5</v>
      </c>
      <c r="C17" s="8">
        <f>at_p_unch_ac</f>
        <v>625218.9299999999</v>
      </c>
      <c r="D17" s="8">
        <f>at_p_new_ac</f>
        <v>6379.785000000033</v>
      </c>
      <c r="E17" s="8">
        <f>at_p_total_ac</f>
        <v>631598.715</v>
      </c>
      <c r="F17" s="58"/>
      <c r="G17" s="59"/>
      <c r="H17" s="59"/>
      <c r="I17" s="60"/>
    </row>
    <row r="18" spans="1:9" ht="12.75">
      <c r="A18" s="9" t="str">
        <f>IF('[1]Computations'!$B13="na","No Conservation Practices being applied at this level",'[1]Computations'!A13)</f>
        <v>Conservation Crop Rotation   (ac.)  328</v>
      </c>
      <c r="B18" s="10">
        <f>IF($A18="na","na",'[1]Computations'!G13)</f>
        <v>637978.5</v>
      </c>
      <c r="C18" s="10">
        <f>IF($A18="na","na",'[1]Computations'!H13)</f>
        <v>630960.7364999999</v>
      </c>
      <c r="D18" s="10">
        <f>IF($A18="na","na",'[1]Computations'!I13)</f>
        <v>637.9785000000848</v>
      </c>
      <c r="E18" s="10">
        <f>IF($A18="na","na",'[1]Computations'!J13)</f>
        <v>631598.715</v>
      </c>
      <c r="F18" s="11">
        <f>IF($A18="na","na",'[1]Computations'!K13)</f>
        <v>3</v>
      </c>
      <c r="G18" s="11">
        <f>IF($A18="na","na",'[1]Computations'!L13)</f>
        <v>3</v>
      </c>
      <c r="H18" s="11">
        <f>IF($A18="na","na",'[1]Computations'!M13)</f>
        <v>2</v>
      </c>
      <c r="I18" s="11">
        <f>IF($A18="na","na",'[1]Computations'!N13)</f>
        <v>0</v>
      </c>
    </row>
    <row r="19" spans="1:9" ht="12.75">
      <c r="A19" s="9" t="str">
        <f>IF('[1]Computations'!$B14="na","na",'[1]Computations'!A14)</f>
        <v>Contour Buffer Strips (ac.)  332</v>
      </c>
      <c r="B19" s="10">
        <f>IF($A19="na","na",'[1]Computations'!G14)</f>
        <v>31898.925000000003</v>
      </c>
      <c r="C19" s="10">
        <f>IF($A19="na","na",'[1]Computations'!H14)</f>
        <v>31260.9465</v>
      </c>
      <c r="D19" s="10">
        <f>IF($A19="na","na",'[1]Computations'!I14)</f>
        <v>318.98925000000236</v>
      </c>
      <c r="E19" s="10">
        <f>IF($A19="na","na",'[1]Computations'!J14)</f>
        <v>31579.93575</v>
      </c>
      <c r="F19" s="11">
        <f>IF($A19="na","na",'[1]Computations'!K14)</f>
        <v>4</v>
      </c>
      <c r="G19" s="11">
        <f>IF($A19="na","na",'[1]Computations'!L14)</f>
        <v>3</v>
      </c>
      <c r="H19" s="11">
        <f>IF($A19="na","na",'[1]Computations'!M14)</f>
        <v>3</v>
      </c>
      <c r="I19" s="11">
        <f>IF($A19="na","na",'[1]Computations'!N14)</f>
        <v>1</v>
      </c>
    </row>
    <row r="20" spans="1:9" ht="12.75">
      <c r="A20" s="9" t="str">
        <f>IF('[1]Computations'!$B15="na","na",'[1]Computations'!A15)</f>
        <v>Contour Farming   (ac.)  330</v>
      </c>
      <c r="B20" s="10">
        <f>IF($A20="na","na",'[1]Computations'!G15)</f>
        <v>172254.195</v>
      </c>
      <c r="C20" s="10">
        <f>IF($A20="na","na",'[1]Computations'!H15)</f>
        <v>168809.11109999998</v>
      </c>
      <c r="D20" s="10">
        <f>IF($A20="na","na",'[1]Computations'!I15)</f>
        <v>1722.5419500000135</v>
      </c>
      <c r="E20" s="10">
        <f>IF($A20="na","na",'[1]Computations'!J15)</f>
        <v>170531.65305</v>
      </c>
      <c r="F20" s="11">
        <f>IF($A20="na","na",'[1]Computations'!K15)</f>
        <v>3</v>
      </c>
      <c r="G20" s="11">
        <f>IF($A20="na","na",'[1]Computations'!L15)</f>
        <v>3</v>
      </c>
      <c r="H20" s="11">
        <f>IF($A20="na","na",'[1]Computations'!M15)</f>
        <v>3</v>
      </c>
      <c r="I20" s="11">
        <f>IF($A20="na","na",'[1]Computations'!N15)</f>
        <v>0</v>
      </c>
    </row>
    <row r="21" spans="1:9" ht="12.75">
      <c r="A21" s="9" t="str">
        <f>IF('[1]Computations'!$B16="na","na",'[1]Computations'!A16)</f>
        <v>Grassed Waterway   (ac.)  412</v>
      </c>
      <c r="B21" s="10">
        <f>IF($A21="na","na",'[1]Computations'!G16)</f>
        <v>12759.57</v>
      </c>
      <c r="C21" s="10">
        <f>IF($A21="na","na",'[1]Computations'!H16)</f>
        <v>12600.075374999999</v>
      </c>
      <c r="D21" s="10">
        <f>IF($A21="na","na",'[1]Computations'!I16)</f>
        <v>31.898925000001327</v>
      </c>
      <c r="E21" s="10">
        <f>IF($A21="na","na",'[1]Computations'!J16)</f>
        <v>12631.9743</v>
      </c>
      <c r="F21" s="11">
        <f>IF($A21="na","na",'[1]Computations'!K16)</f>
        <v>0</v>
      </c>
      <c r="G21" s="11">
        <f>IF($A21="na","na",'[1]Computations'!L16)</f>
        <v>5</v>
      </c>
      <c r="H21" s="11">
        <f>IF($A21="na","na",'[1]Computations'!M16)</f>
        <v>2</v>
      </c>
      <c r="I21" s="11">
        <f>IF($A21="na","na",'[1]Computations'!N16)</f>
        <v>1</v>
      </c>
    </row>
    <row r="22" spans="1:9" ht="12.75">
      <c r="A22" s="9" t="str">
        <f>IF('[1]Computations'!$B17="na","na",'[1]Computations'!A17)</f>
        <v>Nutrient Management   (ac.)  590</v>
      </c>
      <c r="B22" s="10">
        <f>IF($A22="na","na",'[1]Computations'!G17)</f>
        <v>446584.94999999995</v>
      </c>
      <c r="C22" s="10">
        <f>IF($A22="na","na",'[1]Computations'!H17)</f>
        <v>437653.25099999993</v>
      </c>
      <c r="D22" s="10">
        <f>IF($A22="na","na",'[1]Computations'!I17)</f>
        <v>4465.849500000011</v>
      </c>
      <c r="E22" s="10">
        <f>IF($A22="na","na",'[1]Computations'!J17)</f>
        <v>442119.10049999994</v>
      </c>
      <c r="F22" s="11">
        <f>IF($A22="na","na",'[1]Computations'!K17)</f>
        <v>1</v>
      </c>
      <c r="G22" s="11">
        <f>IF($A22="na","na",'[1]Computations'!L17)</f>
        <v>1</v>
      </c>
      <c r="H22" s="11">
        <f>IF($A22="na","na",'[1]Computations'!M17)</f>
        <v>5</v>
      </c>
      <c r="I22" s="11">
        <f>IF($A22="na","na",'[1]Computations'!N17)</f>
        <v>1</v>
      </c>
    </row>
    <row r="23" spans="1:9" ht="12.75">
      <c r="A23" s="9" t="str">
        <f>IF('[1]Computations'!$B18="na","na",'[1]Computations'!A18)</f>
        <v>Residue and Tillage Management, Mulch Till (ac.) 345</v>
      </c>
      <c r="B23" s="10">
        <f>IF($A23="na","na",'[1]Computations'!G18)</f>
        <v>382787.1</v>
      </c>
      <c r="C23" s="10">
        <f>IF($A23="na","na",'[1]Computations'!H18)</f>
        <v>378321.25049999997</v>
      </c>
      <c r="D23" s="10">
        <f>IF($A23="na","na",'[1]Computations'!I18)</f>
        <v>637.9785000000265</v>
      </c>
      <c r="E23" s="10">
        <f>IF($A23="na","na",'[1]Computations'!J18)</f>
        <v>378959.229</v>
      </c>
      <c r="F23" s="11">
        <f>IF($A23="na","na",'[1]Computations'!K18)</f>
        <v>4</v>
      </c>
      <c r="G23" s="11">
        <f>IF($A23="na","na",'[1]Computations'!L18)</f>
        <v>2</v>
      </c>
      <c r="H23" s="11">
        <f>IF($A23="na","na",'[1]Computations'!M18)</f>
        <v>3</v>
      </c>
      <c r="I23" s="11">
        <f>IF($A23="na","na",'[1]Computations'!N18)</f>
        <v>1</v>
      </c>
    </row>
    <row r="24" spans="1:9" ht="12.75">
      <c r="A24" s="9" t="str">
        <f>IF('[1]Computations'!$B19="na","na",'[1]Computations'!A19)</f>
        <v>Residue Management, No-Till/Strip Till/Direct Seed (ac.)  329</v>
      </c>
      <c r="B24" s="10">
        <f>IF($A24="na","na",'[1]Computations'!G19)</f>
        <v>127595.70000000001</v>
      </c>
      <c r="C24" s="10">
        <f>IF($A24="na","na",'[1]Computations'!H19)</f>
        <v>125043.786</v>
      </c>
      <c r="D24" s="10">
        <f>IF($A24="na","na",'[1]Computations'!I19)</f>
        <v>1275.9570000000094</v>
      </c>
      <c r="E24" s="10">
        <f>IF($A24="na","na",'[1]Computations'!J19)</f>
        <v>126319.743</v>
      </c>
      <c r="F24" s="11">
        <f>IF($A24="na","na",'[1]Computations'!K19)</f>
        <v>5</v>
      </c>
      <c r="G24" s="11">
        <f>IF($A24="na","na",'[1]Computations'!L19)</f>
        <v>3</v>
      </c>
      <c r="H24" s="11">
        <f>IF($A24="na","na",'[1]Computations'!M19)</f>
        <v>3</v>
      </c>
      <c r="I24" s="11">
        <f>IF($A24="na","na",'[1]Computations'!N19)</f>
        <v>1</v>
      </c>
    </row>
    <row r="25" spans="1:9" ht="12.75">
      <c r="A25" s="9" t="str">
        <f>IF('[1]Computations'!$B20="na","na",'[1]Computations'!A20)</f>
        <v>Stripcropping (ac.)  585</v>
      </c>
      <c r="B25" s="10">
        <f>IF($A25="na","na",'[1]Computations'!G20)</f>
        <v>95696.775</v>
      </c>
      <c r="C25" s="10">
        <f>IF($A25="na","na",'[1]Computations'!H20)</f>
        <v>93782.83949999999</v>
      </c>
      <c r="D25" s="10">
        <f>IF($A25="na","na",'[1]Computations'!I20)</f>
        <v>956.9677500000107</v>
      </c>
      <c r="E25" s="10">
        <f>IF($A25="na","na",'[1]Computations'!J20)</f>
        <v>94739.80725</v>
      </c>
      <c r="F25" s="11">
        <f>IF($A25="na","na",'[1]Computations'!K20)</f>
        <v>4</v>
      </c>
      <c r="G25" s="11">
        <f>IF($A25="na","na",'[1]Computations'!L20)</f>
        <v>2</v>
      </c>
      <c r="H25" s="11">
        <f>IF($A25="na","na",'[1]Computations'!M20)</f>
        <v>1</v>
      </c>
      <c r="I25" s="11">
        <f>IF($A25="na","na",'[1]Computations'!N20)</f>
        <v>1</v>
      </c>
    </row>
    <row r="26" spans="1:9" ht="12.75" hidden="1">
      <c r="A26" s="9" t="str">
        <f>IF('[1]Computations'!$B21="na","na",'[1]Computations'!A21)</f>
        <v>na</v>
      </c>
      <c r="B26" s="10" t="str">
        <f>IF($A26="na","na",'[1]Computations'!G21)</f>
        <v>na</v>
      </c>
      <c r="C26" s="10" t="str">
        <f>IF($A26="na","na",'[1]Computations'!H21)</f>
        <v>na</v>
      </c>
      <c r="D26" s="10" t="str">
        <f>IF($A26="na","na",'[1]Computations'!I21)</f>
        <v>na</v>
      </c>
      <c r="E26" s="10" t="str">
        <f>IF($A26="na","na",'[1]Computations'!J21)</f>
        <v>na</v>
      </c>
      <c r="F26" s="11" t="str">
        <f>IF($A26="na","na",'[1]Computations'!K21)</f>
        <v>na</v>
      </c>
      <c r="G26" s="11" t="str">
        <f>IF($A26="na","na",'[1]Computations'!L21)</f>
        <v>na</v>
      </c>
      <c r="H26" s="11" t="str">
        <f>IF($A26="na","na",'[1]Computations'!M21)</f>
        <v>na</v>
      </c>
      <c r="I26" s="11" t="str">
        <f>IF($A26="na","na",'[1]Computations'!N21)</f>
        <v>na</v>
      </c>
    </row>
    <row r="27" spans="1:9" ht="12.75" hidden="1">
      <c r="A27" s="9" t="str">
        <f>IF('[1]Computations'!$B22="na","na",'[1]Computations'!A22)</f>
        <v>na</v>
      </c>
      <c r="B27" s="10" t="str">
        <f>IF($A27="na","na",'[1]Computations'!G22)</f>
        <v>na</v>
      </c>
      <c r="C27" s="10" t="str">
        <f>IF($A27="na","na",'[1]Computations'!H22)</f>
        <v>na</v>
      </c>
      <c r="D27" s="10" t="str">
        <f>IF($A27="na","na",'[1]Computations'!I22)</f>
        <v>na</v>
      </c>
      <c r="E27" s="10" t="str">
        <f>IF($A27="na","na",'[1]Computations'!J22)</f>
        <v>na</v>
      </c>
      <c r="F27" s="11" t="str">
        <f>IF($A27="na","na",'[1]Computations'!K22)</f>
        <v>na</v>
      </c>
      <c r="G27" s="11" t="str">
        <f>IF($A27="na","na",'[1]Computations'!L22)</f>
        <v>na</v>
      </c>
      <c r="H27" s="11" t="str">
        <f>IF($A27="na","na",'[1]Computations'!M22)</f>
        <v>na</v>
      </c>
      <c r="I27" s="11" t="str">
        <f>IF($A27="na","na",'[1]Computations'!N22)</f>
        <v>na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18</v>
      </c>
      <c r="B29" s="73" t="s">
        <v>14</v>
      </c>
      <c r="C29" s="73"/>
      <c r="D29" s="73"/>
      <c r="E29" s="73"/>
      <c r="F29" s="6">
        <f>'[1]Computations'!K175</f>
        <v>5</v>
      </c>
      <c r="G29" s="6">
        <f>'[1]Computations'!L175</f>
        <v>5</v>
      </c>
      <c r="H29" s="6">
        <f>'[1]Computations'!M175</f>
        <v>5</v>
      </c>
      <c r="I29" s="6">
        <f>'[1]Computations'!N175</f>
        <v>4</v>
      </c>
    </row>
    <row r="30" spans="1:9" ht="12.75">
      <c r="A30" s="12" t="s">
        <v>19</v>
      </c>
      <c r="B30" s="8">
        <f>at_r_cur_ac</f>
        <v>85063.8</v>
      </c>
      <c r="C30" s="8">
        <f>at_r_unch_ac</f>
        <v>85063.8</v>
      </c>
      <c r="D30" s="8">
        <f>at_r_new_ac</f>
        <v>19139.354999999996</v>
      </c>
      <c r="E30" s="8">
        <f>at_r_total_ac</f>
        <v>104203.155</v>
      </c>
      <c r="F30" s="58"/>
      <c r="G30" s="59"/>
      <c r="H30" s="59"/>
      <c r="I30" s="60"/>
    </row>
    <row r="31" spans="1:9" ht="12.75">
      <c r="A31" s="9" t="str">
        <f>IF('[1]Computations'!$B26="na","No Conservation Practices being applied at this level",'[1]Computations'!A26)</f>
        <v>Conservation Crop Rotation   (ac.)  328</v>
      </c>
      <c r="B31" s="10">
        <f>IF($A31="na","na",'[1]Computations'!G26)</f>
        <v>85063.8</v>
      </c>
      <c r="C31" s="10">
        <f>IF($A31="na","na",'[1]Computations'!H26)</f>
        <v>103565.1765</v>
      </c>
      <c r="D31" s="10">
        <f>IF($A31="na","na",'[1]Computations'!I26)</f>
        <v>637.9784999999974</v>
      </c>
      <c r="E31" s="10">
        <f>IF($A31="na","na",'[1]Computations'!J26)</f>
        <v>104203.155</v>
      </c>
      <c r="F31" s="10">
        <f>IF($A31="na","na",'[1]Computations'!K26)</f>
        <v>3</v>
      </c>
      <c r="G31" s="10">
        <f>IF($A31="na","na",'[1]Computations'!L26)</f>
        <v>3</v>
      </c>
      <c r="H31" s="10">
        <f>IF($A31="na","na",'[1]Computations'!M26)</f>
        <v>2</v>
      </c>
      <c r="I31" s="10">
        <f>IF($A31="na","na",'[1]Computations'!N26)</f>
        <v>0</v>
      </c>
    </row>
    <row r="32" spans="1:9" ht="12.75">
      <c r="A32" s="9" t="str">
        <f>IF('[1]Computations'!$B27="na","na",'[1]Computations'!A27)</f>
        <v>Contour Buffer Strips (ac.)  332</v>
      </c>
      <c r="B32" s="10">
        <f>IF($A32="na","na",'[1]Computations'!G27)</f>
        <v>8506.380000000001</v>
      </c>
      <c r="C32" s="10">
        <f>IF($A32="na","na",'[1]Computations'!H27)</f>
        <v>9144.3585</v>
      </c>
      <c r="D32" s="10">
        <f>IF($A32="na","na",'[1]Computations'!I27)</f>
        <v>1275.9570000000003</v>
      </c>
      <c r="E32" s="10">
        <f>IF($A32="na","na",'[1]Computations'!J27)</f>
        <v>10420.3155</v>
      </c>
      <c r="F32" s="10">
        <f>IF($A32="na","na",'[1]Computations'!K27)</f>
        <v>4</v>
      </c>
      <c r="G32" s="10">
        <f>IF($A32="na","na",'[1]Computations'!L27)</f>
        <v>3</v>
      </c>
      <c r="H32" s="10">
        <f>IF($A32="na","na",'[1]Computations'!M27)</f>
        <v>3</v>
      </c>
      <c r="I32" s="10">
        <f>IF($A32="na","na",'[1]Computations'!N27)</f>
        <v>1</v>
      </c>
    </row>
    <row r="33" spans="1:9" ht="12.75">
      <c r="A33" s="9" t="str">
        <f>IF('[1]Computations'!$B28="na","na",'[1]Computations'!A28)</f>
        <v>Contour Farming   (ac.)  330</v>
      </c>
      <c r="B33" s="10">
        <f>IF($A33="na","na",'[1]Computations'!G28)</f>
        <v>34025.520000000004</v>
      </c>
      <c r="C33" s="10">
        <f>IF($A33="na","na",'[1]Computations'!H28)</f>
        <v>37470.6039</v>
      </c>
      <c r="D33" s="10">
        <f>IF($A33="na","na",'[1]Computations'!I28)</f>
        <v>4210.658100000001</v>
      </c>
      <c r="E33" s="10">
        <f>IF($A33="na","na",'[1]Computations'!J28)</f>
        <v>41681.262</v>
      </c>
      <c r="F33" s="10">
        <f>IF($A33="na","na",'[1]Computations'!K28)</f>
        <v>3</v>
      </c>
      <c r="G33" s="10">
        <f>IF($A33="na","na",'[1]Computations'!L28)</f>
        <v>3</v>
      </c>
      <c r="H33" s="10">
        <f>IF($A33="na","na",'[1]Computations'!M28)</f>
        <v>3</v>
      </c>
      <c r="I33" s="10">
        <f>IF($A33="na","na",'[1]Computations'!N28)</f>
        <v>0</v>
      </c>
    </row>
    <row r="34" spans="1:9" ht="12.75">
      <c r="A34" s="9" t="str">
        <f>IF('[1]Computations'!$B29="na","na",'[1]Computations'!A29)</f>
        <v>Grade Stabilization Structure   (no.)  410</v>
      </c>
      <c r="B34" s="10">
        <f>IF($A34="na","na",'[1]Computations'!G29)</f>
        <v>354.4325</v>
      </c>
      <c r="C34" s="10">
        <f>IF($A34="na","na",'[1]Computations'!H29)</f>
        <v>354.4325</v>
      </c>
      <c r="D34" s="10">
        <f>IF($A34="na","na",'[1]Computations'!I29)</f>
        <v>79.74731249999996</v>
      </c>
      <c r="E34" s="10">
        <f>IF($A34="na","na",'[1]Computations'!J29)</f>
        <v>434.17981249999997</v>
      </c>
      <c r="F34" s="10">
        <f>IF($A34="na","na",'[1]Computations'!K29)</f>
        <v>0</v>
      </c>
      <c r="G34" s="10">
        <f>IF($A34="na","na",'[1]Computations'!L29)</f>
        <v>4</v>
      </c>
      <c r="H34" s="10">
        <f>IF($A34="na","na",'[1]Computations'!M29)</f>
        <v>0</v>
      </c>
      <c r="I34" s="10">
        <f>IF($A34="na","na",'[1]Computations'!N29)</f>
        <v>0</v>
      </c>
    </row>
    <row r="35" spans="1:9" ht="12.75">
      <c r="A35" s="9" t="str">
        <f>IF('[1]Computations'!$B30="na","na",'[1]Computations'!A30)</f>
        <v>Grassed Waterway   (ac.)  412</v>
      </c>
      <c r="B35" s="10">
        <f>IF($A35="na","na",'[1]Computations'!G30)</f>
        <v>2551.914</v>
      </c>
      <c r="C35" s="10">
        <f>IF($A35="na","na",'[1]Computations'!H30)</f>
        <v>2902.8021750000003</v>
      </c>
      <c r="D35" s="10">
        <f>IF($A35="na","na",'[1]Computations'!I30)</f>
        <v>223.29247499999974</v>
      </c>
      <c r="E35" s="10">
        <f>IF($A35="na","na",'[1]Computations'!J30)</f>
        <v>3126.09465</v>
      </c>
      <c r="F35" s="10">
        <f>IF($A35="na","na",'[1]Computations'!K30)</f>
        <v>0</v>
      </c>
      <c r="G35" s="10">
        <f>IF($A35="na","na",'[1]Computations'!L30)</f>
        <v>5</v>
      </c>
      <c r="H35" s="10">
        <f>IF($A35="na","na",'[1]Computations'!M30)</f>
        <v>2</v>
      </c>
      <c r="I35" s="10">
        <f>IF($A35="na","na",'[1]Computations'!N30)</f>
        <v>1</v>
      </c>
    </row>
    <row r="36" spans="1:9" ht="12.75">
      <c r="A36" s="9" t="str">
        <f>IF('[1]Computations'!$B31="na","na",'[1]Computations'!A31)</f>
        <v>Nutrient Management   (ac.)  590</v>
      </c>
      <c r="B36" s="10">
        <f>IF($A36="na","na",'[1]Computations'!G31)</f>
        <v>85063.8</v>
      </c>
      <c r="C36" s="10">
        <f>IF($A36="na","na",'[1]Computations'!H31)</f>
        <v>93995.499</v>
      </c>
      <c r="D36" s="10">
        <f>IF($A36="na","na",'[1]Computations'!I31)</f>
        <v>10207.656000000003</v>
      </c>
      <c r="E36" s="10">
        <f>IF($A36="na","na",'[1]Computations'!J31)</f>
        <v>104203.155</v>
      </c>
      <c r="F36" s="10">
        <f>IF($A36="na","na",'[1]Computations'!K31)</f>
        <v>1</v>
      </c>
      <c r="G36" s="10">
        <f>IF($A36="na","na",'[1]Computations'!L31)</f>
        <v>1</v>
      </c>
      <c r="H36" s="10">
        <f>IF($A36="na","na",'[1]Computations'!M31)</f>
        <v>5</v>
      </c>
      <c r="I36" s="10">
        <f>IF($A36="na","na",'[1]Computations'!N31)</f>
        <v>1</v>
      </c>
    </row>
    <row r="37" spans="1:9" ht="12.75">
      <c r="A37" s="9" t="str">
        <f>IF('[1]Computations'!$B32="na","na",'[1]Computations'!A32)</f>
        <v>Residue and Tillage Management, Mulch Till (ac.) 345</v>
      </c>
      <c r="B37" s="10">
        <f>IF($A37="na","na",'[1]Computations'!G32)</f>
        <v>34025.520000000004</v>
      </c>
      <c r="C37" s="10">
        <f>IF($A37="na","na",'[1]Computations'!H32)</f>
        <v>41681.262</v>
      </c>
      <c r="D37" s="10">
        <f>IF($A37="na","na",'[1]Computations'!I32)</f>
        <v>0</v>
      </c>
      <c r="E37" s="10">
        <f>IF($A37="na","na",'[1]Computations'!J32)</f>
        <v>41681.262</v>
      </c>
      <c r="F37" s="10">
        <f>IF($A37="na","na",'[1]Computations'!K32)</f>
        <v>4</v>
      </c>
      <c r="G37" s="10">
        <f>IF($A37="na","na",'[1]Computations'!L32)</f>
        <v>2</v>
      </c>
      <c r="H37" s="10">
        <f>IF($A37="na","na",'[1]Computations'!M32)</f>
        <v>3</v>
      </c>
      <c r="I37" s="10">
        <f>IF($A37="na","na",'[1]Computations'!N32)</f>
        <v>1</v>
      </c>
    </row>
    <row r="38" spans="1:9" ht="12.75">
      <c r="A38" s="9" t="str">
        <f>IF('[1]Computations'!$B33="na","na",'[1]Computations'!A33)</f>
        <v>Residue Management, No-Till/Strip Till/Direct Seed (ac.)  329</v>
      </c>
      <c r="B38" s="10">
        <f>IF($A38="na","na",'[1]Computations'!G33)</f>
        <v>51038.28</v>
      </c>
      <c r="C38" s="10">
        <f>IF($A38="na","na",'[1]Computations'!H33)</f>
        <v>53590.193999999996</v>
      </c>
      <c r="D38" s="10">
        <f>IF($A38="na","na",'[1]Computations'!I33)</f>
        <v>8931.699</v>
      </c>
      <c r="E38" s="10">
        <f>IF($A38="na","na",'[1]Computations'!J33)</f>
        <v>62521.893</v>
      </c>
      <c r="F38" s="10">
        <f>IF($A38="na","na",'[1]Computations'!K33)</f>
        <v>5</v>
      </c>
      <c r="G38" s="10">
        <f>IF($A38="na","na",'[1]Computations'!L33)</f>
        <v>3</v>
      </c>
      <c r="H38" s="10">
        <f>IF($A38="na","na",'[1]Computations'!M33)</f>
        <v>3</v>
      </c>
      <c r="I38" s="10">
        <f>IF($A38="na","na",'[1]Computations'!N33)</f>
        <v>1</v>
      </c>
    </row>
    <row r="39" spans="1:9" ht="12.75">
      <c r="A39" s="9" t="str">
        <f>IF('[1]Computations'!$B34="na","na",'[1]Computations'!A34)</f>
        <v>Sediment Basin   (no.)  350</v>
      </c>
      <c r="B39" s="10">
        <f>IF($A39="na","na",'[1]Computations'!G34)</f>
        <v>21.26595</v>
      </c>
      <c r="C39" s="10">
        <f>IF($A39="na","na",'[1]Computations'!H34)</f>
        <v>21.26595</v>
      </c>
      <c r="D39" s="10">
        <f>IF($A39="na","na",'[1]Computations'!I34)</f>
        <v>4.784838749999999</v>
      </c>
      <c r="E39" s="10">
        <f>IF($A39="na","na",'[1]Computations'!J34)</f>
        <v>26.05078875</v>
      </c>
      <c r="F39" s="10">
        <f>IF($A39="na","na",'[1]Computations'!K34)</f>
        <v>0</v>
      </c>
      <c r="G39" s="10">
        <f>IF($A39="na","na",'[1]Computations'!L34)</f>
        <v>3</v>
      </c>
      <c r="H39" s="10">
        <f>IF($A39="na","na",'[1]Computations'!M34)</f>
        <v>3</v>
      </c>
      <c r="I39" s="10">
        <f>IF($A39="na","na",'[1]Computations'!N34)</f>
        <v>0</v>
      </c>
    </row>
    <row r="40" spans="1:9" ht="12.75">
      <c r="A40" s="9" t="str">
        <f>IF('[1]Computations'!$B35="na","na",'[1]Computations'!A35)</f>
        <v>Stripcropping (ac.)  585</v>
      </c>
      <c r="B40" s="10">
        <f>IF($A40="na","na",'[1]Computations'!G35)</f>
        <v>17012.760000000002</v>
      </c>
      <c r="C40" s="10">
        <f>IF($A40="na","na",'[1]Computations'!H35)</f>
        <v>18926.6955</v>
      </c>
      <c r="D40" s="10">
        <f>IF($A40="na","na",'[1]Computations'!I35)</f>
        <v>1913.9354999999996</v>
      </c>
      <c r="E40" s="10">
        <f>IF($A40="na","na",'[1]Computations'!J35)</f>
        <v>20840.631</v>
      </c>
      <c r="F40" s="10">
        <f>IF($A40="na","na",'[1]Computations'!K35)</f>
        <v>4</v>
      </c>
      <c r="G40" s="10">
        <f>IF($A40="na","na",'[1]Computations'!L35)</f>
        <v>2</v>
      </c>
      <c r="H40" s="10">
        <f>IF($A40="na","na",'[1]Computations'!M35)</f>
        <v>1</v>
      </c>
      <c r="I40" s="10">
        <f>IF($A40="na","na",'[1]Computations'!N35)</f>
        <v>1</v>
      </c>
    </row>
    <row r="41" spans="1:9" ht="12.75">
      <c r="A41" s="9" t="str">
        <f>IF('[1]Computations'!$B36="na","na",'[1]Computations'!A36)</f>
        <v>Upland Wildlife Habitat Management   (ac.)  645</v>
      </c>
      <c r="B41" s="10">
        <f>IF($A41="na","na",'[1]Computations'!G36)</f>
        <v>2126.5950000000003</v>
      </c>
      <c r="C41" s="10">
        <f>IF($A41="na","na",'[1]Computations'!H36)</f>
        <v>2126.5950000000003</v>
      </c>
      <c r="D41" s="10">
        <f>IF($A41="na","na",'[1]Computations'!I36)</f>
        <v>478.4838749999999</v>
      </c>
      <c r="E41" s="10">
        <f>IF($A41="na","na",'[1]Computations'!J36)</f>
        <v>2605.078875</v>
      </c>
      <c r="F41" s="10">
        <f>IF($A41="na","na",'[1]Computations'!K36)</f>
        <v>0</v>
      </c>
      <c r="G41" s="10">
        <f>IF($A41="na","na",'[1]Computations'!L36)</f>
        <v>0</v>
      </c>
      <c r="H41" s="10">
        <f>IF($A41="na","na",'[1]Computations'!M36)</f>
        <v>0</v>
      </c>
      <c r="I41" s="10">
        <f>IF($A41="na","na",'[1]Computations'!N36)</f>
        <v>5</v>
      </c>
    </row>
    <row r="42" spans="1:9" ht="12.75">
      <c r="A42" s="9" t="str">
        <f>IF('[1]Computations'!$B37="na","na",'[1]Computations'!A37)</f>
        <v>Waste Storage Facility   (no.)  313</v>
      </c>
      <c r="B42" s="10">
        <f>IF($A42="na","na",'[1]Computations'!G37)</f>
        <v>141.77300000000002</v>
      </c>
      <c r="C42" s="10">
        <f>IF($A42="na","na",'[1]Computations'!H37)</f>
        <v>141.77300000000002</v>
      </c>
      <c r="D42" s="10">
        <f>IF($A42="na","na",'[1]Computations'!I37)</f>
        <v>31.89892499999999</v>
      </c>
      <c r="E42" s="10">
        <f>IF($A42="na","na",'[1]Computations'!J37)</f>
        <v>173.67192500000002</v>
      </c>
      <c r="F42" s="10">
        <f>IF($A42="na","na",'[1]Computations'!K37)</f>
        <v>0</v>
      </c>
      <c r="G42" s="10">
        <f>IF($A42="na","na",'[1]Computations'!L37)</f>
        <v>0</v>
      </c>
      <c r="H42" s="10">
        <f>IF($A42="na","na",'[1]Computations'!M37)</f>
        <v>4</v>
      </c>
      <c r="I42" s="10">
        <f>IF($A42="na","na",'[1]Computations'!N37)</f>
        <v>0</v>
      </c>
    </row>
    <row r="43" spans="1:9" ht="12.75">
      <c r="A43" s="9" t="str">
        <f>IF('[1]Computations'!$B38="na","na",'[1]Computations'!A38)</f>
        <v>Waste Utilization   (ac.)  633</v>
      </c>
      <c r="B43" s="10">
        <f>IF($A43="na","na",'[1]Computations'!G38)</f>
        <v>17012.760000000002</v>
      </c>
      <c r="C43" s="10">
        <f>IF($A43="na","na",'[1]Computations'!H38)</f>
        <v>17012.760000000002</v>
      </c>
      <c r="D43" s="10">
        <f>IF($A43="na","na",'[1]Computations'!I38)</f>
        <v>3827.870999999999</v>
      </c>
      <c r="E43" s="10">
        <f>IF($A43="na","na",'[1]Computations'!J38)</f>
        <v>20840.631</v>
      </c>
      <c r="F43" s="10">
        <f>IF($A43="na","na",'[1]Computations'!K38)</f>
        <v>1</v>
      </c>
      <c r="G43" s="10">
        <f>IF($A43="na","na",'[1]Computations'!L38)</f>
        <v>0</v>
      </c>
      <c r="H43" s="10">
        <f>IF($A43="na","na",'[1]Computations'!M38)</f>
        <v>3</v>
      </c>
      <c r="I43" s="10">
        <f>IF($A43="na","na",'[1]Computations'!N38)</f>
        <v>0</v>
      </c>
    </row>
    <row r="44" spans="1:9" ht="12.75" hidden="1">
      <c r="A44" s="9" t="str">
        <f>IF('[1]Computations'!$B39="na","na",'[1]Computations'!A39)</f>
        <v>na</v>
      </c>
      <c r="B44" s="10" t="str">
        <f>IF($A44="na","na",'[1]Computations'!G39)</f>
        <v>na</v>
      </c>
      <c r="C44" s="10" t="str">
        <f>IF($A44="na","na",'[1]Computations'!H39)</f>
        <v>na</v>
      </c>
      <c r="D44" s="10" t="str">
        <f>IF($A44="na","na",'[1]Computations'!I39)</f>
        <v>na</v>
      </c>
      <c r="E44" s="10" t="str">
        <f>IF($A44="na","na",'[1]Computations'!J39)</f>
        <v>na</v>
      </c>
      <c r="F44" s="10" t="str">
        <f>IF($A44="na","na",'[1]Computations'!K39)</f>
        <v>na</v>
      </c>
      <c r="G44" s="10" t="str">
        <f>IF($A44="na","na",'[1]Computations'!L39)</f>
        <v>na</v>
      </c>
      <c r="H44" s="10" t="str">
        <f>IF($A44="na","na",'[1]Computations'!M39)</f>
        <v>na</v>
      </c>
      <c r="I44" s="10" t="str">
        <f>IF($A44="na","na",'[1]Computations'!N39)</f>
        <v>na</v>
      </c>
    </row>
    <row r="45" spans="1:9" ht="12.75" hidden="1">
      <c r="A45" s="9" t="str">
        <f>IF('[1]Computations'!$B40="na","na",'[1]Computations'!A40)</f>
        <v>na</v>
      </c>
      <c r="B45" s="10" t="str">
        <f>IF($A45="na","na",'[1]Computations'!G40)</f>
        <v>na</v>
      </c>
      <c r="C45" s="10" t="str">
        <f>IF($A45="na","na",'[1]Computations'!H40)</f>
        <v>na</v>
      </c>
      <c r="D45" s="10" t="str">
        <f>IF($A45="na","na",'[1]Computations'!I40)</f>
        <v>na</v>
      </c>
      <c r="E45" s="10" t="str">
        <f>IF($A45="na","na",'[1]Computations'!J40)</f>
        <v>na</v>
      </c>
      <c r="F45" s="10" t="str">
        <f>IF($A45="na","na",'[1]Computations'!K40)</f>
        <v>na</v>
      </c>
      <c r="G45" s="10" t="str">
        <f>IF($A45="na","na",'[1]Computations'!L40)</f>
        <v>na</v>
      </c>
      <c r="H45" s="10" t="str">
        <f>IF($A45="na","na",'[1]Computations'!M40)</f>
        <v>na</v>
      </c>
      <c r="I45" s="10" t="str">
        <f>IF($A45="na","na",'[1]Computations'!N40)</f>
        <v>na</v>
      </c>
    </row>
    <row r="46" spans="1:9" ht="12.75" hidden="1">
      <c r="A46" s="9" t="str">
        <f>IF('[1]Computations'!$B41="na","na",'[1]Computations'!A41)</f>
        <v>na</v>
      </c>
      <c r="B46" s="10" t="str">
        <f>IF($A46="na","na",'[1]Computations'!G41)</f>
        <v>na</v>
      </c>
      <c r="C46" s="10" t="str">
        <f>IF($A46="na","na",'[1]Computations'!H41)</f>
        <v>na</v>
      </c>
      <c r="D46" s="10" t="str">
        <f>IF($A46="na","na",'[1]Computations'!I41)</f>
        <v>na</v>
      </c>
      <c r="E46" s="10" t="str">
        <f>IF($A46="na","na",'[1]Computations'!J41)</f>
        <v>na</v>
      </c>
      <c r="F46" s="10" t="str">
        <f>IF($A46="na","na",'[1]Computations'!K41)</f>
        <v>na</v>
      </c>
      <c r="G46" s="10" t="str">
        <f>IF($A46="na","na",'[1]Computations'!L41)</f>
        <v>na</v>
      </c>
      <c r="H46" s="10" t="str">
        <f>IF($A46="na","na",'[1]Computations'!M41)</f>
        <v>na</v>
      </c>
      <c r="I46" s="10" t="str">
        <f>IF($A46="na","na",'[1]Computations'!N41)</f>
        <v>na</v>
      </c>
    </row>
    <row r="47" spans="1:9" ht="12.75" hidden="1">
      <c r="A47" s="9" t="str">
        <f>IF('[1]Computations'!$B42="na","na",'[1]Computations'!A42)</f>
        <v>na</v>
      </c>
      <c r="B47" s="10" t="str">
        <f>IF($A47="na","na",'[1]Computations'!G42)</f>
        <v>na</v>
      </c>
      <c r="C47" s="10" t="str">
        <f>IF($A47="na","na",'[1]Computations'!H42)</f>
        <v>na</v>
      </c>
      <c r="D47" s="10" t="str">
        <f>IF($A47="na","na",'[1]Computations'!I42)</f>
        <v>na</v>
      </c>
      <c r="E47" s="10" t="str">
        <f>IF($A47="na","na",'[1]Computations'!J42)</f>
        <v>na</v>
      </c>
      <c r="F47" s="10" t="str">
        <f>IF($A47="na","na",'[1]Computations'!K42)</f>
        <v>na</v>
      </c>
      <c r="G47" s="10" t="str">
        <f>IF($A47="na","na",'[1]Computations'!L42)</f>
        <v>na</v>
      </c>
      <c r="H47" s="10" t="str">
        <f>IF($A47="na","na",'[1]Computations'!M42)</f>
        <v>na</v>
      </c>
      <c r="I47" s="10" t="str">
        <f>IF($A47="na","na",'[1]Computations'!N42)</f>
        <v>na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20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21</v>
      </c>
      <c r="C51" s="67" t="s">
        <v>22</v>
      </c>
      <c r="D51" s="68"/>
      <c r="E51" s="68"/>
      <c r="F51" s="69"/>
      <c r="G51" s="70" t="s">
        <v>23</v>
      </c>
      <c r="H51" s="71"/>
      <c r="I51" s="72"/>
    </row>
    <row r="52" spans="1:9" ht="33.75">
      <c r="A52" s="50" t="s">
        <v>6</v>
      </c>
      <c r="B52" s="52" t="s">
        <v>24</v>
      </c>
      <c r="C52" s="16" t="s">
        <v>25</v>
      </c>
      <c r="D52" s="16" t="s">
        <v>26</v>
      </c>
      <c r="E52" s="16" t="s">
        <v>27</v>
      </c>
      <c r="F52" s="54" t="s">
        <v>28</v>
      </c>
      <c r="G52" s="17" t="s">
        <v>25</v>
      </c>
      <c r="H52" s="17" t="s">
        <v>29</v>
      </c>
      <c r="I52" s="56" t="s">
        <v>28</v>
      </c>
    </row>
    <row r="53" spans="1:9" ht="12.75">
      <c r="A53" s="51"/>
      <c r="B53" s="53"/>
      <c r="C53" s="18">
        <f>cost_share_rate</f>
        <v>0.5</v>
      </c>
      <c r="D53" s="18">
        <v>1</v>
      </c>
      <c r="E53" s="18">
        <f>ta_of_fa</f>
        <v>0.2</v>
      </c>
      <c r="F53" s="55"/>
      <c r="G53" s="19">
        <f>1-cost_share_rate</f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30</v>
      </c>
      <c r="B55" s="20">
        <f>at_p_new_ac</f>
        <v>6379.785000000033</v>
      </c>
      <c r="C55" s="21"/>
      <c r="D55" s="21"/>
      <c r="E55" s="21"/>
      <c r="F55" s="21"/>
      <c r="G55" s="21"/>
      <c r="H55" s="21"/>
      <c r="I55" s="22"/>
    </row>
    <row r="56" spans="1:9" ht="12.75">
      <c r="A56" s="23" t="str">
        <f aca="true" t="shared" si="0" ref="A56:A65">A18</f>
        <v>Conservation Crop Rotation   (ac.)  328</v>
      </c>
      <c r="B56" s="24">
        <f>'[1]Computations'!I13</f>
        <v>637.9785000000848</v>
      </c>
      <c r="C56" s="25">
        <f>IF('[1]Computations'!D13=1,0,'[1]Computations'!I13*'[1]Computations'!C13*cost_share_rate)</f>
        <v>0</v>
      </c>
      <c r="D56" s="25">
        <f>IF('[1]Computations'!D13=1,'[1]Computations'!I13*'[1]Computations'!C13*3,0)</f>
        <v>28709.032500003814</v>
      </c>
      <c r="E56" s="25">
        <f aca="true" t="shared" si="1" ref="E56:E66">(C56+D56)*ta_of_fa</f>
        <v>5741.806500000763</v>
      </c>
      <c r="F56" s="25">
        <f aca="true" t="shared" si="2" ref="F56:F65">C56+D56/3/(1+int_rate)+D56/3/(1+int_rate)^2+D56/3/(1+int_rate)^3+E56</f>
        <v>31321.66880999831</v>
      </c>
      <c r="G56" s="26">
        <f>IF('[1]Computations'!D13=1,0,'[1]Computations'!I13*'[1]Computations'!C13*(1-cost_share_rate))</f>
        <v>0</v>
      </c>
      <c r="H56" s="26">
        <f>(G56+C56)*'[1]Computations'!E13+D56/3</f>
        <v>9569.677500001271</v>
      </c>
      <c r="I56" s="26">
        <f>IF('[1]Computations'!D13=1,G56+H56/(1+int_rate)^4+H56/(1+int_rate)^5,G56-PV(int_rate,5,H56))</f>
        <v>14731.100630550834</v>
      </c>
    </row>
    <row r="57" spans="1:9" ht="12.75">
      <c r="A57" s="23" t="str">
        <f t="shared" si="0"/>
        <v>Contour Buffer Strips (ac.)  332</v>
      </c>
      <c r="B57" s="24">
        <f>'[1]Computations'!I14</f>
        <v>318.98925000000236</v>
      </c>
      <c r="C57" s="25">
        <f>IF('[1]Computations'!D14=1,0,'[1]Computations'!I14*'[1]Computations'!C14*cost_share_rate)</f>
        <v>14354.516250000106</v>
      </c>
      <c r="D57" s="25">
        <f>IF('[1]Computations'!D14=1,'[1]Computations'!I14*'[1]Computations'!C14*3,0)</f>
        <v>0</v>
      </c>
      <c r="E57" s="25">
        <f t="shared" si="1"/>
        <v>2870.903250000021</v>
      </c>
      <c r="F57" s="25">
        <f t="shared" si="2"/>
        <v>17225.419500000127</v>
      </c>
      <c r="G57" s="26">
        <f>IF('[1]Computations'!D14=1,0,'[1]Computations'!I14*'[1]Computations'!C14*(1-cost_share_rate))</f>
        <v>14354.516250000106</v>
      </c>
      <c r="H57" s="26">
        <f>(G57+C57)*'[1]Computations'!E14+D57/3</f>
        <v>861.2709750000064</v>
      </c>
      <c r="I57" s="26">
        <f>IF('[1]Computations'!D14=1,G57+H57/(1+int_rate)^4+H57/(1+int_rate)^5,G57-PV(int_rate,5,H57))</f>
        <v>17982.502914649012</v>
      </c>
    </row>
    <row r="58" spans="1:9" ht="12.75">
      <c r="A58" s="23" t="str">
        <f t="shared" si="0"/>
        <v>Contour Farming   (ac.)  330</v>
      </c>
      <c r="B58" s="24">
        <f>'[1]Computations'!I15</f>
        <v>1722.5419500000135</v>
      </c>
      <c r="C58" s="25">
        <f>IF('[1]Computations'!D15=1,0,'[1]Computations'!I15*'[1]Computations'!C15*cost_share_rate)</f>
        <v>0</v>
      </c>
      <c r="D58" s="25">
        <f>IF('[1]Computations'!D15=1,'[1]Computations'!I15*'[1]Computations'!C15*3,0)</f>
        <v>248046.04080000194</v>
      </c>
      <c r="E58" s="25">
        <f t="shared" si="1"/>
        <v>49609.20816000039</v>
      </c>
      <c r="F58" s="25">
        <f t="shared" si="2"/>
        <v>270619.2185183516</v>
      </c>
      <c r="G58" s="26">
        <f>IF('[1]Computations'!D15=1,0,'[1]Computations'!I15*'[1]Computations'!C15*(1-cost_share_rate))</f>
        <v>0</v>
      </c>
      <c r="H58" s="26">
        <f>(G58+C58)*'[1]Computations'!E15+D58/3</f>
        <v>82682.01360000065</v>
      </c>
      <c r="I58" s="26">
        <f>IF('[1]Computations'!D15=1,G58+H58/(1+int_rate)^4+H58/(1+int_rate)^5,G58-PV(int_rate,5,H58))</f>
        <v>127276.70944794329</v>
      </c>
    </row>
    <row r="59" spans="1:9" ht="12.75">
      <c r="A59" s="23" t="str">
        <f t="shared" si="0"/>
        <v>Grassed Waterway   (ac.)  412</v>
      </c>
      <c r="B59" s="24">
        <f>'[1]Computations'!I16</f>
        <v>31.898925000001327</v>
      </c>
      <c r="C59" s="25">
        <f>IF('[1]Computations'!D16=1,0,'[1]Computations'!I16*'[1]Computations'!C16*cost_share_rate)</f>
        <v>97291.72125000405</v>
      </c>
      <c r="D59" s="25">
        <f>IF('[1]Computations'!D16=1,'[1]Computations'!I16*'[1]Computations'!C16*3,0)</f>
        <v>0</v>
      </c>
      <c r="E59" s="25">
        <f t="shared" si="1"/>
        <v>19458.34425000081</v>
      </c>
      <c r="F59" s="25">
        <f t="shared" si="2"/>
        <v>116750.06550000486</v>
      </c>
      <c r="G59" s="26">
        <f>IF('[1]Computations'!D16=1,0,'[1]Computations'!I16*'[1]Computations'!C16*(1-cost_share_rate))</f>
        <v>97291.72125000405</v>
      </c>
      <c r="H59" s="26">
        <f>(G59+C59)*'[1]Computations'!E16+D59/3</f>
        <v>3891.668850000162</v>
      </c>
      <c r="I59" s="26">
        <f>IF('[1]Computations'!D16=1,G59+H59/(1+int_rate)^4+H59/(1+int_rate)^5,G59-PV(int_rate,5,H59))</f>
        <v>113684.84617915892</v>
      </c>
    </row>
    <row r="60" spans="1:9" ht="12.75">
      <c r="A60" s="23" t="str">
        <f t="shared" si="0"/>
        <v>Nutrient Management   (ac.)  590</v>
      </c>
      <c r="B60" s="24">
        <f>'[1]Computations'!I17</f>
        <v>4465.849500000011</v>
      </c>
      <c r="C60" s="25">
        <f>IF('[1]Computations'!D17=1,0,'[1]Computations'!I17*'[1]Computations'!C17*cost_share_rate)</f>
        <v>0</v>
      </c>
      <c r="D60" s="25">
        <f>IF('[1]Computations'!D17=1,'[1]Computations'!I17*'[1]Computations'!C17*3,0)</f>
        <v>140674.25925000035</v>
      </c>
      <c r="E60" s="25">
        <f t="shared" si="1"/>
        <v>28134.851850000072</v>
      </c>
      <c r="F60" s="25">
        <f t="shared" si="2"/>
        <v>153476.1771689717</v>
      </c>
      <c r="G60" s="26">
        <f>IF('[1]Computations'!D17=1,0,'[1]Computations'!I17*'[1]Computations'!C17*(1-cost_share_rate))</f>
        <v>0</v>
      </c>
      <c r="H60" s="26">
        <f>(G60+C60)*'[1]Computations'!E17+D60/3</f>
        <v>46891.41975000012</v>
      </c>
      <c r="I60" s="26">
        <f>IF('[1]Computations'!D17=1,G60+H60/(1+int_rate)^4+H60/(1+int_rate)^5,G60-PV(int_rate,5,H60))</f>
        <v>72182.39308968968</v>
      </c>
    </row>
    <row r="61" spans="1:9" ht="12.75">
      <c r="A61" s="23" t="str">
        <f t="shared" si="0"/>
        <v>Residue and Tillage Management, Mulch Till (ac.) 345</v>
      </c>
      <c r="B61" s="24">
        <f>'[1]Computations'!I18</f>
        <v>637.9785000000265</v>
      </c>
      <c r="C61" s="25">
        <f>IF('[1]Computations'!D18=1,0,'[1]Computations'!I18*'[1]Computations'!C18*cost_share_rate)</f>
        <v>0</v>
      </c>
      <c r="D61" s="25">
        <f>IF('[1]Computations'!D18=1,'[1]Computations'!I18*'[1]Computations'!C18*3,0)</f>
        <v>38278.71000000159</v>
      </c>
      <c r="E61" s="25">
        <f t="shared" si="1"/>
        <v>7655.7420000003185</v>
      </c>
      <c r="F61" s="25">
        <f t="shared" si="2"/>
        <v>41762.22507999394</v>
      </c>
      <c r="G61" s="26">
        <f>IF('[1]Computations'!D18=1,0,'[1]Computations'!I18*'[1]Computations'!C18*(1-cost_share_rate))</f>
        <v>0</v>
      </c>
      <c r="H61" s="26">
        <f>(G61+C61)*'[1]Computations'!E18+D61/3</f>
        <v>12759.57000000053</v>
      </c>
      <c r="I61" s="26">
        <f>IF('[1]Computations'!D18=1,G61+H61/(1+int_rate)^4+H61/(1+int_rate)^5,G61-PV(int_rate,5,H61))</f>
        <v>19641.46750739932</v>
      </c>
    </row>
    <row r="62" spans="1:9" ht="12.75">
      <c r="A62" s="23" t="str">
        <f t="shared" si="0"/>
        <v>Residue Management, No-Till/Strip Till/Direct Seed (ac.)  329</v>
      </c>
      <c r="B62" s="24">
        <f>'[1]Computations'!I19</f>
        <v>1275.9570000000094</v>
      </c>
      <c r="C62" s="25">
        <f>IF('[1]Computations'!D19=1,0,'[1]Computations'!I19*'[1]Computations'!C19*cost_share_rate)</f>
        <v>0</v>
      </c>
      <c r="D62" s="25">
        <f>IF('[1]Computations'!D19=1,'[1]Computations'!I19*'[1]Computations'!C19*3,0)</f>
        <v>128616.46560000096</v>
      </c>
      <c r="E62" s="25">
        <f t="shared" si="1"/>
        <v>25723.29312000019</v>
      </c>
      <c r="F62" s="25">
        <f t="shared" si="2"/>
        <v>140321.07626877486</v>
      </c>
      <c r="G62" s="26">
        <f>IF('[1]Computations'!D19=1,0,'[1]Computations'!I19*'[1]Computations'!C19*(1-cost_share_rate))</f>
        <v>0</v>
      </c>
      <c r="H62" s="26">
        <f>(G62+C62)*'[1]Computations'!E19+D62/3</f>
        <v>42872.15520000032</v>
      </c>
      <c r="I62" s="26">
        <f>IF('[1]Computations'!D19=1,G62+H62/(1+int_rate)^4+H62/(1+int_rate)^5,G62-PV(int_rate,5,H62))</f>
        <v>65995.33082485945</v>
      </c>
    </row>
    <row r="63" spans="1:9" ht="13.5" thickBot="1">
      <c r="A63" s="23" t="str">
        <f t="shared" si="0"/>
        <v>Stripcropping (ac.)  585</v>
      </c>
      <c r="B63" s="24">
        <f>'[1]Computations'!I20</f>
        <v>956.9677500000107</v>
      </c>
      <c r="C63" s="25">
        <f>IF('[1]Computations'!D20=1,0,'[1]Computations'!I20*'[1]Computations'!C20*cost_share_rate)</f>
        <v>25359.645375000284</v>
      </c>
      <c r="D63" s="25">
        <f>IF('[1]Computations'!D20=1,'[1]Computations'!I20*'[1]Computations'!C20*3,0)</f>
        <v>0</v>
      </c>
      <c r="E63" s="25">
        <f t="shared" si="1"/>
        <v>5071.929075000057</v>
      </c>
      <c r="F63" s="25">
        <f t="shared" si="2"/>
        <v>30431.574450000342</v>
      </c>
      <c r="G63" s="26">
        <f>IF('[1]Computations'!D20=1,0,'[1]Computations'!I20*'[1]Computations'!C20*(1-cost_share_rate))</f>
        <v>25359.645375000284</v>
      </c>
      <c r="H63" s="26">
        <f>(G63+C63)*'[1]Computations'!E20+D63/3</f>
        <v>0</v>
      </c>
      <c r="I63" s="26">
        <f>IF('[1]Computations'!D20=1,G63+H63/(1+int_rate)^4+H63/(1+int_rate)^5,G63-PV(int_rate,5,H63))</f>
        <v>25359.645375000284</v>
      </c>
    </row>
    <row r="64" spans="1:9" ht="12.75" hidden="1">
      <c r="A64" s="23" t="str">
        <f t="shared" si="0"/>
        <v>na</v>
      </c>
      <c r="B64" s="24">
        <f>'[1]Computations'!I21</f>
        <v>0</v>
      </c>
      <c r="C64" s="25">
        <f>IF('[1]Computations'!D21=1,0,'[1]Computations'!I21*'[1]Computations'!C21*cost_share_rate)</f>
        <v>0</v>
      </c>
      <c r="D64" s="25">
        <f>IF('[1]Computations'!D21=1,'[1]Computations'!I21*'[1]Computations'!C21*3,0)</f>
        <v>0</v>
      </c>
      <c r="E64" s="25">
        <f t="shared" si="1"/>
        <v>0</v>
      </c>
      <c r="F64" s="25">
        <f t="shared" si="2"/>
        <v>0</v>
      </c>
      <c r="G64" s="26">
        <f>IF('[1]Computations'!D21=1,0,'[1]Computations'!I21*'[1]Computations'!C21*(1-cost_share_rate))</f>
        <v>0</v>
      </c>
      <c r="H64" s="26">
        <f>(G64+C64)*'[1]Computations'!E21+D64/3</f>
        <v>0</v>
      </c>
      <c r="I64" s="26">
        <f>IF('[1]Computations'!D21=1,G64+H64/(1+int_rate)^4+H64/(1+int_rate)^5,G64-PV(int_rate,5,H64))</f>
        <v>0</v>
      </c>
    </row>
    <row r="65" spans="1:9" ht="13.5" hidden="1" thickBot="1">
      <c r="A65" s="27" t="str">
        <f t="shared" si="0"/>
        <v>na</v>
      </c>
      <c r="B65" s="28">
        <f>'[1]Computations'!I22</f>
        <v>0</v>
      </c>
      <c r="C65" s="25">
        <f>IF('[1]Computations'!D22=1,0,'[1]Computations'!I22*'[1]Computations'!C22*cost_share_rate)</f>
        <v>0</v>
      </c>
      <c r="D65" s="25">
        <f>IF('[1]Computations'!D22=1,'[1]Computations'!I22*'[1]Computations'!C22*3,0)</f>
        <v>0</v>
      </c>
      <c r="E65" s="25">
        <f t="shared" si="1"/>
        <v>0</v>
      </c>
      <c r="F65" s="25">
        <f t="shared" si="2"/>
        <v>0</v>
      </c>
      <c r="G65" s="26">
        <f>IF('[1]Computations'!D22=1,0,'[1]Computations'!I22*'[1]Computations'!C22*(1-cost_share_rate))</f>
        <v>0</v>
      </c>
      <c r="H65" s="26">
        <f>(G65+C65)*'[1]Computations'!E22+D65/3</f>
        <v>0</v>
      </c>
      <c r="I65" s="26">
        <f>IF('[1]Computations'!D22=1,G65+H65/(1+int_rate)^4+H65/(1+int_rate)^5,G65-PV(int_rate,5,H65))</f>
        <v>0</v>
      </c>
    </row>
    <row r="66" spans="1:9" ht="13.5" thickTop="1">
      <c r="A66" s="29"/>
      <c r="B66" s="30" t="s">
        <v>31</v>
      </c>
      <c r="C66" s="31">
        <f>SUM(C56:C65)</f>
        <v>137005.88287500443</v>
      </c>
      <c r="D66" s="31">
        <f>SUM(D56:D65)</f>
        <v>584324.5081500086</v>
      </c>
      <c r="E66" s="31">
        <f t="shared" si="1"/>
        <v>144266.07820500262</v>
      </c>
      <c r="F66" s="31">
        <f>SUM(F56:F65)</f>
        <v>801907.4252960958</v>
      </c>
      <c r="G66" s="32">
        <f>SUM(G56:G65)</f>
        <v>137005.88287500443</v>
      </c>
      <c r="H66" s="32">
        <f>SUM(H56:H65)</f>
        <v>199527.77587500308</v>
      </c>
      <c r="I66" s="32">
        <f>SUM(I56:I65)</f>
        <v>456853.9959692508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32</v>
      </c>
      <c r="B68" s="20">
        <f>at_r_new_ac</f>
        <v>19139.354999999996</v>
      </c>
      <c r="C68" s="21"/>
      <c r="D68" s="21"/>
      <c r="E68" s="21"/>
      <c r="F68" s="21"/>
      <c r="G68" s="21"/>
      <c r="H68" s="21"/>
      <c r="I68" s="22"/>
    </row>
    <row r="69" spans="1:9" ht="12.75">
      <c r="A69" s="23" t="str">
        <f aca="true" t="shared" si="3" ref="A69:A85">A31</f>
        <v>Conservation Crop Rotation   (ac.)  328</v>
      </c>
      <c r="B69" s="36">
        <f>'[1]Computations'!I26</f>
        <v>637.9784999999974</v>
      </c>
      <c r="C69" s="25">
        <f>IF('[1]Computations'!D26=1,0,'[1]Computations'!I26*'[1]Computations'!C26*cost_share_rate)</f>
        <v>0</v>
      </c>
      <c r="D69" s="25">
        <f>IF('[1]Computations'!D26=1,'[1]Computations'!I26*'[1]Computations'!C26*3,0)</f>
        <v>28709.032499999885</v>
      </c>
      <c r="E69" s="25">
        <f aca="true" t="shared" si="4" ref="E69:E86">(C69+D69)*ta_of_fa</f>
        <v>5741.806499999977</v>
      </c>
      <c r="F69" s="25">
        <f aca="true" t="shared" si="5" ref="F69:F85">C69+D69/3/(1+int_rate)+D69/3/(1+int_rate)^2+D69/3/(1+int_rate)^3+E69</f>
        <v>31321.668809994026</v>
      </c>
      <c r="G69" s="26">
        <f>IF('[1]Computations'!D26=1,0,'[1]Computations'!I26*'[1]Computations'!C26*(1-cost_share_rate))</f>
        <v>0</v>
      </c>
      <c r="H69" s="26">
        <f>(G69+C69)*'[1]Computations'!E26+D69/3</f>
        <v>9569.677499999962</v>
      </c>
      <c r="I69" s="26">
        <f>IF('[1]Computations'!D26=1,G69+H69/(1+int_rate)^4+H69/(1+int_rate)^5,G69-PV(int_rate,5,H69))</f>
        <v>14731.100630548817</v>
      </c>
    </row>
    <row r="70" spans="1:9" ht="12.75">
      <c r="A70" s="23" t="str">
        <f t="shared" si="3"/>
        <v>Contour Buffer Strips (ac.)  332</v>
      </c>
      <c r="B70" s="36">
        <f>'[1]Computations'!I27</f>
        <v>1275.9570000000003</v>
      </c>
      <c r="C70" s="25">
        <f>IF('[1]Computations'!D27=1,0,'[1]Computations'!I27*'[1]Computations'!C27*cost_share_rate)</f>
        <v>57418.06500000002</v>
      </c>
      <c r="D70" s="25">
        <f>IF('[1]Computations'!D27=1,'[1]Computations'!I27*'[1]Computations'!C27*3,0)</f>
        <v>0</v>
      </c>
      <c r="E70" s="25">
        <f t="shared" si="4"/>
        <v>11483.613000000005</v>
      </c>
      <c r="F70" s="25">
        <f t="shared" si="5"/>
        <v>68901.67800000001</v>
      </c>
      <c r="G70" s="26">
        <f>IF('[1]Computations'!D27=1,0,'[1]Computations'!I27*'[1]Computations'!C27*(1-cost_share_rate))</f>
        <v>57418.06500000002</v>
      </c>
      <c r="H70" s="26">
        <f>(G70+C70)*'[1]Computations'!E27+D70/3</f>
        <v>3445.083900000001</v>
      </c>
      <c r="I70" s="26">
        <f>IF('[1]Computations'!D27=1,G70+H70/(1+int_rate)^4+H70/(1+int_rate)^5,G70-PV(int_rate,5,H70))</f>
        <v>71930.01165859553</v>
      </c>
    </row>
    <row r="71" spans="1:9" ht="12.75">
      <c r="A71" s="23" t="str">
        <f t="shared" si="3"/>
        <v>Contour Farming   (ac.)  330</v>
      </c>
      <c r="B71" s="36">
        <f>'[1]Computations'!I28</f>
        <v>4210.658100000001</v>
      </c>
      <c r="C71" s="25">
        <f>IF('[1]Computations'!D28=1,0,'[1]Computations'!I28*'[1]Computations'!C28*cost_share_rate)</f>
        <v>0</v>
      </c>
      <c r="D71" s="25">
        <f>IF('[1]Computations'!D28=1,'[1]Computations'!I28*'[1]Computations'!C28*3,0)</f>
        <v>606334.7664000001</v>
      </c>
      <c r="E71" s="25">
        <f t="shared" si="4"/>
        <v>121266.95328000002</v>
      </c>
      <c r="F71" s="25">
        <f t="shared" si="5"/>
        <v>661513.6452670766</v>
      </c>
      <c r="G71" s="26">
        <f>IF('[1]Computations'!D28=1,0,'[1]Computations'!I28*'[1]Computations'!C28*(1-cost_share_rate))</f>
        <v>0</v>
      </c>
      <c r="H71" s="26">
        <f>(G71+C71)*'[1]Computations'!E28+D71/3</f>
        <v>202111.58880000003</v>
      </c>
      <c r="I71" s="26">
        <f>IF('[1]Computations'!D28=1,G71+H71/(1+int_rate)^4+H71/(1+int_rate)^5,G71-PV(int_rate,5,H71))</f>
        <v>311120.84531719226</v>
      </c>
    </row>
    <row r="72" spans="1:9" ht="12.75">
      <c r="A72" s="23" t="str">
        <f t="shared" si="3"/>
        <v>Grade Stabilization Structure   (no.)  410</v>
      </c>
      <c r="B72" s="36">
        <f>'[1]Computations'!I29</f>
        <v>79.74731249999996</v>
      </c>
      <c r="C72" s="25">
        <f>IF('[1]Computations'!D29=1,0,'[1]Computations'!I29*'[1]Computations'!C29*cost_share_rate)</f>
        <v>394749.19687499985</v>
      </c>
      <c r="D72" s="25">
        <f>IF('[1]Computations'!D29=1,'[1]Computations'!I29*'[1]Computations'!C29*3,0)</f>
        <v>0</v>
      </c>
      <c r="E72" s="25">
        <f t="shared" si="4"/>
        <v>78949.83937499998</v>
      </c>
      <c r="F72" s="25">
        <f t="shared" si="5"/>
        <v>473699.03624999983</v>
      </c>
      <c r="G72" s="26">
        <f>IF('[1]Computations'!D29=1,0,'[1]Computations'!I29*'[1]Computations'!C29*(1-cost_share_rate))</f>
        <v>394749.19687499985</v>
      </c>
      <c r="H72" s="26">
        <f>(G72+C72)*'[1]Computations'!E29+D72/3</f>
        <v>7894.983937499997</v>
      </c>
      <c r="I72" s="26">
        <f>IF('[1]Computations'!D29=1,G72+H72/(1+int_rate)^4+H72/(1+int_rate)^5,G72-PV(int_rate,5,H72))</f>
        <v>428005.7413009479</v>
      </c>
    </row>
    <row r="73" spans="1:9" ht="12.75">
      <c r="A73" s="23" t="str">
        <f t="shared" si="3"/>
        <v>Grassed Waterway   (ac.)  412</v>
      </c>
      <c r="B73" s="36">
        <f>'[1]Computations'!I30</f>
        <v>223.29247499999974</v>
      </c>
      <c r="C73" s="25">
        <f>IF('[1]Computations'!D30=1,0,'[1]Computations'!I30*'[1]Computations'!C30*cost_share_rate)</f>
        <v>681042.0487499993</v>
      </c>
      <c r="D73" s="25">
        <f>IF('[1]Computations'!D30=1,'[1]Computations'!I30*'[1]Computations'!C30*3,0)</f>
        <v>0</v>
      </c>
      <c r="E73" s="25">
        <f t="shared" si="4"/>
        <v>136208.40974999985</v>
      </c>
      <c r="F73" s="25">
        <f t="shared" si="5"/>
        <v>817250.4584999991</v>
      </c>
      <c r="G73" s="26">
        <f>IF('[1]Computations'!D30=1,0,'[1]Computations'!I30*'[1]Computations'!C30*(1-cost_share_rate))</f>
        <v>681042.0487499993</v>
      </c>
      <c r="H73" s="26">
        <f>(G73+C73)*'[1]Computations'!E30+D73/3</f>
        <v>27241.68194999997</v>
      </c>
      <c r="I73" s="26">
        <f>IF('[1]Computations'!D30=1,G73+H73/(1+int_rate)^4+H73/(1+int_rate)^5,G73-PV(int_rate,5,H73))</f>
        <v>795793.9232540785</v>
      </c>
    </row>
    <row r="74" spans="1:9" ht="12.75">
      <c r="A74" s="23" t="str">
        <f t="shared" si="3"/>
        <v>Nutrient Management   (ac.)  590</v>
      </c>
      <c r="B74" s="36">
        <f>'[1]Computations'!I31</f>
        <v>10207.656000000003</v>
      </c>
      <c r="C74" s="25">
        <f>IF('[1]Computations'!D31=1,0,'[1]Computations'!I31*'[1]Computations'!C31*cost_share_rate)</f>
        <v>0</v>
      </c>
      <c r="D74" s="25">
        <f>IF('[1]Computations'!D31=1,'[1]Computations'!I31*'[1]Computations'!C31*3,0)</f>
        <v>321541.1640000001</v>
      </c>
      <c r="E74" s="25">
        <f t="shared" si="4"/>
        <v>64308.23280000003</v>
      </c>
      <c r="F74" s="25">
        <f t="shared" si="5"/>
        <v>350802.69067193463</v>
      </c>
      <c r="G74" s="26">
        <f>IF('[1]Computations'!D31=1,0,'[1]Computations'!I31*'[1]Computations'!C31*(1-cost_share_rate))</f>
        <v>0</v>
      </c>
      <c r="H74" s="26">
        <f>(G74+C74)*'[1]Computations'!E31+D74/3</f>
        <v>107180.38800000004</v>
      </c>
      <c r="I74" s="26">
        <f>IF('[1]Computations'!D31=1,G74+H74/(1+int_rate)^4+H74/(1+int_rate)^5,G74-PV(int_rate,5,H74))</f>
        <v>164988.32706214747</v>
      </c>
    </row>
    <row r="75" spans="1:9" ht="12.75">
      <c r="A75" s="23" t="str">
        <f t="shared" si="3"/>
        <v>Residue and Tillage Management, Mulch Till (ac.) 345</v>
      </c>
      <c r="B75" s="36">
        <f>'[1]Computations'!I32</f>
        <v>0</v>
      </c>
      <c r="C75" s="25">
        <f>IF('[1]Computations'!D32=1,0,'[1]Computations'!I32*'[1]Computations'!C32*cost_share_rate)</f>
        <v>0</v>
      </c>
      <c r="D75" s="25">
        <f>IF('[1]Computations'!D32=1,'[1]Computations'!I32*'[1]Computations'!C32*3,0)</f>
        <v>0</v>
      </c>
      <c r="E75" s="25">
        <f t="shared" si="4"/>
        <v>0</v>
      </c>
      <c r="F75" s="25">
        <f t="shared" si="5"/>
        <v>0</v>
      </c>
      <c r="G75" s="26">
        <f>IF('[1]Computations'!D32=1,0,'[1]Computations'!I32*'[1]Computations'!C32*(1-cost_share_rate))</f>
        <v>0</v>
      </c>
      <c r="H75" s="26">
        <f>(G75+C75)*'[1]Computations'!E32+D75/3</f>
        <v>0</v>
      </c>
      <c r="I75" s="26">
        <f>IF('[1]Computations'!D32=1,G75+H75/(1+int_rate)^4+H75/(1+int_rate)^5,G75-PV(int_rate,5,H75))</f>
        <v>0</v>
      </c>
    </row>
    <row r="76" spans="1:9" ht="12.75">
      <c r="A76" s="23" t="str">
        <f t="shared" si="3"/>
        <v>Residue Management, No-Till/Strip Till/Direct Seed (ac.)  329</v>
      </c>
      <c r="B76" s="36">
        <f>'[1]Computations'!I33</f>
        <v>8931.699</v>
      </c>
      <c r="C76" s="25">
        <f>IF('[1]Computations'!D33=1,0,'[1]Computations'!I33*'[1]Computations'!C33*cost_share_rate)</f>
        <v>0</v>
      </c>
      <c r="D76" s="25">
        <f>IF('[1]Computations'!D33=1,'[1]Computations'!I33*'[1]Computations'!C33*3,0)</f>
        <v>900315.2592000001</v>
      </c>
      <c r="E76" s="25">
        <f t="shared" si="4"/>
        <v>180063.05184000003</v>
      </c>
      <c r="F76" s="25">
        <f t="shared" si="5"/>
        <v>982247.5338814168</v>
      </c>
      <c r="G76" s="26">
        <f>IF('[1]Computations'!D33=1,0,'[1]Computations'!I33*'[1]Computations'!C33*(1-cost_share_rate))</f>
        <v>0</v>
      </c>
      <c r="H76" s="26">
        <f>(G76+C76)*'[1]Computations'!E33+D76/3</f>
        <v>300105.08640000003</v>
      </c>
      <c r="I76" s="26">
        <f>IF('[1]Computations'!D33=1,G76+H76/(1+int_rate)^4+H76/(1+int_rate)^5,G76-PV(int_rate,5,H76))</f>
        <v>461967.3157740128</v>
      </c>
    </row>
    <row r="77" spans="1:9" ht="12.75">
      <c r="A77" s="23" t="str">
        <f t="shared" si="3"/>
        <v>Sediment Basin   (no.)  350</v>
      </c>
      <c r="B77" s="36">
        <f>'[1]Computations'!I34</f>
        <v>4.784838749999999</v>
      </c>
      <c r="C77" s="25">
        <f>IF('[1]Computations'!D34=1,0,'[1]Computations'!I34*'[1]Computations'!C34*cost_share_rate)</f>
        <v>12201.338812499996</v>
      </c>
      <c r="D77" s="25">
        <f>IF('[1]Computations'!D34=1,'[1]Computations'!I34*'[1]Computations'!C34*3,0)</f>
        <v>0</v>
      </c>
      <c r="E77" s="25">
        <f t="shared" si="4"/>
        <v>2440.267762499999</v>
      </c>
      <c r="F77" s="25">
        <f t="shared" si="5"/>
        <v>14641.606574999996</v>
      </c>
      <c r="G77" s="26">
        <f>IF('[1]Computations'!D34=1,0,'[1]Computations'!I34*'[1]Computations'!C34*(1-cost_share_rate))</f>
        <v>12201.338812499996</v>
      </c>
      <c r="H77" s="26">
        <f>(G77+C77)*'[1]Computations'!E34+D77/3</f>
        <v>732.0803287499998</v>
      </c>
      <c r="I77" s="26">
        <f>IF('[1]Computations'!D34=1,G77+H77/(1+int_rate)^4+H77/(1+int_rate)^5,G77-PV(int_rate,5,H77))</f>
        <v>15285.12747745154</v>
      </c>
    </row>
    <row r="78" spans="1:9" ht="12.75">
      <c r="A78" s="23" t="str">
        <f t="shared" si="3"/>
        <v>Stripcropping (ac.)  585</v>
      </c>
      <c r="B78" s="36">
        <f>'[1]Computations'!I35</f>
        <v>1913.9354999999996</v>
      </c>
      <c r="C78" s="25">
        <f>IF('[1]Computations'!D35=1,0,'[1]Computations'!I35*'[1]Computations'!C35*cost_share_rate)</f>
        <v>50719.290749999986</v>
      </c>
      <c r="D78" s="25">
        <f>IF('[1]Computations'!D35=1,'[1]Computations'!I35*'[1]Computations'!C35*3,0)</f>
        <v>0</v>
      </c>
      <c r="E78" s="25">
        <f t="shared" si="4"/>
        <v>10143.858149999998</v>
      </c>
      <c r="F78" s="25">
        <f t="shared" si="5"/>
        <v>60863.148899999986</v>
      </c>
      <c r="G78" s="26">
        <f>IF('[1]Computations'!D35=1,0,'[1]Computations'!I35*'[1]Computations'!C35*(1-cost_share_rate))</f>
        <v>50719.290749999986</v>
      </c>
      <c r="H78" s="26">
        <f>(G78+C78)*'[1]Computations'!E35+D78/3</f>
        <v>0</v>
      </c>
      <c r="I78" s="26">
        <f>IF('[1]Computations'!D35=1,G78+H78/(1+int_rate)^4+H78/(1+int_rate)^5,G78-PV(int_rate,5,H78))</f>
        <v>50719.290749999986</v>
      </c>
    </row>
    <row r="79" spans="1:9" ht="12.75">
      <c r="A79" s="23" t="str">
        <f t="shared" si="3"/>
        <v>Upland Wildlife Habitat Management   (ac.)  645</v>
      </c>
      <c r="B79" s="36">
        <f>'[1]Computations'!I36</f>
        <v>478.4838749999999</v>
      </c>
      <c r="C79" s="25">
        <f>IF('[1]Computations'!D36=1,0,'[1]Computations'!I36*'[1]Computations'!C36*cost_share_rate)</f>
        <v>0</v>
      </c>
      <c r="D79" s="25">
        <f>IF('[1]Computations'!D36=1,'[1]Computations'!I36*'[1]Computations'!C36*3,0)</f>
        <v>14354.516249999997</v>
      </c>
      <c r="E79" s="25">
        <f t="shared" si="4"/>
        <v>2870.9032499999994</v>
      </c>
      <c r="F79" s="25">
        <f t="shared" si="5"/>
        <v>15660.834404997073</v>
      </c>
      <c r="G79" s="26">
        <f>IF('[1]Computations'!D36=1,0,'[1]Computations'!I36*'[1]Computations'!C36*(1-cost_share_rate))</f>
        <v>0</v>
      </c>
      <c r="H79" s="26">
        <f>(G79+C79)*'[1]Computations'!E36+D79/3</f>
        <v>4784.838749999999</v>
      </c>
      <c r="I79" s="26">
        <f>IF('[1]Computations'!D36=1,G79+H79/(1+int_rate)^4+H79/(1+int_rate)^5,G79-PV(int_rate,5,H79))</f>
        <v>7365.550315274437</v>
      </c>
    </row>
    <row r="80" spans="1:9" ht="12.75">
      <c r="A80" s="23" t="str">
        <f t="shared" si="3"/>
        <v>Waste Storage Facility   (no.)  313</v>
      </c>
      <c r="B80" s="36">
        <f>'[1]Computations'!I37</f>
        <v>31.89892499999999</v>
      </c>
      <c r="C80" s="25">
        <f>IF('[1]Computations'!D37=1,0,'[1]Computations'!I37*'[1]Computations'!C37*cost_share_rate)</f>
        <v>2073430.1249999995</v>
      </c>
      <c r="D80" s="25">
        <f>IF('[1]Computations'!D37=1,'[1]Computations'!I37*'[1]Computations'!C37*3,0)</f>
        <v>0</v>
      </c>
      <c r="E80" s="25">
        <f t="shared" si="4"/>
        <v>414686.0249999999</v>
      </c>
      <c r="F80" s="25">
        <f t="shared" si="5"/>
        <v>2488116.1499999994</v>
      </c>
      <c r="G80" s="26">
        <f>IF('[1]Computations'!D37=1,0,'[1]Computations'!I37*'[1]Computations'!C37*(1-cost_share_rate))</f>
        <v>2073430.1249999995</v>
      </c>
      <c r="H80" s="26">
        <f>(G80+C80)*'[1]Computations'!E37+D80/3</f>
        <v>82937.20499999999</v>
      </c>
      <c r="I80" s="26">
        <f>IF('[1]Computations'!D37=1,G80+H80/(1+int_rate)^4+H80/(1+int_rate)^5,G80-PV(int_rate,5,H80))</f>
        <v>2422791.8038180396</v>
      </c>
    </row>
    <row r="81" spans="1:9" ht="13.5" thickBot="1">
      <c r="A81" s="23" t="str">
        <f t="shared" si="3"/>
        <v>Waste Utilization   (ac.)  633</v>
      </c>
      <c r="B81" s="36">
        <f>'[1]Computations'!I38</f>
        <v>3827.870999999999</v>
      </c>
      <c r="C81" s="25">
        <f>IF('[1]Computations'!D38=1,0,'[1]Computations'!I38*'[1]Computations'!C38*cost_share_rate)</f>
        <v>0</v>
      </c>
      <c r="D81" s="25">
        <f>IF('[1]Computations'!D38=1,'[1]Computations'!I38*'[1]Computations'!C38*3,0)</f>
        <v>172254.19499999995</v>
      </c>
      <c r="E81" s="25">
        <f t="shared" si="4"/>
        <v>34450.83899999999</v>
      </c>
      <c r="F81" s="25">
        <f t="shared" si="5"/>
        <v>187930.01285996486</v>
      </c>
      <c r="G81" s="26">
        <f>IF('[1]Computations'!D38=1,0,'[1]Computations'!I38*'[1]Computations'!C38*(1-cost_share_rate))</f>
        <v>0</v>
      </c>
      <c r="H81" s="26">
        <f>(G81+C81)*'[1]Computations'!E38+D81/3</f>
        <v>57418.06499999998</v>
      </c>
      <c r="I81" s="26">
        <f>IF('[1]Computations'!D38=1,G81+H81/(1+int_rate)^4+H81/(1+int_rate)^5,G81-PV(int_rate,5,H81))</f>
        <v>88386.60378329322</v>
      </c>
    </row>
    <row r="82" spans="1:9" ht="12.75" hidden="1">
      <c r="A82" s="23" t="str">
        <f t="shared" si="3"/>
        <v>na</v>
      </c>
      <c r="B82" s="36">
        <f>'[1]Computations'!I39</f>
        <v>0</v>
      </c>
      <c r="C82" s="25">
        <f>IF('[1]Computations'!D39=1,0,'[1]Computations'!I39*'[1]Computations'!C39*cost_share_rate)</f>
        <v>0</v>
      </c>
      <c r="D82" s="25">
        <f>IF('[1]Computations'!D39=1,'[1]Computations'!I39*'[1]Computations'!C39*3,0)</f>
        <v>0</v>
      </c>
      <c r="E82" s="25">
        <f t="shared" si="4"/>
        <v>0</v>
      </c>
      <c r="F82" s="25">
        <f t="shared" si="5"/>
        <v>0</v>
      </c>
      <c r="G82" s="26">
        <f>IF('[1]Computations'!D39=1,0,'[1]Computations'!I39*'[1]Computations'!C39*(1-cost_share_rate))</f>
        <v>0</v>
      </c>
      <c r="H82" s="26">
        <f>(G82+C82)*'[1]Computations'!E39+D82/3</f>
        <v>0</v>
      </c>
      <c r="I82" s="26">
        <f>IF('[1]Computations'!D39=1,G82+H82/(1+int_rate)^4+H82/(1+int_rate)^5,G82-PV(int_rate,5,H82))</f>
        <v>0</v>
      </c>
    </row>
    <row r="83" spans="1:9" ht="12.75" hidden="1">
      <c r="A83" s="23" t="str">
        <f t="shared" si="3"/>
        <v>na</v>
      </c>
      <c r="B83" s="36">
        <f>'[1]Computations'!I40</f>
        <v>0</v>
      </c>
      <c r="C83" s="25">
        <f>IF('[1]Computations'!D40=1,0,'[1]Computations'!I40*'[1]Computations'!C40*cost_share_rate)</f>
        <v>0</v>
      </c>
      <c r="D83" s="25">
        <f>IF('[1]Computations'!D40=1,'[1]Computations'!I40*'[1]Computations'!C40*3,0)</f>
        <v>0</v>
      </c>
      <c r="E83" s="25">
        <f t="shared" si="4"/>
        <v>0</v>
      </c>
      <c r="F83" s="25">
        <f t="shared" si="5"/>
        <v>0</v>
      </c>
      <c r="G83" s="26">
        <f>IF('[1]Computations'!D40=1,0,'[1]Computations'!I40*'[1]Computations'!C40*(1-cost_share_rate))</f>
        <v>0</v>
      </c>
      <c r="H83" s="26">
        <f>(G83+C83)*'[1]Computations'!E40+D83/3</f>
        <v>0</v>
      </c>
      <c r="I83" s="26">
        <f>IF('[1]Computations'!D40=1,G83+H83/(1+int_rate)^4+H83/(1+int_rate)^5,G83-PV(int_rate,5,H83))</f>
        <v>0</v>
      </c>
    </row>
    <row r="84" spans="1:9" ht="12.75" hidden="1">
      <c r="A84" s="23" t="str">
        <f t="shared" si="3"/>
        <v>na</v>
      </c>
      <c r="B84" s="36">
        <f>'[1]Computations'!I41</f>
        <v>0</v>
      </c>
      <c r="C84" s="25">
        <f>IF('[1]Computations'!D41=1,0,'[1]Computations'!I41*'[1]Computations'!C41*cost_share_rate)</f>
        <v>0</v>
      </c>
      <c r="D84" s="25">
        <f>IF('[1]Computations'!D41=1,'[1]Computations'!I41*'[1]Computations'!C41*3,0)</f>
        <v>0</v>
      </c>
      <c r="E84" s="25">
        <f t="shared" si="4"/>
        <v>0</v>
      </c>
      <c r="F84" s="25">
        <f t="shared" si="5"/>
        <v>0</v>
      </c>
      <c r="G84" s="26">
        <f>IF('[1]Computations'!D41=1,0,'[1]Computations'!I41*'[1]Computations'!C41*(1-cost_share_rate))</f>
        <v>0</v>
      </c>
      <c r="H84" s="26">
        <f>(G84+C84)*'[1]Computations'!E41+D84/3</f>
        <v>0</v>
      </c>
      <c r="I84" s="26">
        <f>IF('[1]Computations'!D41=1,G84+H84/(1+int_rate)^4+H84/(1+int_rate)^5,G84-PV(int_rate,5,H84))</f>
        <v>0</v>
      </c>
    </row>
    <row r="85" spans="1:9" ht="13.5" hidden="1" thickBot="1">
      <c r="A85" s="23" t="str">
        <f t="shared" si="3"/>
        <v>na</v>
      </c>
      <c r="B85" s="36">
        <f>'[1]Computations'!I42</f>
        <v>0</v>
      </c>
      <c r="C85" s="25">
        <f>IF('[1]Computations'!D42=1,0,'[1]Computations'!I42*'[1]Computations'!C42*cost_share_rate)</f>
        <v>0</v>
      </c>
      <c r="D85" s="25">
        <f>IF('[1]Computations'!D42=1,'[1]Computations'!I42*'[1]Computations'!C42*3,0)</f>
        <v>0</v>
      </c>
      <c r="E85" s="25">
        <f t="shared" si="4"/>
        <v>0</v>
      </c>
      <c r="F85" s="25">
        <f t="shared" si="5"/>
        <v>0</v>
      </c>
      <c r="G85" s="26">
        <f>IF('[1]Computations'!D42=1,0,'[1]Computations'!I42*'[1]Computations'!C42*(1-cost_share_rate))</f>
        <v>0</v>
      </c>
      <c r="H85" s="26">
        <f>(G85+C85)*'[1]Computations'!E42+D85/3</f>
        <v>0</v>
      </c>
      <c r="I85" s="26">
        <f>IF('[1]Computations'!D42=1,G85+H85/(1+int_rate)^4+H85/(1+int_rate)^5,G85-PV(int_rate,5,H85))</f>
        <v>0</v>
      </c>
    </row>
    <row r="86" spans="1:9" ht="14.25" thickBot="1" thickTop="1">
      <c r="A86" s="37"/>
      <c r="B86" s="38" t="s">
        <v>31</v>
      </c>
      <c r="C86" s="39">
        <f>SUM(C69:C85)</f>
        <v>3269560.0651874985</v>
      </c>
      <c r="D86" s="39">
        <f>SUM(D69:D85)</f>
        <v>2043508.93335</v>
      </c>
      <c r="E86" s="39">
        <f t="shared" si="4"/>
        <v>1062613.7997074998</v>
      </c>
      <c r="F86" s="39">
        <f>SUM(F69:F85)</f>
        <v>6152948.464120382</v>
      </c>
      <c r="G86" s="40">
        <f>SUM(G69:G85)</f>
        <v>3269560.0651874985</v>
      </c>
      <c r="H86" s="40">
        <f>SUM(H69:H85)</f>
        <v>803420.6795662498</v>
      </c>
      <c r="I86" s="40">
        <f>SUM(I69:I85)</f>
        <v>4833085.641141583</v>
      </c>
    </row>
    <row r="87" spans="1:9" ht="13.5" thickTop="1">
      <c r="A87" s="41" t="s">
        <v>33</v>
      </c>
      <c r="B87" s="42">
        <f>at_p_new_ac+at_r_new_ac</f>
        <v>25519.14000000003</v>
      </c>
      <c r="C87" s="43">
        <f aca="true" t="shared" si="6" ref="C87:I87">C86+C66</f>
        <v>3406565.948062503</v>
      </c>
      <c r="D87" s="43">
        <f t="shared" si="6"/>
        <v>2627833.4415000086</v>
      </c>
      <c r="E87" s="43">
        <f t="shared" si="6"/>
        <v>1206879.8779125025</v>
      </c>
      <c r="F87" s="43">
        <f t="shared" si="6"/>
        <v>6954855.889416479</v>
      </c>
      <c r="G87" s="43">
        <f t="shared" si="6"/>
        <v>3406565.948062503</v>
      </c>
      <c r="H87" s="43">
        <f t="shared" si="6"/>
        <v>1002948.4554412529</v>
      </c>
      <c r="I87" s="43">
        <f t="shared" si="6"/>
        <v>5289939.637110834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A48:I49"/>
    <mergeCell ref="A50:I50"/>
    <mergeCell ref="C51:F51"/>
    <mergeCell ref="G51:I51"/>
    <mergeCell ref="A54:I54"/>
    <mergeCell ref="A67:I67"/>
    <mergeCell ref="A52:A53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2008-05-28T19:55:06Z</dcterms:created>
  <dcterms:modified xsi:type="dcterms:W3CDTF">2008-05-29T20:07:53Z</dcterms:modified>
  <cp:category/>
  <cp:version/>
  <cp:contentType/>
  <cp:contentStatus/>
</cp:coreProperties>
</file>