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240" tabRatio="807" firstSheet="1" activeTab="1"/>
  </bookViews>
  <sheets>
    <sheet name="VVVVVVa" sheetId="1" state="hidden" r:id="rId1"/>
    <sheet name="Consolidating0309" sheetId="2" r:id="rId2"/>
    <sheet name="Consolidating2002" sheetId="3" r:id="rId3"/>
  </sheets>
  <definedNames>
    <definedName name="_xlnm.Print_Area" localSheetId="1">'Consolidating0309'!$A$1:$R$125</definedName>
    <definedName name="_xlnm.Print_Area" localSheetId="2">'Consolidating2002'!$A$1:$Q$123</definedName>
  </definedNames>
  <calcPr fullCalcOnLoad="1"/>
</workbook>
</file>

<file path=xl/sharedStrings.xml><?xml version="1.0" encoding="utf-8"?>
<sst xmlns="http://schemas.openxmlformats.org/spreadsheetml/2006/main" count="257" uniqueCount="37">
  <si>
    <t>WCF</t>
  </si>
  <si>
    <t>OBD</t>
  </si>
  <si>
    <t>USMS</t>
  </si>
  <si>
    <t>OJP</t>
  </si>
  <si>
    <t>DEA</t>
  </si>
  <si>
    <t>FBI</t>
  </si>
  <si>
    <t>INS</t>
  </si>
  <si>
    <t>Eliminations</t>
  </si>
  <si>
    <t>Consolidated</t>
  </si>
  <si>
    <t>Dollars in Thousands</t>
  </si>
  <si>
    <t>DEPARTMENT OF JUSTICE</t>
  </si>
  <si>
    <t>AFF/SADF</t>
  </si>
  <si>
    <t>FPI</t>
  </si>
  <si>
    <t>BOP</t>
  </si>
  <si>
    <t>Consolidating Statement of Net Cost</t>
  </si>
  <si>
    <t>With the Public</t>
  </si>
  <si>
    <t>Gross Cost</t>
  </si>
  <si>
    <t>Less Earned Revenues</t>
  </si>
  <si>
    <t>Intragovernmental</t>
  </si>
  <si>
    <t>Goal 1: Protect America Against the Threat of Terrorism</t>
  </si>
  <si>
    <t>Goal 2: Enforce Federal Criminal Laws</t>
  </si>
  <si>
    <t>Goal 3: Prevent and Reduce Crime and Violence by Assisting State, Tribal, Local and Community-Based Programs</t>
  </si>
  <si>
    <t>Goal 5: Fairly and Effectively Administer the Immigration and Naturalization Laws of the United States</t>
  </si>
  <si>
    <t>Goal 7: Protect the Federal Judiciary and Provide Critical Support to the Federal Justice System to Ensure it Operates Effectively</t>
  </si>
  <si>
    <t xml:space="preserve">Net Cost (Revenue) of Operations  </t>
  </si>
  <si>
    <t>Intragovernmental Net Cost</t>
  </si>
  <si>
    <t>Net Cost with the Public</t>
  </si>
  <si>
    <t>Goal 4: Protect the Rights and Interests of the American People by Legal Representation, Enforcement of Federal Laws and Defense of U.S. Interests</t>
  </si>
  <si>
    <t>Consolidating Statement of Net Cost (Continued)</t>
  </si>
  <si>
    <t>Goal 6:  Protect American Society by Providing for the Safe, Secure and Humane Confinement of Persons in Federal Custody</t>
  </si>
  <si>
    <t>For the Fiscal Year Ended September 30, 2002</t>
  </si>
  <si>
    <t xml:space="preserve"> </t>
  </si>
  <si>
    <t>ATF</t>
  </si>
  <si>
    <t>Transferred Operations Pursuant to P.L. 107-296:</t>
  </si>
  <si>
    <t xml:space="preserve">For the Fiscal Year Ended September 30, 2003 </t>
  </si>
  <si>
    <t>Goal 8: Ensure Professionalism, Excellence, Accountability and Integrity in the Management and Conduct of the Department of Justice Activities and Programs</t>
  </si>
  <si>
    <t>Transferred Operations Pursuant to P.L. 107-296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</si>
</sst>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_)"/>
    <numFmt numFmtId="166" formatCode="_-* #,##0.00_-;\-* #,##0.00_-;_-* &quot;-&quot;??_-;_-@_-"/>
  </numFmts>
  <fonts count="12">
    <font>
      <sz val="10"/>
      <name val="Arial"/>
      <family val="0"/>
    </font>
    <font>
      <b/>
      <sz val="10"/>
      <name val="Arial"/>
      <family val="2"/>
    </font>
    <font>
      <sz val="11"/>
      <name val="Tms Rmn"/>
      <family val="1"/>
    </font>
    <font>
      <u val="single"/>
      <sz val="7.5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6"/>
      <name val="Helv"/>
      <family val="0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5" fillId="0" borderId="0">
      <alignment/>
      <protection/>
    </xf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6" xfId="0" applyFont="1" applyBorder="1" applyAlignment="1">
      <alignment/>
    </xf>
    <xf numFmtId="3" fontId="1" fillId="0" borderId="6" xfId="0" applyNumberFormat="1" applyFont="1" applyBorder="1" applyAlignment="1">
      <alignment/>
    </xf>
    <xf numFmtId="42" fontId="0" fillId="0" borderId="0" xfId="15" applyNumberFormat="1" applyFont="1" applyBorder="1" applyAlignment="1">
      <alignment horizontal="right"/>
    </xf>
    <xf numFmtId="42" fontId="0" fillId="0" borderId="0" xfId="26" applyNumberFormat="1" applyFont="1" applyBorder="1" applyAlignment="1">
      <alignment horizontal="right"/>
    </xf>
    <xf numFmtId="42" fontId="0" fillId="0" borderId="6" xfId="26" applyNumberFormat="1" applyFont="1" applyBorder="1" applyAlignment="1">
      <alignment horizontal="right"/>
    </xf>
    <xf numFmtId="42" fontId="0" fillId="0" borderId="1" xfId="15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42" fontId="0" fillId="0" borderId="3" xfId="0" applyNumberFormat="1" applyBorder="1" applyAlignment="1">
      <alignment/>
    </xf>
    <xf numFmtId="42" fontId="0" fillId="0" borderId="0" xfId="0" applyNumberFormat="1" applyAlignment="1">
      <alignment/>
    </xf>
    <xf numFmtId="42" fontId="9" fillId="0" borderId="0" xfId="0" applyNumberFormat="1" applyFont="1" applyAlignment="1">
      <alignment/>
    </xf>
    <xf numFmtId="42" fontId="0" fillId="0" borderId="7" xfId="15" applyNumberFormat="1" applyFont="1" applyBorder="1" applyAlignment="1">
      <alignment horizontal="right"/>
    </xf>
    <xf numFmtId="42" fontId="8" fillId="0" borderId="0" xfId="0" applyNumberFormat="1" applyFont="1" applyAlignment="1">
      <alignment/>
    </xf>
    <xf numFmtId="41" fontId="0" fillId="0" borderId="0" xfId="15" applyNumberFormat="1" applyFont="1" applyBorder="1" applyAlignment="1">
      <alignment horizontal="right"/>
    </xf>
    <xf numFmtId="41" fontId="0" fillId="0" borderId="0" xfId="0" applyNumberFormat="1" applyAlignment="1">
      <alignment/>
    </xf>
    <xf numFmtId="42" fontId="9" fillId="0" borderId="6" xfId="15" applyNumberFormat="1" applyFont="1" applyBorder="1" applyAlignment="1">
      <alignment horizontal="right"/>
    </xf>
    <xf numFmtId="42" fontId="9" fillId="0" borderId="8" xfId="0" applyNumberFormat="1" applyFont="1" applyBorder="1" applyAlignment="1">
      <alignment/>
    </xf>
    <xf numFmtId="0" fontId="6" fillId="0" borderId="0" xfId="0" applyFont="1" applyAlignment="1">
      <alignment horizontal="left"/>
    </xf>
    <xf numFmtId="42" fontId="0" fillId="0" borderId="7" xfId="0" applyNumberFormat="1" applyBorder="1" applyAlignment="1">
      <alignment/>
    </xf>
    <xf numFmtId="42" fontId="9" fillId="0" borderId="4" xfId="0" applyNumberFormat="1" applyFont="1" applyBorder="1" applyAlignment="1">
      <alignment/>
    </xf>
    <xf numFmtId="3" fontId="0" fillId="0" borderId="7" xfId="0" applyNumberFormat="1" applyBorder="1" applyAlignment="1">
      <alignment/>
    </xf>
    <xf numFmtId="3" fontId="0" fillId="0" borderId="7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1" xfId="0" applyFont="1" applyBorder="1" applyAlignment="1">
      <alignment/>
    </xf>
    <xf numFmtId="42" fontId="9" fillId="0" borderId="0" xfId="0" applyNumberFormat="1" applyFont="1" applyBorder="1" applyAlignment="1">
      <alignment/>
    </xf>
    <xf numFmtId="42" fontId="9" fillId="0" borderId="6" xfId="0" applyNumberFormat="1" applyFont="1" applyBorder="1" applyAlignment="1">
      <alignment/>
    </xf>
    <xf numFmtId="42" fontId="0" fillId="0" borderId="0" xfId="0" applyNumberFormat="1" applyBorder="1" applyAlignment="1">
      <alignment/>
    </xf>
    <xf numFmtId="41" fontId="0" fillId="0" borderId="7" xfId="15" applyNumberFormat="1" applyFont="1" applyBorder="1" applyAlignment="1">
      <alignment horizontal="right"/>
    </xf>
    <xf numFmtId="0" fontId="0" fillId="0" borderId="4" xfId="0" applyFont="1" applyFill="1" applyBorder="1" applyAlignment="1">
      <alignment/>
    </xf>
    <xf numFmtId="41" fontId="0" fillId="0" borderId="7" xfId="15" applyNumberFormat="1" applyFont="1" applyFill="1" applyBorder="1" applyAlignment="1">
      <alignment horizontal="right"/>
    </xf>
    <xf numFmtId="42" fontId="0" fillId="0" borderId="3" xfId="0" applyNumberFormat="1" applyFill="1" applyBorder="1" applyAlignment="1">
      <alignment/>
    </xf>
    <xf numFmtId="3" fontId="1" fillId="0" borderId="0" xfId="0" applyNumberFormat="1" applyFont="1" applyFill="1" applyAlignment="1">
      <alignment/>
    </xf>
    <xf numFmtId="42" fontId="0" fillId="0" borderId="7" xfId="0" applyNumberFormat="1" applyFill="1" applyBorder="1" applyAlignment="1">
      <alignment/>
    </xf>
    <xf numFmtId="42" fontId="0" fillId="0" borderId="7" xfId="15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0" fontId="9" fillId="0" borderId="9" xfId="0" applyFont="1" applyBorder="1" applyAlignment="1">
      <alignment/>
    </xf>
    <xf numFmtId="0" fontId="0" fillId="0" borderId="5" xfId="0" applyFont="1" applyBorder="1" applyAlignment="1">
      <alignment/>
    </xf>
    <xf numFmtId="3" fontId="1" fillId="3" borderId="0" xfId="0" applyNumberFormat="1" applyFont="1" applyFill="1" applyBorder="1" applyAlignment="1">
      <alignment/>
    </xf>
    <xf numFmtId="3" fontId="0" fillId="0" borderId="0" xfId="0" applyNumberFormat="1" applyAlignment="1" quotePrefix="1">
      <alignment/>
    </xf>
    <xf numFmtId="0" fontId="11" fillId="0" borderId="0" xfId="0" applyFont="1" applyAlignment="1">
      <alignment textRotation="180"/>
    </xf>
    <xf numFmtId="0" fontId="11" fillId="0" borderId="0" xfId="0" applyFont="1" applyAlignment="1">
      <alignment vertical="center" textRotation="180"/>
    </xf>
    <xf numFmtId="0" fontId="11" fillId="0" borderId="0" xfId="0" applyFont="1" applyAlignment="1">
      <alignment horizontal="center" vertical="center" textRotation="180"/>
    </xf>
    <xf numFmtId="42" fontId="0" fillId="0" borderId="0" xfId="0" applyNumberFormat="1" applyFill="1" applyAlignment="1">
      <alignment/>
    </xf>
    <xf numFmtId="41" fontId="0" fillId="0" borderId="0" xfId="15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</cellXfs>
  <cellStyles count="19">
    <cellStyle name="Normal" xfId="0"/>
    <cellStyle name="Comma" xfId="15"/>
    <cellStyle name="Comma  - Style1" xfId="16"/>
    <cellStyle name="Comma  - Style2" xfId="17"/>
    <cellStyle name="Comma  - Style3" xfId="18"/>
    <cellStyle name="Comma  - Style4" xfId="19"/>
    <cellStyle name="Comma  - Style5" xfId="20"/>
    <cellStyle name="Comma  - Style6" xfId="21"/>
    <cellStyle name="Comma  - Style7" xfId="22"/>
    <cellStyle name="Comma  - Style8" xfId="23"/>
    <cellStyle name="Comma [0]" xfId="24"/>
    <cellStyle name="Comma0" xfId="25"/>
    <cellStyle name="Currency" xfId="26"/>
    <cellStyle name="Currency [0]" xfId="27"/>
    <cellStyle name="Currency0" xfId="28"/>
    <cellStyle name="Followed Hyperlink" xfId="29"/>
    <cellStyle name="Hyperlink" xfId="30"/>
    <cellStyle name="Normal - Style1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colorId="1" workbookViewId="0" topLeftCell="B27747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8"/>
  <sheetViews>
    <sheetView tabSelected="1" workbookViewId="0" topLeftCell="A1">
      <pane ySplit="2040" topLeftCell="BM1" activePane="topLeft" state="split"/>
      <selection pane="topLeft" activeCell="P118" sqref="P118"/>
      <selection pane="bottomLeft" activeCell="B7" sqref="B7"/>
    </sheetView>
  </sheetViews>
  <sheetFormatPr defaultColWidth="9.140625" defaultRowHeight="12.75"/>
  <cols>
    <col min="1" max="1" width="2.7109375" style="0" customWidth="1"/>
    <col min="2" max="2" width="2.28125" style="0" customWidth="1"/>
    <col min="3" max="3" width="1.8515625" style="0" customWidth="1"/>
    <col min="4" max="4" width="31.421875" style="0" customWidth="1"/>
    <col min="5" max="16" width="13.140625" style="0" customWidth="1"/>
    <col min="17" max="17" width="13.8515625" style="20" bestFit="1" customWidth="1"/>
    <col min="18" max="18" width="1.28515625" style="0" customWidth="1"/>
    <col min="19" max="19" width="1.57421875" style="0" customWidth="1"/>
    <col min="20" max="20" width="9.7109375" style="0" bestFit="1" customWidth="1"/>
  </cols>
  <sheetData>
    <row r="1" spans="1:18" ht="18" customHeight="1">
      <c r="A1" s="62"/>
      <c r="B1" s="67" t="s">
        <v>10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2:18" ht="18">
      <c r="B2" s="67" t="s">
        <v>14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8" ht="18">
      <c r="A3" s="63"/>
      <c r="B3" s="67" t="s">
        <v>34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</row>
    <row r="4" spans="1:18" s="2" customFormat="1" ht="9" customHeight="1">
      <c r="A4" s="63"/>
      <c r="B4" s="40"/>
      <c r="C4" s="40"/>
      <c r="D4" s="40"/>
      <c r="E4" s="4" t="s">
        <v>31</v>
      </c>
      <c r="F4" s="4" t="s">
        <v>31</v>
      </c>
      <c r="G4" s="4"/>
      <c r="H4" s="4"/>
      <c r="I4" s="4"/>
      <c r="J4" s="4"/>
      <c r="K4" s="4"/>
      <c r="L4" s="4"/>
      <c r="M4" s="4"/>
      <c r="N4" s="4" t="s">
        <v>31</v>
      </c>
      <c r="O4" s="4" t="s">
        <v>31</v>
      </c>
      <c r="P4" s="4"/>
      <c r="Q4" s="3"/>
      <c r="R4" s="4"/>
    </row>
    <row r="5" spans="1:18" s="3" customFormat="1" ht="12.75">
      <c r="A5" s="63"/>
      <c r="B5" s="12" t="s">
        <v>9</v>
      </c>
      <c r="C5" s="12"/>
      <c r="D5" s="12"/>
      <c r="E5" s="13" t="s">
        <v>11</v>
      </c>
      <c r="F5" s="13" t="s">
        <v>0</v>
      </c>
      <c r="G5" s="13" t="s">
        <v>1</v>
      </c>
      <c r="H5" s="13" t="s">
        <v>2</v>
      </c>
      <c r="I5" s="13" t="s">
        <v>3</v>
      </c>
      <c r="J5" s="13" t="s">
        <v>4</v>
      </c>
      <c r="K5" s="13" t="s">
        <v>5</v>
      </c>
      <c r="L5" s="13" t="s">
        <v>32</v>
      </c>
      <c r="M5" s="13" t="s">
        <v>6</v>
      </c>
      <c r="N5" s="13" t="s">
        <v>13</v>
      </c>
      <c r="O5" s="13" t="s">
        <v>12</v>
      </c>
      <c r="P5" s="13" t="s">
        <v>7</v>
      </c>
      <c r="Q5" s="13" t="s">
        <v>8</v>
      </c>
      <c r="R5" s="13"/>
    </row>
    <row r="6" s="2" customFormat="1" ht="13.5" thickBot="1">
      <c r="A6" s="63"/>
    </row>
    <row r="7" spans="1:18" s="1" customFormat="1" ht="15">
      <c r="A7" s="63"/>
      <c r="B7" s="18"/>
      <c r="C7" s="46"/>
      <c r="D7" s="46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30"/>
      <c r="R7" s="16"/>
    </row>
    <row r="8" spans="1:18" s="1" customFormat="1" ht="15">
      <c r="A8" s="63"/>
      <c r="B8" s="17" t="s">
        <v>19</v>
      </c>
      <c r="C8" s="21"/>
      <c r="D8" s="21"/>
      <c r="E8" s="6"/>
      <c r="F8" s="6"/>
      <c r="G8" s="6"/>
      <c r="H8" s="6"/>
      <c r="I8" s="6"/>
      <c r="J8" s="6"/>
      <c r="K8" s="6" t="s">
        <v>31</v>
      </c>
      <c r="L8" s="6"/>
      <c r="M8" s="6"/>
      <c r="N8" s="6"/>
      <c r="O8" s="6"/>
      <c r="P8" s="6"/>
      <c r="Q8" s="29"/>
      <c r="R8" s="11"/>
    </row>
    <row r="9" spans="1:18" s="1" customFormat="1" ht="12.75">
      <c r="A9" s="63"/>
      <c r="B9" s="19"/>
      <c r="C9" s="14" t="s">
        <v>18</v>
      </c>
      <c r="D9" s="14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9"/>
      <c r="R9" s="11"/>
    </row>
    <row r="10" spans="1:18" s="1" customFormat="1" ht="12.75">
      <c r="A10" s="63"/>
      <c r="B10" s="19"/>
      <c r="C10" s="14"/>
      <c r="D10" s="14" t="s">
        <v>16</v>
      </c>
      <c r="E10" s="25">
        <v>0</v>
      </c>
      <c r="F10" s="25">
        <v>0</v>
      </c>
      <c r="G10" s="25">
        <v>1642</v>
      </c>
      <c r="H10" s="25">
        <v>0</v>
      </c>
      <c r="I10" s="25">
        <v>495</v>
      </c>
      <c r="J10" s="25">
        <v>0</v>
      </c>
      <c r="K10" s="25">
        <v>482971</v>
      </c>
      <c r="L10" s="25">
        <v>0</v>
      </c>
      <c r="M10" s="25">
        <v>0</v>
      </c>
      <c r="N10" s="25">
        <v>0</v>
      </c>
      <c r="O10" s="25">
        <v>0</v>
      </c>
      <c r="P10" s="25">
        <f>-28178+1825</f>
        <v>-26353</v>
      </c>
      <c r="Q10" s="25">
        <f>SUM(E10:P10)</f>
        <v>458755</v>
      </c>
      <c r="R10" s="11"/>
    </row>
    <row r="11" spans="1:18" s="1" customFormat="1" ht="12.75">
      <c r="A11" s="63"/>
      <c r="B11" s="19"/>
      <c r="C11" s="14"/>
      <c r="D11" s="14" t="s">
        <v>17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18163</v>
      </c>
      <c r="L11" s="36">
        <v>0</v>
      </c>
      <c r="M11" s="36">
        <v>0</v>
      </c>
      <c r="N11" s="36">
        <v>0</v>
      </c>
      <c r="O11" s="36">
        <v>0</v>
      </c>
      <c r="P11" s="36">
        <f>-16670+6839</f>
        <v>-9831</v>
      </c>
      <c r="Q11" s="36">
        <f>SUM(E11:P11)</f>
        <v>8332</v>
      </c>
      <c r="R11" s="11"/>
    </row>
    <row r="12" spans="1:18" s="1" customFormat="1" ht="12.75">
      <c r="A12" s="63"/>
      <c r="B12" s="19"/>
      <c r="C12" s="14"/>
      <c r="D12" s="14" t="s">
        <v>25</v>
      </c>
      <c r="E12" s="50">
        <f>E10-E11</f>
        <v>0</v>
      </c>
      <c r="F12" s="50">
        <f aca="true" t="shared" si="0" ref="F12:O12">F10-F11</f>
        <v>0</v>
      </c>
      <c r="G12" s="50">
        <f t="shared" si="0"/>
        <v>1642</v>
      </c>
      <c r="H12" s="50">
        <f t="shared" si="0"/>
        <v>0</v>
      </c>
      <c r="I12" s="50">
        <f t="shared" si="0"/>
        <v>495</v>
      </c>
      <c r="J12" s="50">
        <f t="shared" si="0"/>
        <v>0</v>
      </c>
      <c r="K12" s="50">
        <f t="shared" si="0"/>
        <v>464808</v>
      </c>
      <c r="L12" s="50">
        <f t="shared" si="0"/>
        <v>0</v>
      </c>
      <c r="M12" s="50">
        <f t="shared" si="0"/>
        <v>0</v>
      </c>
      <c r="N12" s="50">
        <f t="shared" si="0"/>
        <v>0</v>
      </c>
      <c r="O12" s="50">
        <f t="shared" si="0"/>
        <v>0</v>
      </c>
      <c r="P12" s="50">
        <f>P10-P11</f>
        <v>-16522</v>
      </c>
      <c r="Q12" s="50">
        <f>Q10-Q11</f>
        <v>450423</v>
      </c>
      <c r="R12" s="11"/>
    </row>
    <row r="13" spans="1:18" s="1" customFormat="1" ht="12.75">
      <c r="A13" s="63"/>
      <c r="B13" s="19"/>
      <c r="C13" s="14" t="s">
        <v>15</v>
      </c>
      <c r="D13" s="14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11"/>
    </row>
    <row r="14" spans="1:18" s="1" customFormat="1" ht="12.75">
      <c r="A14" s="63"/>
      <c r="B14" s="19"/>
      <c r="C14" s="14"/>
      <c r="D14" s="14" t="s">
        <v>16</v>
      </c>
      <c r="E14" s="36">
        <v>0</v>
      </c>
      <c r="F14" s="36">
        <v>0</v>
      </c>
      <c r="G14" s="36">
        <v>124784</v>
      </c>
      <c r="H14" s="36">
        <v>0</v>
      </c>
      <c r="I14" s="36">
        <v>32637</v>
      </c>
      <c r="J14" s="36">
        <v>0</v>
      </c>
      <c r="K14" s="36">
        <v>987638</v>
      </c>
      <c r="L14" s="36">
        <v>0</v>
      </c>
      <c r="M14" s="36">
        <v>0</v>
      </c>
      <c r="N14" s="36">
        <v>0</v>
      </c>
      <c r="O14" s="36">
        <v>0</v>
      </c>
      <c r="P14" s="36">
        <f>4166-413</f>
        <v>3753</v>
      </c>
      <c r="Q14" s="36">
        <f>SUM(E14:P14)</f>
        <v>1148812</v>
      </c>
      <c r="R14" s="11"/>
    </row>
    <row r="15" spans="1:18" s="1" customFormat="1" ht="12.75">
      <c r="A15" s="63"/>
      <c r="B15" s="19"/>
      <c r="C15" s="14"/>
      <c r="D15" s="14" t="s">
        <v>17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f>SUM(E15:P15)</f>
        <v>0</v>
      </c>
      <c r="R15" s="11"/>
    </row>
    <row r="16" spans="1:18" s="1" customFormat="1" ht="12.75">
      <c r="A16" s="63"/>
      <c r="B16" s="19"/>
      <c r="C16" s="14"/>
      <c r="D16" s="14" t="s">
        <v>26</v>
      </c>
      <c r="E16" s="50">
        <f>E14-E15</f>
        <v>0</v>
      </c>
      <c r="F16" s="50">
        <f aca="true" t="shared" si="1" ref="F16:O16">F14-F15</f>
        <v>0</v>
      </c>
      <c r="G16" s="50">
        <f t="shared" si="1"/>
        <v>124784</v>
      </c>
      <c r="H16" s="50">
        <f t="shared" si="1"/>
        <v>0</v>
      </c>
      <c r="I16" s="50">
        <f t="shared" si="1"/>
        <v>32637</v>
      </c>
      <c r="J16" s="50">
        <f t="shared" si="1"/>
        <v>0</v>
      </c>
      <c r="K16" s="50">
        <f t="shared" si="1"/>
        <v>987638</v>
      </c>
      <c r="L16" s="50">
        <f t="shared" si="1"/>
        <v>0</v>
      </c>
      <c r="M16" s="50">
        <f t="shared" si="1"/>
        <v>0</v>
      </c>
      <c r="N16" s="50">
        <f t="shared" si="1"/>
        <v>0</v>
      </c>
      <c r="O16" s="50">
        <f t="shared" si="1"/>
        <v>0</v>
      </c>
      <c r="P16" s="50">
        <f>P14-P15</f>
        <v>3753</v>
      </c>
      <c r="Q16" s="50">
        <f>Q14-Q15</f>
        <v>1148812</v>
      </c>
      <c r="R16" s="11"/>
    </row>
    <row r="17" spans="1:18" s="1" customFormat="1" ht="12.75">
      <c r="A17" s="63"/>
      <c r="B17" s="19"/>
      <c r="C17" s="14" t="s">
        <v>24</v>
      </c>
      <c r="D17" s="14"/>
      <c r="E17" s="41">
        <f aca="true" t="shared" si="2" ref="E17:Q17">E12+E16</f>
        <v>0</v>
      </c>
      <c r="F17" s="41">
        <f t="shared" si="2"/>
        <v>0</v>
      </c>
      <c r="G17" s="41">
        <f t="shared" si="2"/>
        <v>126426</v>
      </c>
      <c r="H17" s="41">
        <f t="shared" si="2"/>
        <v>0</v>
      </c>
      <c r="I17" s="41">
        <f t="shared" si="2"/>
        <v>33132</v>
      </c>
      <c r="J17" s="41">
        <f t="shared" si="2"/>
        <v>0</v>
      </c>
      <c r="K17" s="41">
        <f t="shared" si="2"/>
        <v>1452446</v>
      </c>
      <c r="L17" s="41">
        <f t="shared" si="2"/>
        <v>0</v>
      </c>
      <c r="M17" s="41">
        <f t="shared" si="2"/>
        <v>0</v>
      </c>
      <c r="N17" s="41">
        <f t="shared" si="2"/>
        <v>0</v>
      </c>
      <c r="O17" s="41">
        <f t="shared" si="2"/>
        <v>0</v>
      </c>
      <c r="P17" s="41">
        <f t="shared" si="2"/>
        <v>-12769</v>
      </c>
      <c r="Q17" s="41">
        <f t="shared" si="2"/>
        <v>1599235</v>
      </c>
      <c r="R17" s="11"/>
    </row>
    <row r="18" spans="1:18" s="1" customFormat="1" ht="15">
      <c r="A18" s="63"/>
      <c r="B18" s="17"/>
      <c r="C18" s="14"/>
      <c r="D18" s="14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29"/>
      <c r="R18" s="11"/>
    </row>
    <row r="19" spans="1:18" s="1" customFormat="1" ht="15">
      <c r="A19" s="63"/>
      <c r="B19" s="17" t="s">
        <v>20</v>
      </c>
      <c r="C19" s="21"/>
      <c r="D19" s="21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29"/>
      <c r="R19" s="11"/>
    </row>
    <row r="20" spans="1:18" s="1" customFormat="1" ht="12.75">
      <c r="A20" s="63"/>
      <c r="B20" s="19"/>
      <c r="C20" s="14" t="s">
        <v>18</v>
      </c>
      <c r="D20" s="14"/>
      <c r="E20" s="6"/>
      <c r="F20" s="6"/>
      <c r="G20" s="6"/>
      <c r="H20" s="6"/>
      <c r="I20" s="6"/>
      <c r="J20" s="6"/>
      <c r="K20" s="6"/>
      <c r="L20" s="6" t="s">
        <v>31</v>
      </c>
      <c r="M20" s="6"/>
      <c r="N20" s="6"/>
      <c r="O20" s="6"/>
      <c r="P20" s="6"/>
      <c r="Q20" s="29"/>
      <c r="R20" s="11"/>
    </row>
    <row r="21" spans="1:18" s="1" customFormat="1" ht="12.75">
      <c r="A21" s="63"/>
      <c r="B21" s="19"/>
      <c r="C21" s="14"/>
      <c r="D21" s="14" t="s">
        <v>16</v>
      </c>
      <c r="E21" s="25">
        <v>112767</v>
      </c>
      <c r="F21" s="25">
        <v>0</v>
      </c>
      <c r="G21" s="25">
        <v>637519</v>
      </c>
      <c r="H21" s="25">
        <v>0</v>
      </c>
      <c r="I21" s="25">
        <v>0</v>
      </c>
      <c r="J21" s="25">
        <v>600203</v>
      </c>
      <c r="K21" s="25">
        <v>1004432</v>
      </c>
      <c r="L21" s="25">
        <f>175269+18041</f>
        <v>193310</v>
      </c>
      <c r="M21" s="25">
        <v>0</v>
      </c>
      <c r="N21" s="25">
        <v>0</v>
      </c>
      <c r="O21" s="25">
        <v>0</v>
      </c>
      <c r="P21" s="25">
        <v>-538142</v>
      </c>
      <c r="Q21" s="25">
        <f>SUM(E21:P21)</f>
        <v>2010089</v>
      </c>
      <c r="R21" s="11"/>
    </row>
    <row r="22" spans="1:18" s="1" customFormat="1" ht="12.75">
      <c r="A22" s="63"/>
      <c r="B22" s="19"/>
      <c r="C22" s="14"/>
      <c r="D22" s="14" t="s">
        <v>17</v>
      </c>
      <c r="E22" s="36">
        <v>3473</v>
      </c>
      <c r="F22" s="36">
        <v>0</v>
      </c>
      <c r="G22" s="36">
        <v>130606</v>
      </c>
      <c r="H22" s="36">
        <v>0</v>
      </c>
      <c r="I22" s="36">
        <v>0</v>
      </c>
      <c r="J22" s="36">
        <v>247589</v>
      </c>
      <c r="K22" s="36">
        <v>480044</v>
      </c>
      <c r="L22" s="36">
        <v>34272</v>
      </c>
      <c r="M22" s="36">
        <v>0</v>
      </c>
      <c r="N22" s="36">
        <v>0</v>
      </c>
      <c r="O22" s="36">
        <v>0</v>
      </c>
      <c r="P22" s="36">
        <v>-444389</v>
      </c>
      <c r="Q22" s="36">
        <f>SUM(E22:P22)</f>
        <v>451595</v>
      </c>
      <c r="R22" s="11"/>
    </row>
    <row r="23" spans="1:18" s="1" customFormat="1" ht="12.75">
      <c r="A23" s="63"/>
      <c r="B23" s="19"/>
      <c r="C23" s="14"/>
      <c r="D23" s="14" t="s">
        <v>25</v>
      </c>
      <c r="E23" s="50">
        <f aca="true" t="shared" si="3" ref="E23:Q23">E21-E22</f>
        <v>109294</v>
      </c>
      <c r="F23" s="50">
        <f t="shared" si="3"/>
        <v>0</v>
      </c>
      <c r="G23" s="50">
        <f t="shared" si="3"/>
        <v>506913</v>
      </c>
      <c r="H23" s="50">
        <f t="shared" si="3"/>
        <v>0</v>
      </c>
      <c r="I23" s="50">
        <f t="shared" si="3"/>
        <v>0</v>
      </c>
      <c r="J23" s="50">
        <f t="shared" si="3"/>
        <v>352614</v>
      </c>
      <c r="K23" s="50">
        <f t="shared" si="3"/>
        <v>524388</v>
      </c>
      <c r="L23" s="50">
        <f t="shared" si="3"/>
        <v>159038</v>
      </c>
      <c r="M23" s="50">
        <f t="shared" si="3"/>
        <v>0</v>
      </c>
      <c r="N23" s="50">
        <f t="shared" si="3"/>
        <v>0</v>
      </c>
      <c r="O23" s="50">
        <f t="shared" si="3"/>
        <v>0</v>
      </c>
      <c r="P23" s="50">
        <f t="shared" si="3"/>
        <v>-93753</v>
      </c>
      <c r="Q23" s="50">
        <f t="shared" si="3"/>
        <v>1558494</v>
      </c>
      <c r="R23" s="11"/>
    </row>
    <row r="24" spans="1:18" s="1" customFormat="1" ht="12.75">
      <c r="A24" s="63"/>
      <c r="B24" s="19"/>
      <c r="C24" s="14" t="s">
        <v>15</v>
      </c>
      <c r="D24" s="14"/>
      <c r="E24" s="36"/>
      <c r="F24" s="36"/>
      <c r="G24" s="36"/>
      <c r="H24" s="36"/>
      <c r="I24" s="36"/>
      <c r="J24" s="36"/>
      <c r="K24" s="36"/>
      <c r="L24" s="36" t="s">
        <v>31</v>
      </c>
      <c r="M24" s="36"/>
      <c r="N24" s="36"/>
      <c r="O24" s="36"/>
      <c r="P24" s="36"/>
      <c r="Q24" s="36"/>
      <c r="R24" s="11"/>
    </row>
    <row r="25" spans="1:18" s="1" customFormat="1" ht="12.75">
      <c r="A25" s="63"/>
      <c r="B25" s="19"/>
      <c r="C25" s="14"/>
      <c r="D25" s="14" t="s">
        <v>16</v>
      </c>
      <c r="E25" s="36">
        <v>135351</v>
      </c>
      <c r="F25" s="36">
        <v>0</v>
      </c>
      <c r="G25" s="36">
        <v>766361</v>
      </c>
      <c r="H25" s="36">
        <v>0</v>
      </c>
      <c r="I25" s="36">
        <v>0</v>
      </c>
      <c r="J25" s="36">
        <v>1276107</v>
      </c>
      <c r="K25" s="36">
        <v>2058565</v>
      </c>
      <c r="L25" s="36">
        <f>424932+763</f>
        <v>425695</v>
      </c>
      <c r="M25" s="36">
        <v>0</v>
      </c>
      <c r="N25" s="36">
        <v>0</v>
      </c>
      <c r="O25" s="36">
        <v>0</v>
      </c>
      <c r="P25" s="36">
        <v>87294</v>
      </c>
      <c r="Q25" s="36">
        <f>SUM(E25:P25)</f>
        <v>4749373</v>
      </c>
      <c r="R25" s="11"/>
    </row>
    <row r="26" spans="1:18" s="1" customFormat="1" ht="12.75">
      <c r="A26" s="63"/>
      <c r="B26" s="19"/>
      <c r="C26" s="14"/>
      <c r="D26" s="14" t="s">
        <v>17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81257</v>
      </c>
      <c r="K26" s="36">
        <v>0</v>
      </c>
      <c r="L26" s="36">
        <v>153</v>
      </c>
      <c r="M26" s="36">
        <v>0</v>
      </c>
      <c r="N26" s="36">
        <v>0</v>
      </c>
      <c r="O26" s="36">
        <v>0</v>
      </c>
      <c r="P26" s="36">
        <v>0</v>
      </c>
      <c r="Q26" s="36">
        <f>SUM(E26:P26)</f>
        <v>81410</v>
      </c>
      <c r="R26" s="11"/>
    </row>
    <row r="27" spans="1:18" s="1" customFormat="1" ht="12.75">
      <c r="A27" s="63"/>
      <c r="B27" s="19"/>
      <c r="C27" s="14"/>
      <c r="D27" s="14" t="s">
        <v>26</v>
      </c>
      <c r="E27" s="50">
        <f aca="true" t="shared" si="4" ref="E27:Q27">E25-E26</f>
        <v>135351</v>
      </c>
      <c r="F27" s="50">
        <f t="shared" si="4"/>
        <v>0</v>
      </c>
      <c r="G27" s="50">
        <f t="shared" si="4"/>
        <v>766361</v>
      </c>
      <c r="H27" s="50">
        <f t="shared" si="4"/>
        <v>0</v>
      </c>
      <c r="I27" s="50">
        <f t="shared" si="4"/>
        <v>0</v>
      </c>
      <c r="J27" s="50">
        <f t="shared" si="4"/>
        <v>1194850</v>
      </c>
      <c r="K27" s="50">
        <f t="shared" si="4"/>
        <v>2058565</v>
      </c>
      <c r="L27" s="50">
        <f t="shared" si="4"/>
        <v>425542</v>
      </c>
      <c r="M27" s="50">
        <f t="shared" si="4"/>
        <v>0</v>
      </c>
      <c r="N27" s="50">
        <f t="shared" si="4"/>
        <v>0</v>
      </c>
      <c r="O27" s="50">
        <f t="shared" si="4"/>
        <v>0</v>
      </c>
      <c r="P27" s="50">
        <f t="shared" si="4"/>
        <v>87294</v>
      </c>
      <c r="Q27" s="50">
        <f t="shared" si="4"/>
        <v>4667963</v>
      </c>
      <c r="R27" s="11"/>
    </row>
    <row r="28" spans="1:18" s="1" customFormat="1" ht="12.75">
      <c r="A28" s="63"/>
      <c r="B28" s="19"/>
      <c r="C28" s="14" t="s">
        <v>24</v>
      </c>
      <c r="D28" s="14"/>
      <c r="E28" s="41">
        <f aca="true" t="shared" si="5" ref="E28:Q28">E23+E27</f>
        <v>244645</v>
      </c>
      <c r="F28" s="41">
        <f t="shared" si="5"/>
        <v>0</v>
      </c>
      <c r="G28" s="41">
        <f t="shared" si="5"/>
        <v>1273274</v>
      </c>
      <c r="H28" s="41">
        <f t="shared" si="5"/>
        <v>0</v>
      </c>
      <c r="I28" s="41">
        <f t="shared" si="5"/>
        <v>0</v>
      </c>
      <c r="J28" s="41">
        <f t="shared" si="5"/>
        <v>1547464</v>
      </c>
      <c r="K28" s="41">
        <f t="shared" si="5"/>
        <v>2582953</v>
      </c>
      <c r="L28" s="41">
        <f t="shared" si="5"/>
        <v>584580</v>
      </c>
      <c r="M28" s="41">
        <f t="shared" si="5"/>
        <v>0</v>
      </c>
      <c r="N28" s="41">
        <f t="shared" si="5"/>
        <v>0</v>
      </c>
      <c r="O28" s="41">
        <f t="shared" si="5"/>
        <v>0</v>
      </c>
      <c r="P28" s="41">
        <f t="shared" si="5"/>
        <v>-6459</v>
      </c>
      <c r="Q28" s="41">
        <f t="shared" si="5"/>
        <v>6226457</v>
      </c>
      <c r="R28" s="11"/>
    </row>
    <row r="29" spans="1:18" s="1" customFormat="1" ht="12.75">
      <c r="A29" s="63"/>
      <c r="B29" s="19"/>
      <c r="C29" s="14"/>
      <c r="D29" s="14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6"/>
      <c r="Q29" s="29"/>
      <c r="R29" s="10"/>
    </row>
    <row r="30" spans="1:18" s="1" customFormat="1" ht="15">
      <c r="A30" s="63"/>
      <c r="B30" s="17" t="s">
        <v>21</v>
      </c>
      <c r="C30" s="21"/>
      <c r="D30" s="21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6"/>
      <c r="Q30" s="29"/>
      <c r="R30" s="10"/>
    </row>
    <row r="31" spans="1:18" s="1" customFormat="1" ht="12.75">
      <c r="A31" s="63"/>
      <c r="B31" s="19"/>
      <c r="C31" s="14" t="s">
        <v>18</v>
      </c>
      <c r="D31" s="14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6"/>
      <c r="Q31" s="29"/>
      <c r="R31" s="10"/>
    </row>
    <row r="32" spans="1:18" s="1" customFormat="1" ht="12.75">
      <c r="A32" s="63"/>
      <c r="B32" s="19"/>
      <c r="C32" s="14"/>
      <c r="D32" s="14" t="s">
        <v>16</v>
      </c>
      <c r="E32" s="25">
        <v>0</v>
      </c>
      <c r="F32" s="25">
        <v>0</v>
      </c>
      <c r="G32" s="25">
        <v>326095</v>
      </c>
      <c r="H32" s="25">
        <v>0</v>
      </c>
      <c r="I32" s="25">
        <v>186347</v>
      </c>
      <c r="J32" s="25">
        <v>0</v>
      </c>
      <c r="K32" s="25">
        <v>90498</v>
      </c>
      <c r="L32" s="25">
        <v>0</v>
      </c>
      <c r="M32" s="25">
        <v>0</v>
      </c>
      <c r="N32" s="25">
        <v>0</v>
      </c>
      <c r="O32" s="25">
        <v>0</v>
      </c>
      <c r="P32" s="25">
        <v>-277839</v>
      </c>
      <c r="Q32" s="25">
        <f>SUM(E32:P32)</f>
        <v>325101</v>
      </c>
      <c r="R32" s="10"/>
    </row>
    <row r="33" spans="1:18" s="1" customFormat="1" ht="12.75">
      <c r="A33" s="63"/>
      <c r="B33" s="19"/>
      <c r="C33" s="14"/>
      <c r="D33" s="14" t="s">
        <v>17</v>
      </c>
      <c r="E33" s="36">
        <v>0</v>
      </c>
      <c r="F33" s="36">
        <v>0</v>
      </c>
      <c r="G33" s="36">
        <v>110595</v>
      </c>
      <c r="H33" s="36">
        <v>0</v>
      </c>
      <c r="I33" s="36">
        <v>281643</v>
      </c>
      <c r="J33" s="36">
        <v>0</v>
      </c>
      <c r="K33" s="36">
        <v>4242</v>
      </c>
      <c r="L33" s="36">
        <v>0</v>
      </c>
      <c r="M33" s="36">
        <v>0</v>
      </c>
      <c r="N33" s="36">
        <v>0</v>
      </c>
      <c r="O33" s="36">
        <v>0</v>
      </c>
      <c r="P33" s="36">
        <v>-213193</v>
      </c>
      <c r="Q33" s="36">
        <f>SUM(E33:P33)</f>
        <v>183287</v>
      </c>
      <c r="R33" s="10"/>
    </row>
    <row r="34" spans="1:18" s="1" customFormat="1" ht="12.75">
      <c r="A34" s="63"/>
      <c r="B34" s="19"/>
      <c r="C34" s="14"/>
      <c r="D34" s="14" t="s">
        <v>25</v>
      </c>
      <c r="E34" s="50">
        <f>E32-E33</f>
        <v>0</v>
      </c>
      <c r="F34" s="50">
        <f aca="true" t="shared" si="6" ref="F34:O34">F32-F33</f>
        <v>0</v>
      </c>
      <c r="G34" s="50">
        <f t="shared" si="6"/>
        <v>215500</v>
      </c>
      <c r="H34" s="50">
        <f t="shared" si="6"/>
        <v>0</v>
      </c>
      <c r="I34" s="50">
        <f t="shared" si="6"/>
        <v>-95296</v>
      </c>
      <c r="J34" s="50">
        <f t="shared" si="6"/>
        <v>0</v>
      </c>
      <c r="K34" s="50">
        <f t="shared" si="6"/>
        <v>86256</v>
      </c>
      <c r="L34" s="50">
        <f t="shared" si="6"/>
        <v>0</v>
      </c>
      <c r="M34" s="50">
        <f t="shared" si="6"/>
        <v>0</v>
      </c>
      <c r="N34" s="50">
        <f t="shared" si="6"/>
        <v>0</v>
      </c>
      <c r="O34" s="50">
        <f t="shared" si="6"/>
        <v>0</v>
      </c>
      <c r="P34" s="50">
        <f>P32-P33</f>
        <v>-64646</v>
      </c>
      <c r="Q34" s="50">
        <f>Q32-Q33</f>
        <v>141814</v>
      </c>
      <c r="R34" s="10"/>
    </row>
    <row r="35" spans="1:18" s="1" customFormat="1" ht="12.75">
      <c r="A35" s="63"/>
      <c r="B35" s="19"/>
      <c r="C35" s="14" t="s">
        <v>15</v>
      </c>
      <c r="D35" s="14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10"/>
    </row>
    <row r="36" spans="1:18" s="1" customFormat="1" ht="12.75">
      <c r="A36" s="63"/>
      <c r="B36" s="19"/>
      <c r="C36" s="14"/>
      <c r="D36" s="14" t="s">
        <v>16</v>
      </c>
      <c r="E36" s="36">
        <v>190895</v>
      </c>
      <c r="F36" s="36">
        <v>0</v>
      </c>
      <c r="G36" s="36">
        <v>1901025</v>
      </c>
      <c r="H36" s="36">
        <v>0</v>
      </c>
      <c r="I36" s="36">
        <v>3667705</v>
      </c>
      <c r="J36" s="36">
        <v>0</v>
      </c>
      <c r="K36" s="36">
        <v>185062</v>
      </c>
      <c r="L36" s="36">
        <v>0</v>
      </c>
      <c r="M36" s="36">
        <v>0</v>
      </c>
      <c r="N36" s="36">
        <v>0</v>
      </c>
      <c r="O36" s="36">
        <v>0</v>
      </c>
      <c r="P36" s="36">
        <v>31927</v>
      </c>
      <c r="Q36" s="36">
        <f>SUM(E36:P36)</f>
        <v>5976614</v>
      </c>
      <c r="R36" s="10"/>
    </row>
    <row r="37" spans="1:18" s="1" customFormat="1" ht="12.75">
      <c r="A37" s="63"/>
      <c r="B37" s="19"/>
      <c r="C37" s="14"/>
      <c r="D37" s="14" t="s">
        <v>17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107962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f>SUM(E37:P37)</f>
        <v>107962</v>
      </c>
      <c r="R37" s="10"/>
    </row>
    <row r="38" spans="1:18" s="1" customFormat="1" ht="12.75">
      <c r="A38" s="63"/>
      <c r="B38" s="19"/>
      <c r="C38" s="14"/>
      <c r="D38" s="14" t="s">
        <v>26</v>
      </c>
      <c r="E38" s="50">
        <f>E36-E37</f>
        <v>190895</v>
      </c>
      <c r="F38" s="50">
        <f aca="true" t="shared" si="7" ref="F38:O38">F36-F37</f>
        <v>0</v>
      </c>
      <c r="G38" s="50">
        <f t="shared" si="7"/>
        <v>1901025</v>
      </c>
      <c r="H38" s="50">
        <f t="shared" si="7"/>
        <v>0</v>
      </c>
      <c r="I38" s="50">
        <f t="shared" si="7"/>
        <v>3667705</v>
      </c>
      <c r="J38" s="50">
        <f t="shared" si="7"/>
        <v>0</v>
      </c>
      <c r="K38" s="50">
        <f t="shared" si="7"/>
        <v>77100</v>
      </c>
      <c r="L38" s="50">
        <f t="shared" si="7"/>
        <v>0</v>
      </c>
      <c r="M38" s="50">
        <f t="shared" si="7"/>
        <v>0</v>
      </c>
      <c r="N38" s="50">
        <f t="shared" si="7"/>
        <v>0</v>
      </c>
      <c r="O38" s="50">
        <f t="shared" si="7"/>
        <v>0</v>
      </c>
      <c r="P38" s="50">
        <f>P36-P37</f>
        <v>31927</v>
      </c>
      <c r="Q38" s="50">
        <f>Q36-Q37</f>
        <v>5868652</v>
      </c>
      <c r="R38" s="10"/>
    </row>
    <row r="39" spans="1:18" s="1" customFormat="1" ht="12.75">
      <c r="A39" s="63"/>
      <c r="B39" s="19"/>
      <c r="C39" s="14" t="s">
        <v>24</v>
      </c>
      <c r="D39" s="14"/>
      <c r="E39" s="41">
        <f>E34+E38</f>
        <v>190895</v>
      </c>
      <c r="F39" s="41">
        <f aca="true" t="shared" si="8" ref="F39:O39">F34+F38</f>
        <v>0</v>
      </c>
      <c r="G39" s="41">
        <f t="shared" si="8"/>
        <v>2116525</v>
      </c>
      <c r="H39" s="41">
        <f t="shared" si="8"/>
        <v>0</v>
      </c>
      <c r="I39" s="41">
        <f t="shared" si="8"/>
        <v>3572409</v>
      </c>
      <c r="J39" s="41">
        <f t="shared" si="8"/>
        <v>0</v>
      </c>
      <c r="K39" s="41">
        <f t="shared" si="8"/>
        <v>163356</v>
      </c>
      <c r="L39" s="41">
        <f t="shared" si="8"/>
        <v>0</v>
      </c>
      <c r="M39" s="41">
        <f t="shared" si="8"/>
        <v>0</v>
      </c>
      <c r="N39" s="41">
        <f t="shared" si="8"/>
        <v>0</v>
      </c>
      <c r="O39" s="41">
        <f t="shared" si="8"/>
        <v>0</v>
      </c>
      <c r="P39" s="41">
        <f>P34+P38</f>
        <v>-32719</v>
      </c>
      <c r="Q39" s="41">
        <f>Q34+Q38</f>
        <v>6010466</v>
      </c>
      <c r="R39" s="10"/>
    </row>
    <row r="40" spans="1:18" s="1" customFormat="1" ht="12.75">
      <c r="A40" s="63"/>
      <c r="B40" s="19"/>
      <c r="C40" s="14"/>
      <c r="D40" s="14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10"/>
    </row>
    <row r="41" spans="1:18" s="1" customFormat="1" ht="15">
      <c r="A41" s="63"/>
      <c r="B41" s="17" t="s">
        <v>27</v>
      </c>
      <c r="C41" s="21"/>
      <c r="D41" s="21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6"/>
      <c r="Q41" s="29"/>
      <c r="R41" s="10"/>
    </row>
    <row r="42" spans="1:18" s="1" customFormat="1" ht="12.75">
      <c r="A42" s="63"/>
      <c r="B42" s="19"/>
      <c r="C42" s="14" t="s">
        <v>18</v>
      </c>
      <c r="D42" s="14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6"/>
      <c r="Q42" s="29"/>
      <c r="R42" s="10"/>
    </row>
    <row r="43" spans="1:18" s="1" customFormat="1" ht="12.75">
      <c r="A43" s="63"/>
      <c r="B43" s="19"/>
      <c r="C43" s="14"/>
      <c r="D43" s="14" t="s">
        <v>16</v>
      </c>
      <c r="E43" s="25">
        <v>0</v>
      </c>
      <c r="F43" s="25">
        <v>0</v>
      </c>
      <c r="G43" s="25">
        <v>476904</v>
      </c>
      <c r="H43" s="25">
        <v>0</v>
      </c>
      <c r="I43" s="25">
        <v>0</v>
      </c>
      <c r="J43" s="25">
        <v>0</v>
      </c>
      <c r="K43" s="25">
        <v>11305</v>
      </c>
      <c r="L43" s="25">
        <v>0</v>
      </c>
      <c r="M43" s="25">
        <v>0</v>
      </c>
      <c r="N43" s="25">
        <v>0</v>
      </c>
      <c r="O43" s="25">
        <v>0</v>
      </c>
      <c r="P43" s="25">
        <v>-284543</v>
      </c>
      <c r="Q43" s="25">
        <f>SUM(E43:P43)</f>
        <v>203666</v>
      </c>
      <c r="R43" s="10"/>
    </row>
    <row r="44" spans="1:18" s="1" customFormat="1" ht="12.75">
      <c r="A44" s="63"/>
      <c r="B44" s="19"/>
      <c r="C44" s="14"/>
      <c r="D44" s="14" t="s">
        <v>17</v>
      </c>
      <c r="E44" s="36">
        <v>0</v>
      </c>
      <c r="F44" s="36">
        <v>0</v>
      </c>
      <c r="G44" s="36">
        <v>118708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-7993</v>
      </c>
      <c r="Q44" s="36">
        <f>SUM(E44:P44)</f>
        <v>110715</v>
      </c>
      <c r="R44" s="10"/>
    </row>
    <row r="45" spans="1:18" s="1" customFormat="1" ht="12.75">
      <c r="A45" s="63"/>
      <c r="B45" s="19"/>
      <c r="C45" s="14"/>
      <c r="D45" s="14" t="s">
        <v>25</v>
      </c>
      <c r="E45" s="50">
        <f aca="true" t="shared" si="9" ref="E45:Q45">E43-E44</f>
        <v>0</v>
      </c>
      <c r="F45" s="50">
        <f t="shared" si="9"/>
        <v>0</v>
      </c>
      <c r="G45" s="50">
        <f t="shared" si="9"/>
        <v>358196</v>
      </c>
      <c r="H45" s="50">
        <f t="shared" si="9"/>
        <v>0</v>
      </c>
      <c r="I45" s="50">
        <f t="shared" si="9"/>
        <v>0</v>
      </c>
      <c r="J45" s="50">
        <f t="shared" si="9"/>
        <v>0</v>
      </c>
      <c r="K45" s="50">
        <f t="shared" si="9"/>
        <v>11305</v>
      </c>
      <c r="L45" s="50">
        <f t="shared" si="9"/>
        <v>0</v>
      </c>
      <c r="M45" s="50">
        <f t="shared" si="9"/>
        <v>0</v>
      </c>
      <c r="N45" s="50">
        <f t="shared" si="9"/>
        <v>0</v>
      </c>
      <c r="O45" s="50">
        <f t="shared" si="9"/>
        <v>0</v>
      </c>
      <c r="P45" s="50">
        <f t="shared" si="9"/>
        <v>-276550</v>
      </c>
      <c r="Q45" s="50">
        <f t="shared" si="9"/>
        <v>92951</v>
      </c>
      <c r="R45" s="10"/>
    </row>
    <row r="46" spans="1:18" s="1" customFormat="1" ht="12.75">
      <c r="A46" s="63"/>
      <c r="B46" s="19"/>
      <c r="C46" s="14" t="s">
        <v>15</v>
      </c>
      <c r="D46" s="1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10"/>
    </row>
    <row r="47" spans="1:18" s="1" customFormat="1" ht="12.75">
      <c r="A47" s="63"/>
      <c r="B47" s="19"/>
      <c r="C47" s="14"/>
      <c r="D47" s="14" t="s">
        <v>16</v>
      </c>
      <c r="E47" s="36">
        <v>0</v>
      </c>
      <c r="F47" s="36">
        <v>0</v>
      </c>
      <c r="G47" s="36">
        <v>540781</v>
      </c>
      <c r="H47" s="36">
        <v>0</v>
      </c>
      <c r="I47" s="36">
        <v>0</v>
      </c>
      <c r="J47" s="36">
        <v>0</v>
      </c>
      <c r="K47" s="36">
        <v>23117</v>
      </c>
      <c r="L47" s="36">
        <v>0</v>
      </c>
      <c r="M47" s="36">
        <v>0</v>
      </c>
      <c r="N47" s="36">
        <v>0</v>
      </c>
      <c r="O47" s="36">
        <v>0</v>
      </c>
      <c r="P47" s="36">
        <v>44271</v>
      </c>
      <c r="Q47" s="36">
        <f>SUM(E47:P47)</f>
        <v>608169</v>
      </c>
      <c r="R47" s="10"/>
    </row>
    <row r="48" spans="1:18" s="1" customFormat="1" ht="12.75">
      <c r="A48" s="63"/>
      <c r="B48" s="19"/>
      <c r="C48" s="14"/>
      <c r="D48" s="14" t="s">
        <v>17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f>SUM(E48:P48)</f>
        <v>0</v>
      </c>
      <c r="R48" s="10"/>
    </row>
    <row r="49" spans="1:18" s="1" customFormat="1" ht="12.75">
      <c r="A49" s="63"/>
      <c r="B49" s="19"/>
      <c r="C49" s="14"/>
      <c r="D49" s="14" t="s">
        <v>26</v>
      </c>
      <c r="E49" s="50">
        <f aca="true" t="shared" si="10" ref="E49:Q49">E47-E48</f>
        <v>0</v>
      </c>
      <c r="F49" s="50">
        <f t="shared" si="10"/>
        <v>0</v>
      </c>
      <c r="G49" s="50">
        <f t="shared" si="10"/>
        <v>540781</v>
      </c>
      <c r="H49" s="50">
        <f t="shared" si="10"/>
        <v>0</v>
      </c>
      <c r="I49" s="50">
        <f t="shared" si="10"/>
        <v>0</v>
      </c>
      <c r="J49" s="50">
        <f t="shared" si="10"/>
        <v>0</v>
      </c>
      <c r="K49" s="50">
        <f t="shared" si="10"/>
        <v>23117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44271</v>
      </c>
      <c r="Q49" s="50">
        <f t="shared" si="10"/>
        <v>608169</v>
      </c>
      <c r="R49" s="10"/>
    </row>
    <row r="50" spans="1:18" s="1" customFormat="1" ht="13.5" thickBot="1">
      <c r="A50" s="63"/>
      <c r="B50" s="19"/>
      <c r="C50" s="14" t="s">
        <v>24</v>
      </c>
      <c r="D50" s="14"/>
      <c r="E50" s="41">
        <f aca="true" t="shared" si="11" ref="E50:Q50">E45+E49</f>
        <v>0</v>
      </c>
      <c r="F50" s="41">
        <f t="shared" si="11"/>
        <v>0</v>
      </c>
      <c r="G50" s="41">
        <f t="shared" si="11"/>
        <v>898977</v>
      </c>
      <c r="H50" s="41">
        <f t="shared" si="11"/>
        <v>0</v>
      </c>
      <c r="I50" s="41">
        <f t="shared" si="11"/>
        <v>0</v>
      </c>
      <c r="J50" s="41">
        <f t="shared" si="11"/>
        <v>0</v>
      </c>
      <c r="K50" s="41">
        <f t="shared" si="11"/>
        <v>34422</v>
      </c>
      <c r="L50" s="41">
        <f t="shared" si="11"/>
        <v>0</v>
      </c>
      <c r="M50" s="41">
        <f t="shared" si="11"/>
        <v>0</v>
      </c>
      <c r="N50" s="41">
        <f t="shared" si="11"/>
        <v>0</v>
      </c>
      <c r="O50" s="41">
        <f t="shared" si="11"/>
        <v>0</v>
      </c>
      <c r="P50" s="41">
        <f t="shared" si="11"/>
        <v>-232279</v>
      </c>
      <c r="Q50" s="41">
        <f t="shared" si="11"/>
        <v>701120</v>
      </c>
      <c r="R50" s="10"/>
    </row>
    <row r="51" spans="1:18" s="5" customFormat="1" ht="12.75">
      <c r="A51" s="20"/>
      <c r="B51" s="22"/>
      <c r="C51" s="22"/>
      <c r="D51" s="22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8"/>
      <c r="Q51" s="8"/>
      <c r="R51" s="8"/>
    </row>
    <row r="52" spans="1:18" s="5" customFormat="1" ht="12.75">
      <c r="A52" s="20"/>
      <c r="B52" s="14"/>
      <c r="C52" s="14"/>
      <c r="D52" s="14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7"/>
      <c r="Q52" s="7"/>
      <c r="R52" s="7"/>
    </row>
    <row r="53" spans="1:18" s="5" customFormat="1" ht="12.75">
      <c r="A53" s="20"/>
      <c r="B53" s="14"/>
      <c r="C53" s="14"/>
      <c r="D53" s="14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7"/>
      <c r="Q53" s="7"/>
      <c r="R53" s="7"/>
    </row>
    <row r="54" spans="1:18" s="5" customFormat="1" ht="12.75">
      <c r="A54" s="20"/>
      <c r="B54" s="14"/>
      <c r="C54" s="14"/>
      <c r="D54" s="14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7"/>
      <c r="Q54" s="7"/>
      <c r="R54" s="7"/>
    </row>
    <row r="55" spans="1:18" s="5" customFormat="1" ht="12.75">
      <c r="A55" s="20"/>
      <c r="B55" s="14"/>
      <c r="C55" s="14"/>
      <c r="D55" s="14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7"/>
      <c r="Q55" s="7"/>
      <c r="R55" s="7"/>
    </row>
    <row r="56" spans="1:18" s="5" customFormat="1" ht="12.75">
      <c r="A56" s="20"/>
      <c r="B56" s="14"/>
      <c r="C56" s="14"/>
      <c r="D56" s="14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7"/>
      <c r="Q56" s="7"/>
      <c r="R56" s="7"/>
    </row>
    <row r="57" spans="1:18" s="5" customFormat="1" ht="12.75">
      <c r="A57" s="20"/>
      <c r="B57" s="14"/>
      <c r="C57" s="14"/>
      <c r="D57" s="14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7"/>
      <c r="Q57" s="7"/>
      <c r="R57" s="7"/>
    </row>
    <row r="58" spans="1:18" s="5" customFormat="1" ht="12.75">
      <c r="A58" s="20"/>
      <c r="B58" s="14"/>
      <c r="C58" s="14"/>
      <c r="D58" s="14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7"/>
      <c r="Q58" s="7"/>
      <c r="R58" s="7"/>
    </row>
    <row r="59" spans="1:18" s="5" customFormat="1" ht="12.75">
      <c r="A59" s="20"/>
      <c r="B59" s="14"/>
      <c r="C59" s="14"/>
      <c r="D59" s="14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7"/>
      <c r="Q59" s="7"/>
      <c r="R59" s="7"/>
    </row>
    <row r="60" spans="1:18" s="5" customFormat="1" ht="12.75">
      <c r="A60" s="20"/>
      <c r="B60" s="14"/>
      <c r="C60" s="14"/>
      <c r="D60" s="14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7"/>
      <c r="Q60" s="7"/>
      <c r="R60" s="7"/>
    </row>
    <row r="61" spans="1:18" s="5" customFormat="1" ht="12.75">
      <c r="A61" s="20"/>
      <c r="B61" s="14"/>
      <c r="C61" s="14"/>
      <c r="D61" s="14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7"/>
      <c r="Q61" s="7"/>
      <c r="R61" s="7"/>
    </row>
    <row r="62" spans="1:18" s="5" customFormat="1" ht="12.75">
      <c r="A62" s="20"/>
      <c r="B62" s="14"/>
      <c r="C62" s="14"/>
      <c r="D62" s="14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7"/>
      <c r="Q62" s="7"/>
      <c r="R62" s="7"/>
    </row>
    <row r="63" spans="1:18" s="5" customFormat="1" ht="18" customHeight="1">
      <c r="A63"/>
      <c r="B63" s="67" t="s">
        <v>10</v>
      </c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</row>
    <row r="64" spans="1:18" s="5" customFormat="1" ht="18">
      <c r="A64"/>
      <c r="B64" s="67" t="s">
        <v>28</v>
      </c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</row>
    <row r="65" spans="1:18" s="5" customFormat="1" ht="18">
      <c r="A65" s="64"/>
      <c r="B65" s="67" t="str">
        <f>B3</f>
        <v>For the Fiscal Year Ended September 30, 2003 </v>
      </c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</row>
    <row r="66" spans="1:18" s="5" customFormat="1" ht="9" customHeight="1">
      <c r="A66" s="64"/>
      <c r="B66" s="45"/>
      <c r="C66" s="45"/>
      <c r="D66" s="4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7"/>
      <c r="Q66" s="7"/>
      <c r="R66" s="7"/>
    </row>
    <row r="67" spans="1:18" s="5" customFormat="1" ht="12.75">
      <c r="A67" s="64"/>
      <c r="B67" s="12" t="s">
        <v>9</v>
      </c>
      <c r="C67" s="12"/>
      <c r="D67" s="12"/>
      <c r="E67" s="13" t="s">
        <v>11</v>
      </c>
      <c r="F67" s="13" t="s">
        <v>0</v>
      </c>
      <c r="G67" s="13" t="s">
        <v>1</v>
      </c>
      <c r="H67" s="13" t="s">
        <v>2</v>
      </c>
      <c r="I67" s="13" t="s">
        <v>3</v>
      </c>
      <c r="J67" s="13" t="s">
        <v>4</v>
      </c>
      <c r="K67" s="13" t="s">
        <v>5</v>
      </c>
      <c r="L67" s="13" t="s">
        <v>32</v>
      </c>
      <c r="M67" s="13" t="s">
        <v>6</v>
      </c>
      <c r="N67" s="13" t="s">
        <v>13</v>
      </c>
      <c r="O67" s="13" t="s">
        <v>12</v>
      </c>
      <c r="P67" s="13" t="s">
        <v>7</v>
      </c>
      <c r="Q67" s="13" t="s">
        <v>8</v>
      </c>
      <c r="R67" s="60"/>
    </row>
    <row r="68" spans="1:18" s="5" customFormat="1" ht="13.5" thickBot="1">
      <c r="A68" s="64"/>
      <c r="B68" s="23"/>
      <c r="C68" s="23"/>
      <c r="D68" s="23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4"/>
      <c r="Q68" s="24"/>
      <c r="R68" s="24"/>
    </row>
    <row r="69" spans="1:18" s="5" customFormat="1" ht="12.75">
      <c r="A69" s="64"/>
      <c r="B69" s="59"/>
      <c r="C69" s="14"/>
      <c r="D69" s="14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7"/>
      <c r="Q69" s="7"/>
      <c r="R69" s="9"/>
    </row>
    <row r="70" spans="1:18" s="5" customFormat="1" ht="15">
      <c r="A70" s="64"/>
      <c r="B70" s="17" t="s">
        <v>22</v>
      </c>
      <c r="C70" s="21"/>
      <c r="D70" s="21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29"/>
      <c r="R70" s="11"/>
    </row>
    <row r="71" spans="1:18" s="5" customFormat="1" ht="12.75">
      <c r="A71" s="64"/>
      <c r="B71" s="19"/>
      <c r="C71" s="14" t="s">
        <v>18</v>
      </c>
      <c r="D71" s="14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29"/>
      <c r="R71" s="11"/>
    </row>
    <row r="72" spans="1:18" s="5" customFormat="1" ht="12.75">
      <c r="A72" s="64"/>
      <c r="B72" s="19"/>
      <c r="C72" s="14"/>
      <c r="D72" s="14" t="s">
        <v>16</v>
      </c>
      <c r="E72" s="25">
        <v>0</v>
      </c>
      <c r="F72" s="25">
        <v>0</v>
      </c>
      <c r="G72" s="25">
        <v>60230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f>-118895+104576</f>
        <v>-14319</v>
      </c>
      <c r="Q72" s="25">
        <f>SUM(E72:P72)</f>
        <v>45911</v>
      </c>
      <c r="R72" s="10"/>
    </row>
    <row r="73" spans="1:18" s="5" customFormat="1" ht="12.75">
      <c r="A73" s="64"/>
      <c r="B73" s="19"/>
      <c r="C73" s="14"/>
      <c r="D73" s="14" t="s">
        <v>17</v>
      </c>
      <c r="E73" s="36">
        <v>0</v>
      </c>
      <c r="F73" s="36">
        <v>0</v>
      </c>
      <c r="G73" s="36">
        <v>163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f>-2032+2031</f>
        <v>-1</v>
      </c>
      <c r="Q73" s="36">
        <f>SUM(E73:P73)</f>
        <v>162</v>
      </c>
      <c r="R73" s="10"/>
    </row>
    <row r="74" spans="1:18" s="5" customFormat="1" ht="12.75">
      <c r="A74" s="64"/>
      <c r="B74" s="19"/>
      <c r="C74" s="14"/>
      <c r="D74" s="14" t="s">
        <v>25</v>
      </c>
      <c r="E74" s="50">
        <f aca="true" t="shared" si="12" ref="E74:Q74">E72-E73</f>
        <v>0</v>
      </c>
      <c r="F74" s="50">
        <f t="shared" si="12"/>
        <v>0</v>
      </c>
      <c r="G74" s="50">
        <f t="shared" si="12"/>
        <v>60067</v>
      </c>
      <c r="H74" s="50">
        <f t="shared" si="12"/>
        <v>0</v>
      </c>
      <c r="I74" s="50">
        <f t="shared" si="12"/>
        <v>0</v>
      </c>
      <c r="J74" s="50">
        <f t="shared" si="12"/>
        <v>0</v>
      </c>
      <c r="K74" s="50">
        <f t="shared" si="12"/>
        <v>0</v>
      </c>
      <c r="L74" s="50">
        <f t="shared" si="12"/>
        <v>0</v>
      </c>
      <c r="M74" s="50">
        <f t="shared" si="12"/>
        <v>0</v>
      </c>
      <c r="N74" s="50">
        <f t="shared" si="12"/>
        <v>0</v>
      </c>
      <c r="O74" s="50">
        <f t="shared" si="12"/>
        <v>0</v>
      </c>
      <c r="P74" s="50">
        <f t="shared" si="12"/>
        <v>-14318</v>
      </c>
      <c r="Q74" s="50">
        <f t="shared" si="12"/>
        <v>45749</v>
      </c>
      <c r="R74" s="10"/>
    </row>
    <row r="75" spans="1:18" s="5" customFormat="1" ht="12.75">
      <c r="A75" s="64"/>
      <c r="B75" s="19"/>
      <c r="C75" s="14" t="s">
        <v>15</v>
      </c>
      <c r="D75" s="14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10"/>
    </row>
    <row r="76" spans="1:18" s="5" customFormat="1" ht="12.75">
      <c r="A76" s="64"/>
      <c r="B76" s="19"/>
      <c r="C76" s="14"/>
      <c r="D76" s="14" t="s">
        <v>16</v>
      </c>
      <c r="E76" s="36">
        <v>0</v>
      </c>
      <c r="F76" s="36">
        <v>0</v>
      </c>
      <c r="G76" s="36">
        <v>199957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f>23580-20580</f>
        <v>3000</v>
      </c>
      <c r="Q76" s="36">
        <f>SUM(E76:P76)</f>
        <v>202957</v>
      </c>
      <c r="R76" s="10"/>
    </row>
    <row r="77" spans="1:18" s="5" customFormat="1" ht="12.75">
      <c r="A77" s="64"/>
      <c r="B77" s="19"/>
      <c r="C77" s="14"/>
      <c r="D77" s="14" t="s">
        <v>17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f>SUM(E77:P77)</f>
        <v>0</v>
      </c>
      <c r="R77" s="10"/>
    </row>
    <row r="78" spans="1:18" s="5" customFormat="1" ht="12.75">
      <c r="A78" s="64"/>
      <c r="B78" s="19"/>
      <c r="C78" s="14"/>
      <c r="D78" s="14" t="s">
        <v>26</v>
      </c>
      <c r="E78" s="50">
        <f aca="true" t="shared" si="13" ref="E78:Q78">E76-E77</f>
        <v>0</v>
      </c>
      <c r="F78" s="50">
        <f t="shared" si="13"/>
        <v>0</v>
      </c>
      <c r="G78" s="50">
        <f t="shared" si="13"/>
        <v>199957</v>
      </c>
      <c r="H78" s="50">
        <f t="shared" si="13"/>
        <v>0</v>
      </c>
      <c r="I78" s="50">
        <f t="shared" si="13"/>
        <v>0</v>
      </c>
      <c r="J78" s="50">
        <f t="shared" si="13"/>
        <v>0</v>
      </c>
      <c r="K78" s="50">
        <f t="shared" si="13"/>
        <v>0</v>
      </c>
      <c r="L78" s="50">
        <f t="shared" si="13"/>
        <v>0</v>
      </c>
      <c r="M78" s="50">
        <f t="shared" si="13"/>
        <v>0</v>
      </c>
      <c r="N78" s="50">
        <f t="shared" si="13"/>
        <v>0</v>
      </c>
      <c r="O78" s="50">
        <f t="shared" si="13"/>
        <v>0</v>
      </c>
      <c r="P78" s="50">
        <f t="shared" si="13"/>
        <v>3000</v>
      </c>
      <c r="Q78" s="50">
        <f t="shared" si="13"/>
        <v>202957</v>
      </c>
      <c r="R78" s="10"/>
    </row>
    <row r="79" spans="1:18" s="5" customFormat="1" ht="12.75">
      <c r="A79" s="64"/>
      <c r="B79" s="19"/>
      <c r="C79" s="14" t="s">
        <v>24</v>
      </c>
      <c r="D79" s="14"/>
      <c r="E79" s="41">
        <f aca="true" t="shared" si="14" ref="E79:Q79">E74+E78</f>
        <v>0</v>
      </c>
      <c r="F79" s="41">
        <f t="shared" si="14"/>
        <v>0</v>
      </c>
      <c r="G79" s="41">
        <f t="shared" si="14"/>
        <v>260024</v>
      </c>
      <c r="H79" s="41">
        <f t="shared" si="14"/>
        <v>0</v>
      </c>
      <c r="I79" s="41">
        <f t="shared" si="14"/>
        <v>0</v>
      </c>
      <c r="J79" s="41">
        <f t="shared" si="14"/>
        <v>0</v>
      </c>
      <c r="K79" s="41">
        <f t="shared" si="14"/>
        <v>0</v>
      </c>
      <c r="L79" s="41">
        <f t="shared" si="14"/>
        <v>0</v>
      </c>
      <c r="M79" s="41">
        <f t="shared" si="14"/>
        <v>0</v>
      </c>
      <c r="N79" s="41">
        <f t="shared" si="14"/>
        <v>0</v>
      </c>
      <c r="O79" s="41">
        <f t="shared" si="14"/>
        <v>0</v>
      </c>
      <c r="P79" s="41">
        <f t="shared" si="14"/>
        <v>-11318</v>
      </c>
      <c r="Q79" s="34">
        <f t="shared" si="14"/>
        <v>248706</v>
      </c>
      <c r="R79" s="10"/>
    </row>
    <row r="80" spans="1:18" s="5" customFormat="1" ht="9" customHeight="1">
      <c r="A80" s="64"/>
      <c r="B80" s="19"/>
      <c r="C80" s="21"/>
      <c r="D80" s="21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7"/>
      <c r="Q80" s="7"/>
      <c r="R80" s="10"/>
    </row>
    <row r="81" spans="1:18" s="5" customFormat="1" ht="15">
      <c r="A81" s="64"/>
      <c r="B81" s="17" t="s">
        <v>29</v>
      </c>
      <c r="C81" s="21"/>
      <c r="D81" s="21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29"/>
      <c r="R81" s="11"/>
    </row>
    <row r="82" spans="1:18" s="5" customFormat="1" ht="12.75">
      <c r="A82" s="64"/>
      <c r="B82" s="19"/>
      <c r="C82" s="14" t="s">
        <v>18</v>
      </c>
      <c r="D82" s="14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29"/>
      <c r="R82" s="11"/>
    </row>
    <row r="83" spans="1:18" s="5" customFormat="1" ht="12.75">
      <c r="A83" s="64"/>
      <c r="B83" s="19"/>
      <c r="C83" s="14"/>
      <c r="D83" s="14" t="s">
        <v>16</v>
      </c>
      <c r="E83" s="25">
        <v>0</v>
      </c>
      <c r="F83" s="25">
        <v>0</v>
      </c>
      <c r="G83" s="25">
        <v>816064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989105</v>
      </c>
      <c r="O83" s="25">
        <v>121073</v>
      </c>
      <c r="P83" s="25">
        <f>-570072+26847</f>
        <v>-543225</v>
      </c>
      <c r="Q83" s="25">
        <f>SUM(E83:P83)</f>
        <v>1383017</v>
      </c>
      <c r="R83" s="10"/>
    </row>
    <row r="84" spans="1:18" s="5" customFormat="1" ht="12.75">
      <c r="A84" s="64"/>
      <c r="B84" s="19"/>
      <c r="C84" s="14"/>
      <c r="D84" s="14" t="s">
        <v>17</v>
      </c>
      <c r="E84" s="36">
        <v>0</v>
      </c>
      <c r="F84" s="36">
        <v>0</v>
      </c>
      <c r="G84" s="36">
        <v>17872</v>
      </c>
      <c r="H84" s="36">
        <v>809718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11269</v>
      </c>
      <c r="O84" s="36">
        <v>694641</v>
      </c>
      <c r="P84" s="66">
        <f>-895866+2671</f>
        <v>-893195</v>
      </c>
      <c r="Q84" s="36">
        <f>SUM(E84:P84)</f>
        <v>640305</v>
      </c>
      <c r="R84" s="10"/>
    </row>
    <row r="85" spans="1:18" s="5" customFormat="1" ht="12.75">
      <c r="A85" s="64"/>
      <c r="B85" s="19"/>
      <c r="C85" s="14"/>
      <c r="D85" s="14" t="s">
        <v>25</v>
      </c>
      <c r="E85" s="50">
        <f aca="true" t="shared" si="15" ref="E85:Q85">E83-E84</f>
        <v>0</v>
      </c>
      <c r="F85" s="50">
        <f t="shared" si="15"/>
        <v>0</v>
      </c>
      <c r="G85" s="50">
        <f t="shared" si="15"/>
        <v>798192</v>
      </c>
      <c r="H85" s="50">
        <f t="shared" si="15"/>
        <v>-809718</v>
      </c>
      <c r="I85" s="50">
        <f t="shared" si="15"/>
        <v>0</v>
      </c>
      <c r="J85" s="50">
        <f t="shared" si="15"/>
        <v>0</v>
      </c>
      <c r="K85" s="50">
        <f t="shared" si="15"/>
        <v>0</v>
      </c>
      <c r="L85" s="50">
        <f t="shared" si="15"/>
        <v>0</v>
      </c>
      <c r="M85" s="50">
        <f t="shared" si="15"/>
        <v>0</v>
      </c>
      <c r="N85" s="50">
        <f t="shared" si="15"/>
        <v>977836</v>
      </c>
      <c r="O85" s="50">
        <f t="shared" si="15"/>
        <v>-573568</v>
      </c>
      <c r="P85" s="50">
        <f t="shared" si="15"/>
        <v>349970</v>
      </c>
      <c r="Q85" s="50">
        <f t="shared" si="15"/>
        <v>742712</v>
      </c>
      <c r="R85" s="10"/>
    </row>
    <row r="86" spans="1:18" s="5" customFormat="1" ht="12.75">
      <c r="A86" s="64"/>
      <c r="B86" s="19"/>
      <c r="C86" s="14" t="s">
        <v>15</v>
      </c>
      <c r="D86" s="14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10"/>
    </row>
    <row r="87" spans="1:18" s="5" customFormat="1" ht="12.75">
      <c r="A87" s="64"/>
      <c r="B87" s="19"/>
      <c r="C87" s="14"/>
      <c r="D87" s="14" t="s">
        <v>16</v>
      </c>
      <c r="E87" s="36">
        <v>0</v>
      </c>
      <c r="F87" s="36">
        <v>0</v>
      </c>
      <c r="G87" s="36">
        <v>7983</v>
      </c>
      <c r="H87" s="36">
        <v>809718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3730319</v>
      </c>
      <c r="O87" s="36">
        <v>612748</v>
      </c>
      <c r="P87" s="36">
        <f>105774-5747</f>
        <v>100027</v>
      </c>
      <c r="Q87" s="36">
        <f>SUM(E87:P87)</f>
        <v>5260795</v>
      </c>
      <c r="R87" s="10"/>
    </row>
    <row r="88" spans="1:18" s="5" customFormat="1" ht="12.75">
      <c r="A88" s="64"/>
      <c r="B88" s="19"/>
      <c r="C88" s="14"/>
      <c r="D88" s="14" t="s">
        <v>17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245578</v>
      </c>
      <c r="O88" s="36">
        <v>31581</v>
      </c>
      <c r="P88" s="36">
        <v>0</v>
      </c>
      <c r="Q88" s="36">
        <f>SUM(E88:P88)</f>
        <v>277159</v>
      </c>
      <c r="R88" s="10"/>
    </row>
    <row r="89" spans="1:18" s="5" customFormat="1" ht="12.75">
      <c r="A89" s="64"/>
      <c r="B89" s="19"/>
      <c r="C89" s="14"/>
      <c r="D89" s="14" t="s">
        <v>26</v>
      </c>
      <c r="E89" s="50">
        <f aca="true" t="shared" si="16" ref="E89:Q89">E87-E88</f>
        <v>0</v>
      </c>
      <c r="F89" s="50">
        <f t="shared" si="16"/>
        <v>0</v>
      </c>
      <c r="G89" s="50">
        <f t="shared" si="16"/>
        <v>7983</v>
      </c>
      <c r="H89" s="50">
        <f t="shared" si="16"/>
        <v>809718</v>
      </c>
      <c r="I89" s="50">
        <f t="shared" si="16"/>
        <v>0</v>
      </c>
      <c r="J89" s="50">
        <f t="shared" si="16"/>
        <v>0</v>
      </c>
      <c r="K89" s="50">
        <f t="shared" si="16"/>
        <v>0</v>
      </c>
      <c r="L89" s="50">
        <f t="shared" si="16"/>
        <v>0</v>
      </c>
      <c r="M89" s="50">
        <f t="shared" si="16"/>
        <v>0</v>
      </c>
      <c r="N89" s="50">
        <f t="shared" si="16"/>
        <v>3484741</v>
      </c>
      <c r="O89" s="50">
        <f t="shared" si="16"/>
        <v>581167</v>
      </c>
      <c r="P89" s="50">
        <f t="shared" si="16"/>
        <v>100027</v>
      </c>
      <c r="Q89" s="50">
        <f t="shared" si="16"/>
        <v>4983636</v>
      </c>
      <c r="R89" s="10"/>
    </row>
    <row r="90" spans="1:18" s="5" customFormat="1" ht="12.75">
      <c r="A90" s="64"/>
      <c r="B90" s="19"/>
      <c r="C90" s="14" t="s">
        <v>24</v>
      </c>
      <c r="D90" s="14"/>
      <c r="E90" s="41">
        <f aca="true" t="shared" si="17" ref="E90:Q90">E85+E89</f>
        <v>0</v>
      </c>
      <c r="F90" s="41">
        <f t="shared" si="17"/>
        <v>0</v>
      </c>
      <c r="G90" s="41">
        <f t="shared" si="17"/>
        <v>806175</v>
      </c>
      <c r="H90" s="41">
        <f t="shared" si="17"/>
        <v>0</v>
      </c>
      <c r="I90" s="41">
        <f t="shared" si="17"/>
        <v>0</v>
      </c>
      <c r="J90" s="41">
        <f t="shared" si="17"/>
        <v>0</v>
      </c>
      <c r="K90" s="41">
        <f t="shared" si="17"/>
        <v>0</v>
      </c>
      <c r="L90" s="41">
        <f t="shared" si="17"/>
        <v>0</v>
      </c>
      <c r="M90" s="41">
        <f t="shared" si="17"/>
        <v>0</v>
      </c>
      <c r="N90" s="41">
        <f t="shared" si="17"/>
        <v>4462577</v>
      </c>
      <c r="O90" s="41">
        <f t="shared" si="17"/>
        <v>7599</v>
      </c>
      <c r="P90" s="41">
        <f t="shared" si="17"/>
        <v>449997</v>
      </c>
      <c r="Q90" s="34">
        <f t="shared" si="17"/>
        <v>5726348</v>
      </c>
      <c r="R90" s="10"/>
    </row>
    <row r="91" spans="1:18" s="1" customFormat="1" ht="9" customHeight="1">
      <c r="A91" s="64"/>
      <c r="B91" s="19"/>
      <c r="C91" s="14"/>
      <c r="D91" s="14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7"/>
      <c r="Q91" s="7"/>
      <c r="R91" s="10"/>
    </row>
    <row r="92" spans="1:18" s="1" customFormat="1" ht="15">
      <c r="A92" s="64"/>
      <c r="B92" s="17" t="s">
        <v>23</v>
      </c>
      <c r="C92" s="21"/>
      <c r="D92" s="21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29"/>
      <c r="R92" s="10"/>
    </row>
    <row r="93" spans="1:18" s="1" customFormat="1" ht="12.75">
      <c r="A93" s="64"/>
      <c r="B93" s="19"/>
      <c r="C93" s="14" t="s">
        <v>18</v>
      </c>
      <c r="D93" s="14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29"/>
      <c r="R93" s="10"/>
    </row>
    <row r="94" spans="1:18" s="1" customFormat="1" ht="12.75">
      <c r="A94" s="64"/>
      <c r="B94" s="19"/>
      <c r="C94" s="14"/>
      <c r="D94" s="14" t="s">
        <v>16</v>
      </c>
      <c r="E94" s="25">
        <v>0</v>
      </c>
      <c r="F94" s="25">
        <v>0</v>
      </c>
      <c r="G94" s="25">
        <v>103654</v>
      </c>
      <c r="H94" s="25">
        <v>389860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-78154</v>
      </c>
      <c r="Q94" s="25">
        <f>SUM(E94:P94)</f>
        <v>415360</v>
      </c>
      <c r="R94" s="10"/>
    </row>
    <row r="95" spans="1:18" s="1" customFormat="1" ht="12.75">
      <c r="A95" s="64"/>
      <c r="B95" s="19"/>
      <c r="C95" s="14"/>
      <c r="D95" s="14" t="s">
        <v>17</v>
      </c>
      <c r="E95" s="36">
        <v>0</v>
      </c>
      <c r="F95" s="36">
        <v>0</v>
      </c>
      <c r="G95" s="36">
        <v>26934</v>
      </c>
      <c r="H95" s="36">
        <v>121032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-118698</v>
      </c>
      <c r="Q95" s="36">
        <f>SUM(E95:P95)</f>
        <v>29268</v>
      </c>
      <c r="R95" s="10"/>
    </row>
    <row r="96" spans="1:18" s="32" customFormat="1" ht="12.75">
      <c r="A96" s="64"/>
      <c r="B96" s="19"/>
      <c r="C96" s="14"/>
      <c r="D96" s="14" t="s">
        <v>25</v>
      </c>
      <c r="E96" s="50">
        <f aca="true" t="shared" si="18" ref="E96:Q96">E94-E95</f>
        <v>0</v>
      </c>
      <c r="F96" s="50">
        <f t="shared" si="18"/>
        <v>0</v>
      </c>
      <c r="G96" s="50">
        <f t="shared" si="18"/>
        <v>76720</v>
      </c>
      <c r="H96" s="50">
        <f t="shared" si="18"/>
        <v>268828</v>
      </c>
      <c r="I96" s="50">
        <f t="shared" si="18"/>
        <v>0</v>
      </c>
      <c r="J96" s="50">
        <f t="shared" si="18"/>
        <v>0</v>
      </c>
      <c r="K96" s="50">
        <f t="shared" si="18"/>
        <v>0</v>
      </c>
      <c r="L96" s="50">
        <f t="shared" si="18"/>
        <v>0</v>
      </c>
      <c r="M96" s="50">
        <f t="shared" si="18"/>
        <v>0</v>
      </c>
      <c r="N96" s="50">
        <f t="shared" si="18"/>
        <v>0</v>
      </c>
      <c r="O96" s="50">
        <f t="shared" si="18"/>
        <v>0</v>
      </c>
      <c r="P96" s="50">
        <f t="shared" si="18"/>
        <v>40544</v>
      </c>
      <c r="Q96" s="50">
        <f t="shared" si="18"/>
        <v>386092</v>
      </c>
      <c r="R96" s="31"/>
    </row>
    <row r="97" spans="1:18" s="1" customFormat="1" ht="12.75">
      <c r="A97" s="64"/>
      <c r="B97" s="19"/>
      <c r="C97" s="14" t="s">
        <v>15</v>
      </c>
      <c r="D97" s="14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1"/>
    </row>
    <row r="98" spans="1:18" s="1" customFormat="1" ht="12.75">
      <c r="A98" s="64"/>
      <c r="B98" s="19"/>
      <c r="C98" s="14"/>
      <c r="D98" s="14" t="s">
        <v>16</v>
      </c>
      <c r="E98" s="36">
        <v>0</v>
      </c>
      <c r="F98" s="36">
        <v>0</v>
      </c>
      <c r="G98" s="36">
        <v>281336</v>
      </c>
      <c r="H98" s="36">
        <v>655784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14386</v>
      </c>
      <c r="Q98" s="36">
        <f>SUM(E98:P98)</f>
        <v>951506</v>
      </c>
      <c r="R98" s="31"/>
    </row>
    <row r="99" spans="1:18" s="1" customFormat="1" ht="12.75">
      <c r="A99" s="64"/>
      <c r="B99" s="19"/>
      <c r="C99" s="14"/>
      <c r="D99" s="14" t="s">
        <v>17</v>
      </c>
      <c r="E99" s="36">
        <v>0</v>
      </c>
      <c r="F99" s="36">
        <v>0</v>
      </c>
      <c r="G99" s="36">
        <v>192933</v>
      </c>
      <c r="H99" s="36">
        <v>3955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f>SUM(E99:P99)</f>
        <v>196888</v>
      </c>
      <c r="R99" s="31"/>
    </row>
    <row r="100" spans="1:18" s="32" customFormat="1" ht="12.75">
      <c r="A100" s="64"/>
      <c r="B100" s="19"/>
      <c r="C100" s="14"/>
      <c r="D100" s="14" t="s">
        <v>26</v>
      </c>
      <c r="E100" s="50">
        <f aca="true" t="shared" si="19" ref="E100:Q100">E98-E99</f>
        <v>0</v>
      </c>
      <c r="F100" s="50">
        <f t="shared" si="19"/>
        <v>0</v>
      </c>
      <c r="G100" s="50">
        <f t="shared" si="19"/>
        <v>88403</v>
      </c>
      <c r="H100" s="50">
        <f t="shared" si="19"/>
        <v>651829</v>
      </c>
      <c r="I100" s="50">
        <f t="shared" si="19"/>
        <v>0</v>
      </c>
      <c r="J100" s="50">
        <f t="shared" si="19"/>
        <v>0</v>
      </c>
      <c r="K100" s="50">
        <f t="shared" si="19"/>
        <v>0</v>
      </c>
      <c r="L100" s="50">
        <f t="shared" si="19"/>
        <v>0</v>
      </c>
      <c r="M100" s="50">
        <f t="shared" si="19"/>
        <v>0</v>
      </c>
      <c r="N100" s="50">
        <f t="shared" si="19"/>
        <v>0</v>
      </c>
      <c r="O100" s="50">
        <f t="shared" si="19"/>
        <v>0</v>
      </c>
      <c r="P100" s="50">
        <f t="shared" si="19"/>
        <v>14386</v>
      </c>
      <c r="Q100" s="50">
        <f t="shared" si="19"/>
        <v>754618</v>
      </c>
      <c r="R100" s="31"/>
    </row>
    <row r="101" spans="1:18" s="1" customFormat="1" ht="12.75">
      <c r="A101" s="64"/>
      <c r="B101" s="19"/>
      <c r="C101" s="14" t="s">
        <v>24</v>
      </c>
      <c r="D101" s="14"/>
      <c r="E101" s="41">
        <f aca="true" t="shared" si="20" ref="E101:Q101">E96+E100</f>
        <v>0</v>
      </c>
      <c r="F101" s="41">
        <f t="shared" si="20"/>
        <v>0</v>
      </c>
      <c r="G101" s="41">
        <f t="shared" si="20"/>
        <v>165123</v>
      </c>
      <c r="H101" s="41">
        <f t="shared" si="20"/>
        <v>920657</v>
      </c>
      <c r="I101" s="41">
        <f t="shared" si="20"/>
        <v>0</v>
      </c>
      <c r="J101" s="41">
        <f t="shared" si="20"/>
        <v>0</v>
      </c>
      <c r="K101" s="41">
        <f t="shared" si="20"/>
        <v>0</v>
      </c>
      <c r="L101" s="41">
        <f t="shared" si="20"/>
        <v>0</v>
      </c>
      <c r="M101" s="41">
        <f t="shared" si="20"/>
        <v>0</v>
      </c>
      <c r="N101" s="41">
        <f t="shared" si="20"/>
        <v>0</v>
      </c>
      <c r="O101" s="41">
        <f t="shared" si="20"/>
        <v>0</v>
      </c>
      <c r="P101" s="41">
        <f t="shared" si="20"/>
        <v>54930</v>
      </c>
      <c r="Q101" s="34">
        <f t="shared" si="20"/>
        <v>1140710</v>
      </c>
      <c r="R101" s="31"/>
    </row>
    <row r="102" spans="1:18" s="1" customFormat="1" ht="9" customHeight="1">
      <c r="A102" s="64"/>
      <c r="B102" s="19"/>
      <c r="C102" s="21"/>
      <c r="D102" s="21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7"/>
      <c r="Q102" s="7"/>
      <c r="R102" s="31"/>
    </row>
    <row r="103" spans="1:18" s="1" customFormat="1" ht="15">
      <c r="A103" s="64"/>
      <c r="B103" s="17" t="s">
        <v>35</v>
      </c>
      <c r="C103" s="21"/>
      <c r="D103" s="21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 t="s">
        <v>31</v>
      </c>
      <c r="Q103" s="29"/>
      <c r="R103" s="10"/>
    </row>
    <row r="104" spans="1:18" s="1" customFormat="1" ht="12.75">
      <c r="A104" s="64"/>
      <c r="B104" s="19"/>
      <c r="C104" s="14" t="s">
        <v>18</v>
      </c>
      <c r="D104" s="14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29"/>
      <c r="R104" s="10"/>
    </row>
    <row r="105" spans="1:18" s="32" customFormat="1" ht="12.75">
      <c r="A105" s="64"/>
      <c r="B105" s="19"/>
      <c r="C105" s="14"/>
      <c r="D105" s="14" t="s">
        <v>16</v>
      </c>
      <c r="E105" s="25">
        <v>0</v>
      </c>
      <c r="F105" s="25">
        <v>547175</v>
      </c>
      <c r="G105" s="25">
        <v>141976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-631782</v>
      </c>
      <c r="Q105" s="25">
        <f>SUM(E105:P105)</f>
        <v>57369</v>
      </c>
      <c r="R105" s="10"/>
    </row>
    <row r="106" spans="1:18" s="1" customFormat="1" ht="12.75">
      <c r="A106" s="64"/>
      <c r="B106" s="19"/>
      <c r="C106" s="14"/>
      <c r="D106" s="14" t="s">
        <v>17</v>
      </c>
      <c r="E106" s="36">
        <v>0</v>
      </c>
      <c r="F106" s="36">
        <v>825876</v>
      </c>
      <c r="G106" s="36">
        <v>42922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-828766</v>
      </c>
      <c r="Q106" s="36">
        <f>SUM(E106:P106)</f>
        <v>40032</v>
      </c>
      <c r="R106" s="10"/>
    </row>
    <row r="107" spans="1:18" s="1" customFormat="1" ht="12.75">
      <c r="A107" s="64"/>
      <c r="B107" s="19"/>
      <c r="C107" s="14"/>
      <c r="D107" s="14" t="s">
        <v>25</v>
      </c>
      <c r="E107" s="50">
        <f aca="true" t="shared" si="21" ref="E107:Q107">E105-E106</f>
        <v>0</v>
      </c>
      <c r="F107" s="50">
        <f t="shared" si="21"/>
        <v>-278701</v>
      </c>
      <c r="G107" s="50">
        <f t="shared" si="21"/>
        <v>99054</v>
      </c>
      <c r="H107" s="50">
        <f t="shared" si="21"/>
        <v>0</v>
      </c>
      <c r="I107" s="50">
        <f t="shared" si="21"/>
        <v>0</v>
      </c>
      <c r="J107" s="50">
        <f t="shared" si="21"/>
        <v>0</v>
      </c>
      <c r="K107" s="50">
        <f t="shared" si="21"/>
        <v>0</v>
      </c>
      <c r="L107" s="50">
        <f t="shared" si="21"/>
        <v>0</v>
      </c>
      <c r="M107" s="50">
        <f t="shared" si="21"/>
        <v>0</v>
      </c>
      <c r="N107" s="50">
        <f t="shared" si="21"/>
        <v>0</v>
      </c>
      <c r="O107" s="50">
        <f t="shared" si="21"/>
        <v>0</v>
      </c>
      <c r="P107" s="50">
        <f t="shared" si="21"/>
        <v>196984</v>
      </c>
      <c r="Q107" s="50">
        <f t="shared" si="21"/>
        <v>17337</v>
      </c>
      <c r="R107" s="31"/>
    </row>
    <row r="108" spans="1:18" s="1" customFormat="1" ht="12.75">
      <c r="A108" s="64"/>
      <c r="B108" s="19"/>
      <c r="C108" s="14" t="s">
        <v>15</v>
      </c>
      <c r="D108" s="14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1"/>
    </row>
    <row r="109" spans="1:18" s="35" customFormat="1" ht="12.75">
      <c r="A109" s="64"/>
      <c r="B109" s="19"/>
      <c r="C109" s="14"/>
      <c r="D109" s="14" t="s">
        <v>16</v>
      </c>
      <c r="E109" s="36">
        <v>0</v>
      </c>
      <c r="F109" s="36">
        <v>324552</v>
      </c>
      <c r="G109" s="36">
        <v>233001</v>
      </c>
      <c r="H109" s="36">
        <v>0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-311399</v>
      </c>
      <c r="Q109" s="36">
        <f>SUM(E109:P109)</f>
        <v>246154</v>
      </c>
      <c r="R109" s="31"/>
    </row>
    <row r="110" spans="1:20" s="1" customFormat="1" ht="12.75">
      <c r="A110" s="64"/>
      <c r="B110" s="19"/>
      <c r="C110" s="14"/>
      <c r="D110" s="14" t="s">
        <v>17</v>
      </c>
      <c r="E110" s="36">
        <v>0</v>
      </c>
      <c r="F110" s="36">
        <v>57094</v>
      </c>
      <c r="G110" s="36">
        <v>0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f>SUM(E110:P110)</f>
        <v>57094</v>
      </c>
      <c r="R110" s="31"/>
      <c r="T110" s="61"/>
    </row>
    <row r="111" spans="1:20" s="54" customFormat="1" ht="12.75">
      <c r="A111" s="64"/>
      <c r="B111" s="51"/>
      <c r="C111" s="14"/>
      <c r="D111" s="14" t="s">
        <v>26</v>
      </c>
      <c r="E111" s="52">
        <f aca="true" t="shared" si="22" ref="E111:Q111">E109-E110</f>
        <v>0</v>
      </c>
      <c r="F111" s="52">
        <f t="shared" si="22"/>
        <v>267458</v>
      </c>
      <c r="G111" s="52">
        <f t="shared" si="22"/>
        <v>233001</v>
      </c>
      <c r="H111" s="52">
        <f t="shared" si="22"/>
        <v>0</v>
      </c>
      <c r="I111" s="52">
        <f t="shared" si="22"/>
        <v>0</v>
      </c>
      <c r="J111" s="52">
        <f t="shared" si="22"/>
        <v>0</v>
      </c>
      <c r="K111" s="52">
        <f t="shared" si="22"/>
        <v>0</v>
      </c>
      <c r="L111" s="52">
        <f t="shared" si="22"/>
        <v>0</v>
      </c>
      <c r="M111" s="52">
        <f t="shared" si="22"/>
        <v>0</v>
      </c>
      <c r="N111" s="52">
        <f t="shared" si="22"/>
        <v>0</v>
      </c>
      <c r="O111" s="52">
        <f t="shared" si="22"/>
        <v>0</v>
      </c>
      <c r="P111" s="52">
        <f t="shared" si="22"/>
        <v>-311399</v>
      </c>
      <c r="Q111" s="52">
        <f t="shared" si="22"/>
        <v>189060</v>
      </c>
      <c r="R111" s="53"/>
      <c r="T111" s="61"/>
    </row>
    <row r="112" spans="1:20" s="57" customFormat="1" ht="15" customHeight="1">
      <c r="A112" s="64"/>
      <c r="B112" s="51"/>
      <c r="C112" s="14" t="s">
        <v>24</v>
      </c>
      <c r="D112" s="14"/>
      <c r="E112" s="55">
        <f aca="true" t="shared" si="23" ref="E112:Q112">E107+E111</f>
        <v>0</v>
      </c>
      <c r="F112" s="55">
        <f t="shared" si="23"/>
        <v>-11243</v>
      </c>
      <c r="G112" s="55">
        <f t="shared" si="23"/>
        <v>332055</v>
      </c>
      <c r="H112" s="55">
        <f t="shared" si="23"/>
        <v>0</v>
      </c>
      <c r="I112" s="55">
        <f t="shared" si="23"/>
        <v>0</v>
      </c>
      <c r="J112" s="55">
        <f t="shared" si="23"/>
        <v>0</v>
      </c>
      <c r="K112" s="55">
        <f t="shared" si="23"/>
        <v>0</v>
      </c>
      <c r="L112" s="55">
        <f t="shared" si="23"/>
        <v>0</v>
      </c>
      <c r="M112" s="55">
        <f t="shared" si="23"/>
        <v>0</v>
      </c>
      <c r="N112" s="55">
        <f t="shared" si="23"/>
        <v>0</v>
      </c>
      <c r="O112" s="55">
        <f t="shared" si="23"/>
        <v>0</v>
      </c>
      <c r="P112" s="55">
        <f t="shared" si="23"/>
        <v>-114415</v>
      </c>
      <c r="Q112" s="56">
        <f t="shared" si="23"/>
        <v>206397</v>
      </c>
      <c r="R112" s="53"/>
      <c r="T112" s="61"/>
    </row>
    <row r="113" spans="1:18" s="1" customFormat="1" ht="9" customHeight="1">
      <c r="A113" s="64"/>
      <c r="B113" s="19"/>
      <c r="C113" s="21"/>
      <c r="D113" s="21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7"/>
      <c r="Q113" s="7"/>
      <c r="R113" s="31"/>
    </row>
    <row r="114" spans="1:18" s="1" customFormat="1" ht="15">
      <c r="A114" s="64"/>
      <c r="B114" s="17" t="s">
        <v>33</v>
      </c>
      <c r="C114" s="21"/>
      <c r="D114" s="21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29"/>
      <c r="R114" s="10"/>
    </row>
    <row r="115" spans="1:18" s="1" customFormat="1" ht="12.75">
      <c r="A115" s="64"/>
      <c r="B115" s="19"/>
      <c r="C115" s="14" t="s">
        <v>18</v>
      </c>
      <c r="D115" s="14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29"/>
      <c r="R115" s="10"/>
    </row>
    <row r="116" spans="1:18" s="32" customFormat="1" ht="12.75">
      <c r="A116" s="64"/>
      <c r="B116" s="19"/>
      <c r="C116" s="14"/>
      <c r="D116" s="14" t="s">
        <v>16</v>
      </c>
      <c r="E116" s="25">
        <v>0</v>
      </c>
      <c r="F116" s="25">
        <v>0</v>
      </c>
      <c r="G116" s="25">
        <v>0</v>
      </c>
      <c r="H116" s="25">
        <v>0</v>
      </c>
      <c r="I116" s="25">
        <v>27937</v>
      </c>
      <c r="J116" s="25">
        <v>0</v>
      </c>
      <c r="K116" s="25">
        <v>5653</v>
      </c>
      <c r="L116" s="25">
        <v>0</v>
      </c>
      <c r="M116" s="25">
        <f>439890+95198</f>
        <v>535088</v>
      </c>
      <c r="N116" s="25">
        <v>0</v>
      </c>
      <c r="O116" s="25">
        <v>0</v>
      </c>
      <c r="P116" s="25">
        <f>-1825-104576-26847</f>
        <v>-133248</v>
      </c>
      <c r="Q116" s="25">
        <f>SUM(E116:P116)</f>
        <v>435430</v>
      </c>
      <c r="R116" s="10"/>
    </row>
    <row r="117" spans="1:18" s="1" customFormat="1" ht="12.75">
      <c r="A117" s="64"/>
      <c r="B117" s="19"/>
      <c r="C117" s="14"/>
      <c r="D117" s="14" t="s">
        <v>17</v>
      </c>
      <c r="E117" s="36">
        <v>0</v>
      </c>
      <c r="F117" s="36">
        <v>0</v>
      </c>
      <c r="G117" s="36">
        <v>0</v>
      </c>
      <c r="H117" s="36">
        <v>0</v>
      </c>
      <c r="I117" s="36">
        <v>12636</v>
      </c>
      <c r="J117" s="36">
        <v>0</v>
      </c>
      <c r="K117" s="36">
        <v>0</v>
      </c>
      <c r="L117" s="36">
        <v>0</v>
      </c>
      <c r="M117" s="36">
        <f>5905+2671</f>
        <v>8576</v>
      </c>
      <c r="N117" s="36">
        <v>0</v>
      </c>
      <c r="O117" s="36">
        <v>0</v>
      </c>
      <c r="P117" s="36">
        <f>-6839-2031-2671+1</f>
        <v>-11540</v>
      </c>
      <c r="Q117" s="36">
        <f>SUM(E117:P117)</f>
        <v>9672</v>
      </c>
      <c r="R117" s="10"/>
    </row>
    <row r="118" spans="1:18" s="1" customFormat="1" ht="12.75">
      <c r="A118" s="64"/>
      <c r="B118" s="19"/>
      <c r="C118" s="14"/>
      <c r="D118" s="14" t="s">
        <v>25</v>
      </c>
      <c r="E118" s="50">
        <f aca="true" t="shared" si="24" ref="E118:Q118">E116-E117</f>
        <v>0</v>
      </c>
      <c r="F118" s="50">
        <f t="shared" si="24"/>
        <v>0</v>
      </c>
      <c r="G118" s="50">
        <f t="shared" si="24"/>
        <v>0</v>
      </c>
      <c r="H118" s="50">
        <f t="shared" si="24"/>
        <v>0</v>
      </c>
      <c r="I118" s="50">
        <f t="shared" si="24"/>
        <v>15301</v>
      </c>
      <c r="J118" s="50">
        <f t="shared" si="24"/>
        <v>0</v>
      </c>
      <c r="K118" s="50">
        <f t="shared" si="24"/>
        <v>5653</v>
      </c>
      <c r="L118" s="50">
        <f t="shared" si="24"/>
        <v>0</v>
      </c>
      <c r="M118" s="50">
        <f t="shared" si="24"/>
        <v>526512</v>
      </c>
      <c r="N118" s="50">
        <f t="shared" si="24"/>
        <v>0</v>
      </c>
      <c r="O118" s="50">
        <f t="shared" si="24"/>
        <v>0</v>
      </c>
      <c r="P118" s="50">
        <f t="shared" si="24"/>
        <v>-121708</v>
      </c>
      <c r="Q118" s="50">
        <f t="shared" si="24"/>
        <v>425758</v>
      </c>
      <c r="R118" s="31"/>
    </row>
    <row r="119" spans="1:18" s="1" customFormat="1" ht="12.75">
      <c r="A119" s="64"/>
      <c r="B119" s="19"/>
      <c r="C119" s="14" t="s">
        <v>15</v>
      </c>
      <c r="D119" s="14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1"/>
    </row>
    <row r="120" spans="1:18" s="35" customFormat="1" ht="12.75">
      <c r="A120" s="64"/>
      <c r="B120" s="19"/>
      <c r="C120" s="14"/>
      <c r="D120" s="14" t="s">
        <v>16</v>
      </c>
      <c r="E120" s="36">
        <v>0</v>
      </c>
      <c r="F120" s="36">
        <v>0</v>
      </c>
      <c r="G120" s="36">
        <v>0</v>
      </c>
      <c r="H120" s="36">
        <v>0</v>
      </c>
      <c r="I120" s="36">
        <v>114403</v>
      </c>
      <c r="J120" s="36">
        <v>0</v>
      </c>
      <c r="K120" s="36">
        <v>11561</v>
      </c>
      <c r="L120" s="36">
        <v>0</v>
      </c>
      <c r="M120" s="36">
        <f>1371568+296502</f>
        <v>1668070</v>
      </c>
      <c r="N120" s="36">
        <v>0</v>
      </c>
      <c r="O120" s="36">
        <v>0</v>
      </c>
      <c r="P120" s="36">
        <f>413+20580+5747</f>
        <v>26740</v>
      </c>
      <c r="Q120" s="36">
        <f>SUM(E120:P120)</f>
        <v>1820774</v>
      </c>
      <c r="R120" s="31"/>
    </row>
    <row r="121" spans="1:20" s="1" customFormat="1" ht="12.75">
      <c r="A121" s="64"/>
      <c r="B121" s="19"/>
      <c r="C121" s="14"/>
      <c r="D121" s="14" t="s">
        <v>17</v>
      </c>
      <c r="E121" s="36">
        <v>0</v>
      </c>
      <c r="F121" s="36">
        <v>0</v>
      </c>
      <c r="G121" s="36">
        <v>0</v>
      </c>
      <c r="H121" s="36">
        <v>0</v>
      </c>
      <c r="I121" s="36">
        <v>0</v>
      </c>
      <c r="J121" s="36">
        <v>0</v>
      </c>
      <c r="K121" s="36">
        <v>0</v>
      </c>
      <c r="L121" s="36">
        <v>0</v>
      </c>
      <c r="M121" s="36">
        <f>410154+189285</f>
        <v>599439</v>
      </c>
      <c r="N121" s="36">
        <v>0</v>
      </c>
      <c r="O121" s="36">
        <v>0</v>
      </c>
      <c r="P121" s="36">
        <v>0</v>
      </c>
      <c r="Q121" s="36">
        <f>SUM(E121:P121)</f>
        <v>599439</v>
      </c>
      <c r="R121" s="31"/>
      <c r="T121" s="61"/>
    </row>
    <row r="122" spans="1:20" s="54" customFormat="1" ht="12.75">
      <c r="A122" s="64"/>
      <c r="B122" s="51"/>
      <c r="C122" s="14"/>
      <c r="D122" s="14" t="s">
        <v>26</v>
      </c>
      <c r="E122" s="52">
        <f aca="true" t="shared" si="25" ref="E122:Q122">E120-E121</f>
        <v>0</v>
      </c>
      <c r="F122" s="52">
        <f t="shared" si="25"/>
        <v>0</v>
      </c>
      <c r="G122" s="52">
        <f t="shared" si="25"/>
        <v>0</v>
      </c>
      <c r="H122" s="52">
        <f t="shared" si="25"/>
        <v>0</v>
      </c>
      <c r="I122" s="52">
        <f t="shared" si="25"/>
        <v>114403</v>
      </c>
      <c r="J122" s="52">
        <f t="shared" si="25"/>
        <v>0</v>
      </c>
      <c r="K122" s="52">
        <f t="shared" si="25"/>
        <v>11561</v>
      </c>
      <c r="L122" s="52">
        <f t="shared" si="25"/>
        <v>0</v>
      </c>
      <c r="M122" s="52">
        <f t="shared" si="25"/>
        <v>1068631</v>
      </c>
      <c r="N122" s="52">
        <f t="shared" si="25"/>
        <v>0</v>
      </c>
      <c r="O122" s="52">
        <f t="shared" si="25"/>
        <v>0</v>
      </c>
      <c r="P122" s="52">
        <f t="shared" si="25"/>
        <v>26740</v>
      </c>
      <c r="Q122" s="52">
        <f t="shared" si="25"/>
        <v>1221335</v>
      </c>
      <c r="R122" s="53"/>
      <c r="T122" s="61"/>
    </row>
    <row r="123" spans="1:20" s="57" customFormat="1" ht="15" customHeight="1">
      <c r="A123" s="64"/>
      <c r="B123" s="51"/>
      <c r="C123" s="14" t="s">
        <v>24</v>
      </c>
      <c r="D123" s="14"/>
      <c r="E123" s="55">
        <f aca="true" t="shared" si="26" ref="E123:Q123">E118+E122</f>
        <v>0</v>
      </c>
      <c r="F123" s="55">
        <f t="shared" si="26"/>
        <v>0</v>
      </c>
      <c r="G123" s="55">
        <f t="shared" si="26"/>
        <v>0</v>
      </c>
      <c r="H123" s="55">
        <f t="shared" si="26"/>
        <v>0</v>
      </c>
      <c r="I123" s="55">
        <f t="shared" si="26"/>
        <v>129704</v>
      </c>
      <c r="J123" s="55">
        <f t="shared" si="26"/>
        <v>0</v>
      </c>
      <c r="K123" s="55">
        <f t="shared" si="26"/>
        <v>17214</v>
      </c>
      <c r="L123" s="55">
        <f t="shared" si="26"/>
        <v>0</v>
      </c>
      <c r="M123" s="55">
        <f t="shared" si="26"/>
        <v>1595143</v>
      </c>
      <c r="N123" s="55">
        <f t="shared" si="26"/>
        <v>0</v>
      </c>
      <c r="O123" s="55">
        <f t="shared" si="26"/>
        <v>0</v>
      </c>
      <c r="P123" s="55">
        <f t="shared" si="26"/>
        <v>-94968</v>
      </c>
      <c r="Q123" s="56">
        <f t="shared" si="26"/>
        <v>1647093</v>
      </c>
      <c r="R123" s="53"/>
      <c r="T123" s="61"/>
    </row>
    <row r="124" spans="1:20" s="1" customFormat="1" ht="9" customHeight="1">
      <c r="A124" s="20"/>
      <c r="B124" s="42"/>
      <c r="C124" s="47"/>
      <c r="D124" s="47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43"/>
      <c r="Q124" s="44"/>
      <c r="R124" s="11"/>
      <c r="S124" s="61"/>
      <c r="T124" s="61"/>
    </row>
    <row r="125" spans="1:20" s="33" customFormat="1" ht="15.75" thickBot="1">
      <c r="A125"/>
      <c r="B125" s="58" t="s">
        <v>24</v>
      </c>
      <c r="C125" s="48"/>
      <c r="D125" s="48"/>
      <c r="E125" s="38">
        <f aca="true" t="shared" si="27" ref="E125:Q125">+E123+E112+E101+E90+E79+E50+E39+E28+E17</f>
        <v>435540</v>
      </c>
      <c r="F125" s="38">
        <f t="shared" si="27"/>
        <v>-11243</v>
      </c>
      <c r="G125" s="38">
        <f t="shared" si="27"/>
        <v>5978579</v>
      </c>
      <c r="H125" s="38">
        <f t="shared" si="27"/>
        <v>920657</v>
      </c>
      <c r="I125" s="38">
        <f t="shared" si="27"/>
        <v>3735245</v>
      </c>
      <c r="J125" s="38">
        <f t="shared" si="27"/>
        <v>1547464</v>
      </c>
      <c r="K125" s="38">
        <f t="shared" si="27"/>
        <v>4250391</v>
      </c>
      <c r="L125" s="38">
        <f t="shared" si="27"/>
        <v>584580</v>
      </c>
      <c r="M125" s="38">
        <f t="shared" si="27"/>
        <v>1595143</v>
      </c>
      <c r="N125" s="38">
        <f t="shared" si="27"/>
        <v>4462577</v>
      </c>
      <c r="O125" s="38">
        <f t="shared" si="27"/>
        <v>7599</v>
      </c>
      <c r="P125" s="38">
        <f t="shared" si="27"/>
        <v>0</v>
      </c>
      <c r="Q125" s="38">
        <f t="shared" si="27"/>
        <v>23506532</v>
      </c>
      <c r="R125" s="39" t="e">
        <f>#REF!+R109+R100+#REF!+#REF!+#REF!+#REF!</f>
        <v>#REF!</v>
      </c>
      <c r="S125" s="61"/>
      <c r="T125" s="61"/>
    </row>
    <row r="126" ht="12.75">
      <c r="T126" s="61"/>
    </row>
    <row r="127" spans="7:17" ht="12.75">
      <c r="G127" t="s">
        <v>31</v>
      </c>
      <c r="P127" s="37"/>
      <c r="Q127" s="20" t="s">
        <v>31</v>
      </c>
    </row>
    <row r="128" spans="7:17" ht="12.75">
      <c r="G128" s="65"/>
      <c r="Q128" s="20" t="s">
        <v>31</v>
      </c>
    </row>
  </sheetData>
  <mergeCells count="6">
    <mergeCell ref="B64:R64"/>
    <mergeCell ref="B65:R65"/>
    <mergeCell ref="B1:R1"/>
    <mergeCell ref="B2:R2"/>
    <mergeCell ref="B3:R3"/>
    <mergeCell ref="B63:R63"/>
  </mergeCells>
  <printOptions horizontalCentered="1"/>
  <pageMargins left="0.7" right="0.7" top="1" bottom="0.75" header="1" footer="0.5"/>
  <pageSetup horizontalDpi="600" verticalDpi="600" orientation="landscape" scale="58" r:id="rId1"/>
  <headerFooter alignWithMargins="0">
    <oddHeader>&amp;R&amp;"Arial,Bold"&amp;12
</oddHeader>
  </headerFooter>
  <rowBreaks count="1" manualBreakCount="1">
    <brk id="6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23"/>
  <sheetViews>
    <sheetView workbookViewId="0" topLeftCell="K112">
      <selection activeCell="O116" sqref="O116"/>
    </sheetView>
  </sheetViews>
  <sheetFormatPr defaultColWidth="9.140625" defaultRowHeight="12.75"/>
  <cols>
    <col min="1" max="1" width="3.57421875" style="0" customWidth="1"/>
    <col min="2" max="2" width="2.28125" style="0" customWidth="1"/>
    <col min="3" max="3" width="1.8515625" style="0" customWidth="1"/>
    <col min="4" max="4" width="31.421875" style="0" customWidth="1"/>
    <col min="5" max="15" width="14.00390625" style="0" customWidth="1"/>
    <col min="16" max="16" width="14.00390625" style="20" customWidth="1"/>
    <col min="17" max="17" width="1.28515625" style="0" customWidth="1"/>
    <col min="18" max="18" width="11.8515625" style="0" bestFit="1" customWidth="1"/>
    <col min="19" max="19" width="13.57421875" style="0" bestFit="1" customWidth="1"/>
    <col min="20" max="20" width="12.28125" style="0" bestFit="1" customWidth="1"/>
  </cols>
  <sheetData>
    <row r="1" spans="1:17" ht="18" customHeight="1">
      <c r="A1" s="62"/>
      <c r="B1" s="67" t="s">
        <v>10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2:17" ht="18">
      <c r="B2" s="67" t="s">
        <v>14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ht="18">
      <c r="A3" s="63"/>
      <c r="B3" s="67" t="s">
        <v>30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17" s="2" customFormat="1" ht="15.75">
      <c r="A4" s="63"/>
      <c r="B4" s="40"/>
      <c r="C4" s="40"/>
      <c r="D4" s="40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3"/>
      <c r="Q4" s="4"/>
    </row>
    <row r="5" spans="1:17" s="3" customFormat="1" ht="12.75">
      <c r="A5" s="63"/>
      <c r="B5" s="12" t="s">
        <v>9</v>
      </c>
      <c r="C5" s="12"/>
      <c r="D5" s="12"/>
      <c r="E5" s="13" t="s">
        <v>11</v>
      </c>
      <c r="F5" s="13" t="s">
        <v>0</v>
      </c>
      <c r="G5" s="13" t="s">
        <v>1</v>
      </c>
      <c r="H5" s="13" t="s">
        <v>2</v>
      </c>
      <c r="I5" s="13" t="s">
        <v>3</v>
      </c>
      <c r="J5" s="13" t="s">
        <v>4</v>
      </c>
      <c r="K5" s="13" t="s">
        <v>5</v>
      </c>
      <c r="L5" s="13" t="s">
        <v>6</v>
      </c>
      <c r="M5" s="13" t="s">
        <v>13</v>
      </c>
      <c r="N5" s="13" t="s">
        <v>12</v>
      </c>
      <c r="O5" s="13" t="s">
        <v>7</v>
      </c>
      <c r="P5" s="13" t="s">
        <v>8</v>
      </c>
      <c r="Q5" s="13"/>
    </row>
    <row r="6" s="2" customFormat="1" ht="13.5" thickBot="1">
      <c r="A6" s="63"/>
    </row>
    <row r="7" spans="1:17" s="1" customFormat="1" ht="15">
      <c r="A7" s="63"/>
      <c r="B7" s="18"/>
      <c r="C7" s="46"/>
      <c r="D7" s="46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30"/>
      <c r="Q7" s="16"/>
    </row>
    <row r="8" spans="1:17" s="1" customFormat="1" ht="15">
      <c r="A8" s="63"/>
      <c r="B8" s="17" t="s">
        <v>19</v>
      </c>
      <c r="C8" s="21"/>
      <c r="D8" s="21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29"/>
      <c r="Q8" s="11"/>
    </row>
    <row r="9" spans="1:17" s="1" customFormat="1" ht="12.75">
      <c r="A9" s="63"/>
      <c r="B9" s="19"/>
      <c r="C9" s="14" t="s">
        <v>18</v>
      </c>
      <c r="D9" s="14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29"/>
      <c r="Q9" s="11"/>
    </row>
    <row r="10" spans="1:17" s="1" customFormat="1" ht="12.75">
      <c r="A10" s="63"/>
      <c r="B10" s="19"/>
      <c r="C10" s="14"/>
      <c r="D10" s="14" t="s">
        <v>16</v>
      </c>
      <c r="E10" s="25">
        <v>0</v>
      </c>
      <c r="F10" s="25">
        <v>0</v>
      </c>
      <c r="G10" s="25">
        <v>10774</v>
      </c>
      <c r="H10" s="25">
        <v>0</v>
      </c>
      <c r="I10" s="25">
        <v>31</v>
      </c>
      <c r="J10" s="25">
        <v>0</v>
      </c>
      <c r="K10" s="25">
        <f>409037-8950</f>
        <v>400087</v>
      </c>
      <c r="L10" s="25">
        <v>0</v>
      </c>
      <c r="M10" s="25">
        <v>0</v>
      </c>
      <c r="N10" s="25">
        <v>0</v>
      </c>
      <c r="O10" s="25">
        <f>-24871+2740</f>
        <v>-22131</v>
      </c>
      <c r="P10" s="25">
        <f>SUM(E10:O10)</f>
        <v>388761</v>
      </c>
      <c r="Q10" s="11"/>
    </row>
    <row r="11" spans="1:17" s="1" customFormat="1" ht="12.75">
      <c r="A11" s="63"/>
      <c r="B11" s="19"/>
      <c r="C11" s="14"/>
      <c r="D11" s="14" t="s">
        <v>17</v>
      </c>
      <c r="E11" s="36">
        <v>0</v>
      </c>
      <c r="F11" s="36">
        <v>0</v>
      </c>
      <c r="G11" s="36">
        <v>0</v>
      </c>
      <c r="H11" s="36">
        <v>0</v>
      </c>
      <c r="I11" s="36">
        <v>411</v>
      </c>
      <c r="J11" s="36">
        <v>0</v>
      </c>
      <c r="K11" s="36">
        <v>47115</v>
      </c>
      <c r="L11" s="36">
        <v>0</v>
      </c>
      <c r="M11" s="36">
        <v>0</v>
      </c>
      <c r="N11" s="36">
        <v>0</v>
      </c>
      <c r="O11" s="36">
        <v>-22895</v>
      </c>
      <c r="P11" s="36">
        <f>SUM(E11:O11)</f>
        <v>24631</v>
      </c>
      <c r="Q11" s="11"/>
    </row>
    <row r="12" spans="1:17" s="1" customFormat="1" ht="12.75">
      <c r="A12" s="63"/>
      <c r="B12" s="19"/>
      <c r="C12" s="14"/>
      <c r="D12" s="14" t="s">
        <v>25</v>
      </c>
      <c r="E12" s="50">
        <f>E10-E11</f>
        <v>0</v>
      </c>
      <c r="F12" s="50">
        <f aca="true" t="shared" si="0" ref="F12:O12">F10-F11</f>
        <v>0</v>
      </c>
      <c r="G12" s="50">
        <f t="shared" si="0"/>
        <v>10774</v>
      </c>
      <c r="H12" s="50">
        <f t="shared" si="0"/>
        <v>0</v>
      </c>
      <c r="I12" s="50">
        <f t="shared" si="0"/>
        <v>-380</v>
      </c>
      <c r="J12" s="50">
        <f t="shared" si="0"/>
        <v>0</v>
      </c>
      <c r="K12" s="50">
        <f t="shared" si="0"/>
        <v>352972</v>
      </c>
      <c r="L12" s="50">
        <f t="shared" si="0"/>
        <v>0</v>
      </c>
      <c r="M12" s="50">
        <f t="shared" si="0"/>
        <v>0</v>
      </c>
      <c r="N12" s="50">
        <f t="shared" si="0"/>
        <v>0</v>
      </c>
      <c r="O12" s="50">
        <f t="shared" si="0"/>
        <v>764</v>
      </c>
      <c r="P12" s="50">
        <f>P10-P11</f>
        <v>364130</v>
      </c>
      <c r="Q12" s="11"/>
    </row>
    <row r="13" spans="1:17" s="1" customFormat="1" ht="12.75">
      <c r="A13" s="63"/>
      <c r="B13" s="19"/>
      <c r="C13" s="14" t="s">
        <v>15</v>
      </c>
      <c r="D13" s="14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11"/>
    </row>
    <row r="14" spans="1:17" s="1" customFormat="1" ht="12.75">
      <c r="A14" s="63"/>
      <c r="B14" s="19"/>
      <c r="C14" s="14"/>
      <c r="D14" s="14" t="s">
        <v>16</v>
      </c>
      <c r="E14" s="36">
        <v>0</v>
      </c>
      <c r="F14" s="36">
        <v>0</v>
      </c>
      <c r="G14" s="36">
        <v>116940</v>
      </c>
      <c r="H14" s="36">
        <v>0</v>
      </c>
      <c r="I14" s="36">
        <v>118845</v>
      </c>
      <c r="J14" s="36">
        <v>0</v>
      </c>
      <c r="K14" s="36">
        <f>933753-20471</f>
        <v>913282</v>
      </c>
      <c r="L14" s="36">
        <v>0</v>
      </c>
      <c r="M14" s="36">
        <v>0</v>
      </c>
      <c r="N14" s="36">
        <v>0</v>
      </c>
      <c r="O14" s="36">
        <f>3880-432</f>
        <v>3448</v>
      </c>
      <c r="P14" s="36">
        <f>SUM(E14:O14)</f>
        <v>1152515</v>
      </c>
      <c r="Q14" s="11"/>
    </row>
    <row r="15" spans="1:17" s="1" customFormat="1" ht="12.75">
      <c r="A15" s="63"/>
      <c r="B15" s="19"/>
      <c r="C15" s="14"/>
      <c r="D15" s="14" t="s">
        <v>17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f>SUM(E15:O15)</f>
        <v>0</v>
      </c>
      <c r="Q15" s="11"/>
    </row>
    <row r="16" spans="1:17" s="1" customFormat="1" ht="12.75">
      <c r="A16" s="63"/>
      <c r="B16" s="19"/>
      <c r="C16" s="14"/>
      <c r="D16" s="14" t="s">
        <v>26</v>
      </c>
      <c r="E16" s="50">
        <f>E14-E15</f>
        <v>0</v>
      </c>
      <c r="F16" s="50">
        <f aca="true" t="shared" si="1" ref="F16:O16">F14-F15</f>
        <v>0</v>
      </c>
      <c r="G16" s="50">
        <f t="shared" si="1"/>
        <v>116940</v>
      </c>
      <c r="H16" s="50">
        <f t="shared" si="1"/>
        <v>0</v>
      </c>
      <c r="I16" s="50">
        <f t="shared" si="1"/>
        <v>118845</v>
      </c>
      <c r="J16" s="50">
        <f t="shared" si="1"/>
        <v>0</v>
      </c>
      <c r="K16" s="50">
        <f t="shared" si="1"/>
        <v>913282</v>
      </c>
      <c r="L16" s="50">
        <f t="shared" si="1"/>
        <v>0</v>
      </c>
      <c r="M16" s="50">
        <f t="shared" si="1"/>
        <v>0</v>
      </c>
      <c r="N16" s="50">
        <f t="shared" si="1"/>
        <v>0</v>
      </c>
      <c r="O16" s="50">
        <f t="shared" si="1"/>
        <v>3448</v>
      </c>
      <c r="P16" s="50">
        <f>P14-P15</f>
        <v>1152515</v>
      </c>
      <c r="Q16" s="11"/>
    </row>
    <row r="17" spans="1:17" s="1" customFormat="1" ht="12.75">
      <c r="A17" s="63"/>
      <c r="B17" s="19"/>
      <c r="C17" s="14" t="s">
        <v>24</v>
      </c>
      <c r="D17" s="14"/>
      <c r="E17" s="41">
        <f aca="true" t="shared" si="2" ref="E17:P17">E12+E16</f>
        <v>0</v>
      </c>
      <c r="F17" s="41">
        <f t="shared" si="2"/>
        <v>0</v>
      </c>
      <c r="G17" s="41">
        <f t="shared" si="2"/>
        <v>127714</v>
      </c>
      <c r="H17" s="41">
        <f t="shared" si="2"/>
        <v>0</v>
      </c>
      <c r="I17" s="41">
        <f t="shared" si="2"/>
        <v>118465</v>
      </c>
      <c r="J17" s="41">
        <f t="shared" si="2"/>
        <v>0</v>
      </c>
      <c r="K17" s="41">
        <f t="shared" si="2"/>
        <v>1266254</v>
      </c>
      <c r="L17" s="41">
        <f t="shared" si="2"/>
        <v>0</v>
      </c>
      <c r="M17" s="41">
        <f t="shared" si="2"/>
        <v>0</v>
      </c>
      <c r="N17" s="41">
        <f t="shared" si="2"/>
        <v>0</v>
      </c>
      <c r="O17" s="41">
        <f t="shared" si="2"/>
        <v>4212</v>
      </c>
      <c r="P17" s="41">
        <f t="shared" si="2"/>
        <v>1516645</v>
      </c>
      <c r="Q17" s="11"/>
    </row>
    <row r="18" spans="1:17" s="1" customFormat="1" ht="15">
      <c r="A18" s="63"/>
      <c r="B18" s="17"/>
      <c r="C18" s="14"/>
      <c r="D18" s="14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29"/>
      <c r="Q18" s="11"/>
    </row>
    <row r="19" spans="1:17" s="1" customFormat="1" ht="15">
      <c r="A19" s="63"/>
      <c r="B19" s="17" t="s">
        <v>20</v>
      </c>
      <c r="C19" s="21"/>
      <c r="D19" s="21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9"/>
      <c r="Q19" s="11"/>
    </row>
    <row r="20" spans="1:17" s="1" customFormat="1" ht="12.75">
      <c r="A20" s="63"/>
      <c r="B20" s="19"/>
      <c r="C20" s="14" t="s">
        <v>18</v>
      </c>
      <c r="D20" s="14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29"/>
      <c r="Q20" s="11"/>
    </row>
    <row r="21" spans="1:17" s="1" customFormat="1" ht="12.75">
      <c r="A21" s="63"/>
      <c r="B21" s="19"/>
      <c r="C21" s="14"/>
      <c r="D21" s="14" t="s">
        <v>16</v>
      </c>
      <c r="E21" s="25">
        <v>105095</v>
      </c>
      <c r="F21" s="25">
        <v>0</v>
      </c>
      <c r="G21" s="25">
        <v>543383</v>
      </c>
      <c r="H21" s="25">
        <v>0</v>
      </c>
      <c r="I21" s="25">
        <v>0</v>
      </c>
      <c r="J21" s="25">
        <v>512630</v>
      </c>
      <c r="K21" s="25">
        <v>866995</v>
      </c>
      <c r="L21" s="25">
        <v>0</v>
      </c>
      <c r="M21" s="25">
        <v>0</v>
      </c>
      <c r="N21" s="25">
        <v>0</v>
      </c>
      <c r="O21" s="25">
        <v>-380326</v>
      </c>
      <c r="P21" s="25">
        <f>SUM(E21:O21)</f>
        <v>1647777</v>
      </c>
      <c r="Q21" s="11"/>
    </row>
    <row r="22" spans="1:17" s="1" customFormat="1" ht="12.75">
      <c r="A22" s="63"/>
      <c r="B22" s="19"/>
      <c r="C22" s="14"/>
      <c r="D22" s="14" t="s">
        <v>17</v>
      </c>
      <c r="E22" s="36">
        <v>3661</v>
      </c>
      <c r="F22" s="36">
        <v>0</v>
      </c>
      <c r="G22" s="36">
        <v>69913</v>
      </c>
      <c r="H22" s="36">
        <v>0</v>
      </c>
      <c r="I22" s="36">
        <v>0</v>
      </c>
      <c r="J22" s="36">
        <v>224875</v>
      </c>
      <c r="K22" s="36">
        <v>463783</v>
      </c>
      <c r="L22" s="36">
        <v>0</v>
      </c>
      <c r="M22" s="36">
        <v>0</v>
      </c>
      <c r="N22" s="36">
        <v>0</v>
      </c>
      <c r="O22" s="36">
        <v>-454323</v>
      </c>
      <c r="P22" s="36">
        <f>SUM(E22:O22)</f>
        <v>307909</v>
      </c>
      <c r="Q22" s="11"/>
    </row>
    <row r="23" spans="1:17" s="1" customFormat="1" ht="12.75">
      <c r="A23" s="63"/>
      <c r="B23" s="19"/>
      <c r="C23" s="14"/>
      <c r="D23" s="14" t="s">
        <v>25</v>
      </c>
      <c r="E23" s="50">
        <f aca="true" t="shared" si="3" ref="E23:P23">E21-E22</f>
        <v>101434</v>
      </c>
      <c r="F23" s="50">
        <f t="shared" si="3"/>
        <v>0</v>
      </c>
      <c r="G23" s="50">
        <f t="shared" si="3"/>
        <v>473470</v>
      </c>
      <c r="H23" s="50">
        <f t="shared" si="3"/>
        <v>0</v>
      </c>
      <c r="I23" s="50">
        <f t="shared" si="3"/>
        <v>0</v>
      </c>
      <c r="J23" s="50">
        <f t="shared" si="3"/>
        <v>287755</v>
      </c>
      <c r="K23" s="50">
        <f t="shared" si="3"/>
        <v>403212</v>
      </c>
      <c r="L23" s="50">
        <f t="shared" si="3"/>
        <v>0</v>
      </c>
      <c r="M23" s="50">
        <f t="shared" si="3"/>
        <v>0</v>
      </c>
      <c r="N23" s="50">
        <f t="shared" si="3"/>
        <v>0</v>
      </c>
      <c r="O23" s="50">
        <f t="shared" si="3"/>
        <v>73997</v>
      </c>
      <c r="P23" s="50">
        <f t="shared" si="3"/>
        <v>1339868</v>
      </c>
      <c r="Q23" s="11"/>
    </row>
    <row r="24" spans="1:17" s="1" customFormat="1" ht="12.75">
      <c r="A24" s="63"/>
      <c r="B24" s="19"/>
      <c r="C24" s="14" t="s">
        <v>15</v>
      </c>
      <c r="D24" s="14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11"/>
    </row>
    <row r="25" spans="1:17" s="1" customFormat="1" ht="12.75">
      <c r="A25" s="63"/>
      <c r="B25" s="19"/>
      <c r="C25" s="14"/>
      <c r="D25" s="14" t="s">
        <v>16</v>
      </c>
      <c r="E25" s="36">
        <v>118208</v>
      </c>
      <c r="F25" s="36">
        <v>0</v>
      </c>
      <c r="G25" s="36">
        <v>658333</v>
      </c>
      <c r="H25" s="36">
        <v>0</v>
      </c>
      <c r="I25" s="36">
        <v>0</v>
      </c>
      <c r="J25" s="36">
        <v>1343943</v>
      </c>
      <c r="K25" s="36">
        <v>1985055</v>
      </c>
      <c r="L25" s="36">
        <v>0</v>
      </c>
      <c r="M25" s="36">
        <v>0</v>
      </c>
      <c r="N25" s="36">
        <v>0</v>
      </c>
      <c r="O25" s="36">
        <v>88627</v>
      </c>
      <c r="P25" s="36">
        <f>SUM(E25:O25)</f>
        <v>4194166</v>
      </c>
      <c r="Q25" s="11"/>
    </row>
    <row r="26" spans="1:17" s="1" customFormat="1" ht="12.75">
      <c r="A26" s="63"/>
      <c r="B26" s="19"/>
      <c r="C26" s="14"/>
      <c r="D26" s="14" t="s">
        <v>17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80784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f>SUM(E26:O26)</f>
        <v>80784</v>
      </c>
      <c r="Q26" s="11"/>
    </row>
    <row r="27" spans="1:17" s="1" customFormat="1" ht="12.75">
      <c r="A27" s="63"/>
      <c r="B27" s="19"/>
      <c r="C27" s="14"/>
      <c r="D27" s="14" t="s">
        <v>26</v>
      </c>
      <c r="E27" s="50">
        <f aca="true" t="shared" si="4" ref="E27:P27">E25-E26</f>
        <v>118208</v>
      </c>
      <c r="F27" s="50">
        <f t="shared" si="4"/>
        <v>0</v>
      </c>
      <c r="G27" s="50">
        <f t="shared" si="4"/>
        <v>658333</v>
      </c>
      <c r="H27" s="50">
        <f t="shared" si="4"/>
        <v>0</v>
      </c>
      <c r="I27" s="50">
        <f t="shared" si="4"/>
        <v>0</v>
      </c>
      <c r="J27" s="50">
        <f t="shared" si="4"/>
        <v>1263159</v>
      </c>
      <c r="K27" s="50">
        <f t="shared" si="4"/>
        <v>1985055</v>
      </c>
      <c r="L27" s="50">
        <f t="shared" si="4"/>
        <v>0</v>
      </c>
      <c r="M27" s="50">
        <f t="shared" si="4"/>
        <v>0</v>
      </c>
      <c r="N27" s="50">
        <f t="shared" si="4"/>
        <v>0</v>
      </c>
      <c r="O27" s="50">
        <f t="shared" si="4"/>
        <v>88627</v>
      </c>
      <c r="P27" s="50">
        <f t="shared" si="4"/>
        <v>4113382</v>
      </c>
      <c r="Q27" s="11"/>
    </row>
    <row r="28" spans="1:17" s="1" customFormat="1" ht="12.75">
      <c r="A28" s="63"/>
      <c r="B28" s="19"/>
      <c r="C28" s="14" t="s">
        <v>24</v>
      </c>
      <c r="D28" s="14"/>
      <c r="E28" s="41">
        <f aca="true" t="shared" si="5" ref="E28:P28">E23+E27</f>
        <v>219642</v>
      </c>
      <c r="F28" s="41">
        <f t="shared" si="5"/>
        <v>0</v>
      </c>
      <c r="G28" s="41">
        <f t="shared" si="5"/>
        <v>1131803</v>
      </c>
      <c r="H28" s="41">
        <f t="shared" si="5"/>
        <v>0</v>
      </c>
      <c r="I28" s="41">
        <f t="shared" si="5"/>
        <v>0</v>
      </c>
      <c r="J28" s="41">
        <f t="shared" si="5"/>
        <v>1550914</v>
      </c>
      <c r="K28" s="41">
        <f t="shared" si="5"/>
        <v>2388267</v>
      </c>
      <c r="L28" s="41">
        <f t="shared" si="5"/>
        <v>0</v>
      </c>
      <c r="M28" s="41">
        <f t="shared" si="5"/>
        <v>0</v>
      </c>
      <c r="N28" s="41">
        <f t="shared" si="5"/>
        <v>0</v>
      </c>
      <c r="O28" s="41">
        <f t="shared" si="5"/>
        <v>162624</v>
      </c>
      <c r="P28" s="41">
        <f t="shared" si="5"/>
        <v>5453250</v>
      </c>
      <c r="Q28" s="11"/>
    </row>
    <row r="29" spans="1:17" s="1" customFormat="1" ht="12.75">
      <c r="A29" s="63"/>
      <c r="B29" s="19"/>
      <c r="C29" s="14"/>
      <c r="D29" s="14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9"/>
      <c r="Q29" s="10"/>
    </row>
    <row r="30" spans="1:17" s="1" customFormat="1" ht="15">
      <c r="A30" s="63"/>
      <c r="B30" s="17" t="s">
        <v>21</v>
      </c>
      <c r="C30" s="21"/>
      <c r="D30" s="21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9"/>
      <c r="Q30" s="10"/>
    </row>
    <row r="31" spans="1:17" s="1" customFormat="1" ht="12.75">
      <c r="A31" s="63"/>
      <c r="B31" s="19"/>
      <c r="C31" s="14" t="s">
        <v>18</v>
      </c>
      <c r="D31" s="14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9"/>
      <c r="Q31" s="10"/>
    </row>
    <row r="32" spans="1:17" s="1" customFormat="1" ht="12.75">
      <c r="A32" s="63"/>
      <c r="B32" s="19"/>
      <c r="C32" s="14"/>
      <c r="D32" s="14" t="s">
        <v>16</v>
      </c>
      <c r="E32" s="25">
        <v>0</v>
      </c>
      <c r="F32" s="25">
        <v>0</v>
      </c>
      <c r="G32" s="25">
        <v>344692</v>
      </c>
      <c r="H32" s="25">
        <v>0</v>
      </c>
      <c r="I32" s="25">
        <v>169094</v>
      </c>
      <c r="J32" s="25">
        <v>0</v>
      </c>
      <c r="K32" s="25">
        <v>90749</v>
      </c>
      <c r="L32" s="25">
        <v>0</v>
      </c>
      <c r="M32" s="25">
        <v>0</v>
      </c>
      <c r="N32" s="25">
        <v>0</v>
      </c>
      <c r="O32" s="25">
        <v>-203670</v>
      </c>
      <c r="P32" s="25">
        <f>SUM(E32:O32)</f>
        <v>400865</v>
      </c>
      <c r="Q32" s="10"/>
    </row>
    <row r="33" spans="1:17" s="1" customFormat="1" ht="12.75">
      <c r="A33" s="63"/>
      <c r="B33" s="19"/>
      <c r="C33" s="14"/>
      <c r="D33" s="14" t="s">
        <v>17</v>
      </c>
      <c r="E33" s="36">
        <v>0</v>
      </c>
      <c r="F33" s="36">
        <v>0</v>
      </c>
      <c r="G33" s="36">
        <v>121166</v>
      </c>
      <c r="H33" s="36">
        <v>0</v>
      </c>
      <c r="I33" s="36">
        <v>234298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-222669</v>
      </c>
      <c r="P33" s="36">
        <f>SUM(E33:O33)</f>
        <v>132795</v>
      </c>
      <c r="Q33" s="10"/>
    </row>
    <row r="34" spans="1:17" s="1" customFormat="1" ht="12.75">
      <c r="A34" s="63"/>
      <c r="B34" s="19"/>
      <c r="C34" s="14"/>
      <c r="D34" s="14" t="s">
        <v>25</v>
      </c>
      <c r="E34" s="50">
        <f>E32-E33</f>
        <v>0</v>
      </c>
      <c r="F34" s="50">
        <f aca="true" t="shared" si="6" ref="F34:O34">F32-F33</f>
        <v>0</v>
      </c>
      <c r="G34" s="50">
        <f t="shared" si="6"/>
        <v>223526</v>
      </c>
      <c r="H34" s="50">
        <f t="shared" si="6"/>
        <v>0</v>
      </c>
      <c r="I34" s="50">
        <f t="shared" si="6"/>
        <v>-65204</v>
      </c>
      <c r="J34" s="50">
        <f t="shared" si="6"/>
        <v>0</v>
      </c>
      <c r="K34" s="50">
        <f t="shared" si="6"/>
        <v>90749</v>
      </c>
      <c r="L34" s="50">
        <f t="shared" si="6"/>
        <v>0</v>
      </c>
      <c r="M34" s="50">
        <f t="shared" si="6"/>
        <v>0</v>
      </c>
      <c r="N34" s="50">
        <f t="shared" si="6"/>
        <v>0</v>
      </c>
      <c r="O34" s="50">
        <f t="shared" si="6"/>
        <v>18999</v>
      </c>
      <c r="P34" s="50">
        <f>P32-P33</f>
        <v>268070</v>
      </c>
      <c r="Q34" s="10"/>
    </row>
    <row r="35" spans="1:17" s="1" customFormat="1" ht="12.75">
      <c r="A35" s="63"/>
      <c r="B35" s="19"/>
      <c r="C35" s="14" t="s">
        <v>15</v>
      </c>
      <c r="D35" s="14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10"/>
    </row>
    <row r="36" spans="1:17" s="1" customFormat="1" ht="12.75">
      <c r="A36" s="63"/>
      <c r="B36" s="19"/>
      <c r="C36" s="14"/>
      <c r="D36" s="14" t="s">
        <v>16</v>
      </c>
      <c r="E36" s="36">
        <v>240039</v>
      </c>
      <c r="F36" s="36">
        <v>0</v>
      </c>
      <c r="G36" s="36">
        <v>1384142</v>
      </c>
      <c r="H36" s="36">
        <v>0</v>
      </c>
      <c r="I36" s="36">
        <v>4611566</v>
      </c>
      <c r="J36" s="36">
        <v>0</v>
      </c>
      <c r="K36" s="36">
        <v>207163</v>
      </c>
      <c r="L36" s="36">
        <v>0</v>
      </c>
      <c r="M36" s="36">
        <v>0</v>
      </c>
      <c r="N36" s="36">
        <v>0</v>
      </c>
      <c r="O36" s="36">
        <v>43700</v>
      </c>
      <c r="P36" s="36">
        <f>SUM(E36:O36)</f>
        <v>6486610</v>
      </c>
      <c r="Q36" s="10"/>
    </row>
    <row r="37" spans="1:17" s="1" customFormat="1" ht="12.75">
      <c r="A37" s="63"/>
      <c r="B37" s="19"/>
      <c r="C37" s="14"/>
      <c r="D37" s="14" t="s">
        <v>17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106971</v>
      </c>
      <c r="L37" s="36">
        <v>0</v>
      </c>
      <c r="M37" s="36">
        <v>0</v>
      </c>
      <c r="N37" s="36">
        <v>0</v>
      </c>
      <c r="O37" s="36">
        <v>0</v>
      </c>
      <c r="P37" s="36">
        <f>SUM(E37:O37)</f>
        <v>106971</v>
      </c>
      <c r="Q37" s="10"/>
    </row>
    <row r="38" spans="1:17" s="1" customFormat="1" ht="12.75">
      <c r="A38" s="63"/>
      <c r="B38" s="19"/>
      <c r="C38" s="14"/>
      <c r="D38" s="14" t="s">
        <v>26</v>
      </c>
      <c r="E38" s="50">
        <f>E36-E37</f>
        <v>240039</v>
      </c>
      <c r="F38" s="50">
        <f aca="true" t="shared" si="7" ref="F38:O38">F36-F37</f>
        <v>0</v>
      </c>
      <c r="G38" s="50">
        <f t="shared" si="7"/>
        <v>1384142</v>
      </c>
      <c r="H38" s="50">
        <f t="shared" si="7"/>
        <v>0</v>
      </c>
      <c r="I38" s="50">
        <f t="shared" si="7"/>
        <v>4611566</v>
      </c>
      <c r="J38" s="50">
        <f t="shared" si="7"/>
        <v>0</v>
      </c>
      <c r="K38" s="50">
        <f t="shared" si="7"/>
        <v>100192</v>
      </c>
      <c r="L38" s="50">
        <f t="shared" si="7"/>
        <v>0</v>
      </c>
      <c r="M38" s="50">
        <f t="shared" si="7"/>
        <v>0</v>
      </c>
      <c r="N38" s="50">
        <f t="shared" si="7"/>
        <v>0</v>
      </c>
      <c r="O38" s="50">
        <f t="shared" si="7"/>
        <v>43700</v>
      </c>
      <c r="P38" s="50">
        <f>P36-P37</f>
        <v>6379639</v>
      </c>
      <c r="Q38" s="10"/>
    </row>
    <row r="39" spans="1:17" s="1" customFormat="1" ht="12.75">
      <c r="A39" s="63"/>
      <c r="B39" s="19"/>
      <c r="C39" s="14" t="s">
        <v>24</v>
      </c>
      <c r="D39" s="14"/>
      <c r="E39" s="41">
        <f>E34+E38</f>
        <v>240039</v>
      </c>
      <c r="F39" s="41">
        <f aca="true" t="shared" si="8" ref="F39:O39">F34+F38</f>
        <v>0</v>
      </c>
      <c r="G39" s="41">
        <f t="shared" si="8"/>
        <v>1607668</v>
      </c>
      <c r="H39" s="41">
        <f t="shared" si="8"/>
        <v>0</v>
      </c>
      <c r="I39" s="41">
        <f t="shared" si="8"/>
        <v>4546362</v>
      </c>
      <c r="J39" s="41">
        <f t="shared" si="8"/>
        <v>0</v>
      </c>
      <c r="K39" s="41">
        <f t="shared" si="8"/>
        <v>190941</v>
      </c>
      <c r="L39" s="41">
        <f t="shared" si="8"/>
        <v>0</v>
      </c>
      <c r="M39" s="41">
        <f t="shared" si="8"/>
        <v>0</v>
      </c>
      <c r="N39" s="41">
        <f t="shared" si="8"/>
        <v>0</v>
      </c>
      <c r="O39" s="41">
        <f t="shared" si="8"/>
        <v>62699</v>
      </c>
      <c r="P39" s="41">
        <f>P34+P38</f>
        <v>6647709</v>
      </c>
      <c r="Q39" s="10"/>
    </row>
    <row r="40" spans="1:17" s="1" customFormat="1" ht="12.75">
      <c r="A40" s="63"/>
      <c r="B40" s="19"/>
      <c r="C40" s="14"/>
      <c r="D40" s="14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10"/>
    </row>
    <row r="41" spans="1:17" s="1" customFormat="1" ht="15">
      <c r="A41" s="63"/>
      <c r="B41" s="17" t="s">
        <v>27</v>
      </c>
      <c r="C41" s="21"/>
      <c r="D41" s="21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9"/>
      <c r="Q41" s="10"/>
    </row>
    <row r="42" spans="1:17" s="1" customFormat="1" ht="12.75">
      <c r="A42" s="63"/>
      <c r="B42" s="19"/>
      <c r="C42" s="14" t="s">
        <v>18</v>
      </c>
      <c r="D42" s="14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9"/>
      <c r="Q42" s="10"/>
    </row>
    <row r="43" spans="1:17" s="1" customFormat="1" ht="12.75">
      <c r="A43" s="63"/>
      <c r="B43" s="19"/>
      <c r="C43" s="14"/>
      <c r="D43" s="14" t="s">
        <v>16</v>
      </c>
      <c r="E43" s="25">
        <v>0</v>
      </c>
      <c r="F43" s="25">
        <v>0</v>
      </c>
      <c r="G43" s="25">
        <v>511252</v>
      </c>
      <c r="H43" s="25">
        <v>0</v>
      </c>
      <c r="I43" s="25">
        <v>0</v>
      </c>
      <c r="J43" s="25">
        <v>0</v>
      </c>
      <c r="K43" s="25">
        <v>10554</v>
      </c>
      <c r="L43" s="25">
        <v>0</v>
      </c>
      <c r="M43" s="25">
        <v>0</v>
      </c>
      <c r="N43" s="25">
        <v>0</v>
      </c>
      <c r="O43" s="25">
        <v>-227124</v>
      </c>
      <c r="P43" s="25">
        <f>SUM(E43:O43)</f>
        <v>294682</v>
      </c>
      <c r="Q43" s="10"/>
    </row>
    <row r="44" spans="1:17" s="1" customFormat="1" ht="12.75">
      <c r="A44" s="63"/>
      <c r="B44" s="19"/>
      <c r="C44" s="14"/>
      <c r="D44" s="14" t="s">
        <v>17</v>
      </c>
      <c r="E44" s="36">
        <v>0</v>
      </c>
      <c r="F44" s="36">
        <v>0</v>
      </c>
      <c r="G44" s="36">
        <v>119509</v>
      </c>
      <c r="H44" s="36">
        <v>0</v>
      </c>
      <c r="I44" s="36">
        <v>0</v>
      </c>
      <c r="J44" s="36">
        <v>0</v>
      </c>
      <c r="K44" s="36">
        <v>8082</v>
      </c>
      <c r="L44" s="36">
        <v>0</v>
      </c>
      <c r="M44" s="36">
        <v>0</v>
      </c>
      <c r="N44" s="36">
        <v>0</v>
      </c>
      <c r="O44" s="36">
        <v>-36025</v>
      </c>
      <c r="P44" s="36">
        <f>SUM(E44:O44)</f>
        <v>91566</v>
      </c>
      <c r="Q44" s="10"/>
    </row>
    <row r="45" spans="1:17" s="1" customFormat="1" ht="12.75">
      <c r="A45" s="63"/>
      <c r="B45" s="19"/>
      <c r="C45" s="14"/>
      <c r="D45" s="14" t="s">
        <v>25</v>
      </c>
      <c r="E45" s="50">
        <f aca="true" t="shared" si="9" ref="E45:P45">E43-E44</f>
        <v>0</v>
      </c>
      <c r="F45" s="50">
        <f t="shared" si="9"/>
        <v>0</v>
      </c>
      <c r="G45" s="50">
        <f t="shared" si="9"/>
        <v>391743</v>
      </c>
      <c r="H45" s="50">
        <f t="shared" si="9"/>
        <v>0</v>
      </c>
      <c r="I45" s="50">
        <f t="shared" si="9"/>
        <v>0</v>
      </c>
      <c r="J45" s="50">
        <f t="shared" si="9"/>
        <v>0</v>
      </c>
      <c r="K45" s="50">
        <f t="shared" si="9"/>
        <v>2472</v>
      </c>
      <c r="L45" s="50">
        <f t="shared" si="9"/>
        <v>0</v>
      </c>
      <c r="M45" s="50">
        <f t="shared" si="9"/>
        <v>0</v>
      </c>
      <c r="N45" s="50">
        <f t="shared" si="9"/>
        <v>0</v>
      </c>
      <c r="O45" s="50">
        <f t="shared" si="9"/>
        <v>-191099</v>
      </c>
      <c r="P45" s="50">
        <f t="shared" si="9"/>
        <v>203116</v>
      </c>
      <c r="Q45" s="10"/>
    </row>
    <row r="46" spans="1:17" s="1" customFormat="1" ht="12.75">
      <c r="A46" s="63"/>
      <c r="B46" s="19"/>
      <c r="C46" s="14" t="s">
        <v>15</v>
      </c>
      <c r="D46" s="1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10"/>
    </row>
    <row r="47" spans="1:17" s="1" customFormat="1" ht="12.75">
      <c r="A47" s="63"/>
      <c r="B47" s="19"/>
      <c r="C47" s="14"/>
      <c r="D47" s="14" t="s">
        <v>16</v>
      </c>
      <c r="E47" s="36">
        <v>0</v>
      </c>
      <c r="F47" s="36">
        <v>0</v>
      </c>
      <c r="G47" s="36">
        <v>505009</v>
      </c>
      <c r="H47" s="36">
        <v>0</v>
      </c>
      <c r="I47" s="36">
        <v>0</v>
      </c>
      <c r="J47" s="36">
        <v>0</v>
      </c>
      <c r="K47" s="36">
        <v>24092</v>
      </c>
      <c r="L47" s="36">
        <v>0</v>
      </c>
      <c r="M47" s="36">
        <v>0</v>
      </c>
      <c r="N47" s="36">
        <v>0</v>
      </c>
      <c r="O47" s="36">
        <v>62752</v>
      </c>
      <c r="P47" s="36">
        <f>SUM(E47:O47)</f>
        <v>591853</v>
      </c>
      <c r="Q47" s="10"/>
    </row>
    <row r="48" spans="1:17" s="1" customFormat="1" ht="12.75">
      <c r="A48" s="63"/>
      <c r="B48" s="19"/>
      <c r="C48" s="14"/>
      <c r="D48" s="14" t="s">
        <v>17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f>SUM(E48:O48)</f>
        <v>0</v>
      </c>
      <c r="Q48" s="10"/>
    </row>
    <row r="49" spans="1:17" s="1" customFormat="1" ht="12.75">
      <c r="A49" s="63"/>
      <c r="B49" s="19"/>
      <c r="C49" s="14"/>
      <c r="D49" s="14" t="s">
        <v>26</v>
      </c>
      <c r="E49" s="50">
        <f aca="true" t="shared" si="10" ref="E49:P49">E47-E48</f>
        <v>0</v>
      </c>
      <c r="F49" s="50">
        <f t="shared" si="10"/>
        <v>0</v>
      </c>
      <c r="G49" s="50">
        <f t="shared" si="10"/>
        <v>505009</v>
      </c>
      <c r="H49" s="50">
        <f t="shared" si="10"/>
        <v>0</v>
      </c>
      <c r="I49" s="50">
        <f t="shared" si="10"/>
        <v>0</v>
      </c>
      <c r="J49" s="50">
        <f t="shared" si="10"/>
        <v>0</v>
      </c>
      <c r="K49" s="50">
        <f t="shared" si="10"/>
        <v>24092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62752</v>
      </c>
      <c r="P49" s="50">
        <f t="shared" si="10"/>
        <v>591853</v>
      </c>
      <c r="Q49" s="10"/>
    </row>
    <row r="50" spans="1:17" s="1" customFormat="1" ht="13.5" thickBot="1">
      <c r="A50" s="63"/>
      <c r="B50" s="19"/>
      <c r="C50" s="14" t="s">
        <v>24</v>
      </c>
      <c r="D50" s="14"/>
      <c r="E50" s="41">
        <f aca="true" t="shared" si="11" ref="E50:P50">E45+E49</f>
        <v>0</v>
      </c>
      <c r="F50" s="41">
        <f t="shared" si="11"/>
        <v>0</v>
      </c>
      <c r="G50" s="41">
        <f t="shared" si="11"/>
        <v>896752</v>
      </c>
      <c r="H50" s="41">
        <f t="shared" si="11"/>
        <v>0</v>
      </c>
      <c r="I50" s="41">
        <f t="shared" si="11"/>
        <v>0</v>
      </c>
      <c r="J50" s="41">
        <f t="shared" si="11"/>
        <v>0</v>
      </c>
      <c r="K50" s="41">
        <f t="shared" si="11"/>
        <v>26564</v>
      </c>
      <c r="L50" s="41">
        <f t="shared" si="11"/>
        <v>0</v>
      </c>
      <c r="M50" s="41">
        <f t="shared" si="11"/>
        <v>0</v>
      </c>
      <c r="N50" s="41">
        <f t="shared" si="11"/>
        <v>0</v>
      </c>
      <c r="O50" s="41">
        <f t="shared" si="11"/>
        <v>-128347</v>
      </c>
      <c r="P50" s="41">
        <f t="shared" si="11"/>
        <v>794969</v>
      </c>
      <c r="Q50" s="10"/>
    </row>
    <row r="51" spans="1:17" s="5" customFormat="1" ht="12.75">
      <c r="A51" s="20"/>
      <c r="B51" s="22"/>
      <c r="C51" s="22"/>
      <c r="D51" s="22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8"/>
      <c r="P51" s="8"/>
      <c r="Q51" s="8"/>
    </row>
    <row r="52" spans="1:17" s="5" customFormat="1" ht="12.75">
      <c r="A52" s="20"/>
      <c r="B52" s="14"/>
      <c r="C52" s="14"/>
      <c r="D52" s="14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7"/>
      <c r="P52" s="7"/>
      <c r="Q52" s="7"/>
    </row>
    <row r="53" spans="1:17" s="5" customFormat="1" ht="12.75">
      <c r="A53" s="20"/>
      <c r="B53" s="14"/>
      <c r="C53" s="14"/>
      <c r="D53" s="14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7"/>
      <c r="P53" s="7"/>
      <c r="Q53" s="7"/>
    </row>
    <row r="54" spans="1:17" s="5" customFormat="1" ht="12.75">
      <c r="A54" s="20"/>
      <c r="B54" s="14"/>
      <c r="C54" s="14"/>
      <c r="D54" s="14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7"/>
      <c r="P54" s="7"/>
      <c r="Q54" s="7"/>
    </row>
    <row r="55" spans="1:17" s="5" customFormat="1" ht="12.75">
      <c r="A55" s="20"/>
      <c r="B55" s="14"/>
      <c r="C55" s="14"/>
      <c r="D55" s="14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7"/>
      <c r="P55" s="7"/>
      <c r="Q55" s="7"/>
    </row>
    <row r="56" spans="1:17" s="5" customFormat="1" ht="12.75">
      <c r="A56" s="20"/>
      <c r="B56" s="14"/>
      <c r="C56" s="14"/>
      <c r="D56" s="14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7"/>
      <c r="P56" s="7"/>
      <c r="Q56" s="7"/>
    </row>
    <row r="57" spans="1:17" s="5" customFormat="1" ht="12.75">
      <c r="A57" s="20"/>
      <c r="B57" s="14"/>
      <c r="C57" s="14"/>
      <c r="D57" s="14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7"/>
      <c r="P57" s="7"/>
      <c r="Q57" s="7"/>
    </row>
    <row r="58" spans="1:17" s="5" customFormat="1" ht="12.75">
      <c r="A58" s="20"/>
      <c r="B58" s="14"/>
      <c r="C58" s="14"/>
      <c r="D58" s="14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7"/>
      <c r="P58" s="7"/>
      <c r="Q58" s="7"/>
    </row>
    <row r="59" spans="1:17" s="5" customFormat="1" ht="12.75">
      <c r="A59" s="20"/>
      <c r="B59" s="14"/>
      <c r="C59" s="14"/>
      <c r="D59" s="14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7"/>
      <c r="P59" s="7"/>
      <c r="Q59" s="7"/>
    </row>
    <row r="60" spans="1:17" s="5" customFormat="1" ht="12.75">
      <c r="A60" s="20"/>
      <c r="B60" s="14"/>
      <c r="C60" s="14"/>
      <c r="D60" s="14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7"/>
      <c r="P60" s="7"/>
      <c r="Q60" s="7"/>
    </row>
    <row r="61" spans="1:17" s="5" customFormat="1" ht="18" customHeight="1">
      <c r="A61"/>
      <c r="B61" s="67" t="s">
        <v>10</v>
      </c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1:17" s="5" customFormat="1" ht="18">
      <c r="A62"/>
      <c r="B62" s="67" t="s">
        <v>28</v>
      </c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1:17" s="5" customFormat="1" ht="18" customHeight="1">
      <c r="A63" s="64"/>
      <c r="B63" s="67" t="str">
        <f>B3</f>
        <v>For the Fiscal Year Ended September 30, 2002</v>
      </c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1:17" s="5" customFormat="1" ht="9" customHeight="1">
      <c r="A64" s="64"/>
      <c r="B64" s="45"/>
      <c r="C64" s="45"/>
      <c r="D64" s="4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7"/>
      <c r="P64" s="7"/>
      <c r="Q64" s="7"/>
    </row>
    <row r="65" spans="1:17" s="5" customFormat="1" ht="12.75">
      <c r="A65" s="64"/>
      <c r="B65" s="12" t="s">
        <v>9</v>
      </c>
      <c r="C65" s="12"/>
      <c r="D65" s="12"/>
      <c r="E65" s="13" t="s">
        <v>11</v>
      </c>
      <c r="F65" s="13" t="s">
        <v>0</v>
      </c>
      <c r="G65" s="13" t="s">
        <v>1</v>
      </c>
      <c r="H65" s="13" t="s">
        <v>2</v>
      </c>
      <c r="I65" s="13" t="s">
        <v>3</v>
      </c>
      <c r="J65" s="13" t="s">
        <v>4</v>
      </c>
      <c r="K65" s="13" t="s">
        <v>5</v>
      </c>
      <c r="L65" s="13" t="s">
        <v>6</v>
      </c>
      <c r="M65" s="13" t="s">
        <v>13</v>
      </c>
      <c r="N65" s="13" t="s">
        <v>12</v>
      </c>
      <c r="O65" s="13" t="s">
        <v>7</v>
      </c>
      <c r="P65" s="13" t="s">
        <v>8</v>
      </c>
      <c r="Q65" s="7"/>
    </row>
    <row r="66" spans="1:17" s="5" customFormat="1" ht="13.5" thickBot="1">
      <c r="A66" s="64"/>
      <c r="B66" s="23"/>
      <c r="C66" s="23"/>
      <c r="D66" s="23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4"/>
      <c r="P66" s="24"/>
      <c r="Q66" s="24"/>
    </row>
    <row r="67" spans="1:17" s="5" customFormat="1" ht="12.75">
      <c r="A67" s="64"/>
      <c r="B67" s="59"/>
      <c r="C67" s="14"/>
      <c r="D67" s="14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7"/>
      <c r="P67" s="7"/>
      <c r="Q67" s="9"/>
    </row>
    <row r="68" spans="1:17" s="5" customFormat="1" ht="15">
      <c r="A68" s="64"/>
      <c r="B68" s="17" t="s">
        <v>22</v>
      </c>
      <c r="C68" s="21"/>
      <c r="D68" s="21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29"/>
      <c r="Q68" s="11"/>
    </row>
    <row r="69" spans="1:17" s="5" customFormat="1" ht="12.75">
      <c r="A69" s="64"/>
      <c r="B69" s="19"/>
      <c r="C69" s="14" t="s">
        <v>18</v>
      </c>
      <c r="D69" s="14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29"/>
      <c r="Q69" s="11"/>
    </row>
    <row r="70" spans="1:17" s="5" customFormat="1" ht="12.75">
      <c r="A70" s="64"/>
      <c r="B70" s="19"/>
      <c r="C70" s="14"/>
      <c r="D70" s="14" t="s">
        <v>16</v>
      </c>
      <c r="E70" s="25">
        <v>0</v>
      </c>
      <c r="F70" s="25">
        <v>0</v>
      </c>
      <c r="G70" s="25">
        <v>55523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f>-184703+177888</f>
        <v>-6815</v>
      </c>
      <c r="P70" s="25">
        <f>SUM(E70:O70)</f>
        <v>48708</v>
      </c>
      <c r="Q70" s="10"/>
    </row>
    <row r="71" spans="1:17" s="5" customFormat="1" ht="12.75">
      <c r="A71" s="64"/>
      <c r="B71" s="19"/>
      <c r="C71" s="14"/>
      <c r="D71" s="14" t="s">
        <v>17</v>
      </c>
      <c r="E71" s="36">
        <v>0</v>
      </c>
      <c r="F71" s="36">
        <v>0</v>
      </c>
      <c r="G71" s="36">
        <v>2785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f>-30593+30514</f>
        <v>-79</v>
      </c>
      <c r="P71" s="36">
        <f>SUM(E71:O71)</f>
        <v>2706</v>
      </c>
      <c r="Q71" s="10"/>
    </row>
    <row r="72" spans="1:17" s="5" customFormat="1" ht="12.75">
      <c r="A72" s="64"/>
      <c r="B72" s="19"/>
      <c r="C72" s="14"/>
      <c r="D72" s="14" t="s">
        <v>25</v>
      </c>
      <c r="E72" s="50">
        <f aca="true" t="shared" si="12" ref="E72:P72">E70-E71</f>
        <v>0</v>
      </c>
      <c r="F72" s="50">
        <f t="shared" si="12"/>
        <v>0</v>
      </c>
      <c r="G72" s="50">
        <f t="shared" si="12"/>
        <v>52738</v>
      </c>
      <c r="H72" s="50">
        <f t="shared" si="12"/>
        <v>0</v>
      </c>
      <c r="I72" s="50">
        <f t="shared" si="12"/>
        <v>0</v>
      </c>
      <c r="J72" s="50">
        <f t="shared" si="12"/>
        <v>0</v>
      </c>
      <c r="K72" s="50">
        <f t="shared" si="12"/>
        <v>0</v>
      </c>
      <c r="L72" s="50">
        <f t="shared" si="12"/>
        <v>0</v>
      </c>
      <c r="M72" s="50">
        <f t="shared" si="12"/>
        <v>0</v>
      </c>
      <c r="N72" s="50">
        <f t="shared" si="12"/>
        <v>0</v>
      </c>
      <c r="O72" s="50">
        <f t="shared" si="12"/>
        <v>-6736</v>
      </c>
      <c r="P72" s="50">
        <f t="shared" si="12"/>
        <v>46002</v>
      </c>
      <c r="Q72" s="10"/>
    </row>
    <row r="73" spans="1:17" s="5" customFormat="1" ht="12.75">
      <c r="A73" s="64"/>
      <c r="B73" s="19"/>
      <c r="C73" s="14" t="s">
        <v>15</v>
      </c>
      <c r="D73" s="14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10"/>
    </row>
    <row r="74" spans="1:17" s="5" customFormat="1" ht="12.75">
      <c r="A74" s="64"/>
      <c r="B74" s="19"/>
      <c r="C74" s="14"/>
      <c r="D74" s="14" t="s">
        <v>16</v>
      </c>
      <c r="E74" s="36">
        <v>0</v>
      </c>
      <c r="F74" s="36">
        <v>0</v>
      </c>
      <c r="G74" s="36">
        <v>171032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f>35894-33848</f>
        <v>2046</v>
      </c>
      <c r="P74" s="36">
        <f>SUM(E74:O74)</f>
        <v>173078</v>
      </c>
      <c r="Q74" s="10"/>
    </row>
    <row r="75" spans="1:17" s="5" customFormat="1" ht="12.75">
      <c r="A75" s="64"/>
      <c r="B75" s="19"/>
      <c r="C75" s="14"/>
      <c r="D75" s="14" t="s">
        <v>17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f>SUM(E75:O75)</f>
        <v>0</v>
      </c>
      <c r="Q75" s="10"/>
    </row>
    <row r="76" spans="1:17" s="5" customFormat="1" ht="12.75">
      <c r="A76" s="64"/>
      <c r="B76" s="19"/>
      <c r="C76" s="14"/>
      <c r="D76" s="14" t="s">
        <v>26</v>
      </c>
      <c r="E76" s="50">
        <f aca="true" t="shared" si="13" ref="E76:P76">E74-E75</f>
        <v>0</v>
      </c>
      <c r="F76" s="50">
        <f t="shared" si="13"/>
        <v>0</v>
      </c>
      <c r="G76" s="50">
        <f t="shared" si="13"/>
        <v>171032</v>
      </c>
      <c r="H76" s="50">
        <f t="shared" si="13"/>
        <v>0</v>
      </c>
      <c r="I76" s="50">
        <f t="shared" si="13"/>
        <v>0</v>
      </c>
      <c r="J76" s="50">
        <f t="shared" si="13"/>
        <v>0</v>
      </c>
      <c r="K76" s="50">
        <f t="shared" si="13"/>
        <v>0</v>
      </c>
      <c r="L76" s="50">
        <f t="shared" si="13"/>
        <v>0</v>
      </c>
      <c r="M76" s="50">
        <f t="shared" si="13"/>
        <v>0</v>
      </c>
      <c r="N76" s="50">
        <f t="shared" si="13"/>
        <v>0</v>
      </c>
      <c r="O76" s="50">
        <f t="shared" si="13"/>
        <v>2046</v>
      </c>
      <c r="P76" s="50">
        <f t="shared" si="13"/>
        <v>173078</v>
      </c>
      <c r="Q76" s="10"/>
    </row>
    <row r="77" spans="1:17" s="5" customFormat="1" ht="12.75">
      <c r="A77" s="64"/>
      <c r="B77" s="19"/>
      <c r="C77" s="14" t="s">
        <v>24</v>
      </c>
      <c r="D77" s="14"/>
      <c r="E77" s="41">
        <f aca="true" t="shared" si="14" ref="E77:P77">E72+E76</f>
        <v>0</v>
      </c>
      <c r="F77" s="41">
        <f t="shared" si="14"/>
        <v>0</v>
      </c>
      <c r="G77" s="41">
        <f t="shared" si="14"/>
        <v>223770</v>
      </c>
      <c r="H77" s="41">
        <f t="shared" si="14"/>
        <v>0</v>
      </c>
      <c r="I77" s="41">
        <f t="shared" si="14"/>
        <v>0</v>
      </c>
      <c r="J77" s="41">
        <f t="shared" si="14"/>
        <v>0</v>
      </c>
      <c r="K77" s="41">
        <f t="shared" si="14"/>
        <v>0</v>
      </c>
      <c r="L77" s="41">
        <f t="shared" si="14"/>
        <v>0</v>
      </c>
      <c r="M77" s="41">
        <f t="shared" si="14"/>
        <v>0</v>
      </c>
      <c r="N77" s="41">
        <f t="shared" si="14"/>
        <v>0</v>
      </c>
      <c r="O77" s="41">
        <f t="shared" si="14"/>
        <v>-4690</v>
      </c>
      <c r="P77" s="34">
        <f t="shared" si="14"/>
        <v>219080</v>
      </c>
      <c r="Q77" s="10"/>
    </row>
    <row r="78" spans="1:17" s="5" customFormat="1" ht="9" customHeight="1">
      <c r="A78" s="64"/>
      <c r="B78" s="19"/>
      <c r="C78" s="21"/>
      <c r="D78" s="21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7"/>
      <c r="Q78" s="10"/>
    </row>
    <row r="79" spans="1:17" s="5" customFormat="1" ht="15">
      <c r="A79" s="64"/>
      <c r="B79" s="17" t="s">
        <v>29</v>
      </c>
      <c r="C79" s="21"/>
      <c r="D79" s="21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29"/>
      <c r="Q79" s="11"/>
    </row>
    <row r="80" spans="1:17" s="5" customFormat="1" ht="12.75">
      <c r="A80" s="64"/>
      <c r="B80" s="19"/>
      <c r="C80" s="14" t="s">
        <v>18</v>
      </c>
      <c r="D80" s="14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29"/>
      <c r="Q80" s="11"/>
    </row>
    <row r="81" spans="1:17" s="5" customFormat="1" ht="12.75">
      <c r="A81" s="64"/>
      <c r="B81" s="19"/>
      <c r="C81" s="14"/>
      <c r="D81" s="14" t="s">
        <v>16</v>
      </c>
      <c r="E81" s="25">
        <v>0</v>
      </c>
      <c r="F81" s="25">
        <v>0</v>
      </c>
      <c r="G81" s="25">
        <v>2221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933314</v>
      </c>
      <c r="N81" s="25">
        <v>132532</v>
      </c>
      <c r="O81" s="25">
        <f>-116367+36263</f>
        <v>-80104</v>
      </c>
      <c r="P81" s="25">
        <f>SUM(E81:O81)</f>
        <v>987963</v>
      </c>
      <c r="Q81" s="10"/>
    </row>
    <row r="82" spans="1:17" s="5" customFormat="1" ht="12.75">
      <c r="A82" s="64"/>
      <c r="B82" s="19"/>
      <c r="C82" s="14"/>
      <c r="D82" s="14" t="s">
        <v>17</v>
      </c>
      <c r="E82" s="36">
        <v>0</v>
      </c>
      <c r="F82" s="36">
        <v>0</v>
      </c>
      <c r="G82" s="36">
        <v>0</v>
      </c>
      <c r="H82" s="36">
        <v>24584</v>
      </c>
      <c r="I82" s="36">
        <v>0</v>
      </c>
      <c r="J82" s="36">
        <v>0</v>
      </c>
      <c r="K82" s="36">
        <v>0</v>
      </c>
      <c r="L82" s="36">
        <v>0</v>
      </c>
      <c r="M82" s="36">
        <v>11941</v>
      </c>
      <c r="N82" s="36">
        <v>714462</v>
      </c>
      <c r="O82" s="36">
        <f>-161164+6528</f>
        <v>-154636</v>
      </c>
      <c r="P82" s="36">
        <f>SUM(E82:O82)</f>
        <v>596351</v>
      </c>
      <c r="Q82" s="10"/>
    </row>
    <row r="83" spans="1:17" s="5" customFormat="1" ht="12.75">
      <c r="A83" s="64"/>
      <c r="B83" s="19"/>
      <c r="C83" s="14"/>
      <c r="D83" s="14" t="s">
        <v>25</v>
      </c>
      <c r="E83" s="50">
        <f aca="true" t="shared" si="15" ref="E83:P83">E81-E82</f>
        <v>0</v>
      </c>
      <c r="F83" s="50">
        <f t="shared" si="15"/>
        <v>0</v>
      </c>
      <c r="G83" s="50">
        <f t="shared" si="15"/>
        <v>2221</v>
      </c>
      <c r="H83" s="50">
        <f t="shared" si="15"/>
        <v>-24584</v>
      </c>
      <c r="I83" s="50">
        <f t="shared" si="15"/>
        <v>0</v>
      </c>
      <c r="J83" s="50">
        <f t="shared" si="15"/>
        <v>0</v>
      </c>
      <c r="K83" s="50">
        <f t="shared" si="15"/>
        <v>0</v>
      </c>
      <c r="L83" s="50">
        <f t="shared" si="15"/>
        <v>0</v>
      </c>
      <c r="M83" s="50">
        <f t="shared" si="15"/>
        <v>921373</v>
      </c>
      <c r="N83" s="50">
        <f t="shared" si="15"/>
        <v>-581930</v>
      </c>
      <c r="O83" s="50">
        <f t="shared" si="15"/>
        <v>74532</v>
      </c>
      <c r="P83" s="50">
        <f t="shared" si="15"/>
        <v>391612</v>
      </c>
      <c r="Q83" s="10"/>
    </row>
    <row r="84" spans="1:17" s="5" customFormat="1" ht="12.75">
      <c r="A84" s="64"/>
      <c r="B84" s="19"/>
      <c r="C84" s="14" t="s">
        <v>15</v>
      </c>
      <c r="D84" s="14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10"/>
    </row>
    <row r="85" spans="1:17" s="5" customFormat="1" ht="12.75">
      <c r="A85" s="64"/>
      <c r="B85" s="19"/>
      <c r="C85" s="14"/>
      <c r="D85" s="14" t="s">
        <v>16</v>
      </c>
      <c r="E85" s="36">
        <v>0</v>
      </c>
      <c r="F85" s="36">
        <v>0</v>
      </c>
      <c r="G85" s="36">
        <v>7894</v>
      </c>
      <c r="H85" s="36">
        <v>704082</v>
      </c>
      <c r="I85" s="36">
        <v>0</v>
      </c>
      <c r="J85" s="36">
        <v>0</v>
      </c>
      <c r="K85" s="36">
        <v>0</v>
      </c>
      <c r="L85" s="36">
        <v>0</v>
      </c>
      <c r="M85" s="36">
        <v>3522032</v>
      </c>
      <c r="N85" s="36">
        <v>587562</v>
      </c>
      <c r="O85" s="36">
        <f>33146-3836</f>
        <v>29310</v>
      </c>
      <c r="P85" s="36">
        <f>SUM(E85:O85)</f>
        <v>4850880</v>
      </c>
      <c r="Q85" s="10"/>
    </row>
    <row r="86" spans="1:17" s="5" customFormat="1" ht="12.75">
      <c r="A86" s="64"/>
      <c r="B86" s="19"/>
      <c r="C86" s="14"/>
      <c r="D86" s="14" t="s">
        <v>17</v>
      </c>
      <c r="E86" s="36">
        <v>0</v>
      </c>
      <c r="F86" s="36">
        <v>0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229860</v>
      </c>
      <c r="N86" s="36">
        <v>6555</v>
      </c>
      <c r="O86" s="36">
        <v>0</v>
      </c>
      <c r="P86" s="36">
        <f>SUM(E86:O86)</f>
        <v>236415</v>
      </c>
      <c r="Q86" s="10"/>
    </row>
    <row r="87" spans="1:17" s="5" customFormat="1" ht="12.75">
      <c r="A87" s="64"/>
      <c r="B87" s="19"/>
      <c r="C87" s="14"/>
      <c r="D87" s="14" t="s">
        <v>26</v>
      </c>
      <c r="E87" s="50">
        <f aca="true" t="shared" si="16" ref="E87:P87">E85-E86</f>
        <v>0</v>
      </c>
      <c r="F87" s="50">
        <f t="shared" si="16"/>
        <v>0</v>
      </c>
      <c r="G87" s="50">
        <f t="shared" si="16"/>
        <v>7894</v>
      </c>
      <c r="H87" s="50">
        <f t="shared" si="16"/>
        <v>704082</v>
      </c>
      <c r="I87" s="50">
        <f t="shared" si="16"/>
        <v>0</v>
      </c>
      <c r="J87" s="50">
        <f t="shared" si="16"/>
        <v>0</v>
      </c>
      <c r="K87" s="50">
        <f t="shared" si="16"/>
        <v>0</v>
      </c>
      <c r="L87" s="50">
        <f t="shared" si="16"/>
        <v>0</v>
      </c>
      <c r="M87" s="50">
        <f t="shared" si="16"/>
        <v>3292172</v>
      </c>
      <c r="N87" s="50">
        <f t="shared" si="16"/>
        <v>581007</v>
      </c>
      <c r="O87" s="50">
        <f t="shared" si="16"/>
        <v>29310</v>
      </c>
      <c r="P87" s="50">
        <f t="shared" si="16"/>
        <v>4614465</v>
      </c>
      <c r="Q87" s="10"/>
    </row>
    <row r="88" spans="1:17" s="5" customFormat="1" ht="12.75">
      <c r="A88" s="64"/>
      <c r="B88" s="19"/>
      <c r="C88" s="14" t="s">
        <v>24</v>
      </c>
      <c r="D88" s="14"/>
      <c r="E88" s="41">
        <f aca="true" t="shared" si="17" ref="E88:P88">E83+E87</f>
        <v>0</v>
      </c>
      <c r="F88" s="41">
        <f t="shared" si="17"/>
        <v>0</v>
      </c>
      <c r="G88" s="41">
        <f t="shared" si="17"/>
        <v>10115</v>
      </c>
      <c r="H88" s="41">
        <f t="shared" si="17"/>
        <v>679498</v>
      </c>
      <c r="I88" s="41">
        <f t="shared" si="17"/>
        <v>0</v>
      </c>
      <c r="J88" s="41">
        <f t="shared" si="17"/>
        <v>0</v>
      </c>
      <c r="K88" s="41">
        <f t="shared" si="17"/>
        <v>0</v>
      </c>
      <c r="L88" s="41">
        <f t="shared" si="17"/>
        <v>0</v>
      </c>
      <c r="M88" s="41">
        <f t="shared" si="17"/>
        <v>4213545</v>
      </c>
      <c r="N88" s="41">
        <f t="shared" si="17"/>
        <v>-923</v>
      </c>
      <c r="O88" s="41">
        <f t="shared" si="17"/>
        <v>103842</v>
      </c>
      <c r="P88" s="34">
        <f t="shared" si="17"/>
        <v>5006077</v>
      </c>
      <c r="Q88" s="10"/>
    </row>
    <row r="89" spans="1:17" s="1" customFormat="1" ht="9" customHeight="1">
      <c r="A89" s="64"/>
      <c r="B89" s="19"/>
      <c r="C89" s="14"/>
      <c r="D89" s="14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7"/>
      <c r="Q89" s="10"/>
    </row>
    <row r="90" spans="1:17" s="1" customFormat="1" ht="15">
      <c r="A90" s="64"/>
      <c r="B90" s="17" t="s">
        <v>23</v>
      </c>
      <c r="C90" s="21"/>
      <c r="D90" s="21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29"/>
      <c r="Q90" s="10"/>
    </row>
    <row r="91" spans="1:17" s="1" customFormat="1" ht="12.75">
      <c r="A91" s="64"/>
      <c r="B91" s="19"/>
      <c r="C91" s="14" t="s">
        <v>18</v>
      </c>
      <c r="D91" s="14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29"/>
      <c r="Q91" s="10"/>
    </row>
    <row r="92" spans="1:17" s="1" customFormat="1" ht="12.75">
      <c r="A92" s="64"/>
      <c r="B92" s="19"/>
      <c r="C92" s="14"/>
      <c r="D92" s="14" t="s">
        <v>16</v>
      </c>
      <c r="E92" s="25">
        <v>0</v>
      </c>
      <c r="F92" s="25">
        <v>0</v>
      </c>
      <c r="G92" s="25">
        <v>75040</v>
      </c>
      <c r="H92" s="25">
        <v>317861</v>
      </c>
      <c r="I92" s="25">
        <v>0</v>
      </c>
      <c r="J92" s="25">
        <v>0</v>
      </c>
      <c r="K92" s="25">
        <v>0</v>
      </c>
      <c r="L92" s="25">
        <v>0</v>
      </c>
      <c r="M92" s="25">
        <v>0</v>
      </c>
      <c r="N92" s="25">
        <v>0</v>
      </c>
      <c r="O92" s="25">
        <v>-44011</v>
      </c>
      <c r="P92" s="25">
        <f>SUM(E92:O92)</f>
        <v>348890</v>
      </c>
      <c r="Q92" s="10"/>
    </row>
    <row r="93" spans="1:17" s="1" customFormat="1" ht="12.75">
      <c r="A93" s="64"/>
      <c r="B93" s="19"/>
      <c r="C93" s="14"/>
      <c r="D93" s="14" t="s">
        <v>17</v>
      </c>
      <c r="E93" s="36">
        <v>0</v>
      </c>
      <c r="F93" s="36">
        <v>0</v>
      </c>
      <c r="G93" s="36">
        <v>26594</v>
      </c>
      <c r="H93" s="36">
        <v>83966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-87608</v>
      </c>
      <c r="P93" s="36">
        <f>SUM(E93:O93)</f>
        <v>22952</v>
      </c>
      <c r="Q93" s="10"/>
    </row>
    <row r="94" spans="1:17" s="32" customFormat="1" ht="12.75">
      <c r="A94" s="64"/>
      <c r="B94" s="19"/>
      <c r="C94" s="14"/>
      <c r="D94" s="14" t="s">
        <v>25</v>
      </c>
      <c r="E94" s="50">
        <f aca="true" t="shared" si="18" ref="E94:P94">E92-E93</f>
        <v>0</v>
      </c>
      <c r="F94" s="50">
        <f t="shared" si="18"/>
        <v>0</v>
      </c>
      <c r="G94" s="50">
        <f t="shared" si="18"/>
        <v>48446</v>
      </c>
      <c r="H94" s="50">
        <f t="shared" si="18"/>
        <v>233895</v>
      </c>
      <c r="I94" s="50">
        <f t="shared" si="18"/>
        <v>0</v>
      </c>
      <c r="J94" s="50">
        <f t="shared" si="18"/>
        <v>0</v>
      </c>
      <c r="K94" s="50">
        <f t="shared" si="18"/>
        <v>0</v>
      </c>
      <c r="L94" s="50">
        <f t="shared" si="18"/>
        <v>0</v>
      </c>
      <c r="M94" s="50">
        <f t="shared" si="18"/>
        <v>0</v>
      </c>
      <c r="N94" s="50">
        <f t="shared" si="18"/>
        <v>0</v>
      </c>
      <c r="O94" s="50">
        <f t="shared" si="18"/>
        <v>43597</v>
      </c>
      <c r="P94" s="50">
        <f t="shared" si="18"/>
        <v>325938</v>
      </c>
      <c r="Q94" s="31"/>
    </row>
    <row r="95" spans="1:17" s="1" customFormat="1" ht="12.75">
      <c r="A95" s="64"/>
      <c r="B95" s="19"/>
      <c r="C95" s="14" t="s">
        <v>15</v>
      </c>
      <c r="D95" s="14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1"/>
    </row>
    <row r="96" spans="1:17" s="1" customFormat="1" ht="12.75">
      <c r="A96" s="64"/>
      <c r="B96" s="19"/>
      <c r="C96" s="14"/>
      <c r="D96" s="14" t="s">
        <v>16</v>
      </c>
      <c r="E96" s="36">
        <v>0</v>
      </c>
      <c r="F96" s="36">
        <v>0</v>
      </c>
      <c r="G96" s="36">
        <v>272510</v>
      </c>
      <c r="H96" s="36">
        <v>612750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12427</v>
      </c>
      <c r="P96" s="36">
        <f>SUM(E96:O96)</f>
        <v>897687</v>
      </c>
      <c r="Q96" s="31"/>
    </row>
    <row r="97" spans="1:17" s="1" customFormat="1" ht="12.75">
      <c r="A97" s="64"/>
      <c r="B97" s="19"/>
      <c r="C97" s="14"/>
      <c r="D97" s="14" t="s">
        <v>17</v>
      </c>
      <c r="E97" s="36">
        <v>0</v>
      </c>
      <c r="F97" s="36">
        <v>0</v>
      </c>
      <c r="G97" s="36">
        <v>207802</v>
      </c>
      <c r="H97" s="36">
        <v>4111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f>SUM(E97:O97)</f>
        <v>211913</v>
      </c>
      <c r="Q97" s="31"/>
    </row>
    <row r="98" spans="1:17" s="32" customFormat="1" ht="12.75">
      <c r="A98" s="64"/>
      <c r="B98" s="19"/>
      <c r="C98" s="14"/>
      <c r="D98" s="14" t="s">
        <v>26</v>
      </c>
      <c r="E98" s="50">
        <f aca="true" t="shared" si="19" ref="E98:P98">E96-E97</f>
        <v>0</v>
      </c>
      <c r="F98" s="50">
        <f t="shared" si="19"/>
        <v>0</v>
      </c>
      <c r="G98" s="50">
        <f t="shared" si="19"/>
        <v>64708</v>
      </c>
      <c r="H98" s="50">
        <f t="shared" si="19"/>
        <v>608639</v>
      </c>
      <c r="I98" s="50">
        <f t="shared" si="19"/>
        <v>0</v>
      </c>
      <c r="J98" s="50">
        <f t="shared" si="19"/>
        <v>0</v>
      </c>
      <c r="K98" s="50">
        <f t="shared" si="19"/>
        <v>0</v>
      </c>
      <c r="L98" s="50">
        <f t="shared" si="19"/>
        <v>0</v>
      </c>
      <c r="M98" s="50">
        <f t="shared" si="19"/>
        <v>0</v>
      </c>
      <c r="N98" s="50">
        <f t="shared" si="19"/>
        <v>0</v>
      </c>
      <c r="O98" s="50">
        <f t="shared" si="19"/>
        <v>12427</v>
      </c>
      <c r="P98" s="50">
        <f t="shared" si="19"/>
        <v>685774</v>
      </c>
      <c r="Q98" s="31"/>
    </row>
    <row r="99" spans="1:17" s="1" customFormat="1" ht="12.75">
      <c r="A99" s="64"/>
      <c r="B99" s="19"/>
      <c r="C99" s="14" t="s">
        <v>24</v>
      </c>
      <c r="D99" s="14"/>
      <c r="E99" s="41">
        <f aca="true" t="shared" si="20" ref="E99:P99">E94+E98</f>
        <v>0</v>
      </c>
      <c r="F99" s="41">
        <f t="shared" si="20"/>
        <v>0</v>
      </c>
      <c r="G99" s="41">
        <f t="shared" si="20"/>
        <v>113154</v>
      </c>
      <c r="H99" s="41">
        <f t="shared" si="20"/>
        <v>842534</v>
      </c>
      <c r="I99" s="41">
        <f t="shared" si="20"/>
        <v>0</v>
      </c>
      <c r="J99" s="41">
        <f t="shared" si="20"/>
        <v>0</v>
      </c>
      <c r="K99" s="41">
        <f t="shared" si="20"/>
        <v>0</v>
      </c>
      <c r="L99" s="41">
        <f t="shared" si="20"/>
        <v>0</v>
      </c>
      <c r="M99" s="41">
        <f t="shared" si="20"/>
        <v>0</v>
      </c>
      <c r="N99" s="41">
        <f t="shared" si="20"/>
        <v>0</v>
      </c>
      <c r="O99" s="41">
        <f t="shared" si="20"/>
        <v>56024</v>
      </c>
      <c r="P99" s="34">
        <f t="shared" si="20"/>
        <v>1011712</v>
      </c>
      <c r="Q99" s="31"/>
    </row>
    <row r="100" spans="1:17" s="1" customFormat="1" ht="9" customHeight="1">
      <c r="A100" s="64"/>
      <c r="B100" s="19"/>
      <c r="C100" s="21"/>
      <c r="D100" s="21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7"/>
      <c r="Q100" s="31"/>
    </row>
    <row r="101" spans="1:17" s="1" customFormat="1" ht="15">
      <c r="A101" s="64"/>
      <c r="B101" s="17" t="s">
        <v>35</v>
      </c>
      <c r="C101" s="21"/>
      <c r="D101" s="21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29"/>
      <c r="Q101" s="10"/>
    </row>
    <row r="102" spans="1:17" s="1" customFormat="1" ht="12.75">
      <c r="A102" s="64"/>
      <c r="B102" s="19"/>
      <c r="C102" s="14" t="s">
        <v>18</v>
      </c>
      <c r="D102" s="14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29"/>
      <c r="Q102" s="10"/>
    </row>
    <row r="103" spans="1:17" s="32" customFormat="1" ht="12.75">
      <c r="A103" s="64"/>
      <c r="B103" s="19"/>
      <c r="C103" s="14"/>
      <c r="D103" s="14" t="s">
        <v>16</v>
      </c>
      <c r="E103" s="25">
        <v>0</v>
      </c>
      <c r="F103" s="25">
        <v>518791</v>
      </c>
      <c r="G103" s="25">
        <v>151698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-586122</v>
      </c>
      <c r="P103" s="25">
        <f>SUM(E103:O103)</f>
        <v>84367</v>
      </c>
      <c r="Q103" s="10"/>
    </row>
    <row r="104" spans="1:17" s="1" customFormat="1" ht="12.75">
      <c r="A104" s="64"/>
      <c r="B104" s="19"/>
      <c r="C104" s="14"/>
      <c r="D104" s="14" t="s">
        <v>17</v>
      </c>
      <c r="E104" s="36">
        <v>0</v>
      </c>
      <c r="F104" s="36">
        <v>740937</v>
      </c>
      <c r="G104" s="36">
        <v>40810</v>
      </c>
      <c r="H104" s="36">
        <v>0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-751917</v>
      </c>
      <c r="P104" s="36">
        <f>SUM(E104:O104)</f>
        <v>29830</v>
      </c>
      <c r="Q104" s="10"/>
    </row>
    <row r="105" spans="1:17" s="1" customFormat="1" ht="12.75">
      <c r="A105" s="64"/>
      <c r="B105" s="19"/>
      <c r="C105" s="14"/>
      <c r="D105" s="14" t="s">
        <v>25</v>
      </c>
      <c r="E105" s="50">
        <f aca="true" t="shared" si="21" ref="E105:P105">E103-E104</f>
        <v>0</v>
      </c>
      <c r="F105" s="50">
        <f t="shared" si="21"/>
        <v>-222146</v>
      </c>
      <c r="G105" s="50">
        <f t="shared" si="21"/>
        <v>110888</v>
      </c>
      <c r="H105" s="50">
        <f t="shared" si="21"/>
        <v>0</v>
      </c>
      <c r="I105" s="50">
        <f t="shared" si="21"/>
        <v>0</v>
      </c>
      <c r="J105" s="50">
        <f t="shared" si="21"/>
        <v>0</v>
      </c>
      <c r="K105" s="50">
        <f t="shared" si="21"/>
        <v>0</v>
      </c>
      <c r="L105" s="50">
        <f t="shared" si="21"/>
        <v>0</v>
      </c>
      <c r="M105" s="50">
        <f t="shared" si="21"/>
        <v>0</v>
      </c>
      <c r="N105" s="50">
        <f t="shared" si="21"/>
        <v>0</v>
      </c>
      <c r="O105" s="50">
        <f t="shared" si="21"/>
        <v>165795</v>
      </c>
      <c r="P105" s="50">
        <f t="shared" si="21"/>
        <v>54537</v>
      </c>
      <c r="Q105" s="31"/>
    </row>
    <row r="106" spans="1:17" s="1" customFormat="1" ht="12.75">
      <c r="A106" s="64"/>
      <c r="B106" s="19"/>
      <c r="C106" s="14" t="s">
        <v>15</v>
      </c>
      <c r="D106" s="14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1"/>
    </row>
    <row r="107" spans="1:17" s="35" customFormat="1" ht="12.75">
      <c r="A107" s="64"/>
      <c r="B107" s="19"/>
      <c r="C107" s="14"/>
      <c r="D107" s="14" t="s">
        <v>16</v>
      </c>
      <c r="E107" s="36">
        <v>0</v>
      </c>
      <c r="F107" s="36">
        <v>299028</v>
      </c>
      <c r="G107" s="36">
        <v>139008</v>
      </c>
      <c r="H107" s="36">
        <v>0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-280426</v>
      </c>
      <c r="P107" s="36">
        <f>SUM(E107:O107)</f>
        <v>157610</v>
      </c>
      <c r="Q107" s="31"/>
    </row>
    <row r="108" spans="1:17" s="1" customFormat="1" ht="12.75">
      <c r="A108" s="64"/>
      <c r="B108" s="19"/>
      <c r="C108" s="14"/>
      <c r="D108" s="14" t="s">
        <v>17</v>
      </c>
      <c r="E108" s="36">
        <v>0</v>
      </c>
      <c r="F108" s="36">
        <v>55536</v>
      </c>
      <c r="G108" s="36">
        <v>0</v>
      </c>
      <c r="H108" s="36">
        <v>0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f>SUM(E108:O108)</f>
        <v>55536</v>
      </c>
      <c r="Q108" s="31"/>
    </row>
    <row r="109" spans="1:17" s="54" customFormat="1" ht="12.75">
      <c r="A109" s="64"/>
      <c r="B109" s="51"/>
      <c r="C109" s="14"/>
      <c r="D109" s="14" t="s">
        <v>26</v>
      </c>
      <c r="E109" s="52">
        <f aca="true" t="shared" si="22" ref="E109:P109">E107-E108</f>
        <v>0</v>
      </c>
      <c r="F109" s="52">
        <f t="shared" si="22"/>
        <v>243492</v>
      </c>
      <c r="G109" s="52">
        <f t="shared" si="22"/>
        <v>139008</v>
      </c>
      <c r="H109" s="52">
        <f t="shared" si="22"/>
        <v>0</v>
      </c>
      <c r="I109" s="52">
        <f t="shared" si="22"/>
        <v>0</v>
      </c>
      <c r="J109" s="52">
        <f t="shared" si="22"/>
        <v>0</v>
      </c>
      <c r="K109" s="52">
        <f t="shared" si="22"/>
        <v>0</v>
      </c>
      <c r="L109" s="52">
        <f t="shared" si="22"/>
        <v>0</v>
      </c>
      <c r="M109" s="52">
        <f t="shared" si="22"/>
        <v>0</v>
      </c>
      <c r="N109" s="52">
        <f t="shared" si="22"/>
        <v>0</v>
      </c>
      <c r="O109" s="52">
        <f t="shared" si="22"/>
        <v>-280426</v>
      </c>
      <c r="P109" s="52">
        <f t="shared" si="22"/>
        <v>102074</v>
      </c>
      <c r="Q109" s="53"/>
    </row>
    <row r="110" spans="1:17" s="57" customFormat="1" ht="15" customHeight="1">
      <c r="A110" s="64"/>
      <c r="B110" s="51"/>
      <c r="C110" s="14" t="s">
        <v>24</v>
      </c>
      <c r="D110" s="14"/>
      <c r="E110" s="55">
        <f aca="true" t="shared" si="23" ref="E110:P110">E105+E109</f>
        <v>0</v>
      </c>
      <c r="F110" s="55">
        <f t="shared" si="23"/>
        <v>21346</v>
      </c>
      <c r="G110" s="55">
        <f t="shared" si="23"/>
        <v>249896</v>
      </c>
      <c r="H110" s="55">
        <f t="shared" si="23"/>
        <v>0</v>
      </c>
      <c r="I110" s="55">
        <f t="shared" si="23"/>
        <v>0</v>
      </c>
      <c r="J110" s="55">
        <f t="shared" si="23"/>
        <v>0</v>
      </c>
      <c r="K110" s="55">
        <f t="shared" si="23"/>
        <v>0</v>
      </c>
      <c r="L110" s="55">
        <f t="shared" si="23"/>
        <v>0</v>
      </c>
      <c r="M110" s="55">
        <f t="shared" si="23"/>
        <v>0</v>
      </c>
      <c r="N110" s="55">
        <f t="shared" si="23"/>
        <v>0</v>
      </c>
      <c r="O110" s="55">
        <f t="shared" si="23"/>
        <v>-114631</v>
      </c>
      <c r="P110" s="56">
        <f t="shared" si="23"/>
        <v>156611</v>
      </c>
      <c r="Q110" s="53"/>
    </row>
    <row r="111" spans="1:17" s="1" customFormat="1" ht="9" customHeight="1">
      <c r="A111" s="64"/>
      <c r="B111" s="19"/>
      <c r="C111" s="21"/>
      <c r="D111" s="21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7"/>
      <c r="Q111" s="31"/>
    </row>
    <row r="112" spans="1:17" s="1" customFormat="1" ht="15">
      <c r="A112" s="64"/>
      <c r="B112" s="17" t="s">
        <v>36</v>
      </c>
      <c r="C112" s="21"/>
      <c r="D112" s="21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29"/>
      <c r="Q112" s="10"/>
    </row>
    <row r="113" spans="1:17" s="1" customFormat="1" ht="12.75">
      <c r="A113" s="64"/>
      <c r="B113" s="19"/>
      <c r="C113" s="14" t="s">
        <v>18</v>
      </c>
      <c r="D113" s="14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29"/>
      <c r="Q113" s="10"/>
    </row>
    <row r="114" spans="1:17" s="32" customFormat="1" ht="12.75">
      <c r="A114" s="64"/>
      <c r="B114" s="19"/>
      <c r="C114" s="14"/>
      <c r="D114" s="14" t="s">
        <v>16</v>
      </c>
      <c r="E114" s="25">
        <v>0</v>
      </c>
      <c r="F114" s="25">
        <v>0</v>
      </c>
      <c r="G114" s="25">
        <v>0</v>
      </c>
      <c r="H114" s="25">
        <v>0</v>
      </c>
      <c r="I114" s="25">
        <v>41923</v>
      </c>
      <c r="J114" s="25">
        <v>0</v>
      </c>
      <c r="K114" s="25">
        <v>8950</v>
      </c>
      <c r="L114" s="25">
        <v>1932617</v>
      </c>
      <c r="M114" s="25">
        <v>0</v>
      </c>
      <c r="N114" s="25">
        <v>0</v>
      </c>
      <c r="O114" s="25">
        <f>-2740-177888-36263</f>
        <v>-216891</v>
      </c>
      <c r="P114" s="25">
        <f>SUM(E114:O114)</f>
        <v>1766599</v>
      </c>
      <c r="Q114" s="10"/>
    </row>
    <row r="115" spans="1:19" s="1" customFormat="1" ht="12.75">
      <c r="A115" s="64"/>
      <c r="B115" s="19"/>
      <c r="C115" s="14"/>
      <c r="D115" s="14" t="s">
        <v>17</v>
      </c>
      <c r="E115" s="36">
        <v>0</v>
      </c>
      <c r="F115" s="36">
        <v>0</v>
      </c>
      <c r="G115" s="36">
        <v>0</v>
      </c>
      <c r="H115" s="36">
        <v>0</v>
      </c>
      <c r="I115" s="36">
        <v>0</v>
      </c>
      <c r="J115" s="36">
        <v>0</v>
      </c>
      <c r="K115" s="36">
        <v>0</v>
      </c>
      <c r="L115" s="36">
        <v>63967</v>
      </c>
      <c r="M115" s="36">
        <v>0</v>
      </c>
      <c r="N115" s="36">
        <v>0</v>
      </c>
      <c r="O115" s="36">
        <f>0-30514-6528</f>
        <v>-37042</v>
      </c>
      <c r="P115" s="36">
        <f>SUM(E115:O115)</f>
        <v>26925</v>
      </c>
      <c r="Q115" s="10"/>
      <c r="R115" s="32"/>
      <c r="S115" s="32"/>
    </row>
    <row r="116" spans="1:19" s="1" customFormat="1" ht="12.75">
      <c r="A116" s="64"/>
      <c r="B116" s="19"/>
      <c r="C116" s="14"/>
      <c r="D116" s="14" t="s">
        <v>25</v>
      </c>
      <c r="E116" s="50">
        <f aca="true" t="shared" si="24" ref="E116:P116">E114-E115</f>
        <v>0</v>
      </c>
      <c r="F116" s="50">
        <f t="shared" si="24"/>
        <v>0</v>
      </c>
      <c r="G116" s="50">
        <f t="shared" si="24"/>
        <v>0</v>
      </c>
      <c r="H116" s="50">
        <f t="shared" si="24"/>
        <v>0</v>
      </c>
      <c r="I116" s="50">
        <f t="shared" si="24"/>
        <v>41923</v>
      </c>
      <c r="J116" s="50">
        <f t="shared" si="24"/>
        <v>0</v>
      </c>
      <c r="K116" s="50">
        <f t="shared" si="24"/>
        <v>8950</v>
      </c>
      <c r="L116" s="50">
        <f t="shared" si="24"/>
        <v>1868650</v>
      </c>
      <c r="M116" s="50">
        <f t="shared" si="24"/>
        <v>0</v>
      </c>
      <c r="N116" s="50">
        <f t="shared" si="24"/>
        <v>0</v>
      </c>
      <c r="O116" s="50">
        <f t="shared" si="24"/>
        <v>-179849</v>
      </c>
      <c r="P116" s="50">
        <f t="shared" si="24"/>
        <v>1739674</v>
      </c>
      <c r="Q116" s="31"/>
      <c r="R116" s="32"/>
      <c r="S116" s="32"/>
    </row>
    <row r="117" spans="1:19" s="1" customFormat="1" ht="12.75">
      <c r="A117" s="64"/>
      <c r="B117" s="19"/>
      <c r="C117" s="14" t="s">
        <v>15</v>
      </c>
      <c r="D117" s="14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1"/>
      <c r="R117" s="32"/>
      <c r="S117" s="32"/>
    </row>
    <row r="118" spans="1:20" s="35" customFormat="1" ht="12.75">
      <c r="A118" s="64"/>
      <c r="B118" s="19"/>
      <c r="C118" s="14"/>
      <c r="D118" s="14" t="s">
        <v>16</v>
      </c>
      <c r="E118" s="36">
        <v>0</v>
      </c>
      <c r="F118" s="36">
        <v>0</v>
      </c>
      <c r="G118" s="36">
        <v>0</v>
      </c>
      <c r="H118" s="36">
        <v>0</v>
      </c>
      <c r="I118" s="36">
        <v>123649</v>
      </c>
      <c r="J118" s="36">
        <v>0</v>
      </c>
      <c r="K118" s="36">
        <v>20471</v>
      </c>
      <c r="L118" s="36">
        <v>3460039</v>
      </c>
      <c r="M118" s="36">
        <v>0</v>
      </c>
      <c r="N118" s="36">
        <v>0</v>
      </c>
      <c r="O118" s="36">
        <f>432+33848+3836</f>
        <v>38116</v>
      </c>
      <c r="P118" s="36">
        <f>SUM(E118:O118)</f>
        <v>3642275</v>
      </c>
      <c r="Q118" s="31"/>
      <c r="R118" s="32"/>
      <c r="S118" s="32"/>
      <c r="T118" s="35">
        <f>S114+S118</f>
        <v>0</v>
      </c>
    </row>
    <row r="119" spans="1:19" s="1" customFormat="1" ht="12.75">
      <c r="A119" s="64"/>
      <c r="B119" s="19"/>
      <c r="C119" s="14"/>
      <c r="D119" s="14" t="s">
        <v>17</v>
      </c>
      <c r="E119" s="36">
        <v>0</v>
      </c>
      <c r="F119" s="36">
        <v>0</v>
      </c>
      <c r="G119" s="36">
        <v>0</v>
      </c>
      <c r="H119" s="36">
        <v>0</v>
      </c>
      <c r="I119" s="36">
        <v>0</v>
      </c>
      <c r="J119" s="36">
        <v>0</v>
      </c>
      <c r="K119" s="36">
        <v>0</v>
      </c>
      <c r="L119" s="36">
        <v>1565287</v>
      </c>
      <c r="M119" s="36">
        <v>0</v>
      </c>
      <c r="N119" s="36">
        <v>0</v>
      </c>
      <c r="O119" s="36">
        <v>0</v>
      </c>
      <c r="P119" s="36">
        <f>SUM(E119:O119)</f>
        <v>1565287</v>
      </c>
      <c r="Q119" s="31"/>
      <c r="R119" s="32"/>
      <c r="S119" s="32"/>
    </row>
    <row r="120" spans="1:19" s="54" customFormat="1" ht="12.75">
      <c r="A120" s="64"/>
      <c r="B120" s="51"/>
      <c r="C120" s="14"/>
      <c r="D120" s="14" t="s">
        <v>26</v>
      </c>
      <c r="E120" s="52">
        <f aca="true" t="shared" si="25" ref="E120:P120">E118-E119</f>
        <v>0</v>
      </c>
      <c r="F120" s="52">
        <f t="shared" si="25"/>
        <v>0</v>
      </c>
      <c r="G120" s="52">
        <f t="shared" si="25"/>
        <v>0</v>
      </c>
      <c r="H120" s="52">
        <f t="shared" si="25"/>
        <v>0</v>
      </c>
      <c r="I120" s="52">
        <f t="shared" si="25"/>
        <v>123649</v>
      </c>
      <c r="J120" s="52">
        <f t="shared" si="25"/>
        <v>0</v>
      </c>
      <c r="K120" s="52">
        <f t="shared" si="25"/>
        <v>20471</v>
      </c>
      <c r="L120" s="52">
        <f t="shared" si="25"/>
        <v>1894752</v>
      </c>
      <c r="M120" s="52">
        <f t="shared" si="25"/>
        <v>0</v>
      </c>
      <c r="N120" s="52">
        <f t="shared" si="25"/>
        <v>0</v>
      </c>
      <c r="O120" s="52">
        <f t="shared" si="25"/>
        <v>38116</v>
      </c>
      <c r="P120" s="52">
        <f t="shared" si="25"/>
        <v>2076988</v>
      </c>
      <c r="Q120" s="53"/>
      <c r="R120" s="32"/>
      <c r="S120" s="32"/>
    </row>
    <row r="121" spans="1:19" s="57" customFormat="1" ht="15" customHeight="1">
      <c r="A121" s="64"/>
      <c r="B121" s="51"/>
      <c r="C121" s="14" t="s">
        <v>24</v>
      </c>
      <c r="D121" s="14"/>
      <c r="E121" s="55">
        <f aca="true" t="shared" si="26" ref="E121:P121">E116+E120</f>
        <v>0</v>
      </c>
      <c r="F121" s="55">
        <f t="shared" si="26"/>
        <v>0</v>
      </c>
      <c r="G121" s="55">
        <f t="shared" si="26"/>
        <v>0</v>
      </c>
      <c r="H121" s="55">
        <f t="shared" si="26"/>
        <v>0</v>
      </c>
      <c r="I121" s="55">
        <f t="shared" si="26"/>
        <v>165572</v>
      </c>
      <c r="J121" s="55">
        <f t="shared" si="26"/>
        <v>0</v>
      </c>
      <c r="K121" s="55">
        <f t="shared" si="26"/>
        <v>29421</v>
      </c>
      <c r="L121" s="55">
        <f t="shared" si="26"/>
        <v>3763402</v>
      </c>
      <c r="M121" s="55">
        <f t="shared" si="26"/>
        <v>0</v>
      </c>
      <c r="N121" s="55">
        <f t="shared" si="26"/>
        <v>0</v>
      </c>
      <c r="O121" s="55">
        <f t="shared" si="26"/>
        <v>-141733</v>
      </c>
      <c r="P121" s="56">
        <f t="shared" si="26"/>
        <v>3816662</v>
      </c>
      <c r="Q121" s="53"/>
      <c r="R121" s="32"/>
      <c r="S121" s="32"/>
    </row>
    <row r="122" spans="1:17" s="1" customFormat="1" ht="9" customHeight="1">
      <c r="A122" s="20"/>
      <c r="B122" s="42"/>
      <c r="C122" s="47"/>
      <c r="D122" s="47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44"/>
      <c r="Q122" s="11"/>
    </row>
    <row r="123" spans="1:17" s="33" customFormat="1" ht="15.75" thickBot="1">
      <c r="A123"/>
      <c r="B123" s="58" t="s">
        <v>24</v>
      </c>
      <c r="C123" s="48"/>
      <c r="D123" s="48"/>
      <c r="E123" s="38">
        <f aca="true" t="shared" si="27" ref="E123:P123">+E121+E110+E99+E88+E77+E50+E39+E28+E17</f>
        <v>459681</v>
      </c>
      <c r="F123" s="38">
        <f t="shared" si="27"/>
        <v>21346</v>
      </c>
      <c r="G123" s="38">
        <f t="shared" si="27"/>
        <v>4360872</v>
      </c>
      <c r="H123" s="38">
        <f t="shared" si="27"/>
        <v>1522032</v>
      </c>
      <c r="I123" s="38">
        <f t="shared" si="27"/>
        <v>4830399</v>
      </c>
      <c r="J123" s="38">
        <f t="shared" si="27"/>
        <v>1550914</v>
      </c>
      <c r="K123" s="38">
        <f t="shared" si="27"/>
        <v>3901447</v>
      </c>
      <c r="L123" s="38">
        <f t="shared" si="27"/>
        <v>3763402</v>
      </c>
      <c r="M123" s="38">
        <f t="shared" si="27"/>
        <v>4213545</v>
      </c>
      <c r="N123" s="38">
        <f t="shared" si="27"/>
        <v>-923</v>
      </c>
      <c r="O123" s="38">
        <f t="shared" si="27"/>
        <v>0</v>
      </c>
      <c r="P123" s="38">
        <f t="shared" si="27"/>
        <v>24622715</v>
      </c>
      <c r="Q123" s="39" t="e">
        <f>#REF!+Q107+Q98+#REF!+#REF!+#REF!+#REF!</f>
        <v>#REF!</v>
      </c>
    </row>
  </sheetData>
  <mergeCells count="6">
    <mergeCell ref="B62:Q62"/>
    <mergeCell ref="B63:Q63"/>
    <mergeCell ref="B1:Q1"/>
    <mergeCell ref="B2:Q2"/>
    <mergeCell ref="B3:Q3"/>
    <mergeCell ref="B61:Q61"/>
  </mergeCells>
  <printOptions horizontalCentered="1"/>
  <pageMargins left="0.7" right="0.7" top="1" bottom="0.75" header="0.5" footer="0.5"/>
  <pageSetup horizontalDpi="600" verticalDpi="600" orientation="landscape" scale="58" r:id="rId1"/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JMD/USDOJ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fliu</dc:creator>
  <cp:keywords/>
  <dc:description/>
  <cp:lastModifiedBy>Leonard Shi</cp:lastModifiedBy>
  <cp:lastPrinted>2004-01-06T19:16:45Z</cp:lastPrinted>
  <dcterms:created xsi:type="dcterms:W3CDTF">1998-12-21T20:46:59Z</dcterms:created>
  <dcterms:modified xsi:type="dcterms:W3CDTF">2004-03-17T15:03:35Z</dcterms:modified>
  <cp:category/>
  <cp:version/>
  <cp:contentType/>
  <cp:contentStatus/>
</cp:coreProperties>
</file>