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888" activeTab="0"/>
  </bookViews>
  <sheets>
    <sheet name="B. Summary of Requirements " sheetId="1" r:id="rId1"/>
    <sheet name="C. Increases Offsets" sheetId="2" r:id="rId2"/>
    <sheet name="D. Strategic Goals &amp; Objectives" sheetId="3" r:id="rId3"/>
    <sheet name="E. ATB Justification" sheetId="4" r:id="rId4"/>
    <sheet name="F. 2007 Crosswalk" sheetId="5" r:id="rId5"/>
    <sheet name="G. 2008 Crosswalk" sheetId="6" r:id="rId6"/>
    <sheet name="H. Reimbursable Resources" sheetId="7" r:id="rId7"/>
    <sheet name="I. Permanent Positions" sheetId="8" r:id="rId8"/>
    <sheet name="J. Financial Analysis" sheetId="9" r:id="rId9"/>
    <sheet name="K. Summary by Grade" sheetId="10" r:id="rId10"/>
    <sheet name="L. Summary by Object Class" sheetId="11" r:id="rId11"/>
  </sheets>
  <externalReferences>
    <externalReference r:id="rId14"/>
    <externalReference r:id="rId15"/>
    <externalReference r:id="rId16"/>
  </externalReferences>
  <definedNames>
    <definedName name="ATTORNEYSUPP" localSheetId="0">#REF!</definedName>
    <definedName name="ATTORNEYSUPP">#REF!</definedName>
    <definedName name="DL" localSheetId="0">'B. Summary of Requirements '!$A$2:$AG$101</definedName>
    <definedName name="DL">#REF!</definedName>
    <definedName name="EXECSUPP" localSheetId="0">'B. Summary of Requirements '!#REF!</definedName>
    <definedName name="EXECSUPP" localSheetId="8">'[3]Sum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0">'B. Summary of Requirements '!#REF!</definedName>
    <definedName name="GAROLLUP" localSheetId="6">'[2]SumReq'!#REF!</definedName>
    <definedName name="GAROLLUP" localSheetId="8">'[3]Sum of Req'!#REF!</definedName>
    <definedName name="GAROLLUP">#REF!</definedName>
    <definedName name="hlhl0" localSheetId="3">'E. ATB Justification'!#REF!</definedName>
    <definedName name="INTEL" localSheetId="0">'B. Summary of Requirements '!#REF!</definedName>
    <definedName name="INTEL" localSheetId="8">'[3]Sum of Req'!#REF!</definedName>
    <definedName name="INTEL">#REF!</definedName>
    <definedName name="JMD" localSheetId="0">'B. Summary of Requirements '!#REF!</definedName>
    <definedName name="JMD" localSheetId="8">'[3]Sum of Req'!#REF!</definedName>
    <definedName name="JMD">#REF!</definedName>
    <definedName name="OLE_LINK7" localSheetId="3">'E. ATB Justification'!#REF!</definedName>
    <definedName name="PART">#REF!</definedName>
    <definedName name="POSBYCAT" localSheetId="0">#REF!</definedName>
    <definedName name="POSBYCAT" localSheetId="8">'[3]Summ Atty Agt'!#REF!</definedName>
    <definedName name="POSBYCAT">#REF!</definedName>
    <definedName name="_xlnm.Print_Area" localSheetId="0">'B. Summary of Requirements '!$A$1:$AH$118</definedName>
    <definedName name="_xlnm.Print_Area" localSheetId="1">'C. Increases Offsets'!$A$1:$H$25</definedName>
    <definedName name="_xlnm.Print_Area" localSheetId="2">'D. Strategic Goals &amp; Objectives'!$A$1:$Q$46</definedName>
    <definedName name="_xlnm.Print_Area" localSheetId="3">'E. ATB Justification'!$A$1:$N$103</definedName>
    <definedName name="_xlnm.Print_Area" localSheetId="4">'F. 2007 Crosswalk'!$A$1:$U$42</definedName>
    <definedName name="_xlnm.Print_Area" localSheetId="5">'G. 2008 Crosswalk'!$A$1:$Q$38</definedName>
    <definedName name="_xlnm.Print_Area" localSheetId="6">'H. Reimbursable Resources'!$A$1:$P$18</definedName>
    <definedName name="_xlnm.Print_Area" localSheetId="7">'I. Permanent Positions'!$A$1:$N$32</definedName>
    <definedName name="_xlnm.Print_Area" localSheetId="8">'J. Financial Analysis'!$A$1:$X$33</definedName>
    <definedName name="_xlnm.Print_Area" localSheetId="9">'K. Summary by Grade'!$B$1:$K$36</definedName>
    <definedName name="_xlnm.Print_Area" localSheetId="10">'L. Summary by Object Class'!$A$1:$P$45</definedName>
    <definedName name="REIMPRO" localSheetId="6">'H. Reimbursable Resources'!$A$1:$O$18</definedName>
    <definedName name="REIMPRO">#REF!</definedName>
    <definedName name="REIMSOR" localSheetId="6">'H. Reimbursable Resources'!#REF!</definedName>
    <definedName name="REIMSOR">#REF!</definedName>
    <definedName name="Z_5F1EA102_6036_4749_80D7_1385E5552467_.wvu.Cols" localSheetId="0" hidden="1">'B. Summary of Requirements '!$Z:$Z,'B. Summary of Requirements '!$AD:$AG</definedName>
    <definedName name="Z_5F1EA102_6036_4749_80D7_1385E5552467_.wvu.Cols" localSheetId="4" hidden="1">'F. 2007 Crosswalk'!$I:$K</definedName>
    <definedName name="Z_5F1EA102_6036_4749_80D7_1385E5552467_.wvu.Cols" localSheetId="7" hidden="1">'I. Permanent Positions'!$I:$I</definedName>
    <definedName name="Z_5F1EA102_6036_4749_80D7_1385E5552467_.wvu.Cols" localSheetId="9" hidden="1">'K. Summary by Grade'!$A:$A</definedName>
    <definedName name="Z_5F1EA102_6036_4749_80D7_1385E5552467_.wvu.Cols" localSheetId="10" hidden="1">'L. Summary by Object Class'!$M:$O</definedName>
    <definedName name="Z_5F1EA102_6036_4749_80D7_1385E5552467_.wvu.PrintArea" localSheetId="0" hidden="1">'B. Summary of Requirements '!$A$78:$AH$118</definedName>
    <definedName name="Z_5F1EA102_6036_4749_80D7_1385E5552467_.wvu.PrintArea" localSheetId="1" hidden="1">'C. Increases Offsets'!$A$1:$H$25</definedName>
    <definedName name="Z_5F1EA102_6036_4749_80D7_1385E5552467_.wvu.PrintArea" localSheetId="2" hidden="1">'D. Strategic Goals &amp; Objectives'!$A$1:$Q$46</definedName>
    <definedName name="Z_5F1EA102_6036_4749_80D7_1385E5552467_.wvu.PrintArea" localSheetId="3" hidden="1">'E. ATB Justification'!$A$1:$N$99</definedName>
    <definedName name="Z_5F1EA102_6036_4749_80D7_1385E5552467_.wvu.PrintArea" localSheetId="4" hidden="1">'F. 2007 Crosswalk'!$A$1:$U$42</definedName>
    <definedName name="Z_5F1EA102_6036_4749_80D7_1385E5552467_.wvu.PrintArea" localSheetId="5" hidden="1">'G. 2008 Crosswalk'!$A$1:$Q$38</definedName>
    <definedName name="Z_5F1EA102_6036_4749_80D7_1385E5552467_.wvu.PrintArea" localSheetId="6" hidden="1">'H. Reimbursable Resources'!$A$1:$P$18</definedName>
    <definedName name="Z_5F1EA102_6036_4749_80D7_1385E5552467_.wvu.PrintArea" localSheetId="7" hidden="1">'I. Permanent Positions'!$A$1:$N$32</definedName>
    <definedName name="Z_5F1EA102_6036_4749_80D7_1385E5552467_.wvu.PrintArea" localSheetId="8" hidden="1">'J. Financial Analysis'!$A$1:$X$33</definedName>
    <definedName name="Z_5F1EA102_6036_4749_80D7_1385E5552467_.wvu.PrintArea" localSheetId="9" hidden="1">'K. Summary by Grade'!$B$1:$K$36</definedName>
    <definedName name="Z_5F1EA102_6036_4749_80D7_1385E5552467_.wvu.PrintArea" localSheetId="10" hidden="1">'L. Summary by Object Class'!$A$1:$P$45</definedName>
    <definedName name="Z_5F1EA102_6036_4749_80D7_1385E5552467_.wvu.Rows" localSheetId="0" hidden="1">'B. Summary of Requirements '!$13:$15,'B. Summary of Requirements '!$35:$36,'B. Summary of Requirements '!$39:$41,'B. Summary of Requirements '!$61:$64</definedName>
    <definedName name="Z_5F1EA102_6036_4749_80D7_1385E5552467_.wvu.Rows" localSheetId="2" hidden="1">'D. Strategic Goals &amp; Objectives'!$10:$10,'D. Strategic Goals &amp; Objectives'!$18:$18,'D. Strategic Goals &amp; Objectives'!$40:$41,'D. Strategic Goals &amp; Objectives'!$48:$87</definedName>
    <definedName name="Z_5F1EA102_6036_4749_80D7_1385E5552467_.wvu.Rows" localSheetId="3" hidden="1">'E. ATB Justification'!$16:$16,'E. ATB Justification'!$23:$24,'E. ATB Justification'!$33:$43,'E. ATB Justification'!$46:$52,'E. ATB Justification'!$59:$60,'E. ATB Justification'!$69:$83</definedName>
    <definedName name="Z_5F1EA102_6036_4749_80D7_1385E5552467_.wvu.Rows" localSheetId="4" hidden="1">'F. 2007 Crosswalk'!$27:$27</definedName>
    <definedName name="Z_5F1EA102_6036_4749_80D7_1385E5552467_.wvu.Rows" localSheetId="7" hidden="1">'I. Permanent Positions'!#REF!,'I. Permanent Positions'!#REF!,'I. Permanent Positions'!#REF!</definedName>
    <definedName name="Z_5F1EA102_6036_4749_80D7_1385E5552467_.wvu.Rows" localSheetId="9" hidden="1">'K. Summary by Grade'!$12:$15</definedName>
    <definedName name="Z_5F1EA102_6036_4749_80D7_1385E5552467_.wvu.Rows" localSheetId="10" hidden="1">'L. Summary by Object Class'!#REF!</definedName>
    <definedName name="Z_864E0B88_6C7B_4FBF_B91D_6917EE140403_.wvu.Cols" localSheetId="0" hidden="1">'B. Summary of Requirements '!$Z:$Z,'B. Summary of Requirements '!$AD:$AG</definedName>
    <definedName name="Z_864E0B88_6C7B_4FBF_B91D_6917EE140403_.wvu.Cols" localSheetId="4" hidden="1">'F. 2007 Crosswalk'!$I:$K</definedName>
    <definedName name="Z_864E0B88_6C7B_4FBF_B91D_6917EE140403_.wvu.Cols" localSheetId="7" hidden="1">'I. Permanent Positions'!$I:$I</definedName>
    <definedName name="Z_864E0B88_6C7B_4FBF_B91D_6917EE140403_.wvu.Cols" localSheetId="9" hidden="1">'K. Summary by Grade'!$A:$A</definedName>
    <definedName name="Z_864E0B88_6C7B_4FBF_B91D_6917EE140403_.wvu.Cols" localSheetId="10" hidden="1">'L. Summary by Object Class'!$M:$O</definedName>
    <definedName name="Z_864E0B88_6C7B_4FBF_B91D_6917EE140403_.wvu.PrintArea" localSheetId="0" hidden="1">'B. Summary of Requirements '!$A$1:$AH$112</definedName>
    <definedName name="Z_864E0B88_6C7B_4FBF_B91D_6917EE140403_.wvu.PrintArea" localSheetId="1" hidden="1">'C. Increases Offsets'!$A$1:$H$25</definedName>
    <definedName name="Z_864E0B88_6C7B_4FBF_B91D_6917EE140403_.wvu.PrintArea" localSheetId="2" hidden="1">'D. Strategic Goals &amp; Objectives'!$A$1:$Q$46</definedName>
    <definedName name="Z_864E0B88_6C7B_4FBF_B91D_6917EE140403_.wvu.PrintArea" localSheetId="3" hidden="1">'E. ATB Justification'!$A$1:$N$99</definedName>
    <definedName name="Z_864E0B88_6C7B_4FBF_B91D_6917EE140403_.wvu.PrintArea" localSheetId="4" hidden="1">'F. 2007 Crosswalk'!$A$1:$U$42</definedName>
    <definedName name="Z_864E0B88_6C7B_4FBF_B91D_6917EE140403_.wvu.PrintArea" localSheetId="5" hidden="1">'G. 2008 Crosswalk'!$A$1:$Q$38</definedName>
    <definedName name="Z_864E0B88_6C7B_4FBF_B91D_6917EE140403_.wvu.PrintArea" localSheetId="6" hidden="1">'H. Reimbursable Resources'!$A$1:$P$18</definedName>
    <definedName name="Z_864E0B88_6C7B_4FBF_B91D_6917EE140403_.wvu.PrintArea" localSheetId="7" hidden="1">'I. Permanent Positions'!$A$1:$N$32</definedName>
    <definedName name="Z_864E0B88_6C7B_4FBF_B91D_6917EE140403_.wvu.PrintArea" localSheetId="8" hidden="1">'J. Financial Analysis'!$A$1:$X$33</definedName>
    <definedName name="Z_864E0B88_6C7B_4FBF_B91D_6917EE140403_.wvu.PrintArea" localSheetId="9" hidden="1">'K. Summary by Grade'!$B$1:$K$36</definedName>
    <definedName name="Z_864E0B88_6C7B_4FBF_B91D_6917EE140403_.wvu.PrintArea" localSheetId="10" hidden="1">'L. Summary by Object Class'!$A$1:$P$45</definedName>
    <definedName name="Z_864E0B88_6C7B_4FBF_B91D_6917EE140403_.wvu.Rows" localSheetId="0" hidden="1">'B. Summary of Requirements '!$13:$15,'B. Summary of Requirements '!$35:$36,'B. Summary of Requirements '!$39:$41,'B. Summary of Requirements '!$61:$64,'B. Summary of Requirements '!#REF!</definedName>
    <definedName name="Z_864E0B88_6C7B_4FBF_B91D_6917EE140403_.wvu.Rows" localSheetId="2" hidden="1">'D. Strategic Goals &amp; Objectives'!$10:$10,'D. Strategic Goals &amp; Objectives'!$18:$18,'D. Strategic Goals &amp; Objectives'!$40:$41,'D. Strategic Goals &amp; Objectives'!$48:$87</definedName>
    <definedName name="Z_864E0B88_6C7B_4FBF_B91D_6917EE140403_.wvu.Rows" localSheetId="3" hidden="1">'E. ATB Justification'!$16:$16,'E. ATB Justification'!$23:$52,'E. ATB Justification'!$69:$83,'E. ATB Justification'!$99:$99</definedName>
    <definedName name="Z_864E0B88_6C7B_4FBF_B91D_6917EE140403_.wvu.Rows" localSheetId="4" hidden="1">'F. 2007 Crosswalk'!$27:$27</definedName>
    <definedName name="Z_864E0B88_6C7B_4FBF_B91D_6917EE140403_.wvu.Rows" localSheetId="7" hidden="1">'I. Permanent Positions'!#REF!,'I. Permanent Positions'!#REF!,'I. Permanent Positions'!#REF!</definedName>
    <definedName name="Z_864E0B88_6C7B_4FBF_B91D_6917EE140403_.wvu.Rows" localSheetId="9" hidden="1">'K. Summary by Grade'!$12:$15</definedName>
    <definedName name="Z_864E0B88_6C7B_4FBF_B91D_6917EE140403_.wvu.Rows" localSheetId="10" hidden="1">'L. Summary by Object Class'!#REF!</definedName>
    <definedName name="Z_C98154F0_6229_43B6_981B_828A7F6E67E9_.wvu.Cols" localSheetId="0" hidden="1">'B. Summary of Requirements '!$Z:$Z,'B. Summary of Requirements '!$AD:$AG</definedName>
    <definedName name="Z_C98154F0_6229_43B6_981B_828A7F6E67E9_.wvu.Cols" localSheetId="4" hidden="1">'F. 2007 Crosswalk'!$I:$K</definedName>
    <definedName name="Z_C98154F0_6229_43B6_981B_828A7F6E67E9_.wvu.Cols" localSheetId="7" hidden="1">'I. Permanent Positions'!$I:$I</definedName>
    <definedName name="Z_C98154F0_6229_43B6_981B_828A7F6E67E9_.wvu.Cols" localSheetId="9" hidden="1">'K. Summary by Grade'!$A:$A</definedName>
    <definedName name="Z_C98154F0_6229_43B6_981B_828A7F6E67E9_.wvu.Cols" localSheetId="10" hidden="1">'L. Summary by Object Class'!$M:$O</definedName>
    <definedName name="Z_C98154F0_6229_43B6_981B_828A7F6E67E9_.wvu.PrintArea" localSheetId="0" hidden="1">'B. Summary of Requirements '!$A$1:$AH$112</definedName>
    <definedName name="Z_C98154F0_6229_43B6_981B_828A7F6E67E9_.wvu.PrintArea" localSheetId="1" hidden="1">'C. Increases Offsets'!$A$1:$H$25</definedName>
    <definedName name="Z_C98154F0_6229_43B6_981B_828A7F6E67E9_.wvu.PrintArea" localSheetId="2" hidden="1">'D. Strategic Goals &amp; Objectives'!$A$1:$Q$46</definedName>
    <definedName name="Z_C98154F0_6229_43B6_981B_828A7F6E67E9_.wvu.PrintArea" localSheetId="3" hidden="1">'E. ATB Justification'!$A$1:$N$99</definedName>
    <definedName name="Z_C98154F0_6229_43B6_981B_828A7F6E67E9_.wvu.PrintArea" localSheetId="4" hidden="1">'F. 2007 Crosswalk'!$A$1:$U$42</definedName>
    <definedName name="Z_C98154F0_6229_43B6_981B_828A7F6E67E9_.wvu.PrintArea" localSheetId="5" hidden="1">'G. 2008 Crosswalk'!$A$1:$Q$38</definedName>
    <definedName name="Z_C98154F0_6229_43B6_981B_828A7F6E67E9_.wvu.PrintArea" localSheetId="6" hidden="1">'H. Reimbursable Resources'!$A$1:$P$18</definedName>
    <definedName name="Z_C98154F0_6229_43B6_981B_828A7F6E67E9_.wvu.PrintArea" localSheetId="7" hidden="1">'I. Permanent Positions'!$A$1:$N$32</definedName>
    <definedName name="Z_C98154F0_6229_43B6_981B_828A7F6E67E9_.wvu.PrintArea" localSheetId="8" hidden="1">'J. Financial Analysis'!$A$1:$X$33</definedName>
    <definedName name="Z_C98154F0_6229_43B6_981B_828A7F6E67E9_.wvu.PrintArea" localSheetId="9" hidden="1">'K. Summary by Grade'!$B$1:$K$36</definedName>
    <definedName name="Z_C98154F0_6229_43B6_981B_828A7F6E67E9_.wvu.PrintArea" localSheetId="10" hidden="1">'L. Summary by Object Class'!$A$1:$P$45</definedName>
    <definedName name="Z_C98154F0_6229_43B6_981B_828A7F6E67E9_.wvu.Rows" localSheetId="0" hidden="1">'B. Summary of Requirements '!$13:$15,'B. Summary of Requirements '!$35:$36,'B. Summary of Requirements '!$39:$41,'B. Summary of Requirements '!$61:$64,'B. Summary of Requirements '!#REF!</definedName>
    <definedName name="Z_C98154F0_6229_43B6_981B_828A7F6E67E9_.wvu.Rows" localSheetId="2" hidden="1">'D. Strategic Goals &amp; Objectives'!$10:$10,'D. Strategic Goals &amp; Objectives'!$18:$18,'D. Strategic Goals &amp; Objectives'!$40:$41,'D. Strategic Goals &amp; Objectives'!$48:$87</definedName>
    <definedName name="Z_C98154F0_6229_43B6_981B_828A7F6E67E9_.wvu.Rows" localSheetId="3" hidden="1">'E. ATB Justification'!$16:$16,'E. ATB Justification'!$23:$24,'E. ATB Justification'!$49:$49,'E. ATB Justification'!$51:$51</definedName>
    <definedName name="Z_C98154F0_6229_43B6_981B_828A7F6E67E9_.wvu.Rows" localSheetId="4" hidden="1">'F. 2007 Crosswalk'!$27:$27</definedName>
    <definedName name="Z_C98154F0_6229_43B6_981B_828A7F6E67E9_.wvu.Rows" localSheetId="7" hidden="1">'I. Permanent Positions'!#REF!,'I. Permanent Positions'!#REF!,'I. Permanent Positions'!#REF!</definedName>
    <definedName name="Z_C98154F0_6229_43B6_981B_828A7F6E67E9_.wvu.Rows" localSheetId="9" hidden="1">'K. Summary by Grade'!$12:$15</definedName>
    <definedName name="Z_C98154F0_6229_43B6_981B_828A7F6E67E9_.wvu.Rows" localSheetId="10" hidden="1">'L. Summary by Object Class'!#REF!</definedName>
    <definedName name="Z_D55080C0_0938_4E77_9D56_9810B3E1ED31_.wvu.Cols" localSheetId="0" hidden="1">'B. Summary of Requirements '!$Z:$Z,'B. Summary of Requirements '!$AD:$AG</definedName>
    <definedName name="Z_D55080C0_0938_4E77_9D56_9810B3E1ED31_.wvu.Cols" localSheetId="4" hidden="1">'F. 2007 Crosswalk'!$I:$K</definedName>
    <definedName name="Z_D55080C0_0938_4E77_9D56_9810B3E1ED31_.wvu.Cols" localSheetId="7" hidden="1">'I. Permanent Positions'!$I:$I</definedName>
    <definedName name="Z_D55080C0_0938_4E77_9D56_9810B3E1ED31_.wvu.Cols" localSheetId="9" hidden="1">'K. Summary by Grade'!$A:$A</definedName>
    <definedName name="Z_D55080C0_0938_4E77_9D56_9810B3E1ED31_.wvu.Cols" localSheetId="10" hidden="1">'L. Summary by Object Class'!$M:$O</definedName>
    <definedName name="Z_D55080C0_0938_4E77_9D56_9810B3E1ED31_.wvu.PrintArea" localSheetId="0" hidden="1">'B. Summary of Requirements '!$A$1:$AH$112</definedName>
    <definedName name="Z_D55080C0_0938_4E77_9D56_9810B3E1ED31_.wvu.PrintArea" localSheetId="1" hidden="1">'C. Increases Offsets'!$A$1:$H$25</definedName>
    <definedName name="Z_D55080C0_0938_4E77_9D56_9810B3E1ED31_.wvu.PrintArea" localSheetId="2" hidden="1">'D. Strategic Goals &amp; Objectives'!$A$1:$Q$46</definedName>
    <definedName name="Z_D55080C0_0938_4E77_9D56_9810B3E1ED31_.wvu.PrintArea" localSheetId="3" hidden="1">'E. ATB Justification'!$A$1:$N$99</definedName>
    <definedName name="Z_D55080C0_0938_4E77_9D56_9810B3E1ED31_.wvu.PrintArea" localSheetId="4" hidden="1">'F. 2007 Crosswalk'!$A$1:$U$42</definedName>
    <definedName name="Z_D55080C0_0938_4E77_9D56_9810B3E1ED31_.wvu.PrintArea" localSheetId="5" hidden="1">'G. 2008 Crosswalk'!$A$1:$Q$38</definedName>
    <definedName name="Z_D55080C0_0938_4E77_9D56_9810B3E1ED31_.wvu.PrintArea" localSheetId="6" hidden="1">'H. Reimbursable Resources'!$A$1:$P$18</definedName>
    <definedName name="Z_D55080C0_0938_4E77_9D56_9810B3E1ED31_.wvu.PrintArea" localSheetId="7" hidden="1">'I. Permanent Positions'!$A$1:$N$32</definedName>
    <definedName name="Z_D55080C0_0938_4E77_9D56_9810B3E1ED31_.wvu.PrintArea" localSheetId="8" hidden="1">'J. Financial Analysis'!$A$1:$X$33</definedName>
    <definedName name="Z_D55080C0_0938_4E77_9D56_9810B3E1ED31_.wvu.PrintArea" localSheetId="9" hidden="1">'K. Summary by Grade'!$B$1:$K$36</definedName>
    <definedName name="Z_D55080C0_0938_4E77_9D56_9810B3E1ED31_.wvu.PrintArea" localSheetId="10" hidden="1">'L. Summary by Object Class'!$A$1:$P$45</definedName>
    <definedName name="Z_D55080C0_0938_4E77_9D56_9810B3E1ED31_.wvu.Rows" localSheetId="0" hidden="1">'B. Summary of Requirements '!$13:$15,'B. Summary of Requirements '!$35:$36,'B. Summary of Requirements '!$39:$41,'B. Summary of Requirements '!$61:$64,'B. Summary of Requirements '!#REF!</definedName>
    <definedName name="Z_D55080C0_0938_4E77_9D56_9810B3E1ED31_.wvu.Rows" localSheetId="2" hidden="1">'D. Strategic Goals &amp; Objectives'!$10:$10,'D. Strategic Goals &amp; Objectives'!$18:$18,'D. Strategic Goals &amp; Objectives'!$40:$41,'D. Strategic Goals &amp; Objectives'!$48:$87</definedName>
    <definedName name="Z_D55080C0_0938_4E77_9D56_9810B3E1ED31_.wvu.Rows" localSheetId="3" hidden="1">'E. ATB Justification'!$16:$16,'E. ATB Justification'!$23:$52,'E. ATB Justification'!$69:$83,'E. ATB Justification'!$99:$99</definedName>
    <definedName name="Z_D55080C0_0938_4E77_9D56_9810B3E1ED31_.wvu.Rows" localSheetId="4" hidden="1">'F. 2007 Crosswalk'!$27:$27</definedName>
    <definedName name="Z_D55080C0_0938_4E77_9D56_9810B3E1ED31_.wvu.Rows" localSheetId="7" hidden="1">'I. Permanent Positions'!#REF!,'I. Permanent Positions'!#REF!,'I. Permanent Positions'!#REF!</definedName>
    <definedName name="Z_D55080C0_0938_4E77_9D56_9810B3E1ED31_.wvu.Rows" localSheetId="9" hidden="1">'K. Summary by Grade'!$12:$15</definedName>
    <definedName name="Z_D55080C0_0938_4E77_9D56_9810B3E1ED31_.wvu.Rows" localSheetId="10" hidden="1">'L. Summary by Object Class'!#REF!</definedName>
  </definedNames>
  <calcPr fullCalcOnLoad="1"/>
</workbook>
</file>

<file path=xl/sharedStrings.xml><?xml version="1.0" encoding="utf-8"?>
<sst xmlns="http://schemas.openxmlformats.org/spreadsheetml/2006/main" count="1119" uniqueCount="422">
  <si>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</si>
  <si>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</si>
  <si>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</si>
  <si>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</si>
  <si>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</si>
  <si>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</si>
  <si>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</si>
  <si>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</si>
  <si>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</si>
  <si>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</si>
  <si>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</si>
  <si>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</si>
  <si>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</si>
  <si>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</si>
  <si>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</si>
  <si>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</si>
  <si>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</si>
  <si>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</si>
  <si>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ATBs</t>
  </si>
  <si>
    <t>11.1  Direct FTE &amp; personnel compensation</t>
  </si>
  <si>
    <t xml:space="preserve">       Total </t>
  </si>
  <si>
    <t>Research, Evaluation and Demonstration Programs</t>
  </si>
  <si>
    <t>Criminal Justice Statistical Programs</t>
  </si>
  <si>
    <t>Missing Children</t>
  </si>
  <si>
    <t>Regional Information Sharing System</t>
  </si>
  <si>
    <t>Victim Notification System</t>
  </si>
  <si>
    <t>Justice for All Grants</t>
  </si>
  <si>
    <t>Sex Offender Registry</t>
  </si>
  <si>
    <t>White Collar Crime Information Center</t>
  </si>
  <si>
    <t>Crime Control Programs</t>
  </si>
  <si>
    <t>Management and Administration</t>
  </si>
  <si>
    <t xml:space="preserve">Part N - Televised Testimony </t>
  </si>
  <si>
    <t xml:space="preserve">Local Firefighter &amp; Emergency Serv Train </t>
  </si>
  <si>
    <t>Domestic Terrorism Tech  Dev Prog</t>
  </si>
  <si>
    <t>Equipment Grant Program</t>
  </si>
  <si>
    <t>Transfers.  The amount reflects the transfer of funds from the State and Local Law Enforcement Account and the Juvenile Justice Account to the Justice Assistance Account for management and administrative services including the Office of Audit, Assessment and Management.</t>
  </si>
  <si>
    <t>Carryover/Recoveries.  Funds were carried over from FY 2006 in the amount of $14,336,125 in unobligated balances excluding $26,044,279 in reimbursements</t>
  </si>
  <si>
    <t>Justice for All Act/DNA and Forensics</t>
  </si>
  <si>
    <t>Economic, High-tech, Cybercrime Prevention</t>
  </si>
  <si>
    <r>
      <t>Administrative Salary Increase</t>
    </r>
    <r>
      <rPr>
        <sz val="9"/>
        <rFont val="Times New Roman"/>
        <family val="1"/>
      </rPr>
      <t>.  This request provides for an expected annual pay adjustment of administratively determined salaries for the Assistant United States Attorneys occupying ungraded positions in the United States Attorneys offices ($_____ for pay and $______ for benefits, totaling $________.)</t>
    </r>
  </si>
  <si>
    <t>Average SES Salary</t>
  </si>
  <si>
    <t>Justice Assistance Programs</t>
  </si>
  <si>
    <t>42.0 Insurance claims and indemnities</t>
  </si>
  <si>
    <t>41.0 Grants, subsidies, and contributions</t>
  </si>
  <si>
    <r>
      <t>Employee Compensation Fund</t>
    </r>
    <r>
      <rPr>
        <sz val="9"/>
        <rFont val="Times New Roman"/>
        <family val="1"/>
      </rPr>
      <t>.  The $47K decrease reflects estimated reduced payments paid to the Department of Labor for injury benefits paid on our behalf under the Federal Employee Compensation Act.  The estimate is based on the prior year estimate of $57K and current year estimates of $10K.</t>
    </r>
  </si>
  <si>
    <r>
      <t>General Services Administration (GSA) Rent</t>
    </r>
    <r>
      <rPr>
        <sz val="9"/>
        <color indexed="8"/>
        <rFont val="Times New Roman"/>
        <family val="1"/>
      </rPr>
      <t>.  GSA will continue to charge rental rates that approximate those charged to commercial tenants for equivalent space and related services.  The requested increase of $859,000 is required to meet our commitment to GSA.  The costs associated with GSA rent were derived through the use of an automated system, which uses the latest inventory data, including rate increases to be effective in FY 2009 for each building currently occupied by Department of Justice components, as well as the costs of new space to be occupied.  Rate increases have been formulated based on GSA rent billing data.</t>
    </r>
  </si>
  <si>
    <t xml:space="preserve">   1.3  Prosecute those who have committed, or intend to commit, terrorist acts in                                                                                                                                                                                                                                                                                                                             the United States  </t>
  </si>
  <si>
    <t>Perm. Pos.</t>
  </si>
  <si>
    <t>2007 Appropriation Enacted w/Rescissions and Supplementals</t>
  </si>
  <si>
    <t>2009 Adjustments to Base and Technical Adjustments</t>
  </si>
  <si>
    <t>2009 Increases</t>
  </si>
  <si>
    <t>2009 Offsets</t>
  </si>
  <si>
    <t>FY 2007 Enacted Without Rescissions</t>
  </si>
  <si>
    <t>Reprogrammings / Transfers</t>
  </si>
  <si>
    <t>Carryover/ Recoveries</t>
  </si>
  <si>
    <t>end of sheet</t>
  </si>
  <si>
    <t>Program Decreases</t>
  </si>
  <si>
    <t>Total Pr. Changes</t>
  </si>
  <si>
    <t>Total Authorized</t>
  </si>
  <si>
    <t>Total Reimbursable</t>
  </si>
  <si>
    <t>Total Increases</t>
  </si>
  <si>
    <t xml:space="preserve">   J: Financial Analysis of Program Changes</t>
  </si>
  <si>
    <t>I: Detail of Permanent Positions by Category</t>
  </si>
  <si>
    <t>H: Summary of Reimbursable Resources</t>
  </si>
  <si>
    <t>E.  Justification for Base Adjustments</t>
  </si>
  <si>
    <t>D: Resources by DOJ Strategic Goal and Strategic Objective</t>
  </si>
  <si>
    <t>B: Summary of Requirements</t>
  </si>
  <si>
    <t>Transfers:</t>
  </si>
  <si>
    <t>Total Technical Adjustments</t>
  </si>
  <si>
    <t>Technical Adjustments:</t>
  </si>
  <si>
    <t>Total Transfers</t>
  </si>
  <si>
    <t xml:space="preserve">     Subtotal, Increases</t>
  </si>
  <si>
    <t xml:space="preserve">    Subtotal, Decreases</t>
  </si>
  <si>
    <t>Crime Victims Fund - M&amp;A</t>
  </si>
  <si>
    <t>Research, Eval &amp; Demonstration</t>
  </si>
  <si>
    <t>Total Program Offsets</t>
  </si>
  <si>
    <t xml:space="preserve">C: Program Increases/Offsets By Appropriation </t>
  </si>
  <si>
    <t>FY 2009 Program Increases/Offsets By Appropriation</t>
  </si>
  <si>
    <t>Location of Description by Appropriation</t>
  </si>
  <si>
    <t>Rescission of Balances</t>
  </si>
  <si>
    <t>This technical adjustment in the amount of ($66,684,000) for transfer between accounts in 2008 for management and administration.</t>
  </si>
  <si>
    <t>Transfers.  The amount reflects the transfer of funds from the State and Local Law Enforcement Account and the Juvenile Justice Account to the Justice Assistance Account for management and administrative services.</t>
  </si>
  <si>
    <t>Carryover/Recoveries.  Funds were carried over from FY 2007 in the amount of $117,614,622 in unobligated balances excluding $17,061,656 in reimbursements and includes $10 million in estimated revoeries.</t>
  </si>
  <si>
    <t>Department of Justice</t>
  </si>
  <si>
    <t>Department of Defense</t>
  </si>
  <si>
    <t>Department of Homeland Security</t>
  </si>
  <si>
    <t xml:space="preserve">Office of National Drug Control Policy </t>
  </si>
  <si>
    <t xml:space="preserve">Department of Health and Human Services </t>
  </si>
  <si>
    <t xml:space="preserve">Department of Commerce </t>
  </si>
  <si>
    <t>Unobligated balance, rescinded</t>
  </si>
  <si>
    <t>Research, Evaluation Demonstration Program</t>
  </si>
  <si>
    <t>Management and Administration - Merge COPS into OJP</t>
  </si>
  <si>
    <t>Justice for All/DNA &amp; Forensics</t>
  </si>
  <si>
    <t>Increase</t>
  </si>
  <si>
    <t>Grants, Subsidies, and Contributions</t>
  </si>
  <si>
    <t>[62]</t>
  </si>
  <si>
    <t>[57]</t>
  </si>
  <si>
    <t>Transfer $45.4 million from State and Local Law Enforcement Assistance Appropriation for management and administration</t>
  </si>
  <si>
    <t>Transfer $20.8 million from Juvenile Justice Appropriation for management and administration</t>
  </si>
  <si>
    <t>Transfer $3 million from Public Safety Officers' Benefits Appropriation for management and administration</t>
  </si>
  <si>
    <t>Research, Evaluation, and Demostration Programs1/</t>
  </si>
  <si>
    <t>Criminal Justice Statistics Program2/</t>
  </si>
  <si>
    <t>Victim Notification System (SAVIN)3/</t>
  </si>
  <si>
    <t>Missing and Exploited Children4/</t>
  </si>
  <si>
    <t xml:space="preserve">Economic, High-tech, Cybercrime Prevention5/ </t>
  </si>
  <si>
    <t>Justice for All Act/DNA and Forensics6/</t>
  </si>
  <si>
    <t>Regional Information Sharing System (RISS)4/</t>
  </si>
  <si>
    <r>
      <t>2009 pay raise</t>
    </r>
    <r>
      <rPr>
        <sz val="9"/>
        <rFont val="Times New Roman"/>
        <family val="1"/>
      </rPr>
      <t>.  This request provides for a proposed 2.9 percent pay raise to be effective in January of 2009  (This percentage is likely to change as the budget formulation process progresses.)  This increase includes locality pay adjustments as well as the general pay raise.  The amount requested, $2,049,000 represents the pay amounts for 3/4 of the fiscal year plus appropriate benefits ($1,475,280 for pay and $573,720 for benefits).</t>
    </r>
  </si>
  <si>
    <r>
      <t>Postage:</t>
    </r>
    <r>
      <rPr>
        <sz val="9"/>
        <color indexed="8"/>
        <rFont val="Times New Roman"/>
        <family val="1"/>
      </rPr>
      <t xml:space="preserve">  Effective May 14, 2007, the Postage Service implemented a rate increase of 5.1 percent. </t>
    </r>
    <r>
      <rPr>
        <sz val="9"/>
        <color indexed="12"/>
        <rFont val="Times New Roman"/>
        <family val="1"/>
      </rPr>
      <t xml:space="preserve"> </t>
    </r>
    <r>
      <rPr>
        <sz val="9"/>
        <color indexed="8"/>
        <rFont val="Times New Roman"/>
        <family val="1"/>
      </rPr>
      <t>This percentage was applied to the 2008 estimate of $255,000 to arrive at an increase of $13,000.</t>
    </r>
  </si>
  <si>
    <r>
      <t>Government Printing Office (GPO):</t>
    </r>
    <r>
      <rPr>
        <sz val="9"/>
        <rFont val="Times New Roman"/>
        <family val="1"/>
      </rPr>
      <t xml:space="preserve">  GOP provides an estimated rate increase of 4%.  This percentage was applied to the FY 2008 estimate of $925,000 to arrive at an increase of $37,000.</t>
    </r>
  </si>
  <si>
    <t>Adjustment for 2008 transfer from State and Local</t>
  </si>
  <si>
    <t>Adjustment for 2008 transfer from Juvenile Justice</t>
  </si>
  <si>
    <t xml:space="preserve">Increases </t>
  </si>
  <si>
    <t>2008 Estimate</t>
  </si>
  <si>
    <t>Transfer from PSOB appropriation for management and administration</t>
  </si>
  <si>
    <t>2007 Enacted (with Rescissions, direct only)</t>
  </si>
  <si>
    <t>Total 2007 Revised Continuing Appropriations Resolution (with Rescissions)</t>
  </si>
  <si>
    <t>2008 Supplementals</t>
  </si>
  <si>
    <t xml:space="preserve">Annualization of 2007 positions (dollars) </t>
  </si>
  <si>
    <t>2009 Current Services</t>
  </si>
  <si>
    <t>2008 - 2009 Total Change</t>
  </si>
  <si>
    <t>F: Crosswalk of 2007 Availability</t>
  </si>
  <si>
    <t>Crosswalk of 2007 Availability</t>
  </si>
  <si>
    <t>2007 Availability</t>
  </si>
  <si>
    <t>Enacted Rescissions.  Funds rescinded as required by the Revised Continuing Appropriations Resolution, 2007 (P.L. 110-5).</t>
  </si>
  <si>
    <t>G: Crosswalk of 2008 Availability</t>
  </si>
  <si>
    <t>2008 Planned</t>
  </si>
  <si>
    <t>2009 Request</t>
  </si>
  <si>
    <t xml:space="preserve">  Total, 2009 program changes requested</t>
  </si>
  <si>
    <t>Goal 2: Prevent Crime, Enforce Federal Laws and Represent the 
              Rights and Interests of the American People</t>
  </si>
  <si>
    <t xml:space="preserve">Goal 3: Ensure the Fair and Efficient Administration of Justice
           </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</si>
  <si>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</si>
  <si>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</si>
  <si>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1.4  Combat espionage against the United States </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</si>
  <si>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</si>
  <si>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</si>
  <si>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</si>
  <si>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</si>
  <si>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</si>
  <si>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</si>
  <si>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</si>
  <si>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</si>
  <si>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</si>
  <si>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</si>
  <si>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23.2 Moving/Lease Expirations/Contract Parking</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</si>
  <si>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</si>
  <si>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</si>
  <si>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3.7  Uphold the rights and improve services to America’s crime victims </t>
  </si>
  <si>
    <t>GS-1, $19,722 - 24,664</t>
  </si>
  <si>
    <t>GS-2, $22,174 - 27,901</t>
  </si>
  <si>
    <t>GS-3, $24,194 - 31,451</t>
  </si>
  <si>
    <t>GS-4, $27,159 - 35,303</t>
  </si>
  <si>
    <t>GS-5, $30,386 - 39,501</t>
  </si>
  <si>
    <t>GS-6, $33,872 - 44,032</t>
  </si>
  <si>
    <t>GS-7, $37,640 - 48,933</t>
  </si>
  <si>
    <t>GS-8, 41,686 - 54,194</t>
  </si>
  <si>
    <t>GS-9, $46,041 - 59,852</t>
  </si>
  <si>
    <t>GS-10, 50,703 - 65,912</t>
  </si>
  <si>
    <t>GS-11, $55,706 - 72,421</t>
  </si>
  <si>
    <t>GS-12, $66,767 - 86,801</t>
  </si>
  <si>
    <t>GS-13, $79,397 - 103,220</t>
  </si>
  <si>
    <t>GS-14, $93,822 - 121,967</t>
  </si>
  <si>
    <t>GS-15, $110,363 - 143,471</t>
  </si>
  <si>
    <t>Total Adjustments to Base and Technical Adjustments</t>
  </si>
  <si>
    <t xml:space="preserve">Total Adjustments to Base </t>
  </si>
  <si>
    <t>2009 Total Request with Transfers</t>
  </si>
  <si>
    <t>2009 Total Request without Transfers</t>
  </si>
  <si>
    <t>Increases:</t>
  </si>
  <si>
    <t>Decreases:</t>
  </si>
  <si>
    <t>Increase/Decrease</t>
  </si>
  <si>
    <t>Decision Unit</t>
  </si>
  <si>
    <t xml:space="preserve">     Total</t>
  </si>
  <si>
    <t>atb</t>
  </si>
  <si>
    <t>enhance</t>
  </si>
  <si>
    <t>FTE</t>
  </si>
  <si>
    <t>Detail of Permanent Positions by Category</t>
  </si>
  <si>
    <t>Category</t>
  </si>
  <si>
    <t>Program</t>
  </si>
  <si>
    <t>Transfers</t>
  </si>
  <si>
    <t>Grades and Salary Ranges</t>
  </si>
  <si>
    <t>Executive Level I, $161,200...........................................................................</t>
  </si>
  <si>
    <t>Executive Level II, $145,100.............................................................</t>
  </si>
  <si>
    <t>Executive Level III, $133,700..........................................................</t>
  </si>
  <si>
    <t>LEAP</t>
  </si>
  <si>
    <t>11.5  Total, Other personnel compensation</t>
  </si>
  <si>
    <t>Thrift Savings Plan</t>
  </si>
  <si>
    <t>GSA Rent</t>
  </si>
  <si>
    <t>DHS Security Charge</t>
  </si>
  <si>
    <t>Postage</t>
  </si>
  <si>
    <t>Security Investigations</t>
  </si>
  <si>
    <t>Government Printing Office</t>
  </si>
  <si>
    <t>JUTNET</t>
  </si>
  <si>
    <t>Health Insurance</t>
  </si>
  <si>
    <t>Employee Compensation Fund</t>
  </si>
  <si>
    <t>Change in Compensable Days</t>
  </si>
  <si>
    <t>Merge COPS into OJP</t>
  </si>
  <si>
    <t>National White Collar Crime Center</t>
  </si>
  <si>
    <t>Missing and Exploited Children</t>
  </si>
  <si>
    <t xml:space="preserve">Economic, High-tech, Cybercrime Prevention </t>
  </si>
  <si>
    <t>Justice for All Act (Victim Notification)</t>
  </si>
  <si>
    <t xml:space="preserve">Office of Justice Programs </t>
  </si>
  <si>
    <t>Office of Justice Programs</t>
  </si>
  <si>
    <t>Transfer between Accounts</t>
  </si>
  <si>
    <t>Rescission of balances</t>
  </si>
  <si>
    <t>Transfer from State and Local appropriation for management and administration</t>
  </si>
  <si>
    <t>Transfer from Juvenile Justice appropriation for management and administration</t>
  </si>
  <si>
    <t>Subtotal</t>
  </si>
  <si>
    <t xml:space="preserve">Total </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</si>
  <si>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</si>
  <si>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</si>
  <si>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</si>
  <si>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</si>
  <si>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</si>
  <si>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</si>
  <si>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</si>
  <si>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</si>
  <si>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</si>
  <si>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</si>
  <si>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</si>
  <si>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</si>
  <si>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</si>
  <si>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</si>
  <si>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</si>
  <si>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</si>
  <si>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</si>
  <si>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</si>
  <si>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</si>
  <si>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</si>
  <si>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GS-15</t>
  </si>
  <si>
    <t>GS-14</t>
  </si>
  <si>
    <t>GS-13</t>
  </si>
  <si>
    <t>GS-12</t>
  </si>
  <si>
    <t>GS-11</t>
  </si>
  <si>
    <t>GS-10</t>
  </si>
  <si>
    <t>GS-9</t>
  </si>
  <si>
    <t>GS-8</t>
  </si>
  <si>
    <t>GS-7</t>
  </si>
  <si>
    <t>Equipment</t>
  </si>
  <si>
    <t>Purchases of goods &amp; services from Government accounts</t>
  </si>
  <si>
    <t>Other services</t>
  </si>
  <si>
    <t>Executive Level IV, $125,700..........................................................</t>
  </si>
  <si>
    <t>Average GS Salary</t>
  </si>
  <si>
    <t>Average GS Grade</t>
  </si>
  <si>
    <t>Object Classes</t>
  </si>
  <si>
    <t>Other Object Classes:</t>
  </si>
  <si>
    <t>FY 2005 Appropriation Enacted……………………………………………………………………………………………………………………………………………………………………………………………………………………………………………………………………………………………………………………………………………………………………………………..</t>
  </si>
  <si>
    <t>Summary of Reimbursable Resources</t>
  </si>
  <si>
    <t>Summary of Requirements by Object Class</t>
  </si>
  <si>
    <t>Overtime</t>
  </si>
  <si>
    <t>Program Changes</t>
  </si>
  <si>
    <t>Total Program Changes</t>
  </si>
  <si>
    <t>Subtotal Increases</t>
  </si>
  <si>
    <t>Subtotal Offsets</t>
  </si>
  <si>
    <t>Travel</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</si>
  <si>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</si>
  <si>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</si>
  <si>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</si>
  <si>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</si>
  <si>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</si>
  <si>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</si>
  <si>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</si>
  <si>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</si>
  <si>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 xml:space="preserve">   3.3  Provide for the safe, secure, and humane confinement of detained persons awaiting trial and/or sentencing, and those in the custody of the Federal Prison System </t>
  </si>
  <si>
    <t xml:space="preserve">   3.6  Promote and strengthen innovative strategies in the administration of State and local justice systems </t>
  </si>
  <si>
    <r>
      <t>2008 pay raise annualization</t>
    </r>
    <r>
      <rPr>
        <sz val="12"/>
        <color indexed="10"/>
        <rFont val="Times New Roman"/>
        <family val="1"/>
      </rPr>
      <t xml:space="preserve"> </t>
    </r>
    <r>
      <rPr>
        <sz val="12"/>
        <color indexed="8"/>
        <rFont val="Times New Roman"/>
        <family val="1"/>
      </rPr>
      <t>(3.5%)</t>
    </r>
  </si>
  <si>
    <t>Information Technology Mgmt  (2210)</t>
  </si>
  <si>
    <t>A-11: Summary of Requirements by Grade</t>
  </si>
  <si>
    <t>23.1  GSA rent</t>
  </si>
  <si>
    <t>25.4  Operation and maintenance of facilities</t>
  </si>
  <si>
    <t>Less lapse (50 %)</t>
  </si>
  <si>
    <t>2006-2007</t>
  </si>
  <si>
    <t>Strategic Goal and Strategic Objective</t>
  </si>
  <si>
    <t>Annualization Required for 2009 ($000)</t>
  </si>
  <si>
    <t>2008 Increases ($000)</t>
  </si>
  <si>
    <t>L: Summary of Requirements by Object Class</t>
  </si>
  <si>
    <t>K: Summary of Requirements by Grade</t>
  </si>
  <si>
    <t>SES, $111,676 - $168,000</t>
  </si>
  <si>
    <t>RISS</t>
  </si>
  <si>
    <t>Research, Evaluation, and Demonstration Programs</t>
  </si>
  <si>
    <t>Criminal Justice Statistics</t>
  </si>
  <si>
    <t>Crime Victims Fund (M&amp;A only)</t>
  </si>
  <si>
    <t>Annual salary rate of 25 new positions</t>
  </si>
  <si>
    <r>
      <t>Annualization of additional positions approved in 2007 and 2008</t>
    </r>
    <r>
      <rPr>
        <sz val="9"/>
        <rFont val="Times New Roman"/>
        <family val="1"/>
      </rPr>
      <t>.  This provides for the annualization of 25 additional positions appropriated in 2007.  Annualization of new positions extends to 3 years to provide for entry level funding in the first year with a 2-year progression to the journeyman level.  For 2007 increases, this request includes an increase of $576,000 for full-year payroll costs associated with these additional positions.</t>
    </r>
  </si>
  <si>
    <r>
      <t>Annualization of 2008 pay raise</t>
    </r>
    <r>
      <rPr>
        <sz val="9"/>
        <color indexed="8"/>
        <rFont val="Times New Roman"/>
        <family val="1"/>
      </rPr>
      <t>.  This pay annualization represents first quarter amounts (October through December) of the 2008 pay increase of 3.5 percent included in the 2008 President's Budget.  The amount requested $1,423,000 represents the pay amounts for 1/4 of the fiscal year plus appropriate benefits ($1,111,000 for pay and $312,000 for benefits).</t>
    </r>
  </si>
  <si>
    <r>
      <t>Health Insurance</t>
    </r>
    <r>
      <rPr>
        <sz val="9"/>
        <rFont val="Times New Roman"/>
        <family val="1"/>
      </rPr>
      <t>:  Effect January 2007, this component's contribution to Federal employees' health insurance premiums decrease by 3.5% percent.  Applied against the 2008 estimate of $3,630,000, the decreased amount is $127,000.</t>
    </r>
  </si>
  <si>
    <r>
      <t>Changes in Compensable Days</t>
    </r>
    <r>
      <rPr>
        <sz val="9"/>
        <color indexed="8"/>
        <rFont val="Times New Roman"/>
        <family val="1"/>
      </rPr>
      <t>:  The decrease costs of one compensable day in FY 2009 compared to FY 2008 is calculated by dividing the FY 2008 estimated personnel compensation $77,048,000 and applicable benefits $16,494,000 by 261 compensable days.  The cost decrease of one compensable day is $357,000.</t>
    </r>
  </si>
  <si>
    <t>Mathematics and Statistics (1500-1599)</t>
  </si>
  <si>
    <t>Physical Sciences (1300-1399)</t>
  </si>
  <si>
    <t>Social Sciences, Economic and Kindred (100-199)</t>
  </si>
  <si>
    <t>Engineering and Architecture (800-899)</t>
  </si>
  <si>
    <t>2009Transfers</t>
  </si>
  <si>
    <t>[(69,225)]</t>
  </si>
  <si>
    <t>[134,647]</t>
  </si>
  <si>
    <r>
      <t>Moves (Lease Expirations)</t>
    </r>
    <r>
      <rPr>
        <sz val="9"/>
        <rFont val="Times New Roman"/>
        <family val="1"/>
      </rPr>
      <t>.  GSA requires all agencies to pay relocation costs associated with lease expirations.  This request provides for the costs associated with new office relocations caused by the expiration of leases in FY 2009.  Funding of $_______ is required for this account.</t>
    </r>
  </si>
  <si>
    <t>Program Increases</t>
  </si>
  <si>
    <t>2008 Enacted (with Rescissions, direct only)</t>
  </si>
  <si>
    <t>Total 2008 Enacted (with Rescissions and Supplementals)</t>
  </si>
  <si>
    <t>2008 Enacted</t>
  </si>
  <si>
    <t>This technical adjustment in the amount of $___________ provides base program resources to offset shortfalls in the 2008 Enacted apprproriation.</t>
  </si>
  <si>
    <r>
      <t>DHS Security Charges.</t>
    </r>
    <r>
      <rPr>
        <sz val="9"/>
        <color indexed="8"/>
        <rFont val="Times New Roman"/>
        <family val="1"/>
      </rPr>
      <t xml:space="preserve">  The Department of Homeland Security (DHS) will continue to charge Basic Security and Building Specific Security.  The requested increase of $75,000 is required to meet our commitment to DHS.  The costs associated with DHS security were derived through the use of an automated system, which uses the latest space inventory data.  Rate increases expected in FY 2009 for Building Specific Security have been formulated based on DHS billing data.  The increased rate for Basic Security costs for use in the FY 2009 budget process was provided by DHS.</t>
    </r>
  </si>
  <si>
    <r>
      <t>Security Investigations:</t>
    </r>
    <r>
      <rPr>
        <sz val="9"/>
        <color indexed="8"/>
        <rFont val="Times New Roman"/>
        <family val="1"/>
      </rPr>
      <t xml:space="preserve">  The $5,000 increase reflects payments to the Office of Personnel Management for security reinvestigations for employees requiring security clearances.</t>
    </r>
  </si>
  <si>
    <r>
      <t>JUTNet.</t>
    </r>
    <r>
      <rPr>
        <sz val="9"/>
        <color indexed="8"/>
        <rFont val="Times New Roman"/>
        <family val="1"/>
      </rPr>
      <t xml:space="preserve"> The Justice United Telecommunications Network (JUTNet) is a new system that will provide a more reliable, secure, and economic connectivity among the many local office automation networks deployed throughout the Department, as well as a trusted environment for information sharing with other government agencies and remote users, field agents, and traveling staff personnel.  JUTNet will utilize uniform security, updated encryption protocols, and eliminate network inefficiencies existing with the current systems.  Funding of $556,000 is required for this account.</t>
    </r>
  </si>
  <si>
    <r>
      <t>FERS Law Enforcement Retirement Contribution.</t>
    </r>
    <r>
      <rPr>
        <sz val="9"/>
        <color indexed="8"/>
        <rFont val="Times New Roman"/>
        <family val="1"/>
      </rPr>
      <t xml:space="preserve">  Effective October 1, 2007, the FERS contribution for Law Enforcement retirement increased from 25.1% to 26.2%, or a total of 1.1% increase.  The amount requested, $________, represents the funds needed to cover this increase. </t>
    </r>
  </si>
  <si>
    <r>
      <t>International Cooperative Administrative Support Services (ICASS)</t>
    </r>
    <r>
      <rPr>
        <sz val="9"/>
        <color indexed="8"/>
        <rFont val="Times New Roman"/>
        <family val="1"/>
      </rPr>
      <t>.  Under the ICASS, an annual charge is made by the Department of State for administrative support based on the overseas personnel services of each federal agency.  This request of $__________ is based on the average cost per person from FY 2007 and FY 2008 billing for non-post and post related charges.</t>
    </r>
  </si>
  <si>
    <r>
      <t>Overseas Capital Security Cost Sharing</t>
    </r>
    <r>
      <rPr>
        <sz val="9"/>
        <color indexed="8"/>
        <rFont val="Times New Roman"/>
        <family val="1"/>
      </rPr>
      <t>.  The Department of State is in the midst of a 14-year, $17.5 billion embassy construction program, with a plan to build approximately 150 new diplomatic and consular compounds.  State has proposed that costs be allocated through a Capital Security Cost Sharing Program in which each agency will contribute funding based on the number of positions that are authorized for overseas personnel.  The total agency cost will be phased in over 5 years.   The estimated cost to the Department, as provided by State, for FY 2008 is $50,974,159.  The _____________ currently has ______ positions overseas, and funding of $_____________ is requested for this account.  [CRM, USMS, FBI, DEA, ATF, CIV, and USA only.]</t>
    </r>
  </si>
  <si>
    <r>
      <t>Living Quarter Allowance.</t>
    </r>
    <r>
      <rPr>
        <sz val="9"/>
        <rFont val="Times New Roman"/>
        <family val="1"/>
      </rPr>
      <t xml:space="preserve">  The living quarters allowance (LQA) is an allowance granted an employee for the annual cost of adequate living quarters for the employee and the employee's family at a foreign post.  The rates are designed to cover the average costs of rent, heat, light, fuel, gas, electricity, water, local taxes, and insurance paid by the employee.  Employees who receive GLQ do not receive LQA and vice versa.  </t>
    </r>
    <r>
      <rPr>
        <sz val="9"/>
        <color indexed="8"/>
        <rFont val="Times New Roman"/>
        <family val="1"/>
      </rPr>
      <t xml:space="preserve">$_________ reflects the change in cost to support existing staffing levels.  </t>
    </r>
  </si>
  <si>
    <r>
      <t>Post Allowance - Cost of Living Allowance (COLA).</t>
    </r>
    <r>
      <rPr>
        <sz val="9"/>
        <rFont val="Times New Roman"/>
        <family val="1"/>
      </rPr>
      <t xml:space="preserve">  For employees stationed abroad, components are obligated to pay for their COLA.  COLA is intended to reimburse certain excess costs and to compensate the employee for serving at a post where the cost of living, excluding the cost of quarters and the cost of education for eligible family members, is substantially higher than in the Washington, D.C. area.  </t>
    </r>
    <r>
      <rPr>
        <sz val="9"/>
        <color indexed="8"/>
        <rFont val="Times New Roman"/>
        <family val="1"/>
      </rPr>
      <t xml:space="preserve">$__________ reflects the increase in cost to support existing staffing levels.  </t>
    </r>
  </si>
  <si>
    <r>
      <t>Residential Guard Service (RGS).</t>
    </r>
    <r>
      <rPr>
        <sz val="9"/>
        <rFont val="Times New Roman"/>
        <family val="1"/>
      </rPr>
      <t xml:space="preserve">  $__________ is the change in cost to support existing staffing levels for a Department of State’s (DOS) Residential Guard Services, which is provided for security of employee housing complexes.  </t>
    </r>
  </si>
  <si>
    <r>
      <t>Government Leased Quarters (GLQ) Requirement</t>
    </r>
    <r>
      <rPr>
        <sz val="9"/>
        <rFont val="Times New Roman"/>
        <family val="1"/>
      </rPr>
      <t xml:space="preserve">.  GLQ is a program managed by the Department of State (DOS) and provides government employees stationed overseas with housing and utilities.  DOS exercises authority for leases and control of the GLQs and negotiates the lease for components. </t>
    </r>
    <r>
      <rPr>
        <sz val="9"/>
        <color indexed="8"/>
        <rFont val="Times New Roman"/>
        <family val="1"/>
      </rPr>
      <t xml:space="preserve">$________ reflects the change in cost to support existing staffing levels.  </t>
    </r>
  </si>
  <si>
    <r>
      <t>Education Allowance.</t>
    </r>
    <r>
      <rPr>
        <sz val="9"/>
        <rFont val="Times New Roman"/>
        <family val="1"/>
      </rPr>
      <t xml:space="preserve">  For employees stationed abroad, components are obligated to meet the educational expenses incurred by an employee in providing adequate elementary (grades K-8) and secondary (grades 9-12) education for dependent children at these locations.  </t>
    </r>
    <r>
      <rPr>
        <sz val="9"/>
        <color indexed="8"/>
        <rFont val="Times New Roman"/>
        <family val="1"/>
      </rPr>
      <t xml:space="preserve">$_________ reflects the change in cost to support existing staffing levels.  </t>
    </r>
  </si>
  <si>
    <t>FY 2008 Enacted</t>
  </si>
  <si>
    <t>25.5 Research and development contracts</t>
  </si>
  <si>
    <t>25.7 Operation and maintenance of equipment</t>
  </si>
  <si>
    <t>Justification for Base Adjustments</t>
  </si>
  <si>
    <t>Net Compensation</t>
  </si>
  <si>
    <t>Associated employee benefits</t>
  </si>
  <si>
    <t>Transportation of Things</t>
  </si>
  <si>
    <t>Communications/Utilities</t>
  </si>
  <si>
    <t>Printing/Reproduction</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</si>
  <si>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</si>
  <si>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</si>
  <si>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</si>
  <si>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</si>
  <si>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</si>
  <si>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</si>
  <si>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TOTAL COSTS SUBJECT TO ANNUALIZATION</t>
  </si>
  <si>
    <t>Decreases</t>
  </si>
  <si>
    <t>Transfer from COPS for management and administration FTE</t>
  </si>
  <si>
    <t>summary of requirements edit checks (do not print)</t>
  </si>
  <si>
    <t xml:space="preserve">Amount  </t>
  </si>
  <si>
    <t>Grades:</t>
  </si>
  <si>
    <t>Federal Health Insurance Premiums…………………………………………………………………………………………………………………………………………………………………………………………………………………………………………………………..</t>
  </si>
  <si>
    <t>(Dollars in Thousands)</t>
  </si>
  <si>
    <t>Total Offsets</t>
  </si>
  <si>
    <t>Increases/Offsets</t>
  </si>
  <si>
    <t xml:space="preserve">     Reimbursable FTE</t>
  </si>
  <si>
    <t>Other FTE:</t>
  </si>
  <si>
    <t>Total Comp. FTE</t>
  </si>
  <si>
    <t>Total FTE</t>
  </si>
  <si>
    <t>Reimbursable FTE</t>
  </si>
  <si>
    <t>Other FTE</t>
  </si>
  <si>
    <t>Total Compensable FTE</t>
  </si>
  <si>
    <t>Headquarters (Washington, D.C.)</t>
  </si>
  <si>
    <t>Summary of Requirements</t>
  </si>
  <si>
    <t>95% Budget</t>
  </si>
  <si>
    <t>Reimbursable FTE:</t>
  </si>
  <si>
    <t>Total Program Increases</t>
  </si>
  <si>
    <t>Rescissions</t>
  </si>
  <si>
    <t>Supplementals</t>
  </si>
  <si>
    <t>2007 Supplementals</t>
  </si>
  <si>
    <t xml:space="preserve">2007 Enacted w/Rescissions and Supplementals </t>
  </si>
  <si>
    <t>2007 Enacted w/Rescissions and Supplementals</t>
  </si>
  <si>
    <t>Collections by Source</t>
  </si>
  <si>
    <t>Budgetary Resources:</t>
  </si>
  <si>
    <t>Estimates by budget activity</t>
  </si>
  <si>
    <t>Pos.</t>
  </si>
  <si>
    <t xml:space="preserve"> </t>
  </si>
  <si>
    <t>Amount</t>
  </si>
  <si>
    <t>Perm.</t>
  </si>
  <si>
    <t>Total Change</t>
  </si>
  <si>
    <t>Wartime Supplemental Non-personnel recurring costs……………………………………………………………………………………………………………………………………………………………</t>
  </si>
  <si>
    <t>Increases</t>
  </si>
  <si>
    <t>Personnel Management (200-299)</t>
  </si>
  <si>
    <t>Clerical and Office Services (300-399)</t>
  </si>
  <si>
    <t>Accounting and Budget (500-599)</t>
  </si>
  <si>
    <t>U.S. Field</t>
  </si>
  <si>
    <t>Foreign Field</t>
  </si>
  <si>
    <t>Offsets</t>
  </si>
  <si>
    <t>TOTAL</t>
  </si>
  <si>
    <t>Summary of Requirements by Grade</t>
  </si>
  <si>
    <t>Annualization of 2005 pay raise................................................................................................................................................................................................................................</t>
  </si>
  <si>
    <t>Increase in reimbursable FTE...................................................................................................................................................................................................................................</t>
  </si>
  <si>
    <t>25.3 Purchases of goods &amp; services from Government accounts (Antennas, DHS Sec. Etc..)</t>
  </si>
  <si>
    <t>Government-wide reduction (0.59%)…………………………………………………………………………………………………………………………………………………………………………………..</t>
  </si>
  <si>
    <t>D………………………………………………………………………………………………………………………………………………………………………………………………………………………………………</t>
  </si>
  <si>
    <t>end of line</t>
  </si>
  <si>
    <t xml:space="preserve">          Total DIRECT requirements</t>
  </si>
  <si>
    <t>23.1  GSA rent (Reimbursable)</t>
  </si>
  <si>
    <t>25.3 DHS Security (Reimbursable)</t>
  </si>
  <si>
    <r>
      <t>2009 pay raise</t>
    </r>
    <r>
      <rPr>
        <sz val="12"/>
        <color indexed="10"/>
        <rFont val="Times New Roman"/>
        <family val="1"/>
      </rPr>
      <t xml:space="preserve"> </t>
    </r>
    <r>
      <rPr>
        <sz val="12"/>
        <color indexed="8"/>
        <rFont val="Times New Roman"/>
        <family val="1"/>
      </rPr>
      <t xml:space="preserve">(2.9%)     </t>
    </r>
  </si>
  <si>
    <t>Justice Assistance</t>
  </si>
  <si>
    <r>
      <t>Retirement</t>
    </r>
    <r>
      <rPr>
        <sz val="9"/>
        <rFont val="Times New Roman"/>
        <family val="1"/>
      </rPr>
      <t>.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$__________ is necessary to meet our increased retirement obligations as a result of this conversion.</t>
    </r>
  </si>
  <si>
    <r>
      <t>Health Insurance</t>
    </r>
    <r>
      <rPr>
        <sz val="9"/>
        <rFont val="Times New Roman"/>
        <family val="1"/>
      </rPr>
      <t>:  Effective January 2007, this component's contribution to Federal employees' health insurance premiums increased by _______ percent.  Applied against the 2008 estimate of $__________, the additional amount required is $_____________.</t>
    </r>
  </si>
  <si>
    <r>
      <t>Medical Hospital Service Cost</t>
    </r>
    <r>
      <rPr>
        <sz val="9"/>
        <rFont val="Times New Roman"/>
        <family val="1"/>
      </rPr>
      <t>.  The Department of Health and Human Services is projecting an increase in health care cost.  The Department is applying the current CPI-U factor of ___ percent against medical expenses incurred on behalf of detainees in the Department's custody.  This increase will be required for 2009.</t>
    </r>
  </si>
  <si>
    <t>2007 Actuals</t>
  </si>
  <si>
    <t>Crosswalk of 2008 Availability</t>
  </si>
  <si>
    <t>2008 Availability</t>
  </si>
  <si>
    <t>Financial Analysis of Program Changes</t>
  </si>
  <si>
    <t>Offset</t>
  </si>
  <si>
    <t>Total positions &amp; annual amount</t>
  </si>
  <si>
    <t xml:space="preserve">      Lapse (-)</t>
  </si>
  <si>
    <t>Crime Victims (M&amp;A)</t>
  </si>
  <si>
    <t xml:space="preserve">M&amp;A COPS Pos/FTE </t>
  </si>
  <si>
    <t xml:space="preserve">     Other personnel compensation</t>
  </si>
  <si>
    <t>Total FTE &amp; personnel compensation</t>
  </si>
  <si>
    <t>1/  Includes management and administration - FY 2008 - $2,017 and FY 2009 $3,902</t>
  </si>
  <si>
    <t>2/  Includes management and administration - FY 2008 - $1,896 and FY 2009 $5,959</t>
  </si>
  <si>
    <t>3/  Includes management and administration - FY 2008 - $512</t>
  </si>
  <si>
    <t>4/  Includes management and administration - FY 2008 - $2,180 and FY 2009 $3,845</t>
  </si>
  <si>
    <t>5/  Includes management and administration - FY 2008 - $615</t>
  </si>
  <si>
    <t>6/  Includes management and administration - FY 2008 - $154</t>
  </si>
  <si>
    <t>E………………………………………………………………………………………………………………………………………………………………………………………………………………………………………………………………</t>
  </si>
  <si>
    <t>F……………………………………………………………………………………………………………………………………………………………………………………………</t>
  </si>
  <si>
    <t>Agt./Atty.</t>
  </si>
  <si>
    <t>Resources by Department of Justice Strategic Goal/Objective</t>
  </si>
  <si>
    <t>Program Offsets</t>
  </si>
  <si>
    <t>Offset 1</t>
  </si>
  <si>
    <t xml:space="preserve">1.2: </t>
  </si>
  <si>
    <t>1.1:</t>
  </si>
  <si>
    <t xml:space="preserve">3.1: </t>
  </si>
  <si>
    <t xml:space="preserve">4.1: </t>
  </si>
  <si>
    <t>Employee Performance………………………………………………………………………………………………………………………………………………………………………….</t>
  </si>
  <si>
    <t>Reduction applied to commerce Justice State appropriation (0.465%)…………………………………………………………………………………………………………………………………………………………………..</t>
  </si>
  <si>
    <t>Adjustments to Base</t>
  </si>
  <si>
    <t>Strategic Goal/Objective</t>
  </si>
  <si>
    <t>$000s</t>
  </si>
  <si>
    <t>Goal 1: Prevent Terrorism and Promote the Nation's Security</t>
  </si>
  <si>
    <t>Subtotal, Goal 1</t>
  </si>
  <si>
    <t>2007 Increases ($000)</t>
  </si>
  <si>
    <t>Goal 2: Enforce Federal Laws and Represent the Rights and
                 Interests of the American People</t>
  </si>
  <si>
    <t>2.2: Drugs</t>
  </si>
  <si>
    <t>2.3: White Collar Crime</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</si>
</sst>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 numFmtId="218" formatCode="[$-409]dddd\,\ mmmm\ dd\,\ yyyy"/>
    <numFmt numFmtId="219" formatCode="#,##0.00000000_);\(#,##0.00000000\)"/>
  </numFmts>
  <fonts count="69">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b/>
      <sz val="12"/>
      <name val="Arial"/>
      <family val="2"/>
    </font>
    <font>
      <sz val="10"/>
      <name val="Arial"/>
      <family val="2"/>
    </font>
    <font>
      <u val="singleAccounting"/>
      <sz val="12"/>
      <name val="Times New Roman"/>
      <family val="1"/>
    </font>
    <font>
      <b/>
      <sz val="12"/>
      <name val="Times New Roman"/>
      <family val="1"/>
    </font>
    <font>
      <b/>
      <sz val="16"/>
      <name val="Times New Roman"/>
      <family val="1"/>
    </font>
    <font>
      <sz val="12"/>
      <color indexed="8"/>
      <name val="TMS"/>
      <family val="0"/>
    </font>
    <font>
      <sz val="10"/>
      <name val="TimesNewRomanPS"/>
      <family val="0"/>
    </font>
    <font>
      <b/>
      <sz val="10"/>
      <name val="Times New Roman"/>
      <family val="1"/>
    </font>
    <font>
      <u val="single"/>
      <sz val="10"/>
      <name val="Times New Roman"/>
      <family val="1"/>
    </font>
    <font>
      <i/>
      <sz val="10"/>
      <name val="Times New Roman"/>
      <family val="1"/>
    </font>
    <font>
      <sz val="12"/>
      <color indexed="8"/>
      <name val="Times New Roman"/>
      <family val="1"/>
    </font>
    <font>
      <b/>
      <sz val="12"/>
      <color indexed="8"/>
      <name val="Times New Roman"/>
      <family val="1"/>
    </font>
    <font>
      <b/>
      <sz val="12"/>
      <name val="TimesNewRomanPS"/>
      <family val="0"/>
    </font>
    <font>
      <sz val="14"/>
      <name val="Arial"/>
      <family val="0"/>
    </font>
    <font>
      <b/>
      <sz val="10"/>
      <color indexed="8"/>
      <name val="Times New Roman"/>
      <family val="1"/>
    </font>
    <font>
      <b/>
      <sz val="11"/>
      <color indexed="8"/>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b/>
      <sz val="24"/>
      <name val="Times New Roman"/>
      <family val="1"/>
    </font>
    <font>
      <sz val="16"/>
      <color indexed="8"/>
      <name val="Times New Roman"/>
      <family val="1"/>
    </font>
    <font>
      <u val="single"/>
      <sz val="9"/>
      <color indexed="8"/>
      <name val="Times New Roman"/>
      <family val="1"/>
    </font>
    <font>
      <sz val="9"/>
      <name val="Arial"/>
      <family val="0"/>
    </font>
    <font>
      <sz val="9"/>
      <color indexed="12"/>
      <name val="Times New Roman"/>
      <family val="1"/>
    </font>
    <font>
      <sz val="12"/>
      <color indexed="10"/>
      <name val="Times New Roman"/>
      <family val="1"/>
    </font>
    <font>
      <sz val="12"/>
      <color indexed="8"/>
      <name val="Arial"/>
      <family val="0"/>
    </font>
    <font>
      <sz val="12"/>
      <color indexed="9"/>
      <name val="Arial"/>
      <family val="0"/>
    </font>
    <font>
      <sz val="9"/>
      <color indexed="9"/>
      <name val="Times New Roman"/>
      <family val="1"/>
    </font>
    <font>
      <sz val="12"/>
      <color indexed="9"/>
      <name val="TimesNewRomanPS"/>
      <family val="0"/>
    </font>
    <font>
      <sz val="12"/>
      <color indexed="9"/>
      <name val="Times New Roman"/>
      <family val="1"/>
    </font>
    <font>
      <sz val="10"/>
      <color indexed="9"/>
      <name val="Times New Roman"/>
      <family val="1"/>
    </font>
    <font>
      <sz val="10"/>
      <color indexed="9"/>
      <name val="Arial"/>
      <family val="0"/>
    </font>
    <font>
      <sz val="10"/>
      <color indexed="9"/>
      <name val="TMS"/>
      <family val="0"/>
    </font>
    <font>
      <sz val="8"/>
      <color indexed="9"/>
      <name val="Arial"/>
      <family val="2"/>
    </font>
    <font>
      <sz val="8"/>
      <name val="Times New Roman"/>
      <family val="1"/>
    </font>
    <font>
      <sz val="8"/>
      <color indexed="9"/>
      <name val="Times New Roman"/>
      <family val="1"/>
    </font>
    <font>
      <sz val="8"/>
      <color indexed="8"/>
      <name val="Arial"/>
      <family val="2"/>
    </font>
    <font>
      <b/>
      <sz val="8"/>
      <color indexed="9"/>
      <name val="Times New Roman"/>
      <family val="1"/>
    </font>
    <font>
      <sz val="18"/>
      <name val="Arial"/>
      <family val="0"/>
    </font>
    <font>
      <sz val="16"/>
      <name val="Arial"/>
      <family val="0"/>
    </font>
    <font>
      <sz val="16"/>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8"/>
        <bgColor indexed="64"/>
      </patternFill>
    </fill>
  </fills>
  <borders count="151">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color indexed="8"/>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style="hair"/>
    </border>
    <border>
      <left style="thin">
        <color indexed="8"/>
      </left>
      <right>
        <color indexed="63"/>
      </right>
      <top>
        <color indexed="63"/>
      </top>
      <bottom style="hair">
        <color indexed="8"/>
      </bottom>
    </border>
    <border>
      <left style="thin">
        <color indexed="8"/>
      </left>
      <right style="thin"/>
      <top>
        <color indexed="63"/>
      </top>
      <bottom style="hair">
        <color indexed="8"/>
      </bottom>
    </border>
    <border>
      <left style="thin">
        <color indexed="8"/>
      </left>
      <right style="thin">
        <color indexed="8"/>
      </right>
      <top style="hair">
        <color indexed="8"/>
      </top>
      <bottom style="thin"/>
    </border>
    <border>
      <left style="thin">
        <color indexed="8"/>
      </left>
      <right>
        <color indexed="63"/>
      </right>
      <top style="thin">
        <color indexed="8"/>
      </top>
      <bottom style="mediu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thin"/>
      <bottom style="thin"/>
    </border>
    <border>
      <left>
        <color indexed="24"/>
      </left>
      <right>
        <color indexed="24"/>
      </right>
      <top>
        <color indexed="24"/>
      </top>
      <bottom style="thin"/>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hair"/>
      <bottom style="medium"/>
    </border>
    <border>
      <left style="thin">
        <color indexed="8"/>
      </left>
      <right>
        <color indexed="63"/>
      </right>
      <top>
        <color indexed="63"/>
      </top>
      <bottom style="medium">
        <color indexed="8"/>
      </bottom>
    </border>
    <border>
      <left>
        <color indexed="63"/>
      </left>
      <right style="medium">
        <color indexed="8"/>
      </right>
      <top style="thin">
        <color indexed="8"/>
      </top>
      <bottom style="medium"/>
    </border>
    <border>
      <left>
        <color indexed="63"/>
      </left>
      <right>
        <color indexed="63"/>
      </right>
      <top style="medium"/>
      <bottom style="mediu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style="thin"/>
      <right style="thin"/>
      <top>
        <color indexed="24"/>
      </top>
      <bottom>
        <color indexed="24"/>
      </bottom>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color indexed="23"/>
      </bottom>
    </border>
    <border>
      <left style="thin"/>
      <right style="thin"/>
      <top>
        <color indexed="63"/>
      </top>
      <bottom style="thin">
        <color indexed="8"/>
      </bottom>
    </border>
    <border>
      <left style="thin"/>
      <right style="thin"/>
      <top style="thin">
        <color indexed="23"/>
      </top>
      <bottom style="thin"/>
    </border>
    <border>
      <left style="thin"/>
      <right style="thin"/>
      <top style="hair"/>
      <bottom style="thin"/>
    </border>
    <border>
      <left>
        <color indexed="63"/>
      </left>
      <right style="thin"/>
      <top style="thin"/>
      <bottom style="thin"/>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style="medium"/>
    </border>
    <border>
      <left>
        <color indexed="63"/>
      </left>
      <right>
        <color indexed="63"/>
      </right>
      <top style="hair"/>
      <bottom style="mediu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color indexed="63"/>
      </right>
      <top>
        <color indexed="63"/>
      </top>
      <bottom style="hair">
        <color indexed="8"/>
      </bottom>
    </border>
    <border>
      <left>
        <color indexed="63"/>
      </left>
      <right style="medium"/>
      <top>
        <color indexed="63"/>
      </top>
      <bottom style="hair">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hair">
        <color indexed="8"/>
      </top>
      <bottom style="thin"/>
    </border>
    <border>
      <left>
        <color indexed="63"/>
      </left>
      <right style="medium"/>
      <top>
        <color indexed="63"/>
      </top>
      <bottom style="thin">
        <color indexed="8"/>
      </bottom>
    </border>
    <border>
      <left>
        <color indexed="63"/>
      </left>
      <right style="medium"/>
      <top style="thin">
        <color indexed="8"/>
      </top>
      <bottom>
        <color indexed="63"/>
      </bottom>
    </border>
    <border>
      <left>
        <color indexed="63"/>
      </left>
      <right style="thin">
        <color indexed="8"/>
      </right>
      <top>
        <color indexed="63"/>
      </top>
      <bottom>
        <color indexed="63"/>
      </bottom>
    </border>
    <border>
      <left>
        <color indexed="63"/>
      </left>
      <right style="medium"/>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medium"/>
      <top>
        <color indexed="63"/>
      </top>
      <bottom style="thin"/>
    </border>
    <border>
      <left>
        <color indexed="63"/>
      </left>
      <right style="thin">
        <color indexed="8"/>
      </right>
      <top style="thin"/>
      <bottom>
        <color indexed="63"/>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top style="thin">
        <color indexed="8"/>
      </top>
      <bottom style="medium"/>
    </border>
    <border>
      <left>
        <color indexed="63"/>
      </left>
      <right style="thin"/>
      <top>
        <color indexed="63"/>
      </top>
      <bottom style="thin">
        <color indexed="23"/>
      </bottom>
    </border>
    <border>
      <left style="thin"/>
      <right>
        <color indexed="63"/>
      </right>
      <top>
        <color indexed="63"/>
      </top>
      <bottom style="thin">
        <color indexed="23"/>
      </bottom>
    </border>
    <border>
      <left>
        <color indexed="63"/>
      </left>
      <right>
        <color indexed="63"/>
      </right>
      <top style="hair"/>
      <bottom style="hair"/>
    </border>
    <border>
      <left style="thin"/>
      <right style="thin"/>
      <top style="hair"/>
      <bottom style="hair"/>
    </border>
    <border>
      <left style="thin"/>
      <right style="hair"/>
      <top style="hair"/>
      <bottom style="hair"/>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right style="thin"/>
      <top style="thin">
        <color indexed="8"/>
      </top>
      <bottom style="medium"/>
    </border>
    <border>
      <left style="thin">
        <color indexed="23"/>
      </left>
      <right style="thin"/>
      <top style="thin">
        <color indexed="23"/>
      </top>
      <bottom style="thin">
        <color indexed="23"/>
      </bottom>
    </border>
    <border>
      <left style="thin">
        <color indexed="23"/>
      </left>
      <right style="thin"/>
      <top style="thin">
        <color indexed="23"/>
      </top>
      <bottom>
        <color indexed="63"/>
      </bottom>
    </border>
    <border>
      <left>
        <color indexed="63"/>
      </left>
      <right style="thin"/>
      <top style="thin">
        <color indexed="8"/>
      </top>
      <bottom style="medium"/>
    </border>
    <border>
      <left style="thin"/>
      <right style="thin">
        <color indexed="8"/>
      </right>
      <top style="thin">
        <color indexed="8"/>
      </top>
      <bottom style="medium"/>
    </border>
    <border>
      <left style="thin"/>
      <right style="thin"/>
      <top>
        <color indexed="24"/>
      </top>
      <bottom style="hair"/>
    </border>
    <border>
      <left>
        <color indexed="63"/>
      </left>
      <right style="thin"/>
      <top>
        <color indexed="24"/>
      </top>
      <bottom style="hair"/>
    </border>
    <border>
      <left style="thin"/>
      <right style="thin">
        <color indexed="8"/>
      </right>
      <top>
        <color indexed="63"/>
      </top>
      <bottom style="hair"/>
    </border>
    <border>
      <left style="thin"/>
      <right style="thin"/>
      <top style="thin"/>
      <bottom style="thin"/>
    </border>
    <border>
      <left style="thin"/>
      <right style="thin">
        <color indexed="8"/>
      </right>
      <top style="thin"/>
      <bottom style="thin"/>
    </border>
    <border>
      <left style="thin">
        <color indexed="8"/>
      </left>
      <right style="thin"/>
      <top>
        <color indexed="63"/>
      </top>
      <bottom>
        <color indexed="63"/>
      </bottom>
    </border>
    <border>
      <left style="thin"/>
      <right style="thin"/>
      <top style="thin">
        <color indexed="8"/>
      </top>
      <bottom>
        <color indexed="63"/>
      </bottom>
    </border>
    <border>
      <left>
        <color indexed="63"/>
      </left>
      <right style="thin"/>
      <top style="thin">
        <color indexed="23"/>
      </top>
      <bottom style="thin">
        <color indexed="23"/>
      </bottom>
    </border>
    <border>
      <left style="thin"/>
      <right style="thin"/>
      <top style="thin">
        <color indexed="23"/>
      </top>
      <bottom style="thin">
        <color indexed="23"/>
      </bottom>
    </border>
    <border>
      <left>
        <color indexed="63"/>
      </left>
      <right style="thin"/>
      <top style="medium"/>
      <bottom style="hair"/>
    </border>
    <border>
      <left>
        <color indexed="63"/>
      </left>
      <right style="thin"/>
      <top style="hair"/>
      <bottom>
        <color indexed="63"/>
      </bottom>
    </border>
    <border>
      <left style="thin">
        <color indexed="8"/>
      </left>
      <right>
        <color indexed="63"/>
      </right>
      <top>
        <color indexed="63"/>
      </top>
      <bottom style="medium"/>
    </border>
    <border>
      <left style="thin"/>
      <right>
        <color indexed="63"/>
      </right>
      <top style="medium"/>
      <bottom style="hair">
        <color indexed="8"/>
      </bottom>
    </border>
    <border>
      <left style="thin"/>
      <right>
        <color indexed="63"/>
      </right>
      <top style="thin">
        <color indexed="8"/>
      </top>
      <bottom>
        <color indexed="63"/>
      </bottom>
    </border>
    <border>
      <left>
        <color indexed="63"/>
      </left>
      <right style="thin">
        <color indexed="8"/>
      </right>
      <top style="hair">
        <color indexed="8"/>
      </top>
      <bottom style="thin"/>
    </border>
    <border>
      <left style="thin"/>
      <right>
        <color indexed="63"/>
      </right>
      <top>
        <color indexed="63"/>
      </top>
      <bottom style="medium">
        <color indexed="8"/>
      </bottom>
    </border>
    <border>
      <left>
        <color indexed="63"/>
      </left>
      <right style="medium">
        <color indexed="8"/>
      </right>
      <top>
        <color indexed="63"/>
      </top>
      <bottom style="hair"/>
    </border>
    <border>
      <left>
        <color indexed="63"/>
      </left>
      <right style="medium">
        <color indexed="8"/>
      </right>
      <top style="thin"/>
      <bottom>
        <color indexed="63"/>
      </bottom>
    </border>
    <border>
      <left>
        <color indexed="63"/>
      </left>
      <right style="medium"/>
      <top style="hair">
        <color indexed="8"/>
      </top>
      <bottom style="hair">
        <color indexed="8"/>
      </bottom>
    </border>
    <border>
      <left style="thin"/>
      <right>
        <color indexed="63"/>
      </right>
      <top style="thin">
        <color indexed="23"/>
      </top>
      <bottom style="hair"/>
    </border>
    <border>
      <left style="thin"/>
      <right>
        <color indexed="63"/>
      </right>
      <top style="thin"/>
      <bottom style="hair"/>
    </border>
    <border>
      <left style="thin">
        <color indexed="8"/>
      </left>
      <right style="thin"/>
      <top style="thin"/>
      <bottom>
        <color indexed="63"/>
      </bottom>
    </border>
    <border>
      <left style="thin"/>
      <right>
        <color indexed="63"/>
      </right>
      <top style="thin"/>
      <bottom style="medium"/>
    </border>
    <border>
      <left>
        <color indexed="63"/>
      </left>
      <right>
        <color indexed="63"/>
      </right>
      <top style="hair">
        <color indexed="8"/>
      </top>
      <bottom style="thin"/>
    </border>
    <border>
      <left style="thin"/>
      <right>
        <color indexed="63"/>
      </right>
      <top style="hair">
        <color indexed="8"/>
      </top>
      <bottom style="thin"/>
    </border>
    <border>
      <left style="thin"/>
      <right>
        <color indexed="63"/>
      </right>
      <top style="thin">
        <color indexed="23"/>
      </top>
      <bottom style="thin"/>
    </border>
    <border>
      <left style="thin"/>
      <right>
        <color indexed="63"/>
      </right>
      <top>
        <color indexed="63"/>
      </top>
      <bottom style="thin">
        <color indexed="8"/>
      </bottom>
    </border>
    <border>
      <left>
        <color indexed="63"/>
      </left>
      <right>
        <color indexed="63"/>
      </right>
      <top style="thin">
        <color indexed="23"/>
      </top>
      <bottom style="thin"/>
    </border>
    <border>
      <left>
        <color indexed="63"/>
      </left>
      <right>
        <color indexed="63"/>
      </right>
      <top style="thin">
        <color indexed="23"/>
      </top>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24"/>
      </left>
      <right>
        <color indexed="24"/>
      </right>
      <top>
        <color indexed="63"/>
      </top>
      <bottom style="thin"/>
    </border>
    <border>
      <left style="thin"/>
      <right>
        <color indexed="63"/>
      </right>
      <top style="medium"/>
      <bottom style="hair"/>
    </border>
    <border>
      <left>
        <color indexed="63"/>
      </left>
      <right>
        <color indexed="24"/>
      </right>
      <top style="thin"/>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style="thin">
        <color indexed="8"/>
      </right>
      <top style="hair"/>
      <bottom style="mediu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medium"/>
    </border>
    <border>
      <left>
        <color indexed="63"/>
      </left>
      <right>
        <color indexed="63"/>
      </right>
      <top style="thin">
        <color indexed="8"/>
      </top>
      <bottom style="thin"/>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style="thin"/>
      <right style="thin"/>
      <top style="medium"/>
      <bottom>
        <color indexed="63"/>
      </bottom>
    </border>
    <border>
      <left>
        <color indexed="63"/>
      </left>
      <right>
        <color indexed="63"/>
      </right>
      <top style="medium"/>
      <bottom style="hair"/>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3" fillId="0" borderId="0">
      <alignment/>
      <protection/>
    </xf>
    <xf numFmtId="0" fontId="23" fillId="0" borderId="0">
      <alignment/>
      <protection/>
    </xf>
    <xf numFmtId="9" fontId="23" fillId="0" borderId="0" applyFont="0" applyFill="0" applyBorder="0" applyAlignment="0" applyProtection="0"/>
  </cellStyleXfs>
  <cellXfs count="1059">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18" fillId="0" borderId="0" xfId="0" applyNumberFormat="1" applyFont="1" applyAlignment="1">
      <alignment horizontal="centerContinuous"/>
    </xf>
    <xf numFmtId="177" fontId="19"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0" xfId="0" applyNumberFormat="1" applyFont="1" applyFill="1" applyAlignment="1">
      <alignment horizontal="centerContinuous"/>
    </xf>
    <xf numFmtId="177" fontId="6" fillId="0" borderId="0" xfId="0" applyNumberFormat="1" applyFont="1" applyBorder="1" applyAlignment="1">
      <alignment horizontal="centerContinuous"/>
    </xf>
    <xf numFmtId="177" fontId="20" fillId="2" borderId="0" xfId="0" applyNumberFormat="1" applyFont="1" applyFill="1" applyAlignment="1">
      <alignment/>
    </xf>
    <xf numFmtId="177" fontId="6" fillId="0" borderId="0" xfId="0" applyNumberFormat="1" applyFont="1" applyAlignment="1">
      <alignment horizontal="right"/>
    </xf>
    <xf numFmtId="177" fontId="5" fillId="0" borderId="1" xfId="0" applyNumberFormat="1" applyFont="1" applyBorder="1" applyAlignment="1">
      <alignment/>
    </xf>
    <xf numFmtId="0" fontId="6" fillId="0" borderId="0" xfId="0" applyNumberFormat="1" applyFont="1" applyAlignment="1">
      <alignment/>
    </xf>
    <xf numFmtId="3" fontId="8" fillId="2" borderId="0" xfId="0" applyNumberFormat="1" applyFont="1" applyFill="1" applyAlignment="1">
      <alignment/>
    </xf>
    <xf numFmtId="3" fontId="8" fillId="2" borderId="0" xfId="0" applyNumberFormat="1" applyFont="1" applyFill="1" applyAlignment="1">
      <alignment horizontal="centerContinuous"/>
    </xf>
    <xf numFmtId="0" fontId="0" fillId="0" borderId="0" xfId="0" applyBorder="1" applyAlignment="1">
      <alignment/>
    </xf>
    <xf numFmtId="3" fontId="8" fillId="2" borderId="0" xfId="0" applyNumberFormat="1" applyFont="1" applyFill="1" applyBorder="1" applyAlignment="1">
      <alignment/>
    </xf>
    <xf numFmtId="0" fontId="0" fillId="0" borderId="0" xfId="0" applyBorder="1" applyAlignment="1">
      <alignment/>
    </xf>
    <xf numFmtId="3" fontId="26" fillId="0" borderId="0" xfId="0" applyNumberFormat="1" applyFont="1" applyAlignment="1">
      <alignment/>
    </xf>
    <xf numFmtId="177" fontId="6" fillId="0" borderId="0" xfId="0" applyNumberFormat="1" applyFont="1" applyAlignment="1">
      <alignment/>
    </xf>
    <xf numFmtId="177" fontId="27" fillId="2" borderId="0" xfId="0" applyNumberFormat="1" applyFont="1" applyFill="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0" fontId="23" fillId="0" borderId="0" xfId="21">
      <alignment/>
      <protection/>
    </xf>
    <xf numFmtId="0" fontId="23" fillId="0" borderId="0" xfId="22" applyAlignment="1">
      <alignment horizontal="centerContinuous"/>
      <protection/>
    </xf>
    <xf numFmtId="0" fontId="23" fillId="0" borderId="0" xfId="22">
      <alignment/>
      <protection/>
    </xf>
    <xf numFmtId="0" fontId="1" fillId="0" borderId="0" xfId="22" applyFont="1">
      <alignment/>
      <protection/>
    </xf>
    <xf numFmtId="0" fontId="1" fillId="0" borderId="0" xfId="22" applyFont="1" applyAlignment="1">
      <alignment horizontal="left"/>
      <protection/>
    </xf>
    <xf numFmtId="0" fontId="23" fillId="0" borderId="0" xfId="21" applyAlignment="1">
      <alignment horizontal="centerContinuous"/>
      <protection/>
    </xf>
    <xf numFmtId="0" fontId="25" fillId="0" borderId="0" xfId="22" applyFont="1">
      <alignment/>
      <protection/>
    </xf>
    <xf numFmtId="0" fontId="25" fillId="0" borderId="0" xfId="22" applyFont="1" applyAlignment="1">
      <alignment horizontal="centerContinuous"/>
      <protection/>
    </xf>
    <xf numFmtId="3" fontId="25" fillId="0" borderId="0" xfId="22" applyNumberFormat="1" applyFont="1" applyAlignment="1">
      <alignment horizontal="centerContinuous"/>
      <protection/>
    </xf>
    <xf numFmtId="0" fontId="15" fillId="0" borderId="0" xfId="22" applyFont="1" applyAlignment="1">
      <alignment horizontal="centerContinuous"/>
      <protection/>
    </xf>
    <xf numFmtId="0" fontId="15" fillId="0" borderId="0" xfId="22" applyFont="1">
      <alignment/>
      <protection/>
    </xf>
    <xf numFmtId="0" fontId="15" fillId="0" borderId="2" xfId="22" applyFont="1" applyBorder="1">
      <alignment/>
      <protection/>
    </xf>
    <xf numFmtId="0" fontId="15" fillId="0" borderId="3" xfId="22" applyFont="1" applyBorder="1">
      <alignment/>
      <protection/>
    </xf>
    <xf numFmtId="0" fontId="15" fillId="0" borderId="4" xfId="22" applyFont="1" applyBorder="1">
      <alignment/>
      <protection/>
    </xf>
    <xf numFmtId="0" fontId="29" fillId="0" borderId="2" xfId="22" applyFont="1" applyBorder="1">
      <alignment/>
      <protection/>
    </xf>
    <xf numFmtId="183" fontId="29" fillId="0" borderId="3" xfId="22" applyNumberFormat="1" applyFont="1" applyBorder="1">
      <alignment/>
      <protection/>
    </xf>
    <xf numFmtId="185" fontId="29" fillId="0" borderId="4" xfId="17" applyNumberFormat="1" applyFont="1" applyBorder="1" applyAlignment="1">
      <alignment/>
    </xf>
    <xf numFmtId="0" fontId="15" fillId="0" borderId="2" xfId="22" applyFont="1" applyBorder="1" applyAlignment="1">
      <alignment horizontal="left" indent="1"/>
      <protection/>
    </xf>
    <xf numFmtId="183" fontId="15" fillId="0" borderId="3" xfId="15" applyNumberFormat="1" applyFont="1" applyBorder="1" applyAlignment="1">
      <alignment/>
    </xf>
    <xf numFmtId="183" fontId="15" fillId="0" borderId="4" xfId="15" applyNumberFormat="1" applyFont="1" applyBorder="1" applyAlignment="1">
      <alignment/>
    </xf>
    <xf numFmtId="183" fontId="15" fillId="0" borderId="0" xfId="15" applyNumberFormat="1" applyFont="1" applyAlignment="1">
      <alignment/>
    </xf>
    <xf numFmtId="183" fontId="30" fillId="0" borderId="3" xfId="15" applyNumberFormat="1" applyFont="1" applyBorder="1" applyAlignment="1">
      <alignment/>
    </xf>
    <xf numFmtId="183" fontId="30" fillId="0" borderId="4" xfId="15" applyNumberFormat="1" applyFont="1" applyBorder="1" applyAlignment="1">
      <alignment/>
    </xf>
    <xf numFmtId="183" fontId="29" fillId="0" borderId="0" xfId="15" applyNumberFormat="1" applyFont="1" applyAlignment="1">
      <alignment/>
    </xf>
    <xf numFmtId="0" fontId="29" fillId="0" borderId="2" xfId="22" applyFont="1" applyBorder="1" applyAlignment="1">
      <alignment wrapText="1"/>
      <protection/>
    </xf>
    <xf numFmtId="0" fontId="29" fillId="0" borderId="5" xfId="22" applyFont="1" applyBorder="1">
      <alignment/>
      <protection/>
    </xf>
    <xf numFmtId="183" fontId="29" fillId="0" borderId="6" xfId="15" applyNumberFormat="1" applyFont="1" applyBorder="1" applyAlignment="1">
      <alignment/>
    </xf>
    <xf numFmtId="183" fontId="29" fillId="0" borderId="7" xfId="15" applyNumberFormat="1" applyFont="1" applyBorder="1" applyAlignment="1">
      <alignment/>
    </xf>
    <xf numFmtId="185" fontId="29" fillId="0" borderId="8" xfId="17" applyNumberFormat="1" applyFont="1" applyBorder="1" applyAlignment="1">
      <alignment horizontal="left"/>
    </xf>
    <xf numFmtId="0" fontId="29" fillId="0" borderId="0" xfId="22" applyFont="1" applyBorder="1" applyAlignment="1">
      <alignment horizontal="left"/>
      <protection/>
    </xf>
    <xf numFmtId="183" fontId="29" fillId="0" borderId="0" xfId="22" applyNumberFormat="1" applyFont="1" applyBorder="1" applyAlignment="1">
      <alignment horizontal="left"/>
      <protection/>
    </xf>
    <xf numFmtId="185" fontId="29" fillId="0" borderId="0" xfId="17" applyNumberFormat="1" applyFont="1" applyBorder="1" applyAlignment="1">
      <alignment horizontal="left"/>
    </xf>
    <xf numFmtId="177" fontId="28" fillId="0" borderId="0" xfId="0" applyNumberFormat="1" applyFont="1" applyAlignment="1">
      <alignment horizontal="centerContinuous"/>
    </xf>
    <xf numFmtId="0" fontId="0" fillId="0" borderId="0" xfId="0" applyBorder="1" applyAlignment="1">
      <alignment vertical="top" wrapText="1"/>
    </xf>
    <xf numFmtId="0" fontId="29" fillId="3" borderId="0" xfId="22" applyFont="1" applyFill="1" applyBorder="1" applyAlignment="1">
      <alignment horizontal="left"/>
      <protection/>
    </xf>
    <xf numFmtId="183" fontId="29" fillId="3" borderId="0" xfId="22" applyNumberFormat="1" applyFont="1" applyFill="1" applyBorder="1" applyAlignment="1">
      <alignment horizontal="left"/>
      <protection/>
    </xf>
    <xf numFmtId="185" fontId="29" fillId="3" borderId="0" xfId="17" applyNumberFormat="1" applyFont="1" applyFill="1" applyBorder="1" applyAlignment="1">
      <alignment horizontal="left"/>
    </xf>
    <xf numFmtId="0" fontId="15" fillId="3" borderId="0" xfId="22" applyFont="1" applyFill="1" applyBorder="1" applyAlignment="1">
      <alignment horizontal="center"/>
      <protection/>
    </xf>
    <xf numFmtId="177" fontId="32" fillId="2" borderId="0" xfId="0" applyNumberFormat="1" applyFont="1" applyFill="1" applyAlignment="1">
      <alignment/>
    </xf>
    <xf numFmtId="177" fontId="32" fillId="2" borderId="4" xfId="0" applyNumberFormat="1" applyFont="1" applyFill="1" applyBorder="1" applyAlignment="1">
      <alignment/>
    </xf>
    <xf numFmtId="3" fontId="6" fillId="0" borderId="0" xfId="0" applyNumberFormat="1" applyFont="1" applyAlignment="1">
      <alignment/>
    </xf>
    <xf numFmtId="3" fontId="32" fillId="2" borderId="9" xfId="0" applyNumberFormat="1" applyFont="1" applyFill="1" applyAlignment="1">
      <alignment horizontal="left"/>
    </xf>
    <xf numFmtId="0" fontId="39"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4" xfId="0" applyNumberFormat="1" applyFont="1" applyBorder="1" applyAlignment="1">
      <alignment/>
    </xf>
    <xf numFmtId="177" fontId="5" fillId="0" borderId="7" xfId="0" applyNumberFormat="1" applyFont="1" applyBorder="1" applyAlignment="1">
      <alignment/>
    </xf>
    <xf numFmtId="177" fontId="4" fillId="0" borderId="4" xfId="0" applyNumberFormat="1" applyFont="1" applyBorder="1" applyAlignment="1">
      <alignment/>
    </xf>
    <xf numFmtId="177" fontId="34" fillId="0" borderId="1" xfId="0" applyNumberFormat="1" applyFont="1" applyBorder="1" applyAlignment="1">
      <alignment horizontal="left"/>
    </xf>
    <xf numFmtId="5" fontId="34" fillId="0" borderId="1" xfId="0" applyNumberFormat="1" applyFont="1" applyBorder="1" applyAlignment="1">
      <alignment/>
    </xf>
    <xf numFmtId="5" fontId="34" fillId="0" borderId="7" xfId="0" applyNumberFormat="1" applyFont="1" applyBorder="1" applyAlignment="1">
      <alignment/>
    </xf>
    <xf numFmtId="177" fontId="5" fillId="0" borderId="3" xfId="0" applyNumberFormat="1" applyFont="1" applyBorder="1" applyAlignment="1">
      <alignment/>
    </xf>
    <xf numFmtId="177" fontId="4" fillId="0" borderId="3" xfId="0" applyNumberFormat="1" applyFont="1" applyBorder="1" applyAlignment="1">
      <alignment/>
    </xf>
    <xf numFmtId="177" fontId="6" fillId="0" borderId="6" xfId="0" applyNumberFormat="1" applyFont="1" applyBorder="1" applyAlignment="1">
      <alignment/>
    </xf>
    <xf numFmtId="177" fontId="5" fillId="0" borderId="10" xfId="0" applyNumberFormat="1" applyFont="1" applyBorder="1" applyAlignment="1">
      <alignment/>
    </xf>
    <xf numFmtId="177" fontId="5" fillId="0" borderId="11" xfId="0" applyNumberFormat="1" applyFont="1" applyBorder="1" applyAlignment="1">
      <alignment/>
    </xf>
    <xf numFmtId="177" fontId="34" fillId="0" borderId="12" xfId="0" applyNumberFormat="1" applyFont="1" applyBorder="1" applyAlignment="1">
      <alignment horizontal="right"/>
    </xf>
    <xf numFmtId="177" fontId="34" fillId="0" borderId="13" xfId="0" applyNumberFormat="1" applyFont="1" applyBorder="1" applyAlignment="1">
      <alignment/>
    </xf>
    <xf numFmtId="177" fontId="34" fillId="0" borderId="7" xfId="0" applyNumberFormat="1" applyFont="1" applyBorder="1" applyAlignment="1">
      <alignment/>
    </xf>
    <xf numFmtId="177" fontId="5" fillId="0" borderId="6" xfId="0" applyNumberFormat="1" applyFont="1" applyFill="1" applyBorder="1" applyAlignment="1">
      <alignment/>
    </xf>
    <xf numFmtId="177" fontId="5" fillId="0" borderId="14" xfId="0" applyNumberFormat="1" applyFont="1" applyBorder="1" applyAlignment="1">
      <alignment/>
    </xf>
    <xf numFmtId="177" fontId="5" fillId="0" borderId="15" xfId="0" applyNumberFormat="1" applyFont="1" applyBorder="1" applyAlignment="1">
      <alignment/>
    </xf>
    <xf numFmtId="177" fontId="5" fillId="0" borderId="16" xfId="0" applyNumberFormat="1" applyFont="1" applyBorder="1" applyAlignment="1">
      <alignment/>
    </xf>
    <xf numFmtId="177" fontId="5" fillId="0" borderId="6" xfId="0" applyNumberFormat="1" applyFont="1" applyBorder="1" applyAlignment="1">
      <alignment/>
    </xf>
    <xf numFmtId="177" fontId="6" fillId="0" borderId="4" xfId="0" applyNumberFormat="1" applyFont="1" applyBorder="1" applyAlignment="1">
      <alignment/>
    </xf>
    <xf numFmtId="177" fontId="24" fillId="0" borderId="4" xfId="0" applyNumberFormat="1" applyFont="1" applyBorder="1" applyAlignment="1">
      <alignment/>
    </xf>
    <xf numFmtId="177" fontId="6" fillId="0" borderId="7" xfId="0" applyNumberFormat="1" applyFont="1" applyBorder="1" applyAlignment="1">
      <alignment/>
    </xf>
    <xf numFmtId="177" fontId="6" fillId="0" borderId="11" xfId="0" applyNumberFormat="1" applyFont="1" applyBorder="1" applyAlignment="1">
      <alignment/>
    </xf>
    <xf numFmtId="177" fontId="6" fillId="0" borderId="17" xfId="0" applyNumberFormat="1" applyFont="1" applyBorder="1" applyAlignment="1">
      <alignment/>
    </xf>
    <xf numFmtId="177" fontId="6" fillId="0" borderId="1" xfId="0" applyNumberFormat="1" applyFont="1" applyBorder="1" applyAlignment="1">
      <alignment horizontal="fill"/>
    </xf>
    <xf numFmtId="3" fontId="6" fillId="0" borderId="3" xfId="0" applyNumberFormat="1" applyFont="1" applyBorder="1" applyAlignment="1">
      <alignment/>
    </xf>
    <xf numFmtId="3" fontId="6" fillId="0" borderId="14" xfId="0" applyNumberFormat="1" applyFont="1" applyBorder="1" applyAlignment="1">
      <alignment/>
    </xf>
    <xf numFmtId="3" fontId="6" fillId="0" borderId="15" xfId="0" applyNumberFormat="1" applyFont="1" applyBorder="1" applyAlignment="1">
      <alignment/>
    </xf>
    <xf numFmtId="177" fontId="6" fillId="0" borderId="15" xfId="0" applyNumberFormat="1" applyFont="1" applyBorder="1" applyAlignment="1">
      <alignment horizontal="fill"/>
    </xf>
    <xf numFmtId="177" fontId="6" fillId="0" borderId="15" xfId="0" applyNumberFormat="1" applyFont="1" applyBorder="1" applyAlignment="1">
      <alignment/>
    </xf>
    <xf numFmtId="177" fontId="6" fillId="0" borderId="16" xfId="0" applyNumberFormat="1" applyFont="1" applyBorder="1" applyAlignment="1">
      <alignment/>
    </xf>
    <xf numFmtId="3" fontId="6" fillId="0" borderId="12" xfId="0" applyNumberFormat="1" applyFont="1" applyBorder="1" applyAlignment="1">
      <alignment/>
    </xf>
    <xf numFmtId="177" fontId="6" fillId="0" borderId="12" xfId="0" applyNumberFormat="1" applyFont="1" applyBorder="1" applyAlignment="1">
      <alignment/>
    </xf>
    <xf numFmtId="177" fontId="21" fillId="0" borderId="12" xfId="0" applyNumberFormat="1" applyFont="1" applyBorder="1" applyAlignment="1">
      <alignment/>
    </xf>
    <xf numFmtId="177" fontId="25" fillId="0" borderId="17" xfId="0" applyNumberFormat="1" applyFont="1" applyBorder="1" applyAlignment="1">
      <alignment/>
    </xf>
    <xf numFmtId="177" fontId="25" fillId="0" borderId="18" xfId="0" applyNumberFormat="1" applyFont="1" applyBorder="1" applyAlignment="1">
      <alignment horizontal="right"/>
    </xf>
    <xf numFmtId="177" fontId="25" fillId="0" borderId="19" xfId="0" applyNumberFormat="1" applyFont="1" applyBorder="1" applyAlignment="1">
      <alignment horizontal="center"/>
    </xf>
    <xf numFmtId="177" fontId="25" fillId="0" borderId="20" xfId="0" applyNumberFormat="1" applyFont="1" applyBorder="1" applyAlignment="1">
      <alignment horizontal="center"/>
    </xf>
    <xf numFmtId="177" fontId="6" fillId="0" borderId="2" xfId="0" applyNumberFormat="1" applyFont="1" applyBorder="1" applyAlignment="1">
      <alignment/>
    </xf>
    <xf numFmtId="177" fontId="6" fillId="0" borderId="21" xfId="0" applyNumberFormat="1" applyFont="1" applyBorder="1" applyAlignment="1">
      <alignment/>
    </xf>
    <xf numFmtId="177" fontId="24" fillId="0" borderId="2" xfId="0" applyNumberFormat="1" applyFont="1" applyBorder="1" applyAlignment="1">
      <alignment/>
    </xf>
    <xf numFmtId="177" fontId="6" fillId="0" borderId="5" xfId="0" applyNumberFormat="1" applyFont="1" applyBorder="1" applyAlignment="1">
      <alignment/>
    </xf>
    <xf numFmtId="177" fontId="25" fillId="0" borderId="19" xfId="0" applyNumberFormat="1" applyFont="1" applyBorder="1" applyAlignment="1">
      <alignment/>
    </xf>
    <xf numFmtId="177" fontId="6" fillId="0" borderId="2" xfId="0" applyNumberFormat="1" applyFont="1" applyBorder="1" applyAlignment="1">
      <alignment horizontal="right"/>
    </xf>
    <xf numFmtId="3" fontId="41" fillId="0" borderId="0" xfId="0" applyNumberFormat="1" applyFont="1" applyAlignment="1">
      <alignment horizontal="centerContinuous"/>
    </xf>
    <xf numFmtId="177" fontId="25" fillId="0" borderId="7" xfId="0" applyNumberFormat="1" applyFont="1" applyBorder="1" applyAlignment="1">
      <alignment/>
    </xf>
    <xf numFmtId="177" fontId="25" fillId="0" borderId="1" xfId="0" applyNumberFormat="1" applyFont="1" applyBorder="1" applyAlignment="1">
      <alignment horizontal="fill"/>
    </xf>
    <xf numFmtId="177" fontId="25" fillId="0" borderId="5" xfId="0" applyNumberFormat="1" applyFont="1" applyBorder="1" applyAlignment="1">
      <alignment/>
    </xf>
    <xf numFmtId="165" fontId="25" fillId="0" borderId="7" xfId="0" applyNumberFormat="1" applyFont="1" applyBorder="1" applyAlignment="1">
      <alignment/>
    </xf>
    <xf numFmtId="177" fontId="36" fillId="2" borderId="13" xfId="0" applyNumberFormat="1" applyFont="1" applyFill="1" applyBorder="1" applyAlignment="1">
      <alignment horizontal="right"/>
    </xf>
    <xf numFmtId="177" fontId="36" fillId="2" borderId="12" xfId="0" applyNumberFormat="1" applyFont="1" applyFill="1" applyBorder="1" applyAlignment="1">
      <alignment horizontal="right"/>
    </xf>
    <xf numFmtId="177" fontId="36" fillId="2" borderId="18" xfId="0" applyNumberFormat="1" applyFont="1" applyFill="1" applyBorder="1" applyAlignment="1">
      <alignment horizontal="right"/>
    </xf>
    <xf numFmtId="177" fontId="34" fillId="0" borderId="13" xfId="0" applyNumberFormat="1" applyFont="1" applyBorder="1" applyAlignment="1">
      <alignment horizontal="right"/>
    </xf>
    <xf numFmtId="177" fontId="34" fillId="0" borderId="18" xfId="0" applyNumberFormat="1" applyFont="1" applyBorder="1" applyAlignment="1">
      <alignment horizontal="right"/>
    </xf>
    <xf numFmtId="177" fontId="32" fillId="2" borderId="3" xfId="0" applyNumberFormat="1" applyFont="1" applyFill="1" applyBorder="1" applyAlignment="1">
      <alignment/>
    </xf>
    <xf numFmtId="177" fontId="32" fillId="2" borderId="6" xfId="0" applyNumberFormat="1" applyFont="1" applyFill="1" applyBorder="1" applyAlignment="1">
      <alignment/>
    </xf>
    <xf numFmtId="177" fontId="32" fillId="2" borderId="10" xfId="0" applyNumberFormat="1" applyFont="1" applyFill="1" applyBorder="1" applyAlignment="1">
      <alignment/>
    </xf>
    <xf numFmtId="177" fontId="33" fillId="2" borderId="13" xfId="0" applyNumberFormat="1" applyFont="1" applyFill="1" applyBorder="1" applyAlignment="1">
      <alignment/>
    </xf>
    <xf numFmtId="177" fontId="33" fillId="2" borderId="12" xfId="0" applyNumberFormat="1" applyFont="1" applyFill="1" applyBorder="1" applyAlignment="1">
      <alignment horizontal="right"/>
    </xf>
    <xf numFmtId="177" fontId="33" fillId="2" borderId="13" xfId="0" applyNumberFormat="1" applyFont="1" applyFill="1" applyBorder="1" applyAlignment="1">
      <alignment horizontal="right"/>
    </xf>
    <xf numFmtId="177" fontId="33" fillId="2" borderId="18" xfId="0" applyNumberFormat="1" applyFont="1" applyFill="1" applyBorder="1" applyAlignment="1">
      <alignment horizontal="right"/>
    </xf>
    <xf numFmtId="177" fontId="32" fillId="2" borderId="3" xfId="0" applyNumberFormat="1" applyFont="1" applyFill="1" applyBorder="1" applyAlignment="1">
      <alignment horizontal="left"/>
    </xf>
    <xf numFmtId="177" fontId="32" fillId="2" borderId="6" xfId="0" applyNumberFormat="1" applyFont="1" applyFill="1" applyBorder="1" applyAlignment="1">
      <alignment horizontal="left"/>
    </xf>
    <xf numFmtId="177" fontId="42" fillId="2" borderId="0" xfId="0" applyNumberFormat="1" applyFont="1" applyFill="1" applyAlignment="1">
      <alignment/>
    </xf>
    <xf numFmtId="177" fontId="32" fillId="2" borderId="14" xfId="0" applyNumberFormat="1" applyFont="1" applyFill="1" applyBorder="1" applyAlignment="1">
      <alignment horizontal="left"/>
    </xf>
    <xf numFmtId="3" fontId="32" fillId="2" borderId="22" xfId="0" applyNumberFormat="1" applyFont="1" applyFill="1" applyBorder="1" applyAlignment="1">
      <alignment horizontal="left"/>
    </xf>
    <xf numFmtId="3" fontId="32" fillId="2" borderId="23" xfId="0" applyNumberFormat="1" applyFont="1" applyFill="1" applyBorder="1" applyAlignment="1">
      <alignment horizontal="left"/>
    </xf>
    <xf numFmtId="3" fontId="32" fillId="2" borderId="24" xfId="0" applyNumberFormat="1" applyFont="1" applyFill="1" applyBorder="1" applyAlignment="1">
      <alignment horizontal="left"/>
    </xf>
    <xf numFmtId="3" fontId="33" fillId="2" borderId="25" xfId="0" applyNumberFormat="1" applyFont="1" applyFill="1" applyBorder="1" applyAlignment="1">
      <alignment horizontal="right"/>
    </xf>
    <xf numFmtId="0" fontId="15" fillId="0" borderId="5" xfId="22" applyFont="1" applyBorder="1" applyAlignment="1">
      <alignment horizontal="left" indent="1"/>
      <protection/>
    </xf>
    <xf numFmtId="183" fontId="15" fillId="0" borderId="6" xfId="15" applyNumberFormat="1" applyFont="1" applyBorder="1" applyAlignment="1">
      <alignment/>
    </xf>
    <xf numFmtId="183" fontId="15" fillId="0" borderId="7" xfId="15" applyNumberFormat="1" applyFont="1" applyBorder="1" applyAlignment="1">
      <alignment/>
    </xf>
    <xf numFmtId="183" fontId="29" fillId="0" borderId="2" xfId="15" applyNumberFormat="1" applyFont="1" applyBorder="1" applyAlignment="1">
      <alignment/>
    </xf>
    <xf numFmtId="183" fontId="15" fillId="0" borderId="2" xfId="15" applyNumberFormat="1" applyFont="1" applyBorder="1" applyAlignment="1">
      <alignment/>
    </xf>
    <xf numFmtId="183" fontId="29" fillId="0" borderId="26" xfId="22" applyNumberFormat="1" applyFont="1" applyBorder="1" applyAlignment="1">
      <alignment horizontal="left"/>
      <protection/>
    </xf>
    <xf numFmtId="0" fontId="29" fillId="0" borderId="27" xfId="22" applyFont="1" applyBorder="1" applyAlignment="1">
      <alignment horizontal="left"/>
      <protection/>
    </xf>
    <xf numFmtId="0" fontId="29" fillId="0" borderId="28" xfId="22" applyFont="1" applyBorder="1" applyAlignment="1">
      <alignment horizontal="left"/>
      <protection/>
    </xf>
    <xf numFmtId="0" fontId="23" fillId="0" borderId="0" xfId="21" applyBorder="1">
      <alignment/>
      <protection/>
    </xf>
    <xf numFmtId="177" fontId="4" fillId="0" borderId="12" xfId="0" applyNumberFormat="1" applyFont="1" applyBorder="1" applyAlignment="1">
      <alignment/>
    </xf>
    <xf numFmtId="177" fontId="33" fillId="2" borderId="29" xfId="0" applyNumberFormat="1" applyFont="1" applyFill="1" applyBorder="1" applyAlignment="1">
      <alignment horizontal="left"/>
    </xf>
    <xf numFmtId="177" fontId="33" fillId="2" borderId="14" xfId="0" applyNumberFormat="1" applyFont="1" applyFill="1" applyBorder="1" applyAlignment="1">
      <alignment horizontal="left"/>
    </xf>
    <xf numFmtId="0" fontId="29" fillId="0" borderId="10" xfId="22" applyFont="1" applyFill="1" applyBorder="1" applyAlignment="1">
      <alignment horizontal="centerContinuous"/>
      <protection/>
    </xf>
    <xf numFmtId="0" fontId="29" fillId="0" borderId="17" xfId="22" applyFont="1" applyFill="1" applyBorder="1" applyAlignment="1">
      <alignment horizontal="centerContinuous"/>
      <protection/>
    </xf>
    <xf numFmtId="0" fontId="15" fillId="0" borderId="0" xfId="22" applyFont="1" applyFill="1">
      <alignment/>
      <protection/>
    </xf>
    <xf numFmtId="1" fontId="29" fillId="0" borderId="10" xfId="22" applyNumberFormat="1" applyFont="1" applyFill="1" applyBorder="1" applyAlignment="1">
      <alignment horizontal="centerContinuous"/>
      <protection/>
    </xf>
    <xf numFmtId="0" fontId="23" fillId="0" borderId="0" xfId="22" applyFill="1">
      <alignment/>
      <protection/>
    </xf>
    <xf numFmtId="0" fontId="29" fillId="0" borderId="6" xfId="22" applyFont="1" applyFill="1" applyBorder="1" applyAlignment="1">
      <alignment horizontal="centerContinuous"/>
      <protection/>
    </xf>
    <xf numFmtId="0" fontId="15" fillId="0" borderId="7" xfId="22" applyFont="1" applyFill="1" applyBorder="1" applyAlignment="1">
      <alignment horizontal="centerContinuous"/>
      <protection/>
    </xf>
    <xf numFmtId="0" fontId="29" fillId="0" borderId="7" xfId="22" applyFont="1" applyFill="1" applyBorder="1" applyAlignment="1">
      <alignment horizontal="centerContinuous"/>
      <protection/>
    </xf>
    <xf numFmtId="0" fontId="15" fillId="0" borderId="3" xfId="22" applyFont="1" applyFill="1" applyBorder="1" applyAlignment="1">
      <alignment horizontal="center"/>
      <protection/>
    </xf>
    <xf numFmtId="0" fontId="15" fillId="0" borderId="4" xfId="22" applyFont="1" applyFill="1" applyBorder="1" applyAlignment="1">
      <alignment horizontal="center"/>
      <protection/>
    </xf>
    <xf numFmtId="0" fontId="30" fillId="0" borderId="6" xfId="22" applyFont="1" applyFill="1" applyBorder="1" applyAlignment="1">
      <alignment horizontal="center"/>
      <protection/>
    </xf>
    <xf numFmtId="0" fontId="30" fillId="0" borderId="7" xfId="22" applyFont="1" applyFill="1" applyBorder="1" applyAlignment="1">
      <alignment horizontal="center"/>
      <protection/>
    </xf>
    <xf numFmtId="177" fontId="39" fillId="0" borderId="10" xfId="0" applyNumberFormat="1" applyFont="1" applyBorder="1" applyAlignment="1">
      <alignment horizontal="centerContinuous"/>
    </xf>
    <xf numFmtId="177" fontId="39" fillId="0" borderId="11" xfId="0" applyNumberFormat="1" applyFont="1" applyBorder="1" applyAlignment="1">
      <alignment horizontal="centerContinuous"/>
    </xf>
    <xf numFmtId="177" fontId="39" fillId="0" borderId="11" xfId="0" applyNumberFormat="1" applyFont="1" applyBorder="1" applyAlignment="1">
      <alignment/>
    </xf>
    <xf numFmtId="177" fontId="39" fillId="0" borderId="17" xfId="0" applyNumberFormat="1" applyFont="1" applyBorder="1" applyAlignment="1">
      <alignment horizontal="centerContinuous"/>
    </xf>
    <xf numFmtId="3" fontId="39" fillId="0" borderId="0" xfId="0" applyNumberFormat="1" applyFont="1" applyAlignment="1">
      <alignment/>
    </xf>
    <xf numFmtId="177" fontId="39" fillId="0" borderId="6" xfId="0" applyNumberFormat="1" applyFont="1" applyBorder="1" applyAlignment="1">
      <alignment horizontal="centerContinuous"/>
    </xf>
    <xf numFmtId="177" fontId="39" fillId="0" borderId="1" xfId="0" applyNumberFormat="1" applyFont="1" applyBorder="1" applyAlignment="1">
      <alignment horizontal="centerContinuous"/>
    </xf>
    <xf numFmtId="177" fontId="39" fillId="0" borderId="1" xfId="0" applyNumberFormat="1" applyFont="1" applyBorder="1" applyAlignment="1">
      <alignment/>
    </xf>
    <xf numFmtId="177" fontId="39" fillId="0" borderId="7" xfId="0" applyNumberFormat="1" applyFont="1" applyBorder="1" applyAlignment="1">
      <alignment horizontal="centerContinuous"/>
    </xf>
    <xf numFmtId="177" fontId="39" fillId="0" borderId="13" xfId="0" applyNumberFormat="1" applyFont="1" applyBorder="1" applyAlignment="1">
      <alignment horizontal="right"/>
    </xf>
    <xf numFmtId="177" fontId="39" fillId="0" borderId="12" xfId="0" applyNumberFormat="1" applyFont="1" applyBorder="1" applyAlignment="1">
      <alignment horizontal="center"/>
    </xf>
    <xf numFmtId="177" fontId="39" fillId="0" borderId="12" xfId="0" applyNumberFormat="1" applyFont="1" applyBorder="1" applyAlignment="1">
      <alignment horizontal="right"/>
    </xf>
    <xf numFmtId="177" fontId="39" fillId="0" borderId="12" xfId="0" applyNumberFormat="1" applyFont="1" applyBorder="1" applyAlignment="1">
      <alignment/>
    </xf>
    <xf numFmtId="177" fontId="39" fillId="0" borderId="18" xfId="0" applyNumberFormat="1" applyFont="1" applyBorder="1" applyAlignment="1">
      <alignment horizontal="right"/>
    </xf>
    <xf numFmtId="3" fontId="39" fillId="0" borderId="14" xfId="0" applyNumberFormat="1" applyFont="1" applyBorder="1" applyAlignment="1">
      <alignment/>
    </xf>
    <xf numFmtId="177" fontId="39" fillId="0" borderId="14" xfId="0" applyNumberFormat="1" applyFont="1" applyBorder="1" applyAlignment="1">
      <alignment/>
    </xf>
    <xf numFmtId="177" fontId="39" fillId="0" borderId="15" xfId="0" applyNumberFormat="1" applyFont="1" applyBorder="1" applyAlignment="1">
      <alignment/>
    </xf>
    <xf numFmtId="165" fontId="39" fillId="0" borderId="16" xfId="0" applyNumberFormat="1" applyFont="1" applyBorder="1" applyAlignment="1">
      <alignment/>
    </xf>
    <xf numFmtId="177" fontId="39" fillId="0" borderId="16" xfId="0" applyNumberFormat="1" applyFont="1" applyBorder="1" applyAlignment="1">
      <alignment/>
    </xf>
    <xf numFmtId="3" fontId="39" fillId="0" borderId="1" xfId="0" applyNumberFormat="1" applyFont="1" applyBorder="1" applyAlignment="1">
      <alignment/>
    </xf>
    <xf numFmtId="177" fontId="39" fillId="0" borderId="6" xfId="0" applyNumberFormat="1" applyFont="1" applyBorder="1" applyAlignment="1">
      <alignment/>
    </xf>
    <xf numFmtId="177" fontId="39" fillId="0" borderId="7" xfId="0" applyNumberFormat="1" applyFont="1" applyBorder="1" applyAlignment="1">
      <alignment/>
    </xf>
    <xf numFmtId="3" fontId="39" fillId="0" borderId="6" xfId="0" applyNumberFormat="1" applyFont="1" applyBorder="1" applyAlignment="1">
      <alignment/>
    </xf>
    <xf numFmtId="3" fontId="46" fillId="0" borderId="1" xfId="0" applyNumberFormat="1" applyFont="1" applyBorder="1" applyAlignment="1">
      <alignment/>
    </xf>
    <xf numFmtId="177" fontId="46" fillId="0" borderId="6" xfId="0" applyNumberFormat="1" applyFont="1" applyBorder="1" applyAlignment="1">
      <alignment/>
    </xf>
    <xf numFmtId="177" fontId="46" fillId="0" borderId="1" xfId="0" applyNumberFormat="1" applyFont="1" applyBorder="1" applyAlignment="1">
      <alignment/>
    </xf>
    <xf numFmtId="177" fontId="46" fillId="0" borderId="7" xfId="0" applyNumberFormat="1" applyFont="1" applyBorder="1" applyAlignment="1">
      <alignment/>
    </xf>
    <xf numFmtId="177" fontId="39" fillId="0" borderId="3" xfId="0" applyNumberFormat="1" applyFont="1" applyBorder="1" applyAlignment="1">
      <alignment/>
    </xf>
    <xf numFmtId="177" fontId="39" fillId="0" borderId="0" xfId="0" applyNumberFormat="1" applyFont="1" applyAlignment="1">
      <alignment/>
    </xf>
    <xf numFmtId="177" fontId="39" fillId="0" borderId="4" xfId="0" applyNumberFormat="1" applyFont="1" applyBorder="1" applyAlignment="1">
      <alignment/>
    </xf>
    <xf numFmtId="0" fontId="23" fillId="0" borderId="0" xfId="21" applyFont="1" applyAlignment="1">
      <alignment horizontal="left"/>
      <protection/>
    </xf>
    <xf numFmtId="0" fontId="23" fillId="0" borderId="0" xfId="21" applyFont="1" applyBorder="1">
      <alignment/>
      <protection/>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9" fillId="0" borderId="0" xfId="22" applyFont="1" applyBorder="1" applyAlignment="1">
      <alignment horizontal="center"/>
      <protection/>
    </xf>
    <xf numFmtId="0" fontId="39" fillId="0" borderId="0" xfId="0" applyFont="1" applyBorder="1" applyAlignment="1">
      <alignment horizontal="center"/>
    </xf>
    <xf numFmtId="0" fontId="39" fillId="0" borderId="0" xfId="0" applyFont="1" applyBorder="1" applyAlignment="1">
      <alignment horizontal="center"/>
    </xf>
    <xf numFmtId="0" fontId="39" fillId="0" borderId="0" xfId="0" applyFont="1" applyBorder="1" applyAlignment="1">
      <alignment horizontal="center"/>
    </xf>
    <xf numFmtId="0" fontId="39" fillId="0" borderId="0" xfId="0" applyFont="1" applyBorder="1" applyAlignment="1">
      <alignment wrapText="1"/>
    </xf>
    <xf numFmtId="0" fontId="39"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39" fillId="0" borderId="0" xfId="0" applyFont="1" applyBorder="1" applyAlignment="1">
      <alignment/>
    </xf>
    <xf numFmtId="0" fontId="39" fillId="0" borderId="0" xfId="0" applyFont="1" applyBorder="1" applyAlignment="1">
      <alignment horizontal="center" wrapText="1"/>
    </xf>
    <xf numFmtId="0" fontId="39" fillId="0" borderId="30" xfId="0" applyFont="1" applyBorder="1" applyAlignment="1">
      <alignment/>
    </xf>
    <xf numFmtId="0" fontId="39" fillId="0" borderId="0" xfId="0" applyFont="1" applyBorder="1" applyAlignment="1">
      <alignment horizontal="center" wrapText="1"/>
    </xf>
    <xf numFmtId="0" fontId="39" fillId="4" borderId="0" xfId="0" applyFont="1" applyFill="1" applyAlignment="1">
      <alignment/>
    </xf>
    <xf numFmtId="0" fontId="0" fillId="0" borderId="0" xfId="0" applyAlignment="1">
      <alignment horizontal="center"/>
    </xf>
    <xf numFmtId="0" fontId="45" fillId="0" borderId="0" xfId="0" applyFont="1" applyBorder="1" applyAlignment="1">
      <alignment wrapText="1"/>
    </xf>
    <xf numFmtId="3" fontId="47" fillId="0" borderId="0" xfId="0" applyNumberFormat="1" applyFont="1" applyAlignment="1">
      <alignment/>
    </xf>
    <xf numFmtId="3" fontId="48" fillId="2" borderId="0" xfId="0" applyNumberFormat="1" applyFont="1" applyFill="1" applyAlignment="1">
      <alignment/>
    </xf>
    <xf numFmtId="3" fontId="8" fillId="2" borderId="0" xfId="0" applyNumberFormat="1" applyFont="1" applyFill="1" applyBorder="1" applyAlignment="1">
      <alignment horizontal="centerContinuous"/>
    </xf>
    <xf numFmtId="0" fontId="0" fillId="0" borderId="0" xfId="0" applyBorder="1" applyAlignment="1">
      <alignment/>
    </xf>
    <xf numFmtId="3" fontId="8" fillId="2" borderId="31" xfId="0" applyNumberFormat="1" applyFont="1" applyFill="1" applyBorder="1" applyAlignment="1">
      <alignment horizontal="centerContinuous"/>
    </xf>
    <xf numFmtId="3" fontId="32" fillId="2" borderId="32" xfId="0" applyNumberFormat="1" applyFont="1" applyFill="1" applyBorder="1" applyAlignment="1">
      <alignment horizontal="left"/>
    </xf>
    <xf numFmtId="177" fontId="33" fillId="2" borderId="33" xfId="0" applyNumberFormat="1" applyFont="1" applyFill="1" applyBorder="1" applyAlignment="1">
      <alignment horizontal="left"/>
    </xf>
    <xf numFmtId="3" fontId="33" fillId="2" borderId="34" xfId="0" applyNumberFormat="1" applyFont="1" applyFill="1" applyBorder="1" applyAlignment="1">
      <alignment horizontal="left"/>
    </xf>
    <xf numFmtId="3" fontId="33" fillId="2" borderId="35" xfId="0" applyNumberFormat="1" applyFont="1" applyFill="1" applyBorder="1" applyAlignment="1">
      <alignment horizontal="right"/>
    </xf>
    <xf numFmtId="3" fontId="25" fillId="0" borderId="0" xfId="0" applyNumberFormat="1" applyFont="1" applyAlignment="1">
      <alignment horizontal="centerContinuous"/>
    </xf>
    <xf numFmtId="177" fontId="25" fillId="0" borderId="0" xfId="0" applyNumberFormat="1" applyFont="1" applyAlignment="1">
      <alignment horizontal="centerContinuous"/>
    </xf>
    <xf numFmtId="0" fontId="29" fillId="0" borderId="0" xfId="22" applyFont="1">
      <alignment/>
      <protection/>
    </xf>
    <xf numFmtId="177" fontId="13" fillId="0" borderId="0" xfId="0" applyNumberFormat="1" applyFont="1" applyFill="1" applyBorder="1" applyAlignment="1">
      <alignment/>
    </xf>
    <xf numFmtId="0" fontId="2" fillId="0" borderId="0" xfId="21" applyFont="1" applyFill="1" applyAlignment="1">
      <alignment/>
      <protection/>
    </xf>
    <xf numFmtId="0" fontId="3" fillId="0" borderId="0" xfId="21" applyFont="1" applyFill="1" applyAlignment="1">
      <alignment/>
      <protection/>
    </xf>
    <xf numFmtId="0" fontId="29" fillId="0" borderId="1" xfId="22" applyFont="1" applyFill="1" applyBorder="1" applyAlignment="1">
      <alignment horizontal="centerContinuous"/>
      <protection/>
    </xf>
    <xf numFmtId="0" fontId="15" fillId="0" borderId="0" xfId="22" applyFont="1" applyFill="1" applyBorder="1" applyAlignment="1">
      <alignment horizontal="center"/>
      <protection/>
    </xf>
    <xf numFmtId="0" fontId="30" fillId="0" borderId="1" xfId="22" applyFont="1" applyFill="1" applyBorder="1" applyAlignment="1">
      <alignment horizontal="center"/>
      <protection/>
    </xf>
    <xf numFmtId="0" fontId="15" fillId="0" borderId="0" xfId="22" applyFont="1" applyBorder="1">
      <alignment/>
      <protection/>
    </xf>
    <xf numFmtId="183" fontId="29" fillId="0" borderId="0" xfId="22" applyNumberFormat="1" applyFont="1" applyBorder="1">
      <alignment/>
      <protection/>
    </xf>
    <xf numFmtId="183" fontId="15" fillId="0" borderId="1" xfId="15" applyNumberFormat="1" applyFont="1" applyBorder="1" applyAlignment="1">
      <alignment/>
    </xf>
    <xf numFmtId="183" fontId="30" fillId="0" borderId="0" xfId="15" applyNumberFormat="1" applyFont="1" applyBorder="1" applyAlignment="1">
      <alignment/>
    </xf>
    <xf numFmtId="183" fontId="29" fillId="0" borderId="1" xfId="15" applyNumberFormat="1" applyFont="1" applyBorder="1" applyAlignment="1">
      <alignment/>
    </xf>
    <xf numFmtId="183" fontId="15" fillId="0" borderId="0" xfId="15" applyNumberFormat="1" applyFont="1" applyBorder="1" applyAlignment="1">
      <alignment/>
    </xf>
    <xf numFmtId="183" fontId="29" fillId="0" borderId="36" xfId="22" applyNumberFormat="1" applyFont="1" applyBorder="1" applyAlignment="1">
      <alignment horizontal="left"/>
      <protection/>
    </xf>
    <xf numFmtId="1" fontId="29" fillId="0" borderId="11" xfId="22" applyNumberFormat="1" applyFont="1" applyFill="1" applyBorder="1" applyAlignment="1">
      <alignment horizontal="centerContinuous"/>
      <protection/>
    </xf>
    <xf numFmtId="177" fontId="6" fillId="0" borderId="0" xfId="0" applyNumberFormat="1" applyFont="1" applyBorder="1" applyAlignment="1">
      <alignment horizontal="fill"/>
    </xf>
    <xf numFmtId="177" fontId="25" fillId="0" borderId="0" xfId="0" applyNumberFormat="1" applyFont="1" applyBorder="1" applyAlignment="1">
      <alignment horizontal="fill"/>
    </xf>
    <xf numFmtId="177" fontId="25" fillId="0" borderId="2" xfId="0" applyNumberFormat="1" applyFont="1" applyBorder="1" applyAlignment="1">
      <alignment/>
    </xf>
    <xf numFmtId="177" fontId="25" fillId="0" borderId="37" xfId="0" applyNumberFormat="1" applyFont="1" applyBorder="1" applyAlignment="1">
      <alignment horizontal="fill"/>
    </xf>
    <xf numFmtId="177" fontId="6" fillId="0" borderId="31" xfId="0" applyNumberFormat="1" applyFont="1" applyBorder="1" applyAlignment="1">
      <alignment horizontal="fill"/>
    </xf>
    <xf numFmtId="177" fontId="25" fillId="0" borderId="38" xfId="0" applyNumberFormat="1" applyFont="1" applyBorder="1" applyAlignment="1">
      <alignment horizontal="fill"/>
    </xf>
    <xf numFmtId="177" fontId="25" fillId="0" borderId="4" xfId="0" applyNumberFormat="1" applyFont="1" applyBorder="1" applyAlignment="1">
      <alignment/>
    </xf>
    <xf numFmtId="177" fontId="6" fillId="0" borderId="0" xfId="0" applyNumberFormat="1" applyFont="1" applyBorder="1" applyAlignment="1">
      <alignment/>
    </xf>
    <xf numFmtId="1" fontId="29" fillId="0" borderId="0" xfId="22" applyNumberFormat="1" applyFont="1" applyFill="1" applyBorder="1" applyAlignment="1">
      <alignment horizontal="centerContinuous"/>
      <protection/>
    </xf>
    <xf numFmtId="0" fontId="29" fillId="0" borderId="0" xfId="22" applyFont="1" applyFill="1" applyBorder="1" applyAlignment="1">
      <alignment horizontal="centerContinuous"/>
      <protection/>
    </xf>
    <xf numFmtId="0" fontId="30" fillId="0" borderId="0" xfId="22" applyFont="1" applyFill="1" applyBorder="1" applyAlignment="1">
      <alignment horizontal="center"/>
      <protection/>
    </xf>
    <xf numFmtId="185" fontId="29" fillId="0" borderId="0" xfId="17" applyNumberFormat="1" applyFont="1" applyBorder="1" applyAlignment="1">
      <alignment/>
    </xf>
    <xf numFmtId="183" fontId="29" fillId="0" borderId="0" xfId="15" applyNumberFormat="1" applyFont="1" applyBorder="1" applyAlignment="1">
      <alignment/>
    </xf>
    <xf numFmtId="0" fontId="1" fillId="0" borderId="0" xfId="22" applyFont="1" applyBorder="1" applyAlignment="1">
      <alignment horizontal="left"/>
      <protection/>
    </xf>
    <xf numFmtId="0" fontId="23" fillId="0" borderId="0" xfId="22" applyBorder="1" applyAlignment="1">
      <alignment horizontal="centerContinuous"/>
      <protection/>
    </xf>
    <xf numFmtId="0" fontId="23" fillId="0" borderId="0" xfId="22" applyBorder="1">
      <alignment/>
      <protection/>
    </xf>
    <xf numFmtId="0" fontId="6" fillId="0" borderId="0" xfId="0" applyFont="1" applyAlignment="1">
      <alignment/>
    </xf>
    <xf numFmtId="3" fontId="21" fillId="0" borderId="12" xfId="0" applyNumberFormat="1" applyFont="1" applyBorder="1" applyAlignment="1">
      <alignment/>
    </xf>
    <xf numFmtId="0" fontId="6" fillId="0" borderId="0" xfId="22" applyFont="1">
      <alignment/>
      <protection/>
    </xf>
    <xf numFmtId="0" fontId="15" fillId="0" borderId="6" xfId="22" applyFont="1" applyFill="1" applyBorder="1" applyAlignment="1">
      <alignment horizontal="center" wrapText="1"/>
      <protection/>
    </xf>
    <xf numFmtId="0" fontId="15" fillId="0" borderId="7" xfId="22" applyFont="1" applyFill="1" applyBorder="1" applyAlignment="1">
      <alignment horizontal="center" wrapText="1"/>
      <protection/>
    </xf>
    <xf numFmtId="0" fontId="15" fillId="0" borderId="19" xfId="22" applyFont="1" applyBorder="1">
      <alignment/>
      <protection/>
    </xf>
    <xf numFmtId="0" fontId="15" fillId="0" borderId="39" xfId="0" applyFont="1" applyBorder="1" applyAlignment="1">
      <alignment/>
    </xf>
    <xf numFmtId="0" fontId="15" fillId="0" borderId="39" xfId="0" applyFont="1" applyBorder="1" applyAlignment="1">
      <alignment wrapText="1"/>
    </xf>
    <xf numFmtId="5" fontId="34" fillId="0" borderId="40" xfId="0" applyNumberFormat="1" applyFont="1" applyBorder="1" applyAlignment="1">
      <alignment/>
    </xf>
    <xf numFmtId="0" fontId="38" fillId="0" borderId="0" xfId="0" applyFont="1" applyAlignment="1">
      <alignment/>
    </xf>
    <xf numFmtId="177" fontId="13" fillId="0" borderId="0" xfId="0" applyNumberFormat="1" applyFont="1" applyFill="1" applyBorder="1" applyAlignment="1">
      <alignment horizontal="left"/>
    </xf>
    <xf numFmtId="0" fontId="0" fillId="0" borderId="0" xfId="0" applyFill="1" applyBorder="1" applyAlignment="1">
      <alignment/>
    </xf>
    <xf numFmtId="3" fontId="25" fillId="0" borderId="41" xfId="0" applyNumberFormat="1" applyFont="1" applyBorder="1" applyAlignment="1">
      <alignment/>
    </xf>
    <xf numFmtId="0" fontId="0" fillId="0" borderId="42" xfId="0" applyBorder="1" applyAlignment="1">
      <alignment/>
    </xf>
    <xf numFmtId="177" fontId="39" fillId="0" borderId="11" xfId="0" applyNumberFormat="1" applyFont="1" applyBorder="1" applyAlignment="1">
      <alignment vertical="center"/>
    </xf>
    <xf numFmtId="177" fontId="39" fillId="0" borderId="1" xfId="0" applyNumberFormat="1" applyFont="1" applyBorder="1" applyAlignment="1">
      <alignment vertical="center"/>
    </xf>
    <xf numFmtId="0" fontId="54" fillId="0" borderId="0" xfId="0" applyFont="1" applyBorder="1" applyAlignment="1">
      <alignment wrapText="1"/>
    </xf>
    <xf numFmtId="0" fontId="50" fillId="0" borderId="0" xfId="0" applyFont="1" applyBorder="1" applyAlignment="1">
      <alignment horizontal="center" vertical="top" wrapText="1"/>
    </xf>
    <xf numFmtId="177" fontId="54" fillId="0" borderId="0" xfId="0" applyNumberFormat="1" applyFont="1" applyAlignment="1">
      <alignment/>
    </xf>
    <xf numFmtId="0" fontId="54" fillId="0" borderId="0" xfId="0" applyFont="1" applyAlignment="1">
      <alignment/>
    </xf>
    <xf numFmtId="0" fontId="59" fillId="0" borderId="0" xfId="22" applyFont="1">
      <alignment/>
      <protection/>
    </xf>
    <xf numFmtId="0" fontId="15" fillId="0" borderId="0" xfId="22" applyFont="1" applyFill="1" applyAlignment="1">
      <alignment vertical="center"/>
      <protection/>
    </xf>
    <xf numFmtId="0" fontId="0" fillId="0" borderId="0" xfId="0" applyAlignment="1">
      <alignment/>
    </xf>
    <xf numFmtId="0" fontId="59" fillId="0" borderId="0" xfId="21" applyFont="1">
      <alignment/>
      <protection/>
    </xf>
    <xf numFmtId="206" fontId="15" fillId="0" borderId="0" xfId="22" applyNumberFormat="1" applyFont="1">
      <alignment/>
      <protection/>
    </xf>
    <xf numFmtId="5" fontId="29" fillId="3" borderId="0" xfId="17" applyNumberFormat="1" applyFont="1" applyFill="1" applyBorder="1" applyAlignment="1">
      <alignment horizontal="left"/>
    </xf>
    <xf numFmtId="5" fontId="29" fillId="3" borderId="0" xfId="22" applyNumberFormat="1" applyFont="1" applyFill="1" applyBorder="1" applyAlignment="1">
      <alignment horizontal="left"/>
      <protection/>
    </xf>
    <xf numFmtId="5" fontId="29" fillId="0" borderId="8" xfId="17" applyNumberFormat="1" applyFont="1" applyBorder="1" applyAlignment="1">
      <alignment horizontal="left"/>
    </xf>
    <xf numFmtId="0" fontId="58" fillId="0" borderId="0" xfId="22" applyFont="1" applyAlignment="1">
      <alignment horizontal="left"/>
      <protection/>
    </xf>
    <xf numFmtId="0" fontId="61" fillId="0" borderId="0" xfId="0" applyFont="1" applyAlignment="1">
      <alignment/>
    </xf>
    <xf numFmtId="177" fontId="61" fillId="0" borderId="0" xfId="0" applyNumberFormat="1" applyFont="1" applyAlignment="1">
      <alignment/>
    </xf>
    <xf numFmtId="177" fontId="38" fillId="0" borderId="0" xfId="0" applyNumberFormat="1" applyFont="1" applyAlignment="1">
      <alignment/>
    </xf>
    <xf numFmtId="177" fontId="61" fillId="0" borderId="0" xfId="0" applyNumberFormat="1" applyFont="1" applyAlignment="1">
      <alignment/>
    </xf>
    <xf numFmtId="177" fontId="38" fillId="0" borderId="0" xfId="0" applyNumberFormat="1" applyFont="1" applyAlignment="1">
      <alignment/>
    </xf>
    <xf numFmtId="3" fontId="61" fillId="2" borderId="0" xfId="0" applyNumberFormat="1" applyFont="1" applyFill="1" applyAlignment="1">
      <alignment/>
    </xf>
    <xf numFmtId="3" fontId="64" fillId="2" borderId="0" xfId="0" applyNumberFormat="1" applyFont="1" applyFill="1" applyBorder="1" applyAlignment="1">
      <alignment/>
    </xf>
    <xf numFmtId="0" fontId="38" fillId="0" borderId="0" xfId="0" applyFont="1" applyAlignment="1">
      <alignment/>
    </xf>
    <xf numFmtId="177" fontId="61" fillId="0" borderId="0" xfId="0" applyNumberFormat="1" applyFont="1" applyAlignment="1">
      <alignment/>
    </xf>
    <xf numFmtId="177" fontId="61" fillId="0" borderId="0" xfId="0" applyNumberFormat="1" applyFont="1" applyBorder="1" applyAlignment="1">
      <alignment/>
    </xf>
    <xf numFmtId="177" fontId="63" fillId="0" borderId="0" xfId="0" applyNumberFormat="1" applyFont="1" applyAlignment="1">
      <alignment/>
    </xf>
    <xf numFmtId="177" fontId="62" fillId="0" borderId="0" xfId="0" applyNumberFormat="1" applyFont="1" applyAlignment="1">
      <alignment/>
    </xf>
    <xf numFmtId="0" fontId="63" fillId="0" borderId="0" xfId="0" applyFont="1" applyAlignment="1">
      <alignment/>
    </xf>
    <xf numFmtId="3" fontId="63" fillId="0" borderId="0" xfId="0" applyNumberFormat="1" applyFont="1" applyAlignment="1">
      <alignment/>
    </xf>
    <xf numFmtId="3" fontId="62" fillId="0" borderId="0" xfId="0" applyNumberFormat="1" applyFont="1" applyAlignment="1">
      <alignment/>
    </xf>
    <xf numFmtId="0" fontId="61" fillId="0" borderId="0" xfId="21" applyFont="1">
      <alignment/>
      <protection/>
    </xf>
    <xf numFmtId="0" fontId="38" fillId="0" borderId="0" xfId="21" applyFont="1">
      <alignment/>
      <protection/>
    </xf>
    <xf numFmtId="0" fontId="0" fillId="0" borderId="0" xfId="0" applyBorder="1" applyAlignment="1">
      <alignment wrapText="1"/>
    </xf>
    <xf numFmtId="0" fontId="55" fillId="0" borderId="0" xfId="0" applyFont="1" applyBorder="1" applyAlignment="1">
      <alignment horizontal="center"/>
    </xf>
    <xf numFmtId="177" fontId="65" fillId="0" borderId="0" xfId="0" applyNumberFormat="1" applyFont="1" applyAlignment="1">
      <alignment/>
    </xf>
    <xf numFmtId="177" fontId="25" fillId="0" borderId="0" xfId="0" applyNumberFormat="1" applyFont="1" applyAlignment="1">
      <alignment/>
    </xf>
    <xf numFmtId="177" fontId="15" fillId="0" borderId="0" xfId="0" applyNumberFormat="1" applyFont="1" applyFill="1" applyAlignment="1">
      <alignment/>
    </xf>
    <xf numFmtId="37" fontId="0" fillId="0" borderId="43" xfId="0" applyNumberFormat="1" applyBorder="1" applyAlignment="1">
      <alignment/>
    </xf>
    <xf numFmtId="37" fontId="6" fillId="0" borderId="21" xfId="0" applyNumberFormat="1" applyFont="1" applyBorder="1" applyAlignment="1">
      <alignment/>
    </xf>
    <xf numFmtId="37" fontId="6" fillId="0" borderId="16" xfId="0" applyNumberFormat="1" applyFont="1" applyBorder="1" applyAlignment="1">
      <alignment/>
    </xf>
    <xf numFmtId="37" fontId="6" fillId="0" borderId="2" xfId="0" applyNumberFormat="1" applyFont="1" applyBorder="1" applyAlignment="1">
      <alignment/>
    </xf>
    <xf numFmtId="37" fontId="6" fillId="0" borderId="4" xfId="0" applyNumberFormat="1" applyFont="1" applyBorder="1" applyAlignment="1">
      <alignment/>
    </xf>
    <xf numFmtId="37" fontId="24" fillId="0" borderId="2" xfId="0" applyNumberFormat="1" applyFont="1" applyBorder="1" applyAlignment="1">
      <alignment/>
    </xf>
    <xf numFmtId="37" fontId="24" fillId="0" borderId="4" xfId="0" applyNumberFormat="1" applyFont="1" applyBorder="1" applyAlignment="1">
      <alignment/>
    </xf>
    <xf numFmtId="37" fontId="6" fillId="0" borderId="44" xfId="0" applyNumberFormat="1" applyFont="1" applyBorder="1" applyAlignment="1">
      <alignment/>
    </xf>
    <xf numFmtId="37" fontId="6" fillId="0" borderId="43" xfId="0" applyNumberFormat="1" applyFont="1" applyBorder="1" applyAlignment="1">
      <alignment/>
    </xf>
    <xf numFmtId="37" fontId="25" fillId="0" borderId="45" xfId="0" applyNumberFormat="1" applyFont="1" applyBorder="1" applyAlignment="1">
      <alignment/>
    </xf>
    <xf numFmtId="37" fontId="6" fillId="0" borderId="5" xfId="0" applyNumberFormat="1" applyFont="1" applyBorder="1" applyAlignment="1">
      <alignment/>
    </xf>
    <xf numFmtId="37" fontId="6" fillId="0" borderId="7" xfId="0" applyNumberFormat="1" applyFont="1" applyBorder="1" applyAlignment="1">
      <alignment/>
    </xf>
    <xf numFmtId="37" fontId="6" fillId="0" borderId="46" xfId="0" applyNumberFormat="1" applyFont="1" applyBorder="1" applyAlignment="1">
      <alignment/>
    </xf>
    <xf numFmtId="37" fontId="25" fillId="0" borderId="5" xfId="0" applyNumberFormat="1" applyFont="1" applyBorder="1" applyAlignment="1">
      <alignment/>
    </xf>
    <xf numFmtId="5" fontId="25" fillId="0" borderId="5" xfId="0" applyNumberFormat="1" applyFont="1" applyBorder="1" applyAlignment="1">
      <alignment/>
    </xf>
    <xf numFmtId="3" fontId="46" fillId="0" borderId="6" xfId="0" applyNumberFormat="1" applyFont="1" applyBorder="1" applyAlignment="1">
      <alignment/>
    </xf>
    <xf numFmtId="37" fontId="6" fillId="0" borderId="15" xfId="0" applyNumberFormat="1" applyFont="1" applyBorder="1" applyAlignment="1">
      <alignment/>
    </xf>
    <xf numFmtId="37" fontId="6" fillId="0" borderId="16" xfId="0" applyNumberFormat="1" applyFont="1" applyBorder="1" applyAlignment="1">
      <alignment/>
    </xf>
    <xf numFmtId="37" fontId="6" fillId="0" borderId="7" xfId="0" applyNumberFormat="1" applyFont="1" applyBorder="1" applyAlignment="1">
      <alignment/>
    </xf>
    <xf numFmtId="3" fontId="15" fillId="0" borderId="0" xfId="22" applyNumberFormat="1" applyFont="1">
      <alignment/>
      <protection/>
    </xf>
    <xf numFmtId="3" fontId="15" fillId="0" borderId="3" xfId="15" applyNumberFormat="1" applyFont="1" applyBorder="1" applyAlignment="1">
      <alignment/>
    </xf>
    <xf numFmtId="3" fontId="15" fillId="0" borderId="2" xfId="15" applyNumberFormat="1" applyFont="1" applyBorder="1" applyAlignment="1">
      <alignment/>
    </xf>
    <xf numFmtId="3" fontId="15" fillId="0" borderId="0" xfId="15" applyNumberFormat="1" applyFont="1" applyAlignment="1">
      <alignment/>
    </xf>
    <xf numFmtId="3" fontId="29" fillId="0" borderId="3" xfId="15" applyNumberFormat="1" applyFont="1" applyBorder="1" applyAlignment="1">
      <alignment/>
    </xf>
    <xf numFmtId="3" fontId="29" fillId="0" borderId="2" xfId="15" applyNumberFormat="1" applyFont="1" applyBorder="1" applyAlignment="1">
      <alignment/>
    </xf>
    <xf numFmtId="37" fontId="15" fillId="0" borderId="3" xfId="22" applyNumberFormat="1" applyFont="1" applyBorder="1">
      <alignment/>
      <protection/>
    </xf>
    <xf numFmtId="37" fontId="15" fillId="0" borderId="4" xfId="22" applyNumberFormat="1" applyFont="1" applyBorder="1">
      <alignment/>
      <protection/>
    </xf>
    <xf numFmtId="37" fontId="15" fillId="0" borderId="0" xfId="22" applyNumberFormat="1" applyFont="1">
      <alignment/>
      <protection/>
    </xf>
    <xf numFmtId="37" fontId="15" fillId="0" borderId="0" xfId="22" applyNumberFormat="1" applyFont="1" applyBorder="1">
      <alignment/>
      <protection/>
    </xf>
    <xf numFmtId="37" fontId="15" fillId="0" borderId="3" xfId="22" applyNumberFormat="1" applyFont="1" applyBorder="1" applyAlignment="1">
      <alignment/>
      <protection/>
    </xf>
    <xf numFmtId="37" fontId="15" fillId="0" borderId="4" xfId="22" applyNumberFormat="1" applyFont="1" applyBorder="1" applyAlignment="1">
      <alignment/>
      <protection/>
    </xf>
    <xf numFmtId="37" fontId="15" fillId="0" borderId="6" xfId="15" applyNumberFormat="1" applyFont="1" applyBorder="1" applyAlignment="1">
      <alignment/>
    </xf>
    <xf numFmtId="37" fontId="15" fillId="0" borderId="7" xfId="15" applyNumberFormat="1" applyFont="1" applyBorder="1" applyAlignment="1">
      <alignment/>
    </xf>
    <xf numFmtId="37" fontId="15" fillId="0" borderId="3" xfId="15" applyNumberFormat="1" applyFont="1" applyBorder="1" applyAlignment="1">
      <alignment/>
    </xf>
    <xf numFmtId="37" fontId="15" fillId="0" borderId="2" xfId="15" applyNumberFormat="1" applyFont="1" applyBorder="1" applyAlignment="1">
      <alignment/>
    </xf>
    <xf numFmtId="37" fontId="15" fillId="0" borderId="1" xfId="15" applyNumberFormat="1" applyFont="1" applyBorder="1" applyAlignment="1">
      <alignment/>
    </xf>
    <xf numFmtId="37" fontId="15" fillId="0" borderId="7" xfId="22" applyNumberFormat="1" applyFont="1" applyBorder="1">
      <alignment/>
      <protection/>
    </xf>
    <xf numFmtId="37" fontId="29" fillId="0" borderId="6" xfId="15" applyNumberFormat="1" applyFont="1" applyBorder="1" applyAlignment="1">
      <alignment/>
    </xf>
    <xf numFmtId="37" fontId="29" fillId="0" borderId="7" xfId="15" applyNumberFormat="1" applyFont="1" applyBorder="1" applyAlignment="1">
      <alignment/>
    </xf>
    <xf numFmtId="37" fontId="29" fillId="0" borderId="3" xfId="15" applyNumberFormat="1" applyFont="1" applyBorder="1" applyAlignment="1">
      <alignment/>
    </xf>
    <xf numFmtId="37" fontId="29" fillId="0" borderId="2" xfId="15" applyNumberFormat="1" applyFont="1" applyBorder="1" applyAlignment="1">
      <alignment/>
    </xf>
    <xf numFmtId="37" fontId="29" fillId="0" borderId="29" xfId="15" applyNumberFormat="1" applyFont="1" applyBorder="1" applyAlignment="1">
      <alignment/>
    </xf>
    <xf numFmtId="37" fontId="29" fillId="0" borderId="1" xfId="15" applyNumberFormat="1" applyFont="1" applyBorder="1" applyAlignment="1">
      <alignment/>
    </xf>
    <xf numFmtId="37" fontId="5" fillId="0" borderId="14" xfId="0" applyNumberFormat="1" applyFont="1" applyBorder="1" applyAlignment="1">
      <alignment/>
    </xf>
    <xf numFmtId="37" fontId="5" fillId="0" borderId="15" xfId="0" applyNumberFormat="1" applyFont="1" applyBorder="1" applyAlignment="1">
      <alignment/>
    </xf>
    <xf numFmtId="37" fontId="5" fillId="0" borderId="16" xfId="0" applyNumberFormat="1" applyFont="1" applyBorder="1" applyAlignment="1">
      <alignment/>
    </xf>
    <xf numFmtId="37" fontId="5" fillId="0" borderId="1" xfId="0" applyNumberFormat="1" applyFont="1" applyFill="1" applyBorder="1" applyAlignment="1">
      <alignment/>
    </xf>
    <xf numFmtId="37" fontId="5" fillId="0" borderId="7" xfId="0" applyNumberFormat="1" applyFont="1" applyFill="1" applyBorder="1" applyAlignment="1">
      <alignment/>
    </xf>
    <xf numFmtId="37" fontId="34" fillId="0" borderId="6" xfId="0" applyNumberFormat="1" applyFont="1" applyBorder="1" applyAlignment="1">
      <alignment/>
    </xf>
    <xf numFmtId="37" fontId="34" fillId="0" borderId="1" xfId="0" applyNumberFormat="1" applyFont="1" applyBorder="1" applyAlignment="1">
      <alignment/>
    </xf>
    <xf numFmtId="37" fontId="5" fillId="0" borderId="6" xfId="0" applyNumberFormat="1" applyFont="1" applyBorder="1" applyAlignment="1">
      <alignment/>
    </xf>
    <xf numFmtId="37" fontId="5" fillId="0" borderId="1" xfId="0" applyNumberFormat="1" applyFont="1" applyBorder="1" applyAlignment="1">
      <alignment/>
    </xf>
    <xf numFmtId="37" fontId="5" fillId="0" borderId="7" xfId="0" applyNumberFormat="1" applyFont="1" applyBorder="1" applyAlignment="1">
      <alignment/>
    </xf>
    <xf numFmtId="37" fontId="5" fillId="0" borderId="29" xfId="0" applyNumberFormat="1" applyFont="1" applyBorder="1" applyAlignment="1">
      <alignment/>
    </xf>
    <xf numFmtId="37" fontId="5" fillId="0" borderId="40" xfId="0" applyNumberFormat="1" applyFont="1" applyBorder="1" applyAlignment="1">
      <alignment/>
    </xf>
    <xf numFmtId="37" fontId="5" fillId="0" borderId="47" xfId="0" applyNumberFormat="1" applyFont="1" applyBorder="1" applyAlignment="1">
      <alignment/>
    </xf>
    <xf numFmtId="5" fontId="5" fillId="0" borderId="1" xfId="0" applyNumberFormat="1" applyFont="1" applyBorder="1" applyAlignment="1">
      <alignment/>
    </xf>
    <xf numFmtId="5" fontId="5" fillId="0" borderId="7" xfId="0" applyNumberFormat="1" applyFont="1" applyBorder="1" applyAlignment="1">
      <alignment/>
    </xf>
    <xf numFmtId="37" fontId="29" fillId="3" borderId="0" xfId="22" applyNumberFormat="1" applyFont="1" applyFill="1" applyBorder="1" applyAlignment="1">
      <alignment horizontal="left"/>
      <protection/>
    </xf>
    <xf numFmtId="5" fontId="46" fillId="0" borderId="1" xfId="0" applyNumberFormat="1" applyFont="1" applyBorder="1" applyAlignment="1">
      <alignment/>
    </xf>
    <xf numFmtId="37" fontId="39" fillId="0" borderId="14" xfId="0" applyNumberFormat="1" applyFont="1" applyBorder="1" applyAlignment="1">
      <alignment/>
    </xf>
    <xf numFmtId="37" fontId="39" fillId="0" borderId="15" xfId="0" applyNumberFormat="1" applyFont="1" applyBorder="1" applyAlignment="1">
      <alignment/>
    </xf>
    <xf numFmtId="37" fontId="39" fillId="0" borderId="16" xfId="0" applyNumberFormat="1" applyFont="1" applyBorder="1" applyAlignment="1">
      <alignment/>
    </xf>
    <xf numFmtId="37" fontId="39" fillId="0" borderId="6" xfId="0" applyNumberFormat="1" applyFont="1" applyBorder="1" applyAlignment="1">
      <alignment/>
    </xf>
    <xf numFmtId="37" fontId="39" fillId="0" borderId="1" xfId="0" applyNumberFormat="1" applyFont="1" applyBorder="1" applyAlignment="1">
      <alignment/>
    </xf>
    <xf numFmtId="37" fontId="39" fillId="0" borderId="7" xfId="0" applyNumberFormat="1" applyFont="1" applyBorder="1" applyAlignment="1">
      <alignment/>
    </xf>
    <xf numFmtId="37" fontId="46" fillId="0" borderId="6" xfId="0" applyNumberFormat="1" applyFont="1" applyBorder="1" applyAlignment="1">
      <alignment/>
    </xf>
    <xf numFmtId="37" fontId="46" fillId="0" borderId="1" xfId="0" applyNumberFormat="1" applyFont="1" applyBorder="1" applyAlignment="1">
      <alignment/>
    </xf>
    <xf numFmtId="37" fontId="39" fillId="0" borderId="0" xfId="0" applyNumberFormat="1" applyFont="1" applyAlignment="1">
      <alignment/>
    </xf>
    <xf numFmtId="5" fontId="46" fillId="0" borderId="7" xfId="0" applyNumberFormat="1" applyFont="1" applyBorder="1" applyAlignment="1">
      <alignment/>
    </xf>
    <xf numFmtId="37" fontId="15" fillId="0" borderId="4" xfId="17" applyNumberFormat="1" applyFont="1" applyBorder="1" applyAlignment="1">
      <alignment/>
    </xf>
    <xf numFmtId="37" fontId="30" fillId="0" borderId="3" xfId="15" applyNumberFormat="1" applyFont="1" applyBorder="1" applyAlignment="1">
      <alignment/>
    </xf>
    <xf numFmtId="37" fontId="30" fillId="0" borderId="4" xfId="15" applyNumberFormat="1" applyFont="1" applyBorder="1" applyAlignment="1">
      <alignment/>
    </xf>
    <xf numFmtId="37" fontId="15" fillId="0" borderId="4" xfId="15" applyNumberFormat="1" applyFont="1" applyBorder="1" applyAlignment="1">
      <alignment/>
    </xf>
    <xf numFmtId="37" fontId="30" fillId="0" borderId="0" xfId="15" applyNumberFormat="1" applyFont="1" applyBorder="1" applyAlignment="1">
      <alignment/>
    </xf>
    <xf numFmtId="37" fontId="15" fillId="0" borderId="0" xfId="15" applyNumberFormat="1" applyFont="1" applyBorder="1" applyAlignment="1">
      <alignment/>
    </xf>
    <xf numFmtId="37" fontId="15" fillId="0" borderId="10" xfId="22" applyNumberFormat="1" applyFont="1" applyBorder="1">
      <alignment/>
      <protection/>
    </xf>
    <xf numFmtId="0" fontId="15" fillId="0" borderId="0" xfId="22" applyNumberFormat="1" applyFont="1">
      <alignment/>
      <protection/>
    </xf>
    <xf numFmtId="177" fontId="61" fillId="0" borderId="0" xfId="0" applyNumberFormat="1" applyFont="1" applyBorder="1" applyAlignment="1">
      <alignment/>
    </xf>
    <xf numFmtId="0" fontId="57" fillId="0" borderId="0" xfId="0" applyFont="1" applyAlignment="1">
      <alignment/>
    </xf>
    <xf numFmtId="177" fontId="25" fillId="0" borderId="10" xfId="0" applyNumberFormat="1" applyFont="1" applyBorder="1" applyAlignment="1">
      <alignment/>
    </xf>
    <xf numFmtId="177" fontId="25" fillId="0" borderId="11" xfId="0" applyNumberFormat="1" applyFont="1" applyBorder="1" applyAlignment="1">
      <alignment/>
    </xf>
    <xf numFmtId="177" fontId="25" fillId="0" borderId="3" xfId="0" applyNumberFormat="1" applyFont="1" applyBorder="1" applyAlignment="1">
      <alignment/>
    </xf>
    <xf numFmtId="177" fontId="25" fillId="0" borderId="0" xfId="0" applyNumberFormat="1" applyFont="1" applyBorder="1" applyAlignment="1">
      <alignment/>
    </xf>
    <xf numFmtId="177" fontId="25" fillId="0" borderId="13" xfId="0" applyNumberFormat="1" applyFont="1" applyBorder="1" applyAlignment="1">
      <alignment/>
    </xf>
    <xf numFmtId="177" fontId="25" fillId="0" borderId="12" xfId="0" applyNumberFormat="1" applyFont="1" applyBorder="1" applyAlignment="1">
      <alignment/>
    </xf>
    <xf numFmtId="177" fontId="25" fillId="0" borderId="13" xfId="0" applyNumberFormat="1" applyFont="1" applyBorder="1" applyAlignment="1">
      <alignment horizontal="right"/>
    </xf>
    <xf numFmtId="177" fontId="25" fillId="0" borderId="12" xfId="0" applyNumberFormat="1" applyFont="1" applyBorder="1" applyAlignment="1">
      <alignment horizontal="right"/>
    </xf>
    <xf numFmtId="177" fontId="6" fillId="0" borderId="6" xfId="0" applyNumberFormat="1" applyFont="1" applyBorder="1" applyAlignment="1">
      <alignment/>
    </xf>
    <xf numFmtId="177" fontId="6" fillId="0" borderId="1" xfId="0" applyNumberFormat="1" applyFont="1" applyBorder="1" applyAlignment="1">
      <alignment/>
    </xf>
    <xf numFmtId="3" fontId="6" fillId="0" borderId="1" xfId="0" applyNumberFormat="1" applyFont="1" applyFill="1" applyBorder="1" applyAlignment="1">
      <alignment/>
    </xf>
    <xf numFmtId="177" fontId="6" fillId="0" borderId="3" xfId="0" applyNumberFormat="1" applyFont="1" applyBorder="1" applyAlignment="1">
      <alignment/>
    </xf>
    <xf numFmtId="0" fontId="6" fillId="0" borderId="48" xfId="0" applyFont="1" applyBorder="1" applyAlignment="1">
      <alignment/>
    </xf>
    <xf numFmtId="177" fontId="6" fillId="0" borderId="29" xfId="0" applyNumberFormat="1" applyFont="1" applyBorder="1" applyAlignment="1">
      <alignment/>
    </xf>
    <xf numFmtId="3" fontId="39" fillId="0" borderId="3" xfId="0" applyNumberFormat="1" applyFont="1" applyBorder="1" applyAlignment="1">
      <alignment horizontal="left" indent="2"/>
    </xf>
    <xf numFmtId="0" fontId="0" fillId="0" borderId="0" xfId="0" applyBorder="1" applyAlignment="1">
      <alignment horizontal="left" indent="2"/>
    </xf>
    <xf numFmtId="177" fontId="5" fillId="0" borderId="48" xfId="0" applyNumberFormat="1" applyFont="1" applyBorder="1" applyAlignment="1">
      <alignment/>
    </xf>
    <xf numFmtId="177" fontId="5" fillId="0" borderId="1" xfId="0" applyNumberFormat="1" applyFont="1" applyFill="1" applyBorder="1" applyAlignment="1">
      <alignment/>
    </xf>
    <xf numFmtId="177" fontId="34" fillId="0" borderId="6" xfId="0" applyNumberFormat="1" applyFont="1" applyBorder="1" applyAlignment="1">
      <alignment/>
    </xf>
    <xf numFmtId="177" fontId="34" fillId="0" borderId="1" xfId="0" applyNumberFormat="1" applyFont="1" applyBorder="1" applyAlignment="1">
      <alignment/>
    </xf>
    <xf numFmtId="177" fontId="5" fillId="0" borderId="49" xfId="0" applyNumberFormat="1" applyFont="1" applyBorder="1" applyAlignment="1">
      <alignment/>
    </xf>
    <xf numFmtId="177" fontId="5" fillId="0" borderId="50" xfId="0" applyNumberFormat="1" applyFont="1" applyBorder="1" applyAlignment="1">
      <alignment/>
    </xf>
    <xf numFmtId="177" fontId="5" fillId="0" borderId="51" xfId="0" applyNumberFormat="1" applyFont="1" applyBorder="1" applyAlignment="1">
      <alignment/>
    </xf>
    <xf numFmtId="177" fontId="5" fillId="0" borderId="40" xfId="0" applyNumberFormat="1" applyFont="1" applyBorder="1" applyAlignment="1">
      <alignment/>
    </xf>
    <xf numFmtId="177" fontId="5" fillId="0" borderId="52" xfId="0" applyNumberFormat="1" applyFont="1" applyFill="1" applyBorder="1" applyAlignment="1">
      <alignment/>
    </xf>
    <xf numFmtId="177" fontId="6" fillId="0" borderId="1" xfId="0" applyNumberFormat="1" applyFont="1" applyFill="1" applyBorder="1" applyAlignment="1">
      <alignment/>
    </xf>
    <xf numFmtId="177" fontId="6" fillId="0" borderId="40" xfId="0" applyNumberFormat="1" applyFont="1" applyBorder="1" applyAlignment="1">
      <alignment/>
    </xf>
    <xf numFmtId="177" fontId="6" fillId="0" borderId="14" xfId="0" applyNumberFormat="1" applyFont="1" applyBorder="1" applyAlignment="1">
      <alignment/>
    </xf>
    <xf numFmtId="177" fontId="25" fillId="0" borderId="6" xfId="0" applyNumberFormat="1" applyFont="1" applyBorder="1" applyAlignment="1">
      <alignment/>
    </xf>
    <xf numFmtId="177" fontId="25" fillId="0" borderId="1" xfId="0" applyNumberFormat="1" applyFont="1" applyBorder="1" applyAlignment="1">
      <alignment/>
    </xf>
    <xf numFmtId="177" fontId="6" fillId="0" borderId="47" xfId="0" applyNumberFormat="1" applyFont="1" applyBorder="1" applyAlignment="1">
      <alignment/>
    </xf>
    <xf numFmtId="177" fontId="32" fillId="2" borderId="14" xfId="0" applyNumberFormat="1" applyFont="1" applyFill="1" applyBorder="1" applyAlignment="1">
      <alignment/>
    </xf>
    <xf numFmtId="177" fontId="32" fillId="2" borderId="15" xfId="0" applyNumberFormat="1" applyFont="1" applyFill="1" applyBorder="1" applyAlignment="1">
      <alignment/>
    </xf>
    <xf numFmtId="177" fontId="32" fillId="2" borderId="16" xfId="0" applyNumberFormat="1" applyFont="1" applyFill="1" applyBorder="1" applyAlignment="1">
      <alignment/>
    </xf>
    <xf numFmtId="177" fontId="32" fillId="2" borderId="49" xfId="0" applyNumberFormat="1" applyFont="1" applyFill="1" applyBorder="1" applyAlignment="1">
      <alignment/>
    </xf>
    <xf numFmtId="177" fontId="32" fillId="2" borderId="1" xfId="0" applyNumberFormat="1" applyFont="1" applyFill="1" applyBorder="1" applyAlignment="1">
      <alignment/>
    </xf>
    <xf numFmtId="177" fontId="32" fillId="2" borderId="7" xfId="0" applyNumberFormat="1" applyFont="1" applyFill="1" applyBorder="1" applyAlignment="1">
      <alignment/>
    </xf>
    <xf numFmtId="177" fontId="33" fillId="2" borderId="29" xfId="0" applyNumberFormat="1" applyFont="1" applyFill="1" applyBorder="1" applyAlignment="1">
      <alignment/>
    </xf>
    <xf numFmtId="177" fontId="32" fillId="2" borderId="40" xfId="0" applyNumberFormat="1" applyFont="1" applyFill="1" applyBorder="1" applyAlignment="1">
      <alignment/>
    </xf>
    <xf numFmtId="177" fontId="32" fillId="2" borderId="47" xfId="0" applyNumberFormat="1" applyFont="1" applyFill="1" applyBorder="1" applyAlignment="1">
      <alignment/>
    </xf>
    <xf numFmtId="177" fontId="33" fillId="2" borderId="15" xfId="0" applyNumberFormat="1" applyFont="1" applyFill="1" applyBorder="1" applyAlignment="1">
      <alignment/>
    </xf>
    <xf numFmtId="177" fontId="32" fillId="2" borderId="14" xfId="0" applyNumberFormat="1" applyFont="1" applyFill="1" applyBorder="1" applyAlignment="1">
      <alignment horizontal="right"/>
    </xf>
    <xf numFmtId="177" fontId="32" fillId="2" borderId="33" xfId="0" applyNumberFormat="1" applyFont="1" applyFill="1" applyBorder="1" applyAlignment="1">
      <alignment horizontal="right"/>
    </xf>
    <xf numFmtId="177" fontId="32" fillId="2" borderId="33" xfId="0" applyNumberFormat="1" applyFont="1" applyFill="1" applyBorder="1" applyAlignment="1">
      <alignment/>
    </xf>
    <xf numFmtId="177" fontId="32" fillId="2" borderId="53" xfId="0" applyNumberFormat="1" applyFont="1" applyFill="1" applyBorder="1" applyAlignment="1">
      <alignment/>
    </xf>
    <xf numFmtId="177" fontId="13" fillId="2" borderId="14" xfId="0" applyNumberFormat="1" applyFont="1" applyFill="1" applyBorder="1" applyAlignment="1">
      <alignment/>
    </xf>
    <xf numFmtId="177" fontId="13" fillId="2" borderId="15" xfId="0" applyNumberFormat="1" applyFont="1" applyFill="1" applyBorder="1" applyAlignment="1">
      <alignment/>
    </xf>
    <xf numFmtId="177" fontId="13" fillId="2" borderId="16" xfId="0" applyNumberFormat="1" applyFont="1" applyFill="1" applyBorder="1" applyAlignment="1">
      <alignment/>
    </xf>
    <xf numFmtId="177" fontId="14" fillId="2" borderId="14" xfId="0" applyNumberFormat="1" applyFont="1" applyFill="1" applyBorder="1" applyAlignment="1">
      <alignment/>
    </xf>
    <xf numFmtId="177" fontId="14" fillId="2" borderId="15" xfId="0" applyNumberFormat="1" applyFont="1" applyFill="1" applyBorder="1" applyAlignment="1">
      <alignment/>
    </xf>
    <xf numFmtId="177" fontId="14" fillId="2" borderId="16" xfId="0" applyNumberFormat="1" applyFont="1" applyFill="1" applyBorder="1" applyAlignment="1">
      <alignment/>
    </xf>
    <xf numFmtId="177" fontId="13" fillId="2" borderId="3" xfId="0" applyNumberFormat="1" applyFont="1" applyFill="1" applyBorder="1" applyAlignment="1">
      <alignment/>
    </xf>
    <xf numFmtId="177" fontId="13" fillId="2" borderId="4" xfId="0" applyNumberFormat="1" applyFont="1" applyFill="1" applyBorder="1" applyAlignment="1">
      <alignment/>
    </xf>
    <xf numFmtId="177" fontId="13" fillId="2" borderId="29" xfId="0" applyNumberFormat="1" applyFont="1" applyFill="1" applyBorder="1" applyAlignment="1">
      <alignment/>
    </xf>
    <xf numFmtId="177" fontId="13" fillId="2" borderId="40" xfId="0" applyNumberFormat="1" applyFont="1" applyFill="1" applyBorder="1" applyAlignment="1">
      <alignment/>
    </xf>
    <xf numFmtId="177" fontId="13" fillId="2" borderId="47" xfId="0" applyNumberFormat="1" applyFont="1" applyFill="1" applyBorder="1" applyAlignment="1">
      <alignment/>
    </xf>
    <xf numFmtId="177" fontId="36" fillId="2" borderId="14" xfId="0" applyNumberFormat="1" applyFont="1" applyFill="1" applyBorder="1" applyAlignment="1">
      <alignment/>
    </xf>
    <xf numFmtId="177" fontId="36" fillId="2" borderId="15" xfId="0" applyNumberFormat="1" applyFont="1" applyFill="1" applyBorder="1" applyAlignment="1">
      <alignment/>
    </xf>
    <xf numFmtId="177" fontId="36" fillId="2" borderId="16" xfId="0" applyNumberFormat="1" applyFont="1" applyFill="1" applyBorder="1" applyAlignment="1">
      <alignment/>
    </xf>
    <xf numFmtId="177" fontId="13" fillId="0" borderId="14" xfId="0" applyNumberFormat="1" applyFont="1" applyFill="1" applyBorder="1" applyAlignment="1">
      <alignment/>
    </xf>
    <xf numFmtId="177" fontId="13" fillId="0" borderId="15" xfId="0" applyNumberFormat="1" applyFont="1" applyFill="1" applyBorder="1" applyAlignment="1">
      <alignment/>
    </xf>
    <xf numFmtId="177" fontId="13" fillId="0" borderId="16" xfId="0" applyNumberFormat="1" applyFont="1" applyFill="1" applyBorder="1" applyAlignment="1">
      <alignment/>
    </xf>
    <xf numFmtId="177" fontId="36" fillId="0" borderId="33" xfId="0" applyNumberFormat="1" applyFont="1" applyFill="1" applyBorder="1" applyAlignment="1">
      <alignment/>
    </xf>
    <xf numFmtId="177" fontId="36" fillId="0" borderId="54" xfId="0" applyNumberFormat="1" applyFont="1" applyFill="1" applyBorder="1" applyAlignment="1">
      <alignment/>
    </xf>
    <xf numFmtId="177" fontId="36" fillId="0" borderId="53" xfId="0" applyNumberFormat="1" applyFont="1" applyFill="1" applyBorder="1" applyAlignment="1">
      <alignment/>
    </xf>
    <xf numFmtId="177" fontId="13" fillId="2" borderId="14" xfId="0" applyNumberFormat="1" applyFont="1" applyFill="1" applyBorder="1" applyAlignment="1">
      <alignment horizontal="right"/>
    </xf>
    <xf numFmtId="177" fontId="32" fillId="2" borderId="22" xfId="0" applyNumberFormat="1" applyFont="1" applyFill="1" applyBorder="1" applyAlignment="1">
      <alignment/>
    </xf>
    <xf numFmtId="177" fontId="32" fillId="2" borderId="55" xfId="0" applyNumberFormat="1" applyFont="1" applyFill="1" applyBorder="1" applyAlignment="1">
      <alignment/>
    </xf>
    <xf numFmtId="177" fontId="32" fillId="2" borderId="56" xfId="0" applyNumberFormat="1" applyFont="1" applyFill="1" applyBorder="1" applyAlignment="1">
      <alignment/>
    </xf>
    <xf numFmtId="177" fontId="32" fillId="2" borderId="57" xfId="0" applyNumberFormat="1" applyFont="1" applyFill="1" applyBorder="1" applyAlignment="1">
      <alignment/>
    </xf>
    <xf numFmtId="177" fontId="32" fillId="2" borderId="58" xfId="0" applyNumberFormat="1" applyFont="1" applyFill="1" applyBorder="1" applyAlignment="1">
      <alignment/>
    </xf>
    <xf numFmtId="177" fontId="32" fillId="2" borderId="59" xfId="0" applyNumberFormat="1" applyFont="1" applyFill="1" applyBorder="1" applyAlignment="1">
      <alignment/>
    </xf>
    <xf numFmtId="177" fontId="32" fillId="2" borderId="9" xfId="0" applyNumberFormat="1" applyFont="1" applyFill="1" applyAlignment="1">
      <alignment/>
    </xf>
    <xf numFmtId="177" fontId="32" fillId="2" borderId="60" xfId="0" applyNumberFormat="1" applyFont="1" applyFill="1" applyBorder="1" applyAlignment="1">
      <alignment/>
    </xf>
    <xf numFmtId="177" fontId="32" fillId="2" borderId="61" xfId="0" applyNumberFormat="1" applyFont="1" applyFill="1" applyAlignment="1">
      <alignment/>
    </xf>
    <xf numFmtId="177" fontId="32" fillId="2" borderId="62" xfId="0" applyNumberFormat="1" applyFont="1" applyFill="1" applyBorder="1" applyAlignment="1">
      <alignment/>
    </xf>
    <xf numFmtId="177" fontId="32" fillId="2" borderId="63" xfId="0" applyNumberFormat="1" applyFont="1" applyFill="1" applyAlignment="1">
      <alignment/>
    </xf>
    <xf numFmtId="177" fontId="32" fillId="2" borderId="64" xfId="0" applyNumberFormat="1" applyFont="1" applyFill="1" applyBorder="1" applyAlignment="1">
      <alignment/>
    </xf>
    <xf numFmtId="177" fontId="32" fillId="2" borderId="65" xfId="0" applyNumberFormat="1" applyFont="1" applyFill="1" applyBorder="1" applyAlignment="1">
      <alignment/>
    </xf>
    <xf numFmtId="177" fontId="32" fillId="2" borderId="66" xfId="0" applyNumberFormat="1" applyFont="1" applyFill="1" applyBorder="1" applyAlignment="1">
      <alignment/>
    </xf>
    <xf numFmtId="177" fontId="32" fillId="2" borderId="0" xfId="0" applyNumberFormat="1" applyFont="1" applyFill="1" applyBorder="1" applyAlignment="1">
      <alignment/>
    </xf>
    <xf numFmtId="177" fontId="32" fillId="2" borderId="67" xfId="0" applyNumberFormat="1" applyFont="1" applyFill="1" applyBorder="1" applyAlignment="1">
      <alignment/>
    </xf>
    <xf numFmtId="177" fontId="32" fillId="2" borderId="68" xfId="0" applyNumberFormat="1" applyFont="1" applyFill="1" applyBorder="1" applyAlignment="1">
      <alignment/>
    </xf>
    <xf numFmtId="177" fontId="32" fillId="2" borderId="69" xfId="0" applyNumberFormat="1" applyFont="1" applyFill="1" applyBorder="1" applyAlignment="1">
      <alignment/>
    </xf>
    <xf numFmtId="177" fontId="32" fillId="2" borderId="70" xfId="0" applyNumberFormat="1" applyFont="1" applyFill="1" applyBorder="1" applyAlignment="1">
      <alignment/>
    </xf>
    <xf numFmtId="177" fontId="32" fillId="2" borderId="71" xfId="0" applyNumberFormat="1" applyFont="1" applyFill="1" applyBorder="1" applyAlignment="1">
      <alignment/>
    </xf>
    <xf numFmtId="177" fontId="32" fillId="2" borderId="72" xfId="0" applyNumberFormat="1" applyFont="1" applyFill="1" applyBorder="1" applyAlignment="1">
      <alignment/>
    </xf>
    <xf numFmtId="177" fontId="32" fillId="2" borderId="73" xfId="0" applyNumberFormat="1" applyFont="1" applyFill="1" applyBorder="1" applyAlignment="1">
      <alignment/>
    </xf>
    <xf numFmtId="177" fontId="33" fillId="2" borderId="34" xfId="0" applyNumberFormat="1" applyFont="1" applyFill="1" applyBorder="1" applyAlignment="1">
      <alignment/>
    </xf>
    <xf numFmtId="177" fontId="33" fillId="2" borderId="74" xfId="0" applyNumberFormat="1" applyFont="1" applyFill="1" applyBorder="1" applyAlignment="1">
      <alignment/>
    </xf>
    <xf numFmtId="177" fontId="33" fillId="2" borderId="75" xfId="0" applyNumberFormat="1" applyFont="1" applyFill="1" applyBorder="1" applyAlignment="1">
      <alignment/>
    </xf>
    <xf numFmtId="177" fontId="33" fillId="2" borderId="76" xfId="0" applyNumberFormat="1" applyFont="1" applyFill="1" applyBorder="1" applyAlignment="1">
      <alignment/>
    </xf>
    <xf numFmtId="177" fontId="37" fillId="2" borderId="77" xfId="0" applyNumberFormat="1" applyFont="1" applyFill="1" applyBorder="1" applyAlignment="1">
      <alignment/>
    </xf>
    <xf numFmtId="0" fontId="0" fillId="0" borderId="4" xfId="0" applyBorder="1" applyAlignment="1">
      <alignment horizontal="left" indent="2"/>
    </xf>
    <xf numFmtId="0" fontId="0" fillId="0" borderId="15" xfId="0" applyBorder="1" applyAlignment="1">
      <alignment/>
    </xf>
    <xf numFmtId="0" fontId="6" fillId="0" borderId="15" xfId="0" applyFont="1" applyBorder="1" applyAlignment="1">
      <alignment/>
    </xf>
    <xf numFmtId="165" fontId="25" fillId="0" borderId="4" xfId="0" applyNumberFormat="1" applyFont="1" applyBorder="1" applyAlignment="1">
      <alignment/>
    </xf>
    <xf numFmtId="177" fontId="0" fillId="0" borderId="43" xfId="0" applyNumberFormat="1" applyBorder="1" applyAlignment="1">
      <alignment/>
    </xf>
    <xf numFmtId="37" fontId="6" fillId="0" borderId="78" xfId="0" applyNumberFormat="1" applyFont="1" applyBorder="1" applyAlignment="1">
      <alignment/>
    </xf>
    <xf numFmtId="3" fontId="6" fillId="0" borderId="79" xfId="0" applyNumberFormat="1" applyFont="1" applyBorder="1" applyAlignment="1">
      <alignment/>
    </xf>
    <xf numFmtId="0" fontId="0" fillId="0" borderId="37" xfId="0" applyFont="1" applyBorder="1" applyAlignment="1">
      <alignment/>
    </xf>
    <xf numFmtId="177" fontId="6" fillId="0" borderId="37" xfId="0" applyNumberFormat="1" applyFont="1" applyBorder="1" applyAlignment="1">
      <alignment horizontal="fill"/>
    </xf>
    <xf numFmtId="177" fontId="46" fillId="0" borderId="0" xfId="0" applyNumberFormat="1" applyFont="1" applyBorder="1" applyAlignment="1">
      <alignment/>
    </xf>
    <xf numFmtId="177" fontId="46" fillId="0" borderId="3" xfId="0" applyNumberFormat="1" applyFont="1" applyBorder="1" applyAlignment="1">
      <alignment/>
    </xf>
    <xf numFmtId="177" fontId="46" fillId="0" borderId="4" xfId="0" applyNumberFormat="1" applyFont="1" applyBorder="1" applyAlignment="1">
      <alignment/>
    </xf>
    <xf numFmtId="165" fontId="39" fillId="0" borderId="0" xfId="0" applyNumberFormat="1" applyFont="1" applyAlignment="1">
      <alignment/>
    </xf>
    <xf numFmtId="3" fontId="39" fillId="0" borderId="0" xfId="0" applyNumberFormat="1" applyFont="1" applyAlignment="1">
      <alignment/>
    </xf>
    <xf numFmtId="0" fontId="39" fillId="0" borderId="0" xfId="0" applyFont="1" applyBorder="1" applyAlignment="1">
      <alignment horizontal="left"/>
    </xf>
    <xf numFmtId="3" fontId="45" fillId="0" borderId="0" xfId="0" applyNumberFormat="1" applyFont="1" applyBorder="1" applyAlignment="1">
      <alignment wrapText="1"/>
    </xf>
    <xf numFmtId="0" fontId="49" fillId="0" borderId="0" xfId="0" applyFont="1" applyBorder="1" applyAlignment="1">
      <alignment wrapText="1"/>
    </xf>
    <xf numFmtId="0" fontId="17" fillId="0" borderId="0" xfId="0" applyFont="1" applyBorder="1" applyAlignment="1">
      <alignment wrapText="1"/>
    </xf>
    <xf numFmtId="0" fontId="55" fillId="0" borderId="0" xfId="0" applyFont="1" applyBorder="1" applyAlignment="1">
      <alignment horizontal="center"/>
    </xf>
    <xf numFmtId="0" fontId="6" fillId="0" borderId="49" xfId="0" applyFont="1" applyBorder="1" applyAlignment="1">
      <alignment horizontal="left" indent="4"/>
    </xf>
    <xf numFmtId="0" fontId="0" fillId="0" borderId="80" xfId="0" applyBorder="1" applyAlignment="1">
      <alignment horizontal="left" indent="4"/>
    </xf>
    <xf numFmtId="3" fontId="6" fillId="0" borderId="49" xfId="0" applyNumberFormat="1" applyFont="1" applyBorder="1" applyAlignment="1">
      <alignment/>
    </xf>
    <xf numFmtId="0" fontId="0" fillId="0" borderId="80" xfId="0" applyBorder="1" applyAlignment="1">
      <alignment/>
    </xf>
    <xf numFmtId="0" fontId="61" fillId="0" borderId="0" xfId="0" applyFont="1" applyFill="1" applyAlignment="1">
      <alignment/>
    </xf>
    <xf numFmtId="0" fontId="39" fillId="0" borderId="0" xfId="0" applyFont="1" applyFill="1" applyBorder="1" applyAlignment="1">
      <alignment wrapText="1"/>
    </xf>
    <xf numFmtId="0" fontId="0" fillId="0" borderId="0" xfId="0" applyFill="1" applyAlignment="1">
      <alignment/>
    </xf>
    <xf numFmtId="0" fontId="39" fillId="0" borderId="0" xfId="0" applyFont="1" applyFill="1" applyAlignment="1">
      <alignment/>
    </xf>
    <xf numFmtId="0" fontId="0" fillId="0" borderId="80" xfId="0" applyNumberFormat="1" applyFont="1" applyBorder="1" applyAlignment="1">
      <alignment horizontal="left" indent="4"/>
    </xf>
    <xf numFmtId="0" fontId="6" fillId="0" borderId="80" xfId="0" applyFont="1" applyBorder="1" applyAlignment="1">
      <alignment horizontal="left" indent="4"/>
    </xf>
    <xf numFmtId="0" fontId="0" fillId="0" borderId="15" xfId="0" applyNumberFormat="1" applyFont="1" applyBorder="1" applyAlignment="1">
      <alignment horizontal="left" indent="4"/>
    </xf>
    <xf numFmtId="3" fontId="6" fillId="0" borderId="49" xfId="0" applyNumberFormat="1" applyFont="1" applyBorder="1" applyAlignment="1">
      <alignment horizontal="left" indent="4"/>
    </xf>
    <xf numFmtId="3" fontId="6" fillId="0" borderId="49" xfId="0" applyNumberFormat="1" applyFont="1" applyBorder="1" applyAlignment="1">
      <alignment horizontal="left" indent="2"/>
    </xf>
    <xf numFmtId="0" fontId="0" fillId="0" borderId="80" xfId="0" applyBorder="1" applyAlignment="1">
      <alignment horizontal="left" indent="2"/>
    </xf>
    <xf numFmtId="3" fontId="6" fillId="0" borderId="14" xfId="0" applyNumberFormat="1" applyFont="1" applyBorder="1" applyAlignment="1">
      <alignment horizontal="left" indent="4"/>
    </xf>
    <xf numFmtId="0" fontId="0" fillId="0" borderId="15" xfId="0" applyBorder="1" applyAlignment="1">
      <alignment horizontal="left" indent="4"/>
    </xf>
    <xf numFmtId="3" fontId="6" fillId="0" borderId="80" xfId="0" applyNumberFormat="1" applyFont="1" applyBorder="1" applyAlignment="1">
      <alignment horizontal="left" indent="4"/>
    </xf>
    <xf numFmtId="37" fontId="25" fillId="0" borderId="81" xfId="0" applyNumberFormat="1" applyFont="1" applyBorder="1" applyAlignment="1">
      <alignment/>
    </xf>
    <xf numFmtId="37" fontId="25" fillId="0" borderId="82" xfId="0" applyNumberFormat="1" applyFont="1" applyBorder="1" applyAlignment="1">
      <alignment/>
    </xf>
    <xf numFmtId="177" fontId="32" fillId="2" borderId="83" xfId="0" applyNumberFormat="1" applyFont="1" applyFill="1" applyBorder="1" applyAlignment="1">
      <alignment horizontal="left"/>
    </xf>
    <xf numFmtId="177" fontId="32" fillId="2" borderId="84" xfId="0" applyNumberFormat="1" applyFont="1" applyFill="1" applyBorder="1" applyAlignment="1">
      <alignment/>
    </xf>
    <xf numFmtId="177" fontId="32" fillId="2" borderId="85" xfId="0" applyNumberFormat="1" applyFont="1" applyFill="1" applyBorder="1" applyAlignment="1">
      <alignment/>
    </xf>
    <xf numFmtId="177" fontId="6" fillId="0" borderId="83" xfId="0" applyNumberFormat="1" applyFont="1" applyBorder="1" applyAlignment="1">
      <alignment/>
    </xf>
    <xf numFmtId="177" fontId="6" fillId="0" borderId="83" xfId="0" applyNumberFormat="1" applyFont="1" applyFill="1" applyBorder="1" applyAlignment="1">
      <alignment/>
    </xf>
    <xf numFmtId="177" fontId="32" fillId="2" borderId="86" xfId="0" applyNumberFormat="1" applyFont="1" applyFill="1" applyBorder="1" applyAlignment="1">
      <alignment/>
    </xf>
    <xf numFmtId="177" fontId="33" fillId="2" borderId="87" xfId="0" applyNumberFormat="1" applyFont="1" applyFill="1" applyBorder="1" applyAlignment="1">
      <alignment/>
    </xf>
    <xf numFmtId="177" fontId="32" fillId="2" borderId="88" xfId="0" applyNumberFormat="1" applyFont="1" applyFill="1" applyBorder="1" applyAlignment="1">
      <alignment/>
    </xf>
    <xf numFmtId="177" fontId="32" fillId="2" borderId="89" xfId="0" applyNumberFormat="1" applyFont="1" applyFill="1" applyBorder="1" applyAlignment="1">
      <alignment/>
    </xf>
    <xf numFmtId="177" fontId="33" fillId="2" borderId="90" xfId="0" applyNumberFormat="1" applyFont="1" applyFill="1" applyBorder="1" applyAlignment="1">
      <alignment/>
    </xf>
    <xf numFmtId="177" fontId="33" fillId="2" borderId="91" xfId="0" applyNumberFormat="1" applyFont="1" applyFill="1" applyBorder="1" applyAlignment="1">
      <alignment/>
    </xf>
    <xf numFmtId="177" fontId="44" fillId="2" borderId="16" xfId="0" applyNumberFormat="1" applyFont="1" applyFill="1" applyBorder="1" applyAlignment="1">
      <alignment/>
    </xf>
    <xf numFmtId="177" fontId="16" fillId="0" borderId="47" xfId="0" applyNumberFormat="1" applyFont="1" applyBorder="1" applyAlignment="1">
      <alignment/>
    </xf>
    <xf numFmtId="177" fontId="6" fillId="0" borderId="92" xfId="0" applyNumberFormat="1" applyFont="1" applyBorder="1" applyAlignment="1">
      <alignment/>
    </xf>
    <xf numFmtId="177" fontId="6" fillId="0" borderId="93" xfId="0" applyNumberFormat="1" applyFont="1" applyBorder="1" applyAlignment="1">
      <alignment/>
    </xf>
    <xf numFmtId="177" fontId="6" fillId="0" borderId="21" xfId="0" applyNumberFormat="1" applyFont="1" applyBorder="1" applyAlignment="1">
      <alignment/>
    </xf>
    <xf numFmtId="177" fontId="32" fillId="2" borderId="21" xfId="0" applyNumberFormat="1" applyFont="1" applyFill="1" applyBorder="1" applyAlignment="1">
      <alignment/>
    </xf>
    <xf numFmtId="177" fontId="32" fillId="2" borderId="94" xfId="0" applyNumberFormat="1" applyFont="1" applyFill="1" applyBorder="1" applyAlignment="1">
      <alignment/>
    </xf>
    <xf numFmtId="177" fontId="6" fillId="0" borderId="16" xfId="0" applyNumberFormat="1" applyFont="1" applyBorder="1" applyAlignment="1">
      <alignment/>
    </xf>
    <xf numFmtId="177" fontId="25" fillId="0" borderId="95" xfId="0" applyNumberFormat="1" applyFont="1" applyBorder="1" applyAlignment="1">
      <alignment/>
    </xf>
    <xf numFmtId="177" fontId="25" fillId="0" borderId="96" xfId="0" applyNumberFormat="1" applyFont="1" applyBorder="1" applyAlignment="1">
      <alignment/>
    </xf>
    <xf numFmtId="0" fontId="0" fillId="0" borderId="97" xfId="0" applyFont="1" applyBorder="1" applyAlignment="1">
      <alignment wrapText="1"/>
    </xf>
    <xf numFmtId="177" fontId="33" fillId="2" borderId="98" xfId="0" applyNumberFormat="1" applyFont="1" applyFill="1" applyBorder="1" applyAlignment="1">
      <alignment horizontal="center"/>
    </xf>
    <xf numFmtId="177" fontId="33" fillId="2" borderId="9" xfId="0" applyNumberFormat="1" applyFont="1" applyFill="1" applyBorder="1" applyAlignment="1">
      <alignment horizontal="center" wrapText="1"/>
    </xf>
    <xf numFmtId="177" fontId="33" fillId="2" borderId="2" xfId="0" applyNumberFormat="1" applyFont="1" applyFill="1" applyBorder="1" applyAlignment="1">
      <alignment horizontal="center"/>
    </xf>
    <xf numFmtId="177" fontId="44" fillId="2" borderId="14" xfId="0" applyNumberFormat="1" applyFont="1" applyFill="1" applyBorder="1" applyAlignment="1">
      <alignment/>
    </xf>
    <xf numFmtId="177" fontId="44" fillId="2" borderId="15" xfId="0" applyNumberFormat="1" applyFont="1" applyFill="1" applyBorder="1" applyAlignment="1">
      <alignment/>
    </xf>
    <xf numFmtId="177" fontId="61" fillId="0" borderId="3" xfId="0" applyNumberFormat="1" applyFont="1" applyBorder="1" applyAlignment="1">
      <alignment/>
    </xf>
    <xf numFmtId="2" fontId="33" fillId="2" borderId="54" xfId="0" applyNumberFormat="1" applyFont="1" applyFill="1" applyBorder="1" applyAlignment="1">
      <alignment/>
    </xf>
    <xf numFmtId="2" fontId="32" fillId="2" borderId="33" xfId="0" applyNumberFormat="1" applyFont="1" applyFill="1" applyBorder="1" applyAlignment="1">
      <alignment/>
    </xf>
    <xf numFmtId="0" fontId="0" fillId="0" borderId="0" xfId="0" applyBorder="1" applyAlignment="1">
      <alignment horizontal="center"/>
    </xf>
    <xf numFmtId="0" fontId="0" fillId="0" borderId="48" xfId="0" applyBorder="1" applyAlignment="1">
      <alignment horizontal="left" indent="2"/>
    </xf>
    <xf numFmtId="177" fontId="13" fillId="0" borderId="49" xfId="0" applyNumberFormat="1" applyFont="1" applyFill="1" applyBorder="1" applyAlignment="1">
      <alignment horizontal="left" indent="2"/>
    </xf>
    <xf numFmtId="5" fontId="0" fillId="0" borderId="43" xfId="0" applyNumberFormat="1" applyBorder="1" applyAlignment="1">
      <alignment/>
    </xf>
    <xf numFmtId="37" fontId="6" fillId="0" borderId="99" xfId="0" applyNumberFormat="1" applyFont="1" applyBorder="1" applyAlignment="1">
      <alignment/>
    </xf>
    <xf numFmtId="177" fontId="6" fillId="0" borderId="43" xfId="0" applyNumberFormat="1" applyFont="1" applyBorder="1" applyAlignment="1">
      <alignment/>
    </xf>
    <xf numFmtId="177" fontId="6" fillId="0" borderId="100" xfId="0" applyNumberFormat="1" applyFont="1" applyBorder="1" applyAlignment="1">
      <alignment/>
    </xf>
    <xf numFmtId="0" fontId="6" fillId="0" borderId="80" xfId="0" applyFont="1" applyBorder="1" applyAlignment="1">
      <alignment/>
    </xf>
    <xf numFmtId="5" fontId="39" fillId="0" borderId="16" xfId="0" applyNumberFormat="1" applyFont="1" applyBorder="1" applyAlignment="1">
      <alignment/>
    </xf>
    <xf numFmtId="5" fontId="39" fillId="0" borderId="15" xfId="0" applyNumberFormat="1" applyFont="1" applyBorder="1" applyAlignment="1">
      <alignment/>
    </xf>
    <xf numFmtId="37" fontId="39" fillId="0" borderId="52" xfId="0" applyNumberFormat="1" applyFont="1" applyBorder="1" applyAlignment="1">
      <alignment/>
    </xf>
    <xf numFmtId="177" fontId="39" fillId="0" borderId="50" xfId="0" applyNumberFormat="1" applyFont="1" applyBorder="1" applyAlignment="1">
      <alignment/>
    </xf>
    <xf numFmtId="177" fontId="39" fillId="0" borderId="51" xfId="0" applyNumberFormat="1" applyFont="1" applyBorder="1" applyAlignment="1">
      <alignment/>
    </xf>
    <xf numFmtId="37" fontId="6" fillId="0" borderId="21" xfId="0" applyNumberFormat="1" applyFont="1" applyBorder="1" applyAlignment="1">
      <alignment/>
    </xf>
    <xf numFmtId="37" fontId="25" fillId="0" borderId="3" xfId="21" applyNumberFormat="1" applyFont="1" applyBorder="1">
      <alignment/>
      <protection/>
    </xf>
    <xf numFmtId="37" fontId="25" fillId="0" borderId="0" xfId="21" applyNumberFormat="1" applyFont="1" applyBorder="1">
      <alignment/>
      <protection/>
    </xf>
    <xf numFmtId="5" fontId="25" fillId="0" borderId="0" xfId="21" applyNumberFormat="1" applyFont="1" applyBorder="1">
      <alignment/>
      <protection/>
    </xf>
    <xf numFmtId="5" fontId="25" fillId="0" borderId="2" xfId="21" applyNumberFormat="1" applyFont="1" applyBorder="1">
      <alignment/>
      <protection/>
    </xf>
    <xf numFmtId="0" fontId="6" fillId="0" borderId="6" xfId="21" applyFont="1" applyBorder="1">
      <alignment/>
      <protection/>
    </xf>
    <xf numFmtId="0" fontId="6" fillId="0" borderId="1" xfId="21" applyFont="1" applyBorder="1">
      <alignment/>
      <protection/>
    </xf>
    <xf numFmtId="0" fontId="6" fillId="0" borderId="7" xfId="21" applyFont="1" applyBorder="1">
      <alignment/>
      <protection/>
    </xf>
    <xf numFmtId="0" fontId="25" fillId="0" borderId="1" xfId="21" applyFont="1" applyBorder="1" applyAlignment="1">
      <alignment horizontal="center"/>
      <protection/>
    </xf>
    <xf numFmtId="0" fontId="25" fillId="0" borderId="7" xfId="21" applyFont="1" applyBorder="1" applyAlignment="1">
      <alignment horizontal="center"/>
      <protection/>
    </xf>
    <xf numFmtId="37" fontId="25" fillId="0" borderId="29" xfId="21" applyNumberFormat="1" applyFont="1" applyBorder="1">
      <alignment/>
      <protection/>
    </xf>
    <xf numFmtId="37" fontId="25" fillId="0" borderId="40" xfId="21" applyNumberFormat="1" applyFont="1" applyBorder="1">
      <alignment/>
      <protection/>
    </xf>
    <xf numFmtId="5" fontId="25" fillId="0" borderId="40" xfId="21" applyNumberFormat="1" applyFont="1" applyBorder="1">
      <alignment/>
      <protection/>
    </xf>
    <xf numFmtId="5" fontId="25" fillId="0" borderId="95" xfId="21" applyNumberFormat="1" applyFont="1" applyBorder="1">
      <alignment/>
      <protection/>
    </xf>
    <xf numFmtId="177" fontId="6" fillId="0" borderId="79" xfId="0" applyNumberFormat="1" applyFont="1" applyBorder="1" applyAlignment="1">
      <alignment/>
    </xf>
    <xf numFmtId="177" fontId="6" fillId="0" borderId="15" xfId="0" applyNumberFormat="1" applyFont="1" applyBorder="1" applyAlignment="1">
      <alignment/>
    </xf>
    <xf numFmtId="177" fontId="6" fillId="0" borderId="6" xfId="0" applyNumberFormat="1" applyFont="1" applyBorder="1" applyAlignment="1">
      <alignment/>
    </xf>
    <xf numFmtId="177" fontId="6" fillId="0" borderId="1" xfId="0" applyNumberFormat="1" applyFont="1" applyBorder="1" applyAlignment="1">
      <alignment/>
    </xf>
    <xf numFmtId="0" fontId="25" fillId="0" borderId="3" xfId="21" applyFont="1" applyBorder="1" applyAlignment="1">
      <alignment horizontal="left"/>
      <protection/>
    </xf>
    <xf numFmtId="0" fontId="6" fillId="0" borderId="21" xfId="21" applyFont="1" applyBorder="1">
      <alignment/>
      <protection/>
    </xf>
    <xf numFmtId="0" fontId="6" fillId="0" borderId="21" xfId="21" applyFont="1" applyBorder="1" applyAlignment="1">
      <alignment horizontal="center"/>
      <protection/>
    </xf>
    <xf numFmtId="0" fontId="25" fillId="0" borderId="19" xfId="21" applyFont="1" applyBorder="1" applyAlignment="1">
      <alignment horizontal="center"/>
      <protection/>
    </xf>
    <xf numFmtId="0" fontId="6" fillId="0" borderId="5" xfId="21" applyFont="1" applyBorder="1">
      <alignment/>
      <protection/>
    </xf>
    <xf numFmtId="0" fontId="6" fillId="0" borderId="49" xfId="21" applyFont="1" applyBorder="1">
      <alignment/>
      <protection/>
    </xf>
    <xf numFmtId="0" fontId="6" fillId="0" borderId="81" xfId="21" applyFont="1" applyBorder="1">
      <alignment/>
      <protection/>
    </xf>
    <xf numFmtId="3" fontId="6" fillId="0" borderId="3" xfId="0" applyNumberFormat="1" applyFont="1" applyBorder="1" applyAlignment="1">
      <alignment wrapText="1"/>
    </xf>
    <xf numFmtId="0" fontId="6" fillId="0" borderId="46" xfId="21" applyFont="1" applyBorder="1">
      <alignment/>
      <protection/>
    </xf>
    <xf numFmtId="0" fontId="25" fillId="0" borderId="95" xfId="21" applyFont="1" applyBorder="1">
      <alignment/>
      <protection/>
    </xf>
    <xf numFmtId="0" fontId="0" fillId="0" borderId="40" xfId="21" applyFont="1" applyBorder="1">
      <alignment/>
      <protection/>
    </xf>
    <xf numFmtId="5" fontId="6" fillId="0" borderId="16" xfId="0" applyNumberFormat="1" applyFont="1" applyBorder="1" applyAlignment="1">
      <alignment/>
    </xf>
    <xf numFmtId="37" fontId="6" fillId="0" borderId="81" xfId="0" applyNumberFormat="1" applyFont="1" applyBorder="1" applyAlignment="1">
      <alignment/>
    </xf>
    <xf numFmtId="0" fontId="6" fillId="0" borderId="46" xfId="21" applyFont="1" applyBorder="1" applyAlignment="1">
      <alignment horizontal="center"/>
      <protection/>
    </xf>
    <xf numFmtId="0" fontId="29" fillId="0" borderId="0" xfId="22" applyFont="1" applyBorder="1">
      <alignment/>
      <protection/>
    </xf>
    <xf numFmtId="37" fontId="29" fillId="0" borderId="0" xfId="15" applyNumberFormat="1" applyFont="1" applyBorder="1" applyAlignment="1">
      <alignment/>
    </xf>
    <xf numFmtId="3" fontId="29" fillId="0" borderId="0" xfId="15" applyNumberFormat="1" applyFont="1" applyBorder="1" applyAlignment="1">
      <alignment/>
    </xf>
    <xf numFmtId="37" fontId="29" fillId="0" borderId="47" xfId="15" applyNumberFormat="1" applyFont="1" applyBorder="1" applyAlignment="1">
      <alignment/>
    </xf>
    <xf numFmtId="0" fontId="29" fillId="0" borderId="95" xfId="22" applyFont="1" applyBorder="1">
      <alignment/>
      <protection/>
    </xf>
    <xf numFmtId="37" fontId="15" fillId="0" borderId="12" xfId="22" applyNumberFormat="1" applyFont="1" applyBorder="1">
      <alignment/>
      <protection/>
    </xf>
    <xf numFmtId="37" fontId="29" fillId="0" borderId="40" xfId="15" applyNumberFormat="1" applyFont="1" applyBorder="1" applyAlignment="1">
      <alignment/>
    </xf>
    <xf numFmtId="5" fontId="29" fillId="0" borderId="8" xfId="17" applyNumberFormat="1" applyFont="1" applyBorder="1" applyAlignment="1">
      <alignment horizontal="right"/>
    </xf>
    <xf numFmtId="37" fontId="29" fillId="0" borderId="26" xfId="22" applyNumberFormat="1" applyFont="1" applyBorder="1" applyAlignment="1">
      <alignment horizontal="right"/>
      <protection/>
    </xf>
    <xf numFmtId="201" fontId="29" fillId="0" borderId="0" xfId="22" applyNumberFormat="1" applyFont="1" applyBorder="1" applyAlignment="1">
      <alignment horizontal="left"/>
      <protection/>
    </xf>
    <xf numFmtId="3" fontId="50" fillId="0" borderId="0" xfId="0" applyNumberFormat="1" applyFont="1" applyBorder="1" applyAlignment="1">
      <alignment wrapText="1"/>
    </xf>
    <xf numFmtId="0" fontId="45" fillId="0" borderId="0" xfId="0" applyFont="1" applyBorder="1" applyAlignment="1">
      <alignment/>
    </xf>
    <xf numFmtId="3" fontId="6" fillId="0" borderId="4" xfId="0" applyNumberFormat="1" applyFont="1" applyBorder="1" applyAlignment="1">
      <alignment/>
    </xf>
    <xf numFmtId="3" fontId="6" fillId="0" borderId="101" xfId="0" applyNumberFormat="1" applyFont="1" applyBorder="1" applyAlignment="1">
      <alignment/>
    </xf>
    <xf numFmtId="3" fontId="6" fillId="0" borderId="102" xfId="0" applyNumberFormat="1" applyFont="1" applyBorder="1" applyAlignment="1">
      <alignment/>
    </xf>
    <xf numFmtId="3" fontId="6" fillId="0" borderId="48" xfId="0" applyNumberFormat="1" applyFont="1" applyBorder="1" applyAlignment="1">
      <alignment/>
    </xf>
    <xf numFmtId="5" fontId="5" fillId="0" borderId="15" xfId="0" applyNumberFormat="1" applyFont="1" applyBorder="1" applyAlignment="1">
      <alignment/>
    </xf>
    <xf numFmtId="165" fontId="5" fillId="0" borderId="15" xfId="0" applyNumberFormat="1" applyFont="1" applyBorder="1" applyAlignment="1">
      <alignment/>
    </xf>
    <xf numFmtId="5" fontId="5" fillId="0" borderId="16" xfId="0" applyNumberFormat="1" applyFont="1" applyBorder="1" applyAlignment="1">
      <alignment/>
    </xf>
    <xf numFmtId="3" fontId="5" fillId="0" borderId="15" xfId="0" applyNumberFormat="1" applyFont="1" applyBorder="1" applyAlignment="1">
      <alignment/>
    </xf>
    <xf numFmtId="177" fontId="5" fillId="0" borderId="50" xfId="0" applyNumberFormat="1" applyFont="1" applyFill="1" applyBorder="1" applyAlignment="1">
      <alignment/>
    </xf>
    <xf numFmtId="177" fontId="32" fillId="2" borderId="55" xfId="0" applyNumberFormat="1" applyFont="1" applyFill="1" applyBorder="1" applyAlignment="1" applyProtection="1">
      <alignment/>
      <protection/>
    </xf>
    <xf numFmtId="3" fontId="33" fillId="2" borderId="103" xfId="0" applyNumberFormat="1" applyFont="1" applyFill="1" applyBorder="1" applyAlignment="1">
      <alignment horizontal="right"/>
    </xf>
    <xf numFmtId="3" fontId="33" fillId="2" borderId="12" xfId="0" applyNumberFormat="1" applyFont="1" applyFill="1" applyBorder="1" applyAlignment="1">
      <alignment horizontal="right"/>
    </xf>
    <xf numFmtId="3" fontId="33" fillId="2" borderId="13" xfId="0" applyNumberFormat="1" applyFont="1" applyFill="1" applyBorder="1" applyAlignment="1">
      <alignment horizontal="right"/>
    </xf>
    <xf numFmtId="3" fontId="33" fillId="2" borderId="29" xfId="0" applyNumberFormat="1" applyFont="1" applyFill="1" applyBorder="1" applyAlignment="1">
      <alignment horizontal="centerContinuous"/>
    </xf>
    <xf numFmtId="0" fontId="0" fillId="0" borderId="47" xfId="0" applyBorder="1" applyAlignment="1">
      <alignment horizontal="centerContinuous"/>
    </xf>
    <xf numFmtId="0" fontId="22" fillId="0" borderId="95" xfId="0" applyFont="1" applyBorder="1" applyAlignment="1">
      <alignment horizontal="centerContinuous"/>
    </xf>
    <xf numFmtId="177" fontId="32" fillId="2" borderId="63" xfId="0" applyNumberFormat="1" applyFont="1" applyFill="1" applyBorder="1" applyAlignment="1">
      <alignment/>
    </xf>
    <xf numFmtId="3" fontId="33" fillId="2" borderId="6" xfId="0" applyNumberFormat="1" applyFont="1" applyFill="1" applyBorder="1" applyAlignment="1">
      <alignment horizontal="centerContinuous" wrapText="1"/>
    </xf>
    <xf numFmtId="3" fontId="33" fillId="2" borderId="7" xfId="0" applyNumberFormat="1" applyFont="1" applyFill="1" applyBorder="1" applyAlignment="1">
      <alignment horizontal="centerContinuous" wrapText="1"/>
    </xf>
    <xf numFmtId="0" fontId="0" fillId="0" borderId="7" xfId="0" applyBorder="1" applyAlignment="1">
      <alignment horizontal="centerContinuous" wrapText="1"/>
    </xf>
    <xf numFmtId="177" fontId="32" fillId="2" borderId="104" xfId="0" applyNumberFormat="1" applyFont="1" applyFill="1" applyBorder="1" applyAlignment="1">
      <alignment/>
    </xf>
    <xf numFmtId="177" fontId="32" fillId="2" borderId="105" xfId="0" applyNumberFormat="1" applyFont="1" applyFill="1" applyBorder="1" applyAlignment="1">
      <alignment/>
    </xf>
    <xf numFmtId="177" fontId="32" fillId="2" borderId="106" xfId="0" applyNumberFormat="1" applyFont="1" applyFill="1" applyBorder="1" applyAlignment="1">
      <alignment/>
    </xf>
    <xf numFmtId="177" fontId="33" fillId="2" borderId="107" xfId="0" applyNumberFormat="1" applyFont="1" applyFill="1" applyBorder="1" applyAlignment="1">
      <alignment/>
    </xf>
    <xf numFmtId="37" fontId="15" fillId="0" borderId="3" xfId="22" applyNumberFormat="1" applyFont="1" applyBorder="1" applyAlignment="1">
      <alignment horizontal="right"/>
      <protection/>
    </xf>
    <xf numFmtId="177" fontId="32" fillId="2" borderId="108" xfId="0" applyNumberFormat="1" applyFont="1" applyFill="1" applyBorder="1" applyAlignment="1">
      <alignment/>
    </xf>
    <xf numFmtId="177" fontId="32" fillId="2" borderId="109" xfId="0" applyNumberFormat="1" applyFont="1" applyFill="1" applyBorder="1" applyAlignment="1">
      <alignment/>
    </xf>
    <xf numFmtId="177" fontId="32" fillId="2" borderId="110" xfId="0" applyNumberFormat="1" applyFont="1" applyFill="1" applyBorder="1" applyAlignment="1">
      <alignment/>
    </xf>
    <xf numFmtId="172" fontId="6" fillId="0" borderId="0" xfId="0" applyNumberFormat="1" applyFont="1" applyAlignment="1">
      <alignment/>
    </xf>
    <xf numFmtId="3" fontId="39" fillId="0" borderId="0" xfId="0" applyNumberFormat="1" applyFont="1" applyBorder="1" applyAlignment="1">
      <alignment horizontal="left" indent="2"/>
    </xf>
    <xf numFmtId="3" fontId="39" fillId="0" borderId="0" xfId="0" applyNumberFormat="1" applyFont="1" applyBorder="1" applyAlignment="1">
      <alignment/>
    </xf>
    <xf numFmtId="37" fontId="39" fillId="0" borderId="0" xfId="0" applyNumberFormat="1" applyFont="1" applyBorder="1" applyAlignment="1">
      <alignment/>
    </xf>
    <xf numFmtId="177" fontId="39" fillId="0" borderId="0" xfId="0" applyNumberFormat="1" applyFont="1" applyBorder="1" applyAlignment="1">
      <alignment/>
    </xf>
    <xf numFmtId="219" fontId="39" fillId="0" borderId="0" xfId="0" applyNumberFormat="1" applyFont="1" applyBorder="1" applyAlignment="1">
      <alignment/>
    </xf>
    <xf numFmtId="37" fontId="6" fillId="0" borderId="81" xfId="0" applyNumberFormat="1" applyFont="1" applyBorder="1" applyAlignment="1">
      <alignment/>
    </xf>
    <xf numFmtId="0" fontId="0" fillId="0" borderId="49" xfId="0" applyBorder="1" applyAlignment="1">
      <alignment/>
    </xf>
    <xf numFmtId="3" fontId="6" fillId="0" borderId="111" xfId="0" applyNumberFormat="1" applyFont="1" applyBorder="1" applyAlignment="1">
      <alignment/>
    </xf>
    <xf numFmtId="3" fontId="6" fillId="0" borderId="49" xfId="0" applyNumberFormat="1" applyFont="1" applyBorder="1" applyAlignment="1">
      <alignment horizontal="left"/>
    </xf>
    <xf numFmtId="37" fontId="6" fillId="0" borderId="112" xfId="0" applyNumberFormat="1" applyFont="1" applyBorder="1" applyAlignment="1">
      <alignment/>
    </xf>
    <xf numFmtId="177" fontId="6" fillId="0" borderId="49" xfId="0" applyNumberFormat="1" applyFont="1" applyBorder="1" applyAlignment="1">
      <alignment/>
    </xf>
    <xf numFmtId="177" fontId="6" fillId="0" borderId="112" xfId="0" applyNumberFormat="1" applyFont="1" applyBorder="1" applyAlignment="1">
      <alignment/>
    </xf>
    <xf numFmtId="37" fontId="6" fillId="0" borderId="48" xfId="0" applyNumberFormat="1" applyFont="1" applyBorder="1" applyAlignment="1">
      <alignment wrapText="1"/>
    </xf>
    <xf numFmtId="37" fontId="6" fillId="0" borderId="48" xfId="0" applyNumberFormat="1" applyFont="1" applyBorder="1" applyAlignment="1">
      <alignment/>
    </xf>
    <xf numFmtId="0" fontId="0" fillId="0" borderId="2" xfId="0" applyBorder="1" applyAlignment="1">
      <alignment/>
    </xf>
    <xf numFmtId="3" fontId="32" fillId="2" borderId="113" xfId="0" applyNumberFormat="1" applyFont="1" applyFill="1" applyBorder="1" applyAlignment="1">
      <alignment horizontal="left"/>
    </xf>
    <xf numFmtId="177" fontId="32" fillId="0" borderId="82" xfId="0" applyNumberFormat="1" applyFont="1" applyFill="1" applyBorder="1" applyAlignment="1">
      <alignment horizontal="left"/>
    </xf>
    <xf numFmtId="0" fontId="0" fillId="0" borderId="40" xfId="0" applyBorder="1" applyAlignment="1">
      <alignment/>
    </xf>
    <xf numFmtId="0" fontId="22" fillId="0" borderId="47" xfId="0" applyFont="1" applyBorder="1" applyAlignment="1">
      <alignment horizontal="centerContinuous"/>
    </xf>
    <xf numFmtId="3" fontId="33" fillId="2" borderId="114" xfId="0" applyNumberFormat="1" applyFont="1" applyFill="1" applyBorder="1" applyAlignment="1">
      <alignment horizontal="right"/>
    </xf>
    <xf numFmtId="177" fontId="32" fillId="2" borderId="115" xfId="0" applyNumberFormat="1" applyFont="1" applyFill="1" applyBorder="1" applyAlignment="1">
      <alignment/>
    </xf>
    <xf numFmtId="177" fontId="32" fillId="2" borderId="116" xfId="0" applyNumberFormat="1" applyFont="1" applyFill="1" applyBorder="1" applyAlignment="1">
      <alignment/>
    </xf>
    <xf numFmtId="0" fontId="0" fillId="0" borderId="0" xfId="0" applyBorder="1" applyAlignment="1">
      <alignment/>
    </xf>
    <xf numFmtId="3" fontId="6" fillId="0" borderId="29" xfId="0" applyNumberFormat="1" applyFont="1" applyBorder="1" applyAlignment="1">
      <alignment/>
    </xf>
    <xf numFmtId="0" fontId="0" fillId="0" borderId="20" xfId="0" applyBorder="1" applyAlignment="1">
      <alignment horizontal="center" wrapText="1"/>
    </xf>
    <xf numFmtId="3" fontId="25" fillId="0" borderId="117" xfId="0" applyNumberFormat="1" applyFont="1" applyBorder="1" applyAlignment="1">
      <alignment horizontal="left" indent="2"/>
    </xf>
    <xf numFmtId="3" fontId="46" fillId="0" borderId="50" xfId="0" applyNumberFormat="1" applyFont="1" applyBorder="1" applyAlignment="1">
      <alignment/>
    </xf>
    <xf numFmtId="3" fontId="46" fillId="0" borderId="51" xfId="0" applyNumberFormat="1" applyFont="1" applyBorder="1" applyAlignment="1">
      <alignment/>
    </xf>
    <xf numFmtId="5" fontId="46" fillId="0" borderId="51" xfId="0" applyNumberFormat="1" applyFont="1" applyBorder="1" applyAlignment="1">
      <alignment/>
    </xf>
    <xf numFmtId="37" fontId="46" fillId="0" borderId="50" xfId="0" applyNumberFormat="1" applyFont="1" applyBorder="1" applyAlignment="1">
      <alignment/>
    </xf>
    <xf numFmtId="37" fontId="46" fillId="0" borderId="51" xfId="0" applyNumberFormat="1" applyFont="1" applyBorder="1" applyAlignment="1">
      <alignment/>
    </xf>
    <xf numFmtId="5" fontId="46" fillId="0" borderId="52" xfId="0" applyNumberFormat="1" applyFont="1" applyBorder="1" applyAlignment="1">
      <alignment/>
    </xf>
    <xf numFmtId="37" fontId="6" fillId="0" borderId="7" xfId="0" applyNumberFormat="1" applyFont="1" applyBorder="1" applyAlignment="1">
      <alignment horizontal="right"/>
    </xf>
    <xf numFmtId="5" fontId="25" fillId="0" borderId="7" xfId="0" applyNumberFormat="1" applyFont="1" applyBorder="1" applyAlignment="1">
      <alignment horizontal="right"/>
    </xf>
    <xf numFmtId="0" fontId="6" fillId="0" borderId="49" xfId="0" applyFont="1" applyBorder="1" applyAlignment="1">
      <alignment horizontal="left" indent="2"/>
    </xf>
    <xf numFmtId="0" fontId="0" fillId="0" borderId="80" xfId="0" applyBorder="1" applyAlignment="1">
      <alignment horizontal="left" indent="2"/>
    </xf>
    <xf numFmtId="3" fontId="6" fillId="0" borderId="49" xfId="0" applyNumberFormat="1" applyFont="1" applyBorder="1" applyAlignment="1">
      <alignment/>
    </xf>
    <xf numFmtId="0" fontId="0" fillId="0" borderId="80" xfId="0" applyBorder="1" applyAlignment="1">
      <alignment/>
    </xf>
    <xf numFmtId="3" fontId="6" fillId="0" borderId="49" xfId="0" applyNumberFormat="1" applyFont="1" applyBorder="1" applyAlignment="1">
      <alignment horizontal="left" indent="4"/>
    </xf>
    <xf numFmtId="3" fontId="6" fillId="0" borderId="80" xfId="0" applyNumberFormat="1" applyFont="1" applyBorder="1" applyAlignment="1">
      <alignment horizontal="left" indent="4"/>
    </xf>
    <xf numFmtId="3" fontId="6" fillId="0" borderId="49" xfId="0" applyNumberFormat="1" applyFont="1" applyBorder="1" applyAlignment="1">
      <alignment horizontal="left" indent="2"/>
    </xf>
    <xf numFmtId="177" fontId="25" fillId="0" borderId="19" xfId="0" applyNumberFormat="1" applyFont="1" applyBorder="1" applyAlignment="1">
      <alignment horizontal="right"/>
    </xf>
    <xf numFmtId="0" fontId="0" fillId="0" borderId="20" xfId="0" applyBorder="1" applyAlignment="1">
      <alignment/>
    </xf>
    <xf numFmtId="177" fontId="25" fillId="0" borderId="19" xfId="0" applyNumberFormat="1" applyFont="1" applyBorder="1" applyAlignment="1">
      <alignment horizontal="center"/>
    </xf>
    <xf numFmtId="177" fontId="25" fillId="0" borderId="19" xfId="0" applyNumberFormat="1" applyFont="1" applyBorder="1" applyAlignment="1">
      <alignment horizontal="center" wrapText="1"/>
    </xf>
    <xf numFmtId="0" fontId="0" fillId="0" borderId="48" xfId="0" applyBorder="1" applyAlignment="1">
      <alignment horizontal="left" indent="4"/>
    </xf>
    <xf numFmtId="3" fontId="39" fillId="0" borderId="41" xfId="0" applyNumberFormat="1" applyFont="1" applyBorder="1" applyAlignment="1">
      <alignment/>
    </xf>
    <xf numFmtId="0" fontId="0" fillId="0" borderId="14" xfId="0" applyBorder="1" applyAlignment="1">
      <alignment/>
    </xf>
    <xf numFmtId="3" fontId="39" fillId="0" borderId="50" xfId="0" applyNumberFormat="1" applyFont="1" applyBorder="1" applyAlignment="1">
      <alignment horizontal="left" indent="4"/>
    </xf>
    <xf numFmtId="0" fontId="0" fillId="0" borderId="51" xfId="0" applyBorder="1" applyAlignment="1">
      <alignment horizontal="left" indent="4"/>
    </xf>
    <xf numFmtId="0" fontId="0" fillId="0" borderId="52" xfId="0" applyBorder="1" applyAlignment="1">
      <alignment horizontal="left" indent="4"/>
    </xf>
    <xf numFmtId="3" fontId="39" fillId="0" borderId="49" xfId="0" applyNumberFormat="1" applyFont="1" applyBorder="1" applyAlignment="1">
      <alignment horizontal="left" indent="4"/>
    </xf>
    <xf numFmtId="0" fontId="0" fillId="0" borderId="80" xfId="0" applyBorder="1" applyAlignment="1">
      <alignment horizontal="left" indent="4"/>
    </xf>
    <xf numFmtId="3" fontId="6" fillId="0" borderId="83" xfId="0" applyNumberFormat="1" applyFont="1" applyBorder="1" applyAlignment="1">
      <alignment/>
    </xf>
    <xf numFmtId="0" fontId="0" fillId="0" borderId="38" xfId="0" applyBorder="1" applyAlignment="1">
      <alignment/>
    </xf>
    <xf numFmtId="3" fontId="39" fillId="0" borderId="29" xfId="0" applyNumberFormat="1" applyFont="1" applyBorder="1" applyAlignment="1">
      <alignment horizontal="left" indent="2"/>
    </xf>
    <xf numFmtId="0" fontId="0" fillId="0" borderId="40" xfId="0" applyBorder="1" applyAlignment="1">
      <alignment horizontal="left" indent="2"/>
    </xf>
    <xf numFmtId="0" fontId="0" fillId="0" borderId="47" xfId="0" applyBorder="1" applyAlignment="1">
      <alignment horizontal="left" indent="2"/>
    </xf>
    <xf numFmtId="0" fontId="0" fillId="0" borderId="37" xfId="0" applyBorder="1" applyAlignment="1">
      <alignment/>
    </xf>
    <xf numFmtId="3" fontId="25" fillId="0" borderId="118" xfId="0" applyNumberFormat="1" applyFont="1" applyBorder="1" applyAlignment="1">
      <alignment horizontal="left" indent="2"/>
    </xf>
    <xf numFmtId="0" fontId="0" fillId="0" borderId="31" xfId="0" applyBorder="1" applyAlignment="1">
      <alignment horizontal="left" indent="2"/>
    </xf>
    <xf numFmtId="3" fontId="26" fillId="0" borderId="0" xfId="0" applyNumberFormat="1" applyFont="1" applyAlignment="1">
      <alignment/>
    </xf>
    <xf numFmtId="0" fontId="67" fillId="0" borderId="0" xfId="0" applyFont="1" applyAlignment="1">
      <alignment/>
    </xf>
    <xf numFmtId="3" fontId="25" fillId="0" borderId="79" xfId="0" applyNumberFormat="1" applyFont="1" applyBorder="1" applyAlignment="1">
      <alignment/>
    </xf>
    <xf numFmtId="3" fontId="39" fillId="0" borderId="10" xfId="0" applyNumberFormat="1" applyFont="1" applyBorder="1" applyAlignment="1">
      <alignment/>
    </xf>
    <xf numFmtId="0" fontId="0" fillId="0" borderId="6" xfId="0" applyBorder="1" applyAlignment="1">
      <alignment/>
    </xf>
    <xf numFmtId="3" fontId="39" fillId="0" borderId="11" xfId="0" applyNumberFormat="1" applyFont="1" applyBorder="1" applyAlignment="1">
      <alignment/>
    </xf>
    <xf numFmtId="0" fontId="0" fillId="0" borderId="1" xfId="0" applyBorder="1" applyAlignment="1">
      <alignment/>
    </xf>
    <xf numFmtId="0" fontId="0" fillId="0" borderId="0" xfId="0" applyBorder="1" applyAlignment="1">
      <alignment horizontal="center"/>
    </xf>
    <xf numFmtId="0" fontId="0" fillId="0" borderId="7" xfId="0" applyBorder="1" applyAlignment="1">
      <alignment/>
    </xf>
    <xf numFmtId="3" fontId="40" fillId="0" borderId="0" xfId="0" applyNumberFormat="1" applyFont="1" applyAlignment="1">
      <alignment horizontal="center"/>
    </xf>
    <xf numFmtId="0" fontId="0" fillId="0" borderId="0" xfId="0" applyAlignment="1">
      <alignment horizontal="center"/>
    </xf>
    <xf numFmtId="3" fontId="41" fillId="0" borderId="0" xfId="0" applyNumberFormat="1" applyFont="1" applyAlignment="1">
      <alignment horizontal="center"/>
    </xf>
    <xf numFmtId="37" fontId="39" fillId="0" borderId="42" xfId="0" applyNumberFormat="1" applyFont="1" applyBorder="1" applyAlignment="1">
      <alignment/>
    </xf>
    <xf numFmtId="37" fontId="0" fillId="0" borderId="15" xfId="0" applyNumberFormat="1" applyBorder="1" applyAlignment="1">
      <alignment/>
    </xf>
    <xf numFmtId="37" fontId="39" fillId="0" borderId="41" xfId="0" applyNumberFormat="1" applyFont="1" applyBorder="1" applyAlignment="1">
      <alignment/>
    </xf>
    <xf numFmtId="37" fontId="0" fillId="0" borderId="14" xfId="0" applyNumberFormat="1" applyBorder="1" applyAlignment="1">
      <alignment/>
    </xf>
    <xf numFmtId="37" fontId="39" fillId="0" borderId="102" xfId="0" applyNumberFormat="1" applyFont="1" applyBorder="1" applyAlignment="1">
      <alignment/>
    </xf>
    <xf numFmtId="37" fontId="0" fillId="0" borderId="16" xfId="0" applyNumberFormat="1" applyBorder="1" applyAlignment="1">
      <alignment/>
    </xf>
    <xf numFmtId="3" fontId="39" fillId="0" borderId="17" xfId="0" applyNumberFormat="1" applyFont="1" applyBorder="1" applyAlignment="1">
      <alignment/>
    </xf>
    <xf numFmtId="0" fontId="0" fillId="0" borderId="119" xfId="0" applyBorder="1" applyAlignment="1">
      <alignment horizontal="left" indent="2"/>
    </xf>
    <xf numFmtId="3" fontId="6" fillId="0" borderId="111" xfId="0" applyNumberFormat="1" applyFont="1" applyBorder="1" applyAlignment="1">
      <alignment/>
    </xf>
    <xf numFmtId="0" fontId="0" fillId="0" borderId="120" xfId="0" applyBorder="1" applyAlignment="1">
      <alignment/>
    </xf>
    <xf numFmtId="3" fontId="39" fillId="0" borderId="112" xfId="0" applyNumberFormat="1" applyFont="1" applyBorder="1" applyAlignment="1">
      <alignment horizontal="left" indent="2"/>
    </xf>
    <xf numFmtId="0" fontId="0" fillId="0" borderId="121" xfId="0" applyBorder="1" applyAlignment="1">
      <alignment horizontal="left" indent="2"/>
    </xf>
    <xf numFmtId="0" fontId="0" fillId="0" borderId="122" xfId="0" applyBorder="1" applyAlignment="1">
      <alignment horizontal="left" indent="2"/>
    </xf>
    <xf numFmtId="3" fontId="39" fillId="0" borderId="41" xfId="0" applyNumberFormat="1" applyFont="1" applyBorder="1" applyAlignment="1">
      <alignment horizontal="left" indent="2"/>
    </xf>
    <xf numFmtId="0" fontId="0" fillId="0" borderId="42" xfId="0" applyBorder="1" applyAlignment="1">
      <alignment horizontal="left" indent="2"/>
    </xf>
    <xf numFmtId="0" fontId="0" fillId="0" borderId="102" xfId="0" applyBorder="1" applyAlignment="1">
      <alignment horizontal="left" indent="2"/>
    </xf>
    <xf numFmtId="0" fontId="0" fillId="0" borderId="14" xfId="0" applyBorder="1" applyAlignment="1">
      <alignment horizontal="left" indent="2"/>
    </xf>
    <xf numFmtId="0" fontId="0" fillId="0" borderId="15" xfId="0" applyBorder="1" applyAlignment="1">
      <alignment horizontal="left" indent="2"/>
    </xf>
    <xf numFmtId="0" fontId="0" fillId="0" borderId="16" xfId="0" applyBorder="1" applyAlignment="1">
      <alignment horizontal="left" indent="2"/>
    </xf>
    <xf numFmtId="3" fontId="39" fillId="0" borderId="123" xfId="0" applyNumberFormat="1" applyFont="1" applyBorder="1" applyAlignment="1">
      <alignment horizontal="left" indent="2"/>
    </xf>
    <xf numFmtId="0" fontId="0" fillId="0" borderId="124" xfId="0" applyBorder="1" applyAlignment="1">
      <alignment horizontal="left" indent="2"/>
    </xf>
    <xf numFmtId="0" fontId="0" fillId="0" borderId="125" xfId="0" applyBorder="1" applyAlignment="1">
      <alignment horizontal="left" indent="2"/>
    </xf>
    <xf numFmtId="3" fontId="39" fillId="0" borderId="3" xfId="0" applyNumberFormat="1" applyFont="1" applyBorder="1" applyAlignment="1">
      <alignment horizontal="left" indent="2"/>
    </xf>
    <xf numFmtId="0" fontId="0" fillId="0" borderId="0" xfId="0" applyBorder="1" applyAlignment="1">
      <alignment horizontal="left" indent="2"/>
    </xf>
    <xf numFmtId="0" fontId="0" fillId="0" borderId="4" xfId="0" applyBorder="1" applyAlignment="1">
      <alignment horizontal="left" indent="2"/>
    </xf>
    <xf numFmtId="3" fontId="46" fillId="0" borderId="50" xfId="0" applyNumberFormat="1" applyFont="1" applyBorder="1" applyAlignment="1">
      <alignment horizontal="left" indent="4"/>
    </xf>
    <xf numFmtId="3" fontId="39" fillId="0" borderId="10" xfId="0" applyNumberFormat="1" applyFont="1" applyBorder="1" applyAlignment="1">
      <alignment horizontal="left" wrapText="1" indent="1"/>
    </xf>
    <xf numFmtId="0" fontId="0" fillId="0" borderId="11" xfId="0" applyBorder="1" applyAlignment="1">
      <alignment horizontal="left" wrapText="1" indent="1"/>
    </xf>
    <xf numFmtId="0" fontId="0" fillId="0" borderId="17" xfId="0" applyBorder="1" applyAlignment="1">
      <alignment horizontal="left" wrapText="1" indent="1"/>
    </xf>
    <xf numFmtId="0" fontId="0" fillId="0" borderId="6" xfId="0" applyBorder="1" applyAlignment="1">
      <alignment horizontal="left" wrapText="1" indent="1"/>
    </xf>
    <xf numFmtId="0" fontId="0" fillId="0" borderId="1" xfId="0" applyBorder="1" applyAlignment="1">
      <alignment horizontal="left" wrapText="1" indent="1"/>
    </xf>
    <xf numFmtId="0" fontId="0" fillId="0" borderId="7" xfId="0" applyBorder="1" applyAlignment="1">
      <alignment horizontal="left" wrapText="1" indent="1"/>
    </xf>
    <xf numFmtId="3" fontId="46" fillId="0" borderId="6" xfId="0" applyNumberFormat="1" applyFont="1" applyBorder="1" applyAlignment="1">
      <alignment horizontal="left" indent="4"/>
    </xf>
    <xf numFmtId="0" fontId="0" fillId="0" borderId="1" xfId="0" applyBorder="1" applyAlignment="1">
      <alignment horizontal="left" indent="4"/>
    </xf>
    <xf numFmtId="0" fontId="0" fillId="0" borderId="7" xfId="0" applyBorder="1" applyAlignment="1">
      <alignment horizontal="left" indent="4"/>
    </xf>
    <xf numFmtId="3" fontId="6" fillId="0" borderId="49" xfId="0" applyNumberFormat="1" applyFont="1" applyFill="1" applyBorder="1" applyAlignment="1">
      <alignment horizontal="left" indent="4"/>
    </xf>
    <xf numFmtId="3" fontId="6" fillId="0" borderId="14" xfId="0" applyNumberFormat="1" applyFont="1" applyBorder="1" applyAlignment="1">
      <alignment horizontal="left" indent="4"/>
    </xf>
    <xf numFmtId="0" fontId="0" fillId="0" borderId="15" xfId="0" applyBorder="1" applyAlignment="1">
      <alignment horizontal="left" indent="4"/>
    </xf>
    <xf numFmtId="0" fontId="6" fillId="0" borderId="49" xfId="0" applyFont="1" applyBorder="1" applyAlignment="1">
      <alignment horizontal="left" indent="4"/>
    </xf>
    <xf numFmtId="177" fontId="39"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177" fontId="39" fillId="0" borderId="10" xfId="0" applyNumberFormat="1" applyFont="1" applyBorder="1" applyAlignment="1">
      <alignment horizontal="center" vertical="center"/>
    </xf>
    <xf numFmtId="0" fontId="0" fillId="0" borderId="11" xfId="0" applyBorder="1" applyAlignment="1">
      <alignment vertical="center"/>
    </xf>
    <xf numFmtId="0" fontId="0" fillId="0" borderId="17"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7" xfId="0" applyBorder="1" applyAlignment="1">
      <alignment vertical="center"/>
    </xf>
    <xf numFmtId="3" fontId="46" fillId="0" borderId="10" xfId="0" applyNumberFormat="1" applyFont="1" applyBorder="1" applyAlignment="1">
      <alignment/>
    </xf>
    <xf numFmtId="0" fontId="0" fillId="0" borderId="11" xfId="0" applyBorder="1" applyAlignment="1">
      <alignment/>
    </xf>
    <xf numFmtId="0" fontId="0" fillId="0" borderId="17"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13" xfId="0" applyBorder="1" applyAlignment="1">
      <alignment/>
    </xf>
    <xf numFmtId="0" fontId="0" fillId="0" borderId="12" xfId="0" applyBorder="1" applyAlignment="1">
      <alignment/>
    </xf>
    <xf numFmtId="0" fontId="0" fillId="0" borderId="18" xfId="0" applyBorder="1" applyAlignment="1">
      <alignment/>
    </xf>
    <xf numFmtId="3" fontId="25" fillId="0" borderId="29" xfId="0" applyNumberFormat="1" applyFont="1" applyBorder="1" applyAlignment="1">
      <alignment/>
    </xf>
    <xf numFmtId="0" fontId="0" fillId="0" borderId="40" xfId="0" applyBorder="1" applyAlignment="1">
      <alignment/>
    </xf>
    <xf numFmtId="0" fontId="0" fillId="0" borderId="11"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3" fontId="6" fillId="0" borderId="29" xfId="0" applyNumberFormat="1" applyFont="1" applyBorder="1" applyAlignment="1">
      <alignment/>
    </xf>
    <xf numFmtId="0" fontId="25" fillId="0" borderId="19" xfId="21" applyFont="1" applyBorder="1" applyAlignment="1">
      <alignment horizontal="center" wrapText="1"/>
      <protection/>
    </xf>
    <xf numFmtId="0" fontId="0" fillId="0" borderId="5" xfId="0" applyFont="1" applyBorder="1" applyAlignment="1">
      <alignment horizontal="center" wrapText="1"/>
    </xf>
    <xf numFmtId="0" fontId="6" fillId="0" borderId="5" xfId="0" applyFont="1" applyBorder="1" applyAlignment="1">
      <alignment horizontal="center" wrapText="1"/>
    </xf>
    <xf numFmtId="0" fontId="40" fillId="0" borderId="0" xfId="21" applyFont="1" applyAlignment="1">
      <alignment horizontal="center"/>
      <protection/>
    </xf>
    <xf numFmtId="0" fontId="66" fillId="0" borderId="0" xfId="0" applyFont="1" applyAlignment="1">
      <alignment horizontal="center"/>
    </xf>
    <xf numFmtId="3" fontId="41" fillId="0" borderId="0" xfId="21" applyNumberFormat="1" applyFont="1" applyAlignment="1">
      <alignment horizontal="center"/>
      <protection/>
    </xf>
    <xf numFmtId="0" fontId="66" fillId="0" borderId="0" xfId="0" applyFont="1" applyBorder="1" applyAlignment="1">
      <alignment horizontal="center"/>
    </xf>
    <xf numFmtId="0" fontId="41" fillId="0" borderId="0" xfId="21" applyFont="1" applyAlignment="1">
      <alignment horizontal="center"/>
      <protection/>
    </xf>
    <xf numFmtId="0" fontId="25" fillId="0" borderId="19" xfId="21" applyFont="1" applyBorder="1" applyAlignment="1">
      <alignment wrapText="1"/>
      <protection/>
    </xf>
    <xf numFmtId="0" fontId="0" fillId="0" borderId="5" xfId="0" applyFont="1" applyBorder="1" applyAlignment="1">
      <alignment wrapText="1"/>
    </xf>
    <xf numFmtId="0" fontId="25" fillId="0" borderId="29" xfId="21" applyFont="1" applyBorder="1" applyAlignment="1">
      <alignment horizontal="center"/>
      <protection/>
    </xf>
    <xf numFmtId="0" fontId="0" fillId="0" borderId="40" xfId="0" applyFont="1" applyBorder="1" applyAlignment="1">
      <alignment horizontal="center"/>
    </xf>
    <xf numFmtId="0" fontId="0" fillId="0" borderId="47" xfId="0" applyFont="1" applyBorder="1" applyAlignment="1">
      <alignment horizontal="center"/>
    </xf>
    <xf numFmtId="0" fontId="6" fillId="0" borderId="40" xfId="0" applyFont="1" applyBorder="1" applyAlignment="1">
      <alignment horizontal="center"/>
    </xf>
    <xf numFmtId="0" fontId="6" fillId="0" borderId="47" xfId="0" applyFont="1" applyBorder="1" applyAlignment="1">
      <alignment horizontal="center"/>
    </xf>
    <xf numFmtId="0" fontId="57" fillId="0" borderId="6" xfId="21" applyFont="1" applyBorder="1" applyAlignment="1">
      <alignment horizontal="center"/>
      <protection/>
    </xf>
    <xf numFmtId="0" fontId="54" fillId="0" borderId="1" xfId="0" applyFont="1" applyBorder="1" applyAlignment="1">
      <alignment horizontal="center"/>
    </xf>
    <xf numFmtId="0" fontId="54" fillId="0" borderId="7" xfId="0" applyFont="1" applyBorder="1" applyAlignment="1">
      <alignment horizontal="center"/>
    </xf>
    <xf numFmtId="0" fontId="25" fillId="0" borderId="19" xfId="21" applyFont="1" applyBorder="1" applyAlignment="1">
      <alignment/>
      <protection/>
    </xf>
    <xf numFmtId="0" fontId="0" fillId="0" borderId="5" xfId="0" applyFont="1" applyBorder="1" applyAlignment="1">
      <alignment/>
    </xf>
    <xf numFmtId="0" fontId="26" fillId="0" borderId="0" xfId="22" applyFont="1" applyAlignment="1">
      <alignment/>
      <protection/>
    </xf>
    <xf numFmtId="0" fontId="68" fillId="0" borderId="0" xfId="0" applyFont="1" applyBorder="1" applyAlignment="1">
      <alignment/>
    </xf>
    <xf numFmtId="0" fontId="68" fillId="0" borderId="0" xfId="0" applyFont="1" applyBorder="1" applyAlignment="1">
      <alignment/>
    </xf>
    <xf numFmtId="0" fontId="25" fillId="0" borderId="0" xfId="22" applyFont="1" applyAlignment="1">
      <alignment horizontal="center"/>
      <protection/>
    </xf>
    <xf numFmtId="0" fontId="0" fillId="0" borderId="0" xfId="0" applyBorder="1" applyAlignment="1">
      <alignment horizontal="center"/>
    </xf>
    <xf numFmtId="3" fontId="25" fillId="0" borderId="0" xfId="22" applyNumberFormat="1" applyFont="1" applyAlignment="1">
      <alignment horizontal="center"/>
      <protection/>
    </xf>
    <xf numFmtId="0" fontId="15" fillId="0" borderId="0" xfId="22" applyFont="1" applyAlignment="1">
      <alignment horizontal="center"/>
      <protection/>
    </xf>
    <xf numFmtId="0" fontId="31"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9" fillId="0" borderId="11" xfId="22" applyFont="1" applyFill="1" applyBorder="1" applyAlignment="1">
      <alignment/>
      <protection/>
    </xf>
    <xf numFmtId="0" fontId="15" fillId="0" borderId="1" xfId="22" applyFont="1" applyFill="1" applyBorder="1" applyAlignment="1">
      <alignment/>
      <protection/>
    </xf>
    <xf numFmtId="0" fontId="29" fillId="0" borderId="19" xfId="22" applyFont="1" applyFill="1" applyBorder="1" applyAlignment="1">
      <alignment/>
      <protection/>
    </xf>
    <xf numFmtId="0" fontId="15" fillId="0" borderId="5" xfId="22" applyFont="1" applyFill="1" applyBorder="1" applyAlignment="1">
      <alignment/>
      <protection/>
    </xf>
    <xf numFmtId="0" fontId="58" fillId="0" borderId="0" xfId="22" applyFont="1" applyBorder="1" applyAlignment="1">
      <alignment horizontal="center"/>
      <protection/>
    </xf>
    <xf numFmtId="0" fontId="54" fillId="0" borderId="0" xfId="0" applyFont="1" applyBorder="1" applyAlignment="1">
      <alignment horizontal="center"/>
    </xf>
    <xf numFmtId="1" fontId="29" fillId="0" borderId="123" xfId="22" applyNumberFormat="1" applyFont="1" applyFill="1" applyBorder="1" applyAlignment="1">
      <alignment horizontal="center" vertical="center" wrapText="1"/>
      <protection/>
    </xf>
    <xf numFmtId="0" fontId="0" fillId="0" borderId="125" xfId="0" applyBorder="1" applyAlignment="1">
      <alignment horizontal="center" vertical="center" wrapText="1"/>
    </xf>
    <xf numFmtId="0" fontId="46" fillId="0" borderId="123" xfId="22" applyFont="1" applyFill="1" applyBorder="1" applyAlignment="1">
      <alignment horizontal="center" vertical="center" wrapText="1"/>
      <protection/>
    </xf>
    <xf numFmtId="0" fontId="0" fillId="0" borderId="7" xfId="0" applyBorder="1" applyAlignment="1">
      <alignment vertical="center" wrapText="1"/>
    </xf>
    <xf numFmtId="1" fontId="29" fillId="0" borderId="126" xfId="22" applyNumberFormat="1" applyFont="1" applyFill="1" applyBorder="1" applyAlignment="1">
      <alignment horizontal="center" vertical="center" wrapText="1"/>
      <protection/>
    </xf>
    <xf numFmtId="0" fontId="0" fillId="0" borderId="127" xfId="0" applyBorder="1" applyAlignment="1">
      <alignment horizontal="center" vertical="center" wrapText="1"/>
    </xf>
    <xf numFmtId="0" fontId="0" fillId="0" borderId="128" xfId="0" applyBorder="1" applyAlignment="1">
      <alignment horizontal="center" vertical="center" wrapText="1"/>
    </xf>
    <xf numFmtId="0" fontId="29" fillId="0" borderId="29" xfId="22" applyFont="1" applyFill="1" applyBorder="1" applyAlignment="1">
      <alignment horizontal="center"/>
      <protection/>
    </xf>
    <xf numFmtId="0" fontId="0" fillId="0" borderId="47" xfId="0" applyBorder="1" applyAlignment="1">
      <alignment horizontal="center"/>
    </xf>
    <xf numFmtId="0" fontId="29" fillId="0" borderId="6" xfId="22" applyFont="1" applyFill="1" applyBorder="1" applyAlignment="1">
      <alignment horizontal="center"/>
      <protection/>
    </xf>
    <xf numFmtId="0" fontId="29" fillId="0" borderId="7" xfId="22" applyFont="1" applyFill="1" applyBorder="1" applyAlignment="1">
      <alignment horizontal="center"/>
      <protection/>
    </xf>
    <xf numFmtId="0" fontId="67" fillId="0" borderId="0" xfId="0" applyFont="1" applyBorder="1" applyAlignment="1">
      <alignment/>
    </xf>
    <xf numFmtId="0" fontId="67" fillId="0" borderId="0" xfId="0" applyFont="1" applyBorder="1" applyAlignment="1">
      <alignment/>
    </xf>
    <xf numFmtId="0" fontId="49" fillId="0" borderId="0" xfId="0" applyFont="1" applyBorder="1" applyAlignment="1">
      <alignment wrapText="1"/>
    </xf>
    <xf numFmtId="0" fontId="49" fillId="0" borderId="0" xfId="0" applyFont="1" applyBorder="1" applyAlignment="1">
      <alignment wrapText="1"/>
    </xf>
    <xf numFmtId="0" fontId="49" fillId="0" borderId="0" xfId="0" applyFont="1" applyBorder="1" applyAlignment="1">
      <alignment wrapText="1"/>
    </xf>
    <xf numFmtId="0" fontId="53" fillId="0" borderId="0" xfId="0" applyFont="1" applyBorder="1" applyAlignment="1">
      <alignment wrapText="1"/>
    </xf>
    <xf numFmtId="0" fontId="53" fillId="0" borderId="0" xfId="0" applyFont="1" applyBorder="1" applyAlignment="1">
      <alignment wrapText="1"/>
    </xf>
    <xf numFmtId="0" fontId="45"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39" fillId="0" borderId="0" xfId="0" applyFont="1" applyBorder="1" applyAlignment="1">
      <alignment horizontal="center" wrapText="1"/>
    </xf>
    <xf numFmtId="0" fontId="39" fillId="0" borderId="129" xfId="0" applyFont="1" applyBorder="1" applyAlignment="1">
      <alignment horizontal="center" wrapText="1"/>
    </xf>
    <xf numFmtId="0" fontId="45" fillId="0" borderId="0" xfId="0" applyFont="1" applyFill="1" applyBorder="1" applyAlignment="1">
      <alignment wrapText="1"/>
    </xf>
    <xf numFmtId="0" fontId="0" fillId="0" borderId="0" xfId="0" applyFill="1" applyBorder="1" applyAlignment="1">
      <alignment wrapText="1"/>
    </xf>
    <xf numFmtId="0" fontId="49" fillId="0" borderId="0" xfId="0" applyFont="1" applyBorder="1" applyAlignment="1">
      <alignment vertical="top" wrapText="1"/>
    </xf>
    <xf numFmtId="0" fontId="53" fillId="0" borderId="0" xfId="0" applyFont="1" applyBorder="1" applyAlignment="1">
      <alignment vertical="top" wrapText="1"/>
    </xf>
    <xf numFmtId="0" fontId="39" fillId="0" borderId="0" xfId="0" applyFont="1" applyBorder="1" applyAlignment="1">
      <alignment wrapText="1"/>
    </xf>
    <xf numFmtId="0" fontId="39" fillId="0" borderId="0" xfId="0" applyFont="1" applyBorder="1" applyAlignment="1">
      <alignment wrapText="1"/>
    </xf>
    <xf numFmtId="0" fontId="17" fillId="0" borderId="0" xfId="0" applyFont="1" applyBorder="1" applyAlignment="1">
      <alignment wrapText="1"/>
    </xf>
    <xf numFmtId="0" fontId="17" fillId="0" borderId="0" xfId="0" applyFont="1" applyBorder="1" applyAlignment="1">
      <alignment wrapText="1"/>
    </xf>
    <xf numFmtId="0" fontId="0" fillId="0" borderId="0" xfId="0" applyFill="1" applyBorder="1" applyAlignment="1">
      <alignment wrapText="1"/>
    </xf>
    <xf numFmtId="0" fontId="45" fillId="0" borderId="0" xfId="0" applyFont="1" applyBorder="1" applyAlignment="1">
      <alignment wrapText="1"/>
    </xf>
    <xf numFmtId="0" fontId="45" fillId="0" borderId="0" xfId="0" applyFont="1" applyBorder="1" applyAlignment="1">
      <alignment wrapText="1"/>
    </xf>
    <xf numFmtId="0" fontId="49" fillId="0" borderId="0" xfId="0" applyNumberFormat="1" applyFont="1" applyBorder="1" applyAlignment="1">
      <alignment horizontal="left" vertical="center" wrapText="1"/>
    </xf>
    <xf numFmtId="0" fontId="53" fillId="0" borderId="0" xfId="0" applyFont="1" applyBorder="1" applyAlignment="1">
      <alignment horizontal="left" vertical="center" wrapText="1"/>
    </xf>
    <xf numFmtId="0" fontId="53" fillId="0" borderId="0" xfId="0" applyFont="1" applyBorder="1" applyAlignment="1">
      <alignment horizontal="left" vertical="center" wrapText="1"/>
    </xf>
    <xf numFmtId="0" fontId="50" fillId="0" borderId="0" xfId="0" applyFont="1" applyBorder="1" applyAlignment="1">
      <alignment wrapText="1"/>
    </xf>
    <xf numFmtId="0" fontId="50" fillId="0" borderId="0" xfId="0" applyFont="1" applyBorder="1" applyAlignment="1">
      <alignment wrapText="1"/>
    </xf>
    <xf numFmtId="0" fontId="50" fillId="0" borderId="0" xfId="0" applyFont="1" applyBorder="1" applyAlignment="1">
      <alignment horizontal="center" vertical="top" wrapText="1"/>
    </xf>
    <xf numFmtId="0" fontId="45" fillId="0" borderId="0" xfId="0" applyFont="1" applyBorder="1" applyAlignment="1">
      <alignment horizontal="center"/>
    </xf>
    <xf numFmtId="0" fontId="0" fillId="0" borderId="0" xfId="0"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77" fontId="28" fillId="0" borderId="0" xfId="0" applyNumberFormat="1" applyFont="1" applyAlignment="1">
      <alignment horizontal="center"/>
    </xf>
    <xf numFmtId="177" fontId="56" fillId="0" borderId="0" xfId="0" applyNumberFormat="1" applyFont="1" applyAlignment="1">
      <alignment horizontal="center"/>
    </xf>
    <xf numFmtId="177" fontId="11" fillId="0" borderId="0" xfId="0" applyNumberFormat="1" applyFont="1" applyAlignment="1">
      <alignment horizontal="center"/>
    </xf>
    <xf numFmtId="177" fontId="12" fillId="0" borderId="0" xfId="0" applyNumberFormat="1" applyFont="1" applyAlignment="1">
      <alignment horizontal="center"/>
    </xf>
    <xf numFmtId="177" fontId="5" fillId="0" borderId="29" xfId="0" applyNumberFormat="1" applyFont="1" applyBorder="1" applyAlignment="1">
      <alignment/>
    </xf>
    <xf numFmtId="177" fontId="5" fillId="0" borderId="47" xfId="0" applyNumberFormat="1" applyFont="1" applyBorder="1" applyAlignment="1">
      <alignment/>
    </xf>
    <xf numFmtId="177" fontId="6" fillId="0" borderId="112" xfId="0" applyNumberFormat="1" applyFont="1" applyBorder="1" applyAlignment="1">
      <alignment/>
    </xf>
    <xf numFmtId="177" fontId="6" fillId="0" borderId="122" xfId="0" applyNumberFormat="1" applyFont="1" applyBorder="1" applyAlignment="1">
      <alignment/>
    </xf>
    <xf numFmtId="177" fontId="34" fillId="0" borderId="10" xfId="0" applyNumberFormat="1" applyFont="1" applyBorder="1" applyAlignment="1">
      <alignment horizontal="center"/>
    </xf>
    <xf numFmtId="177" fontId="5" fillId="0" borderId="49" xfId="0" applyNumberFormat="1" applyFont="1" applyBorder="1" applyAlignment="1">
      <alignment horizontal="left" indent="3"/>
    </xf>
    <xf numFmtId="177" fontId="5" fillId="0" borderId="48" xfId="0" applyNumberFormat="1" applyFont="1" applyBorder="1" applyAlignment="1">
      <alignment horizontal="left" indent="3"/>
    </xf>
    <xf numFmtId="0" fontId="6" fillId="0" borderId="0" xfId="0" applyFont="1" applyBorder="1" applyAlignment="1">
      <alignment vertical="top" wrapText="1"/>
    </xf>
    <xf numFmtId="0" fontId="0" fillId="0" borderId="0" xfId="0" applyBorder="1" applyAlignment="1">
      <alignment vertical="top" wrapText="1"/>
    </xf>
    <xf numFmtId="177" fontId="5" fillId="0" borderId="50" xfId="0" applyNumberFormat="1" applyFont="1" applyBorder="1" applyAlignment="1">
      <alignment horizontal="left" indent="3"/>
    </xf>
    <xf numFmtId="0" fontId="0" fillId="0" borderId="52" xfId="0" applyBorder="1" applyAlignment="1">
      <alignment horizontal="left" indent="3"/>
    </xf>
    <xf numFmtId="177" fontId="6" fillId="0" borderId="29" xfId="0" applyNumberFormat="1" applyFont="1" applyBorder="1" applyAlignment="1">
      <alignment/>
    </xf>
    <xf numFmtId="0" fontId="0" fillId="0" borderId="47" xfId="0" applyBorder="1" applyAlignment="1">
      <alignment/>
    </xf>
    <xf numFmtId="177" fontId="34" fillId="0" borderId="10" xfId="0" applyNumberFormat="1" applyFont="1" applyBorder="1" applyAlignment="1">
      <alignment horizontal="center" wrapText="1"/>
    </xf>
    <xf numFmtId="0" fontId="0" fillId="0" borderId="11" xfId="0" applyBorder="1" applyAlignment="1">
      <alignment horizontal="center" wrapText="1"/>
    </xf>
    <xf numFmtId="0" fontId="0" fillId="0" borderId="17" xfId="0" applyBorder="1" applyAlignment="1">
      <alignment horizontal="center" wrapText="1"/>
    </xf>
    <xf numFmtId="0" fontId="0" fillId="0" borderId="3"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177" fontId="34" fillId="0" borderId="6" xfId="0" applyNumberFormat="1" applyFont="1" applyBorder="1" applyAlignment="1">
      <alignment horizontal="left" indent="3"/>
    </xf>
    <xf numFmtId="177" fontId="34" fillId="0" borderId="7" xfId="0" applyNumberFormat="1" applyFont="1" applyBorder="1" applyAlignment="1">
      <alignment horizontal="left" indent="3"/>
    </xf>
    <xf numFmtId="3" fontId="26" fillId="0" borderId="0" xfId="0" applyNumberFormat="1" applyFont="1" applyBorder="1" applyAlignment="1">
      <alignment/>
    </xf>
    <xf numFmtId="0" fontId="26" fillId="0" borderId="0" xfId="0" applyFont="1" applyBorder="1" applyAlignment="1">
      <alignment/>
    </xf>
    <xf numFmtId="0" fontId="26" fillId="0" borderId="0" xfId="0" applyFont="1" applyBorder="1" applyAlignment="1">
      <alignment/>
    </xf>
    <xf numFmtId="177" fontId="16" fillId="0" borderId="0" xfId="0" applyNumberFormat="1" applyFont="1" applyAlignment="1">
      <alignment horizontal="center"/>
    </xf>
    <xf numFmtId="0" fontId="16" fillId="0" borderId="0" xfId="0" applyFont="1" applyAlignment="1">
      <alignment horizontal="center"/>
    </xf>
    <xf numFmtId="177" fontId="6" fillId="0" borderId="0" xfId="0" applyNumberFormat="1" applyFont="1" applyAlignment="1">
      <alignment horizontal="center"/>
    </xf>
    <xf numFmtId="0" fontId="6" fillId="0" borderId="0" xfId="0" applyFont="1" applyBorder="1" applyAlignment="1">
      <alignment horizontal="center"/>
    </xf>
    <xf numFmtId="0" fontId="6" fillId="0" borderId="0" xfId="0" applyFont="1" applyAlignment="1">
      <alignment horizontal="center"/>
    </xf>
    <xf numFmtId="177" fontId="15" fillId="0" borderId="0" xfId="0" applyNumberFormat="1" applyFont="1" applyAlignment="1">
      <alignment horizontal="center"/>
    </xf>
    <xf numFmtId="0" fontId="15" fillId="0" borderId="0" xfId="0" applyFont="1" applyBorder="1" applyAlignment="1">
      <alignment horizontal="center"/>
    </xf>
    <xf numFmtId="177" fontId="25" fillId="0" borderId="10" xfId="0" applyNumberFormat="1" applyFont="1" applyBorder="1" applyAlignment="1">
      <alignment horizontal="center" wrapText="1"/>
    </xf>
    <xf numFmtId="0" fontId="25" fillId="0" borderId="11" xfId="0" applyFont="1" applyBorder="1" applyAlignment="1">
      <alignment horizontal="center" wrapText="1"/>
    </xf>
    <xf numFmtId="0" fontId="25" fillId="0" borderId="17" xfId="0" applyFont="1" applyBorder="1" applyAlignment="1">
      <alignment horizontal="center" wrapText="1"/>
    </xf>
    <xf numFmtId="0" fontId="25" fillId="0" borderId="3" xfId="0" applyFont="1" applyBorder="1" applyAlignment="1">
      <alignment horizontal="center" wrapText="1"/>
    </xf>
    <xf numFmtId="0" fontId="25" fillId="0" borderId="0" xfId="0" applyFont="1" applyBorder="1" applyAlignment="1">
      <alignment horizontal="center" wrapText="1"/>
    </xf>
    <xf numFmtId="0" fontId="25" fillId="0" borderId="4" xfId="0" applyFont="1" applyBorder="1" applyAlignment="1">
      <alignment horizontal="center" wrapText="1"/>
    </xf>
    <xf numFmtId="177" fontId="25" fillId="0" borderId="10" xfId="0" applyNumberFormat="1" applyFont="1" applyBorder="1" applyAlignment="1">
      <alignment horizontal="center"/>
    </xf>
    <xf numFmtId="0" fontId="25" fillId="0" borderId="11" xfId="0" applyFont="1" applyBorder="1" applyAlignment="1">
      <alignment/>
    </xf>
    <xf numFmtId="0" fontId="25" fillId="0" borderId="17" xfId="0" applyFont="1" applyBorder="1" applyAlignment="1">
      <alignment/>
    </xf>
    <xf numFmtId="0" fontId="25" fillId="0" borderId="3" xfId="0" applyFont="1" applyBorder="1" applyAlignment="1">
      <alignment/>
    </xf>
    <xf numFmtId="0" fontId="25" fillId="0" borderId="0" xfId="0" applyFont="1" applyBorder="1" applyAlignment="1">
      <alignment/>
    </xf>
    <xf numFmtId="0" fontId="25" fillId="0" borderId="4" xfId="0" applyFont="1" applyBorder="1" applyAlignment="1">
      <alignment/>
    </xf>
    <xf numFmtId="177" fontId="6" fillId="0" borderId="130" xfId="0" applyNumberFormat="1" applyFont="1" applyBorder="1" applyAlignment="1">
      <alignment/>
    </xf>
    <xf numFmtId="0" fontId="6" fillId="0" borderId="101" xfId="0" applyFont="1" applyBorder="1" applyAlignment="1">
      <alignment/>
    </xf>
    <xf numFmtId="177" fontId="6" fillId="0" borderId="49" xfId="0" applyNumberFormat="1" applyFont="1" applyBorder="1" applyAlignment="1">
      <alignment/>
    </xf>
    <xf numFmtId="0" fontId="6" fillId="0" borderId="48" xfId="0" applyFont="1" applyBorder="1" applyAlignment="1">
      <alignment/>
    </xf>
    <xf numFmtId="177" fontId="25" fillId="0" borderId="6" xfId="0" applyNumberFormat="1" applyFont="1" applyBorder="1" applyAlignment="1">
      <alignment horizontal="left" indent="3"/>
    </xf>
    <xf numFmtId="0" fontId="25" fillId="0" borderId="7" xfId="0" applyFont="1" applyBorder="1" applyAlignment="1">
      <alignment horizontal="left" indent="3"/>
    </xf>
    <xf numFmtId="177" fontId="6" fillId="0" borderId="29" xfId="0" applyNumberFormat="1" applyFont="1" applyBorder="1" applyAlignment="1">
      <alignment/>
    </xf>
    <xf numFmtId="0" fontId="6" fillId="0" borderId="47" xfId="0" applyFont="1" applyBorder="1" applyAlignment="1">
      <alignment/>
    </xf>
    <xf numFmtId="177" fontId="6" fillId="0" borderId="112" xfId="0" applyNumberFormat="1" applyFont="1" applyBorder="1" applyAlignment="1">
      <alignment/>
    </xf>
    <xf numFmtId="0" fontId="6" fillId="0" borderId="122" xfId="0" applyFont="1" applyBorder="1" applyAlignment="1">
      <alignment/>
    </xf>
    <xf numFmtId="177" fontId="6" fillId="0" borderId="49" xfId="0" applyNumberFormat="1" applyFont="1" applyBorder="1" applyAlignment="1">
      <alignment horizontal="left" indent="3"/>
    </xf>
    <xf numFmtId="0" fontId="6" fillId="0" borderId="48" xfId="0" applyFont="1" applyBorder="1" applyAlignment="1">
      <alignment horizontal="left" indent="3"/>
    </xf>
    <xf numFmtId="177" fontId="6" fillId="0" borderId="50" xfId="0" applyNumberFormat="1" applyFont="1" applyBorder="1" applyAlignment="1">
      <alignment horizontal="left" indent="3"/>
    </xf>
    <xf numFmtId="0" fontId="6" fillId="0" borderId="52" xfId="0" applyFont="1" applyBorder="1" applyAlignment="1">
      <alignment horizontal="left" indent="3"/>
    </xf>
    <xf numFmtId="0" fontId="54" fillId="0" borderId="0" xfId="0" applyFont="1" applyBorder="1" applyAlignment="1">
      <alignment horizontal="center"/>
    </xf>
    <xf numFmtId="0" fontId="0" fillId="0" borderId="0" xfId="0" applyAlignment="1">
      <alignment/>
    </xf>
    <xf numFmtId="177" fontId="34" fillId="0" borderId="10" xfId="0" applyNumberFormat="1" applyFont="1" applyBorder="1" applyAlignment="1">
      <alignment/>
    </xf>
    <xf numFmtId="177" fontId="34" fillId="0" borderId="29" xfId="0" applyNumberFormat="1" applyFont="1" applyBorder="1" applyAlignment="1">
      <alignment horizontal="center"/>
    </xf>
    <xf numFmtId="0" fontId="0" fillId="0" borderId="40" xfId="0" applyBorder="1" applyAlignment="1">
      <alignment horizontal="center"/>
    </xf>
    <xf numFmtId="3" fontId="25" fillId="0" borderId="0" xfId="0" applyNumberFormat="1" applyFont="1" applyAlignment="1">
      <alignment/>
    </xf>
    <xf numFmtId="0" fontId="0" fillId="0" borderId="0" xfId="0" applyFont="1" applyBorder="1" applyAlignment="1">
      <alignment/>
    </xf>
    <xf numFmtId="0" fontId="0" fillId="0" borderId="0" xfId="0" applyFont="1" applyBorder="1" applyAlignment="1">
      <alignment/>
    </xf>
    <xf numFmtId="177" fontId="12"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77" fontId="44" fillId="2" borderId="50" xfId="0" applyNumberFormat="1" applyFont="1" applyFill="1" applyBorder="1" applyAlignment="1">
      <alignment horizontal="left"/>
    </xf>
    <xf numFmtId="0" fontId="35" fillId="0" borderId="52" xfId="0" applyFont="1" applyBorder="1" applyAlignment="1">
      <alignment/>
    </xf>
    <xf numFmtId="177" fontId="44" fillId="2" borderId="49" xfId="0" applyNumberFormat="1" applyFont="1" applyFill="1" applyBorder="1" applyAlignment="1">
      <alignment horizontal="left"/>
    </xf>
    <xf numFmtId="0" fontId="35" fillId="0" borderId="48" xfId="0" applyFont="1" applyBorder="1" applyAlignment="1">
      <alignment/>
    </xf>
    <xf numFmtId="177" fontId="54" fillId="0" borderId="11" xfId="0" applyNumberFormat="1" applyFont="1" applyBorder="1" applyAlignment="1">
      <alignment horizontal="center"/>
    </xf>
    <xf numFmtId="177" fontId="54" fillId="0" borderId="131" xfId="0" applyNumberFormat="1" applyFont="1" applyBorder="1" applyAlignment="1">
      <alignment horizontal="center"/>
    </xf>
    <xf numFmtId="177" fontId="33" fillId="2" borderId="132" xfId="0" applyNumberFormat="1" applyFont="1" applyFill="1" applyBorder="1" applyAlignment="1">
      <alignment horizontal="center" wrapText="1"/>
    </xf>
    <xf numFmtId="0" fontId="0" fillId="0" borderId="133" xfId="0" applyFont="1" applyBorder="1" applyAlignment="1">
      <alignment horizontal="center" wrapText="1"/>
    </xf>
    <xf numFmtId="177" fontId="33" fillId="2" borderId="134" xfId="0" applyNumberFormat="1" applyFont="1" applyFill="1" applyBorder="1" applyAlignment="1">
      <alignment horizontal="center" wrapText="1"/>
    </xf>
    <xf numFmtId="0" fontId="0" fillId="0" borderId="135" xfId="0" applyFont="1" applyBorder="1" applyAlignment="1">
      <alignment horizontal="center" wrapText="1"/>
    </xf>
    <xf numFmtId="177" fontId="44" fillId="2" borderId="130" xfId="0" applyNumberFormat="1" applyFont="1" applyFill="1" applyBorder="1" applyAlignment="1">
      <alignment horizontal="left"/>
    </xf>
    <xf numFmtId="0" fontId="35" fillId="0" borderId="101" xfId="0" applyFont="1" applyBorder="1" applyAlignment="1">
      <alignment/>
    </xf>
    <xf numFmtId="177" fontId="37" fillId="2" borderId="33" xfId="0" applyNumberFormat="1" applyFont="1" applyFill="1" applyBorder="1" applyAlignment="1">
      <alignment horizontal="left" indent="5"/>
    </xf>
    <xf numFmtId="0" fontId="0" fillId="0" borderId="136" xfId="0" applyBorder="1" applyAlignment="1">
      <alignment horizontal="left" indent="5"/>
    </xf>
    <xf numFmtId="177" fontId="42" fillId="2" borderId="29" xfId="0" applyNumberFormat="1" applyFont="1" applyFill="1" applyBorder="1" applyAlignment="1">
      <alignment horizontal="left" indent="5"/>
    </xf>
    <xf numFmtId="0" fontId="35" fillId="0" borderId="47" xfId="0" applyFont="1" applyBorder="1" applyAlignment="1">
      <alignment horizontal="left" indent="5"/>
    </xf>
    <xf numFmtId="177" fontId="33" fillId="2" borderId="98" xfId="0" applyNumberFormat="1" applyFont="1" applyFill="1" applyBorder="1" applyAlignment="1">
      <alignment horizontal="center" wrapText="1"/>
    </xf>
    <xf numFmtId="0" fontId="0" fillId="0" borderId="44" xfId="0" applyFont="1" applyBorder="1" applyAlignment="1">
      <alignment horizontal="center" wrapText="1"/>
    </xf>
    <xf numFmtId="177" fontId="33" fillId="2" borderId="137" xfId="0" applyNumberFormat="1" applyFont="1" applyFill="1" applyBorder="1" applyAlignment="1">
      <alignment horizontal="center" wrapText="1"/>
    </xf>
    <xf numFmtId="0" fontId="0" fillId="0" borderId="70" xfId="0" applyFont="1" applyBorder="1" applyAlignment="1">
      <alignment horizontal="center" wrapText="1"/>
    </xf>
    <xf numFmtId="1" fontId="33" fillId="2" borderId="138" xfId="0" applyNumberFormat="1" applyFont="1" applyFill="1" applyBorder="1" applyAlignment="1">
      <alignment horizontal="center"/>
    </xf>
    <xf numFmtId="1" fontId="33" fillId="2" borderId="139" xfId="0" applyNumberFormat="1" applyFont="1" applyFill="1" applyBorder="1" applyAlignment="1">
      <alignment horizontal="center"/>
    </xf>
    <xf numFmtId="1" fontId="33" fillId="2" borderId="140" xfId="0" applyNumberFormat="1" applyFont="1" applyFill="1" applyBorder="1" applyAlignment="1">
      <alignment horizontal="center"/>
    </xf>
    <xf numFmtId="177" fontId="33" fillId="2" borderId="73" xfId="0" applyNumberFormat="1" applyFont="1" applyFill="1" applyBorder="1" applyAlignment="1">
      <alignment horizontal="center" wrapText="1"/>
    </xf>
    <xf numFmtId="0" fontId="0" fillId="0" borderId="71" xfId="0" applyFont="1" applyBorder="1" applyAlignment="1">
      <alignment horizontal="center" wrapText="1"/>
    </xf>
    <xf numFmtId="177" fontId="33" fillId="2" borderId="105" xfId="0" applyNumberFormat="1" applyFont="1" applyFill="1" applyBorder="1" applyAlignment="1">
      <alignment horizontal="center" wrapText="1"/>
    </xf>
    <xf numFmtId="0" fontId="0" fillId="0" borderId="62" xfId="0" applyFont="1" applyBorder="1" applyAlignment="1">
      <alignment wrapText="1"/>
    </xf>
    <xf numFmtId="0" fontId="0" fillId="0" borderId="3" xfId="0" applyFont="1" applyBorder="1" applyAlignment="1">
      <alignment wrapText="1"/>
    </xf>
    <xf numFmtId="0" fontId="0" fillId="0" borderId="68" xfId="0" applyFont="1" applyBorder="1" applyAlignment="1">
      <alignment wrapText="1"/>
    </xf>
    <xf numFmtId="0" fontId="0" fillId="0" borderId="118" xfId="0" applyFont="1" applyBorder="1" applyAlignment="1">
      <alignment wrapText="1"/>
    </xf>
    <xf numFmtId="0" fontId="0" fillId="0" borderId="60" xfId="0" applyFont="1" applyBorder="1" applyAlignment="1">
      <alignment wrapText="1"/>
    </xf>
    <xf numFmtId="1" fontId="33" fillId="2" borderId="141" xfId="0" applyNumberFormat="1" applyFont="1" applyFill="1" applyBorder="1" applyAlignment="1">
      <alignment horizontal="center" wrapText="1"/>
    </xf>
    <xf numFmtId="0" fontId="0" fillId="0" borderId="142" xfId="0" applyFont="1" applyBorder="1" applyAlignment="1">
      <alignment horizontal="center" wrapText="1"/>
    </xf>
    <xf numFmtId="3" fontId="33" fillId="2" borderId="143" xfId="0" applyNumberFormat="1" applyFont="1" applyFill="1" applyBorder="1" applyAlignment="1">
      <alignment wrapText="1"/>
    </xf>
    <xf numFmtId="3" fontId="33" fillId="2" borderId="9" xfId="0" applyNumberFormat="1" applyFont="1" applyFill="1" applyBorder="1" applyAlignment="1">
      <alignment wrapText="1"/>
    </xf>
    <xf numFmtId="0" fontId="0" fillId="0" borderId="9" xfId="0" applyBorder="1" applyAlignment="1">
      <alignment wrapText="1"/>
    </xf>
    <xf numFmtId="0" fontId="0" fillId="0" borderId="144" xfId="0" applyBorder="1" applyAlignment="1">
      <alignment wrapText="1"/>
    </xf>
    <xf numFmtId="3" fontId="33" fillId="2" borderId="141" xfId="0" applyNumberFormat="1" applyFont="1" applyFill="1" applyBorder="1" applyAlignment="1">
      <alignment horizontal="center"/>
    </xf>
    <xf numFmtId="0" fontId="0" fillId="0" borderId="145" xfId="0" applyBorder="1" applyAlignment="1">
      <alignment horizontal="center"/>
    </xf>
    <xf numFmtId="3" fontId="33" fillId="2" borderId="63" xfId="0" applyNumberFormat="1" applyFont="1" applyFill="1" applyBorder="1" applyAlignment="1">
      <alignment horizontal="center"/>
    </xf>
    <xf numFmtId="0" fontId="0" fillId="0" borderId="63" xfId="0" applyBorder="1" applyAlignment="1">
      <alignment horizontal="center"/>
    </xf>
    <xf numFmtId="3" fontId="33" fillId="2" borderId="6" xfId="0" applyNumberFormat="1" applyFont="1" applyFill="1" applyBorder="1" applyAlignment="1">
      <alignment horizontal="center" wrapText="1"/>
    </xf>
    <xf numFmtId="3" fontId="33" fillId="2" borderId="7" xfId="0" applyNumberFormat="1" applyFont="1" applyFill="1" applyBorder="1" applyAlignment="1">
      <alignment horizontal="center" wrapText="1"/>
    </xf>
    <xf numFmtId="3" fontId="33" fillId="2" borderId="6" xfId="0" applyNumberFormat="1" applyFont="1" applyFill="1" applyBorder="1" applyAlignment="1">
      <alignment horizontal="center"/>
    </xf>
    <xf numFmtId="0" fontId="0" fillId="0" borderId="7" xfId="0" applyBorder="1" applyAlignment="1">
      <alignment horizontal="center"/>
    </xf>
    <xf numFmtId="3" fontId="33" fillId="2" borderId="29" xfId="0" applyNumberFormat="1" applyFont="1" applyFill="1" applyBorder="1" applyAlignment="1">
      <alignment horizontal="center" wrapText="1"/>
    </xf>
    <xf numFmtId="0" fontId="0" fillId="0" borderId="47" xfId="0" applyBorder="1" applyAlignment="1">
      <alignment horizontal="center" wrapText="1"/>
    </xf>
    <xf numFmtId="3" fontId="60" fillId="2" borderId="146" xfId="0" applyNumberFormat="1" applyFont="1" applyFill="1" applyBorder="1" applyAlignment="1">
      <alignment horizontal="center"/>
    </xf>
    <xf numFmtId="0" fontId="54" fillId="0" borderId="146" xfId="0" applyFont="1" applyBorder="1" applyAlignment="1">
      <alignment horizontal="center"/>
    </xf>
    <xf numFmtId="0" fontId="0" fillId="0" borderId="7" xfId="0" applyBorder="1" applyAlignment="1">
      <alignment horizontal="center" wrapText="1"/>
    </xf>
    <xf numFmtId="3" fontId="33" fillId="2" borderId="61" xfId="0" applyNumberFormat="1" applyFont="1" applyFill="1" applyBorder="1" applyAlignment="1">
      <alignment horizontal="center" wrapText="1"/>
    </xf>
    <xf numFmtId="0" fontId="0" fillId="0" borderId="64" xfId="0" applyBorder="1" applyAlignment="1">
      <alignment wrapText="1"/>
    </xf>
    <xf numFmtId="3" fontId="33" fillId="2" borderId="0" xfId="0" applyNumberFormat="1" applyFont="1" applyFill="1" applyBorder="1" applyAlignment="1">
      <alignment horizontal="center" wrapText="1"/>
    </xf>
    <xf numFmtId="0" fontId="0" fillId="0" borderId="147" xfId="0" applyBorder="1" applyAlignment="1">
      <alignment wrapText="1"/>
    </xf>
    <xf numFmtId="0" fontId="0" fillId="0" borderId="31" xfId="0" applyBorder="1" applyAlignment="1">
      <alignment wrapText="1"/>
    </xf>
    <xf numFmtId="0" fontId="0" fillId="0" borderId="148" xfId="0" applyBorder="1" applyAlignment="1">
      <alignment wrapText="1"/>
    </xf>
    <xf numFmtId="177" fontId="44" fillId="2" borderId="0" xfId="0" applyNumberFormat="1" applyFont="1" applyFill="1" applyAlignment="1">
      <alignment horizontal="center"/>
    </xf>
    <xf numFmtId="177" fontId="43" fillId="2" borderId="0" xfId="0" applyNumberFormat="1" applyFont="1" applyFill="1" applyAlignment="1">
      <alignment horizontal="center"/>
    </xf>
    <xf numFmtId="177" fontId="43" fillId="2" borderId="0" xfId="0" applyNumberFormat="1" applyFont="1" applyFill="1" applyAlignment="1">
      <alignment/>
    </xf>
    <xf numFmtId="177" fontId="33" fillId="2" borderId="123" xfId="0" applyNumberFormat="1" applyFont="1" applyFill="1" applyBorder="1" applyAlignment="1">
      <alignment horizontal="center" wrapText="1"/>
    </xf>
    <xf numFmtId="0" fontId="0" fillId="0" borderId="125" xfId="0" applyBorder="1" applyAlignment="1">
      <alignment horizontal="center" wrapText="1"/>
    </xf>
    <xf numFmtId="0" fontId="0" fillId="0" borderId="6" xfId="0" applyBorder="1" applyAlignment="1">
      <alignment horizontal="center" wrapText="1"/>
    </xf>
    <xf numFmtId="0" fontId="0" fillId="0" borderId="125" xfId="0" applyBorder="1" applyAlignment="1">
      <alignment wrapText="1"/>
    </xf>
    <xf numFmtId="0" fontId="0" fillId="0" borderId="6" xfId="0" applyBorder="1" applyAlignment="1">
      <alignment wrapText="1"/>
    </xf>
    <xf numFmtId="0" fontId="0" fillId="0" borderId="7" xfId="0" applyBorder="1" applyAlignment="1">
      <alignment wrapText="1"/>
    </xf>
    <xf numFmtId="177" fontId="33" fillId="2" borderId="149" xfId="0" applyNumberFormat="1" applyFont="1" applyFill="1" applyBorder="1" applyAlignment="1">
      <alignment wrapText="1"/>
    </xf>
    <xf numFmtId="0" fontId="0" fillId="0" borderId="2" xfId="0" applyBorder="1" applyAlignment="1">
      <alignment wrapText="1"/>
    </xf>
    <xf numFmtId="0" fontId="0" fillId="0" borderId="20" xfId="0" applyBorder="1" applyAlignment="1">
      <alignment wrapText="1"/>
    </xf>
    <xf numFmtId="177" fontId="58" fillId="2" borderId="0" xfId="0" applyNumberFormat="1" applyFont="1" applyFill="1" applyAlignment="1">
      <alignment horizontal="center"/>
    </xf>
    <xf numFmtId="177" fontId="36" fillId="0" borderId="49" xfId="0" applyNumberFormat="1" applyFont="1" applyFill="1" applyBorder="1" applyAlignment="1">
      <alignment horizontal="left" indent="2"/>
    </xf>
    <xf numFmtId="0" fontId="22" fillId="0" borderId="80" xfId="0" applyFont="1" applyBorder="1" applyAlignment="1">
      <alignment horizontal="left" indent="2"/>
    </xf>
    <xf numFmtId="0" fontId="22" fillId="0" borderId="48" xfId="0" applyFont="1" applyBorder="1" applyAlignment="1">
      <alignment horizontal="left" indent="2"/>
    </xf>
    <xf numFmtId="177" fontId="13" fillId="2" borderId="49" xfId="0" applyNumberFormat="1" applyFont="1" applyFill="1" applyBorder="1" applyAlignment="1">
      <alignment horizontal="left" indent="1"/>
    </xf>
    <xf numFmtId="0" fontId="53" fillId="0" borderId="80" xfId="0" applyFont="1" applyBorder="1" applyAlignment="1">
      <alignment horizontal="left" indent="1"/>
    </xf>
    <xf numFmtId="0" fontId="53" fillId="0" borderId="48" xfId="0" applyFont="1" applyBorder="1" applyAlignment="1">
      <alignment horizontal="left" indent="1"/>
    </xf>
    <xf numFmtId="177" fontId="13" fillId="2" borderId="130" xfId="0" applyNumberFormat="1" applyFont="1" applyFill="1" applyBorder="1" applyAlignment="1">
      <alignment horizontal="left" indent="1"/>
    </xf>
    <xf numFmtId="0" fontId="0" fillId="0" borderId="150" xfId="0" applyBorder="1" applyAlignment="1">
      <alignment horizontal="left" indent="1"/>
    </xf>
    <xf numFmtId="0" fontId="0" fillId="0" borderId="101" xfId="0" applyBorder="1" applyAlignment="1">
      <alignment horizontal="left" indent="1"/>
    </xf>
    <xf numFmtId="177" fontId="13" fillId="2" borderId="49" xfId="0" applyNumberFormat="1" applyFont="1" applyFill="1" applyBorder="1" applyAlignment="1">
      <alignment horizontal="left" indent="2"/>
    </xf>
    <xf numFmtId="0" fontId="0" fillId="0" borderId="48" xfId="0" applyBorder="1" applyAlignment="1">
      <alignment horizontal="left" indent="2"/>
    </xf>
    <xf numFmtId="0" fontId="0" fillId="0" borderId="80" xfId="0" applyBorder="1" applyAlignment="1">
      <alignment horizontal="left" indent="1"/>
    </xf>
    <xf numFmtId="0" fontId="0" fillId="0" borderId="48" xfId="0" applyBorder="1" applyAlignment="1">
      <alignment horizontal="left" indent="1"/>
    </xf>
    <xf numFmtId="177" fontId="13" fillId="0" borderId="49" xfId="0" applyNumberFormat="1" applyFont="1" applyFill="1" applyBorder="1" applyAlignment="1">
      <alignment horizontal="left" indent="2"/>
    </xf>
    <xf numFmtId="177" fontId="36" fillId="2" borderId="49" xfId="0" applyNumberFormat="1" applyFont="1" applyFill="1" applyBorder="1" applyAlignment="1">
      <alignment horizontal="left" indent="3"/>
    </xf>
    <xf numFmtId="0" fontId="0" fillId="0" borderId="80" xfId="0" applyBorder="1" applyAlignment="1">
      <alignment horizontal="left" indent="3"/>
    </xf>
    <xf numFmtId="0" fontId="0" fillId="0" borderId="48" xfId="0" applyBorder="1" applyAlignment="1">
      <alignment horizontal="left" indent="3"/>
    </xf>
    <xf numFmtId="0" fontId="53" fillId="0" borderId="80" xfId="0" applyFont="1" applyBorder="1" applyAlignment="1">
      <alignment horizontal="left" indent="2"/>
    </xf>
    <xf numFmtId="0" fontId="53" fillId="0" borderId="48" xfId="0" applyFont="1" applyBorder="1" applyAlignment="1">
      <alignment horizontal="left" indent="2"/>
    </xf>
    <xf numFmtId="177" fontId="18" fillId="0" borderId="0" xfId="0" applyNumberFormat="1" applyFont="1" applyBorder="1" applyAlignment="1">
      <alignment horizontal="center"/>
    </xf>
    <xf numFmtId="0" fontId="0" fillId="0" borderId="0" xfId="0" applyBorder="1" applyAlignment="1">
      <alignment/>
    </xf>
    <xf numFmtId="177" fontId="13" fillId="2" borderId="10" xfId="0" applyNumberFormat="1" applyFont="1" applyFill="1" applyBorder="1" applyAlignment="1">
      <alignment/>
    </xf>
    <xf numFmtId="177" fontId="15" fillId="0" borderId="0" xfId="0" applyNumberFormat="1" applyFont="1" applyBorder="1" applyAlignment="1">
      <alignment horizontal="center"/>
    </xf>
    <xf numFmtId="177" fontId="36" fillId="2" borderId="29" xfId="0" applyNumberFormat="1" applyFont="1" applyFill="1" applyBorder="1" applyAlignment="1">
      <alignment horizontal="center"/>
    </xf>
    <xf numFmtId="177" fontId="36" fillId="2" borderId="47" xfId="0" applyNumberFormat="1" applyFont="1" applyFill="1" applyBorder="1" applyAlignment="1">
      <alignment horizontal="center"/>
    </xf>
    <xf numFmtId="0" fontId="29" fillId="0" borderId="29" xfId="0" applyFont="1" applyBorder="1" applyAlignment="1">
      <alignment horizontal="center" wrapText="1"/>
    </xf>
    <xf numFmtId="0" fontId="29" fillId="0" borderId="47" xfId="0" applyFont="1" applyBorder="1" applyAlignment="1">
      <alignment horizontal="center" wrapText="1"/>
    </xf>
    <xf numFmtId="0" fontId="0" fillId="0" borderId="0" xfId="0" applyBorder="1" applyAlignment="1">
      <alignment/>
    </xf>
    <xf numFmtId="0" fontId="0" fillId="0" borderId="0" xfId="0" applyBorder="1" applyAlignment="1">
      <alignment/>
    </xf>
    <xf numFmtId="177" fontId="16"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77" fontId="14" fillId="2" borderId="49" xfId="0" applyNumberFormat="1" applyFont="1" applyFill="1" applyBorder="1" applyAlignment="1">
      <alignment horizontal="left" indent="2"/>
    </xf>
    <xf numFmtId="177" fontId="13" fillId="2" borderId="50" xfId="0" applyNumberFormat="1" applyFont="1" applyFill="1" applyBorder="1" applyAlignment="1">
      <alignment horizontal="left" indent="1"/>
    </xf>
    <xf numFmtId="0" fontId="0" fillId="0" borderId="51" xfId="0" applyBorder="1" applyAlignment="1">
      <alignment horizontal="left" indent="1"/>
    </xf>
    <xf numFmtId="0" fontId="0" fillId="0" borderId="52" xfId="0" applyBorder="1" applyAlignment="1">
      <alignment horizontal="left" indent="1"/>
    </xf>
    <xf numFmtId="177" fontId="13" fillId="2" borderId="112" xfId="0" applyNumberFormat="1" applyFont="1" applyFill="1" applyBorder="1" applyAlignment="1">
      <alignment horizontal="left" indent="2"/>
    </xf>
    <xf numFmtId="177" fontId="36" fillId="2" borderId="29" xfId="0" applyNumberFormat="1" applyFont="1" applyFill="1" applyBorder="1" applyAlignment="1">
      <alignment horizontal="center" wrapText="1"/>
    </xf>
    <xf numFmtId="0" fontId="0" fillId="0" borderId="40" xfId="0" applyBorder="1" applyAlignment="1">
      <alignment horizontal="center" wrapText="1"/>
    </xf>
    <xf numFmtId="177" fontId="57" fillId="0" borderId="0" xfId="0" applyNumberFormat="1"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Improve by DU" xfId="21"/>
    <cellStyle name="Normal_Rsrcs_X_ DOJ Goal  Obj"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I120"/>
  <sheetViews>
    <sheetView showGridLines="0" tabSelected="1" showOutlineSymbols="0" zoomScale="75" zoomScaleNormal="75" zoomScaleSheetLayoutView="75" workbookViewId="0" topLeftCell="H89">
      <selection activeCell="W47" sqref="W47"/>
    </sheetView>
  </sheetViews>
  <sheetFormatPr defaultColWidth="8.88671875" defaultRowHeight="15"/>
  <cols>
    <col min="1" max="2" width="2.5546875" style="5" customWidth="1"/>
    <col min="3" max="3" width="24.99609375" style="5" customWidth="1"/>
    <col min="4" max="4" width="6.6640625" style="5" customWidth="1"/>
    <col min="5" max="5" width="1.66796875" style="5" customWidth="1"/>
    <col min="6" max="6" width="1.99609375" style="5" customWidth="1"/>
    <col min="7" max="7" width="1.77734375" style="5" customWidth="1"/>
    <col min="8" max="8" width="6.88671875" style="10" customWidth="1"/>
    <col min="9" max="9" width="6.21484375" style="10" customWidth="1"/>
    <col min="10" max="10" width="11.21484375" style="10" customWidth="1"/>
    <col min="11" max="11" width="6.3359375" style="10" customWidth="1"/>
    <col min="12" max="12" width="6.21484375" style="10" customWidth="1"/>
    <col min="13" max="13" width="9.77734375" style="10" customWidth="1"/>
    <col min="14" max="15" width="5.6640625" style="10" customWidth="1"/>
    <col min="16" max="16" width="7.6640625" style="10" customWidth="1"/>
    <col min="17" max="17" width="5.6640625" style="10" customWidth="1"/>
    <col min="18" max="18" width="6.10546875" style="10" customWidth="1"/>
    <col min="19" max="19" width="9.77734375" style="10" customWidth="1"/>
    <col min="20" max="21" width="5.6640625" style="10" customWidth="1"/>
    <col min="22" max="22" width="8.5546875" style="10" customWidth="1"/>
    <col min="23" max="23" width="6.10546875" style="10" customWidth="1"/>
    <col min="24" max="24" width="5.6640625" style="10" customWidth="1"/>
    <col min="25" max="25" width="8.21484375" style="10" customWidth="1"/>
    <col min="26" max="26" width="1.66796875" style="10" hidden="1" customWidth="1"/>
    <col min="27" max="27" width="9.5546875" style="10" customWidth="1"/>
    <col min="28" max="28" width="6.21484375" style="10" customWidth="1"/>
    <col min="29" max="29" width="11.77734375" style="10" customWidth="1"/>
    <col min="30" max="30" width="3.3359375" style="10" hidden="1" customWidth="1"/>
    <col min="31" max="31" width="0.23046875" style="10" hidden="1" customWidth="1"/>
    <col min="32" max="32" width="8.4453125" style="10" hidden="1" customWidth="1"/>
    <col min="33" max="33" width="7.99609375" style="10" hidden="1" customWidth="1"/>
    <col min="34" max="34" width="0.9921875" style="319" customWidth="1"/>
    <col min="35" max="35" width="7.88671875" style="5" customWidth="1"/>
    <col min="36" max="36" width="7.6640625" style="5" customWidth="1"/>
    <col min="37" max="16384" width="9.6640625" style="5" customWidth="1"/>
  </cols>
  <sheetData>
    <row r="1" spans="1:34" ht="20.25">
      <c r="A1" s="715" t="s">
        <v>66</v>
      </c>
      <c r="B1" s="716"/>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H1" s="318" t="s">
        <v>375</v>
      </c>
    </row>
    <row r="2" spans="1:34" ht="22.5">
      <c r="A2" s="724" t="s">
        <v>343</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12"/>
      <c r="AE2" s="12"/>
      <c r="AF2" s="12"/>
      <c r="AG2" s="12"/>
      <c r="AH2" s="318" t="s">
        <v>375</v>
      </c>
    </row>
    <row r="3" spans="1:34" ht="23.25">
      <c r="A3" s="726" t="s">
        <v>200</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12"/>
      <c r="AE3" s="12"/>
      <c r="AF3" s="12"/>
      <c r="AG3" s="12"/>
      <c r="AH3" s="318" t="s">
        <v>375</v>
      </c>
    </row>
    <row r="4" spans="1:34" ht="23.25">
      <c r="A4" s="726" t="s">
        <v>380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12"/>
      <c r="AE4" s="12"/>
      <c r="AF4" s="12"/>
      <c r="AG4" s="12"/>
      <c r="AH4" s="318" t="s">
        <v>375</v>
      </c>
    </row>
    <row r="5" spans="1:34" ht="23.25">
      <c r="A5" s="726" t="s">
        <v>332</v>
      </c>
      <c r="B5" s="722"/>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12"/>
      <c r="AE5" s="12"/>
      <c r="AF5" s="12"/>
      <c r="AG5" s="12"/>
      <c r="AH5" s="318" t="s">
        <v>375</v>
      </c>
    </row>
    <row r="6" spans="1:34" ht="12" customHeight="1">
      <c r="A6" s="134"/>
      <c r="B6" s="6"/>
      <c r="C6" s="6"/>
      <c r="D6" s="6"/>
      <c r="E6" s="6"/>
      <c r="F6" s="6"/>
      <c r="G6" s="6"/>
      <c r="H6" s="12"/>
      <c r="I6" s="12"/>
      <c r="J6" s="12"/>
      <c r="K6" s="12"/>
      <c r="L6" s="12"/>
      <c r="M6" s="12"/>
      <c r="N6" s="12"/>
      <c r="O6" s="12"/>
      <c r="P6" s="12"/>
      <c r="Q6" s="12"/>
      <c r="R6" s="12"/>
      <c r="S6" s="12"/>
      <c r="T6" s="12"/>
      <c r="U6" s="12"/>
      <c r="V6" s="12"/>
      <c r="W6" s="12"/>
      <c r="X6" s="12"/>
      <c r="Y6" s="12"/>
      <c r="Z6" s="12"/>
      <c r="AA6" s="12"/>
      <c r="AB6" s="12"/>
      <c r="AC6" s="12"/>
      <c r="AD6" s="12"/>
      <c r="AE6" s="12"/>
      <c r="AF6" s="12"/>
      <c r="AG6" s="12"/>
      <c r="AH6" s="318"/>
    </row>
    <row r="7" spans="1:34" ht="15.75">
      <c r="A7" s="8"/>
      <c r="B7" s="8"/>
      <c r="C7" s="8"/>
      <c r="D7" s="8"/>
      <c r="E7" s="8"/>
      <c r="F7" s="8"/>
      <c r="G7" s="8"/>
      <c r="H7" s="267"/>
      <c r="I7" s="267"/>
      <c r="J7" s="267"/>
      <c r="K7" s="267"/>
      <c r="L7" s="267"/>
      <c r="M7" s="267"/>
      <c r="N7" s="267"/>
      <c r="O7" s="267"/>
      <c r="P7" s="267"/>
      <c r="Q7" s="267"/>
      <c r="R7" s="267"/>
      <c r="S7" s="267"/>
      <c r="T7" s="267"/>
      <c r="U7" s="267"/>
      <c r="V7" s="267"/>
      <c r="W7" s="267"/>
      <c r="X7" s="267"/>
      <c r="Y7" s="109"/>
      <c r="Z7" s="112"/>
      <c r="AA7" s="698" t="s">
        <v>47</v>
      </c>
      <c r="AB7" s="697" t="s">
        <v>174</v>
      </c>
      <c r="AC7" s="695" t="s">
        <v>357</v>
      </c>
      <c r="AD7" s="113"/>
      <c r="AE7" s="126" t="s">
        <v>358</v>
      </c>
      <c r="AF7" s="132"/>
      <c r="AG7" s="124"/>
      <c r="AH7" s="318" t="s">
        <v>375</v>
      </c>
    </row>
    <row r="8" spans="1:34" ht="16.5" thickBot="1">
      <c r="A8" s="277"/>
      <c r="B8" s="121"/>
      <c r="C8" s="121"/>
      <c r="D8" s="121"/>
      <c r="E8" s="121"/>
      <c r="F8" s="121"/>
      <c r="G8" s="121"/>
      <c r="H8" s="122"/>
      <c r="I8" s="122"/>
      <c r="J8" s="122"/>
      <c r="K8" s="122"/>
      <c r="L8" s="122"/>
      <c r="M8" s="122"/>
      <c r="N8" s="122"/>
      <c r="O8" s="122"/>
      <c r="P8" s="122"/>
      <c r="Q8" s="122"/>
      <c r="R8" s="122"/>
      <c r="S8" s="122"/>
      <c r="T8" s="122"/>
      <c r="U8" s="122"/>
      <c r="V8" s="122"/>
      <c r="W8" s="122"/>
      <c r="X8" s="122"/>
      <c r="Y8" s="122"/>
      <c r="Z8" s="122"/>
      <c r="AA8" s="678"/>
      <c r="AB8" s="696"/>
      <c r="AC8" s="696"/>
      <c r="AD8" s="123"/>
      <c r="AE8" s="127" t="s">
        <v>355</v>
      </c>
      <c r="AF8" s="127" t="s">
        <v>174</v>
      </c>
      <c r="AG8" s="125" t="s">
        <v>357</v>
      </c>
      <c r="AH8" s="318" t="s">
        <v>375</v>
      </c>
    </row>
    <row r="9" spans="1:34" ht="15.75">
      <c r="A9" s="717" t="s">
        <v>115</v>
      </c>
      <c r="B9" s="712"/>
      <c r="C9" s="712"/>
      <c r="D9" s="712"/>
      <c r="E9" s="712"/>
      <c r="F9" s="712"/>
      <c r="G9" s="712"/>
      <c r="H9" s="712"/>
      <c r="I9" s="712"/>
      <c r="J9" s="712"/>
      <c r="K9" s="712"/>
      <c r="L9" s="712"/>
      <c r="M9" s="712"/>
      <c r="N9" s="712"/>
      <c r="O9" s="712"/>
      <c r="P9" s="712"/>
      <c r="Q9" s="712"/>
      <c r="R9" s="712"/>
      <c r="S9" s="712"/>
      <c r="T9" s="712"/>
      <c r="U9" s="712"/>
      <c r="V9" s="712"/>
      <c r="W9" s="712"/>
      <c r="X9" s="712"/>
      <c r="Y9" s="712"/>
      <c r="Z9" s="263"/>
      <c r="AA9" s="327">
        <v>672</v>
      </c>
      <c r="AB9" s="327">
        <f>672-12</f>
        <v>660</v>
      </c>
      <c r="AC9" s="571">
        <v>238340</v>
      </c>
      <c r="AD9" s="136"/>
      <c r="AE9" s="137"/>
      <c r="AF9" s="137"/>
      <c r="AG9" s="138">
        <v>0</v>
      </c>
      <c r="AH9" s="318" t="s">
        <v>375</v>
      </c>
    </row>
    <row r="10" spans="1:34" ht="15.75">
      <c r="A10" s="735" t="s">
        <v>202</v>
      </c>
      <c r="B10" s="736"/>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327"/>
      <c r="AA10" s="504">
        <v>0</v>
      </c>
      <c r="AB10" s="504">
        <v>0</v>
      </c>
      <c r="AC10" s="327">
        <v>66077</v>
      </c>
      <c r="AD10" s="261"/>
      <c r="AE10" s="262"/>
      <c r="AF10" s="262"/>
      <c r="AG10" s="503"/>
      <c r="AH10" s="318"/>
    </row>
    <row r="11" spans="1:34" ht="15.75">
      <c r="A11" s="735" t="s">
        <v>203</v>
      </c>
      <c r="B11" s="736"/>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327"/>
      <c r="AA11" s="504">
        <v>0</v>
      </c>
      <c r="AB11" s="504">
        <v>0</v>
      </c>
      <c r="AC11" s="327">
        <v>-6000</v>
      </c>
      <c r="AD11" s="261"/>
      <c r="AE11" s="262"/>
      <c r="AF11" s="262"/>
      <c r="AG11" s="503"/>
      <c r="AH11" s="318"/>
    </row>
    <row r="12" spans="1:34" ht="15" customHeight="1">
      <c r="A12" s="735" t="s">
        <v>349</v>
      </c>
      <c r="B12" s="736"/>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118"/>
      <c r="AA12" s="129">
        <v>0</v>
      </c>
      <c r="AB12" s="504">
        <v>0</v>
      </c>
      <c r="AC12" s="504">
        <v>0</v>
      </c>
      <c r="AD12" s="118"/>
      <c r="AE12" s="129"/>
      <c r="AF12" s="129"/>
      <c r="AG12" s="120"/>
      <c r="AH12" s="318" t="s">
        <v>375</v>
      </c>
    </row>
    <row r="13" spans="1:34" ht="15.75" hidden="1">
      <c r="A13" s="115" t="s">
        <v>245</v>
      </c>
      <c r="B13" s="8"/>
      <c r="C13" s="7"/>
      <c r="D13" s="7"/>
      <c r="E13" s="7"/>
      <c r="F13" s="7"/>
      <c r="G13" s="7"/>
      <c r="H13" s="15"/>
      <c r="I13" s="15"/>
      <c r="J13" s="15"/>
      <c r="K13" s="15"/>
      <c r="L13" s="15"/>
      <c r="M13" s="15"/>
      <c r="N13" s="15"/>
      <c r="O13" s="15"/>
      <c r="P13" s="15"/>
      <c r="Q13" s="15"/>
      <c r="R13" s="15"/>
      <c r="S13" s="15"/>
      <c r="T13" s="15"/>
      <c r="U13" s="15"/>
      <c r="V13" s="15"/>
      <c r="W13" s="15"/>
      <c r="X13" s="15"/>
      <c r="Y13" s="15"/>
      <c r="Z13" s="15"/>
      <c r="AA13" s="330" t="e">
        <f>+#REF!+#REF!+#REF!+#REF!</f>
        <v>#REF!</v>
      </c>
      <c r="AB13" s="330" t="e">
        <f>+#REF!+#REF!+#REF!+#REF!</f>
        <v>#REF!</v>
      </c>
      <c r="AC13" s="331" t="e">
        <f>+#REF!+#REF!+#REF!+#REF!-2</f>
        <v>#REF!</v>
      </c>
      <c r="AD13" s="15" t="s">
        <v>356</v>
      </c>
      <c r="AE13" s="128" t="e">
        <f>+#REF!+#REF!+#REF!+#REF!</f>
        <v>#REF!</v>
      </c>
      <c r="AF13" s="128" t="e">
        <f>+#REF!+#REF!+#REF!+#REF!</f>
        <v>#REF!</v>
      </c>
      <c r="AG13" s="109" t="e">
        <f>+#REF!+#REF!+#REF!+#REF!-2</f>
        <v>#REF!</v>
      </c>
      <c r="AH13" s="318" t="s">
        <v>375</v>
      </c>
    </row>
    <row r="14" spans="1:34" ht="15.75" hidden="1">
      <c r="A14" s="115"/>
      <c r="B14" s="8" t="s">
        <v>412</v>
      </c>
      <c r="C14" s="7"/>
      <c r="D14" s="7"/>
      <c r="E14" s="7"/>
      <c r="F14" s="7"/>
      <c r="G14" s="7"/>
      <c r="H14" s="15"/>
      <c r="I14" s="15"/>
      <c r="J14" s="15"/>
      <c r="K14" s="15"/>
      <c r="L14" s="15"/>
      <c r="M14" s="15"/>
      <c r="N14" s="15"/>
      <c r="O14" s="15"/>
      <c r="P14" s="15"/>
      <c r="Q14" s="15"/>
      <c r="R14" s="15"/>
      <c r="S14" s="15"/>
      <c r="T14" s="15"/>
      <c r="U14" s="15"/>
      <c r="V14" s="15"/>
      <c r="W14" s="15"/>
      <c r="X14" s="15"/>
      <c r="Y14" s="15"/>
      <c r="Z14" s="15"/>
      <c r="AA14" s="330">
        <v>0</v>
      </c>
      <c r="AB14" s="330">
        <v>0</v>
      </c>
      <c r="AC14" s="331">
        <v>-496</v>
      </c>
      <c r="AD14" s="15"/>
      <c r="AE14" s="128">
        <v>0</v>
      </c>
      <c r="AF14" s="128">
        <v>0</v>
      </c>
      <c r="AG14" s="109">
        <v>-496</v>
      </c>
      <c r="AH14" s="318" t="s">
        <v>375</v>
      </c>
    </row>
    <row r="15" spans="1:34" ht="18" hidden="1">
      <c r="A15" s="115"/>
      <c r="B15" s="8" t="s">
        <v>373</v>
      </c>
      <c r="C15" s="7"/>
      <c r="D15" s="7"/>
      <c r="E15" s="7"/>
      <c r="F15" s="7"/>
      <c r="G15" s="7"/>
      <c r="H15" s="15"/>
      <c r="I15" s="15"/>
      <c r="J15" s="15"/>
      <c r="K15" s="15"/>
      <c r="L15" s="15"/>
      <c r="M15" s="15"/>
      <c r="N15" s="15"/>
      <c r="O15" s="15"/>
      <c r="P15" s="15"/>
      <c r="Q15" s="15"/>
      <c r="R15" s="15"/>
      <c r="S15" s="15"/>
      <c r="T15" s="15"/>
      <c r="U15" s="15"/>
      <c r="V15" s="15"/>
      <c r="W15" s="15"/>
      <c r="X15" s="15"/>
      <c r="Y15" s="15"/>
      <c r="Z15" s="15"/>
      <c r="AA15" s="332">
        <v>0</v>
      </c>
      <c r="AB15" s="332">
        <v>0</v>
      </c>
      <c r="AC15" s="333">
        <v>-627</v>
      </c>
      <c r="AD15" s="15"/>
      <c r="AE15" s="130">
        <v>0</v>
      </c>
      <c r="AF15" s="130">
        <v>0</v>
      </c>
      <c r="AG15" s="110">
        <v>-627</v>
      </c>
      <c r="AH15" s="318" t="s">
        <v>375</v>
      </c>
    </row>
    <row r="16" spans="1:34" ht="18">
      <c r="A16" s="713" t="s">
        <v>116</v>
      </c>
      <c r="B16" s="714"/>
      <c r="C16" s="714"/>
      <c r="D16" s="714"/>
      <c r="E16" s="714"/>
      <c r="F16" s="714"/>
      <c r="G16" s="714"/>
      <c r="H16" s="714"/>
      <c r="I16" s="714"/>
      <c r="J16" s="714"/>
      <c r="K16" s="714"/>
      <c r="L16" s="714"/>
      <c r="M16" s="714"/>
      <c r="N16" s="714"/>
      <c r="O16" s="714"/>
      <c r="P16" s="714"/>
      <c r="Q16" s="714"/>
      <c r="R16" s="714"/>
      <c r="S16" s="714"/>
      <c r="T16" s="714"/>
      <c r="U16" s="714"/>
      <c r="V16" s="714"/>
      <c r="W16" s="714"/>
      <c r="X16" s="714"/>
      <c r="Y16" s="714"/>
      <c r="Z16" s="264"/>
      <c r="AA16" s="334">
        <f>+AA12+AA9</f>
        <v>672</v>
      </c>
      <c r="AB16" s="334">
        <f>+AB12+AB9</f>
        <v>660</v>
      </c>
      <c r="AC16" s="334">
        <f>SUM(AC9:AC12)</f>
        <v>298417</v>
      </c>
      <c r="AD16" s="15"/>
      <c r="AE16" s="130"/>
      <c r="AF16" s="130"/>
      <c r="AG16" s="110"/>
      <c r="AH16" s="318" t="s">
        <v>375</v>
      </c>
    </row>
    <row r="17" spans="1:34" ht="15.75">
      <c r="A17" s="717" t="s">
        <v>295</v>
      </c>
      <c r="B17" s="712"/>
      <c r="C17" s="712"/>
      <c r="D17" s="712"/>
      <c r="E17" s="712"/>
      <c r="F17" s="712"/>
      <c r="G17" s="712"/>
      <c r="H17" s="712"/>
      <c r="I17" s="712"/>
      <c r="J17" s="712"/>
      <c r="K17" s="712"/>
      <c r="L17" s="712"/>
      <c r="M17" s="712"/>
      <c r="N17" s="712"/>
      <c r="O17" s="712"/>
      <c r="P17" s="712"/>
      <c r="Q17" s="712"/>
      <c r="R17" s="712"/>
      <c r="S17" s="712"/>
      <c r="T17" s="712"/>
      <c r="U17" s="712"/>
      <c r="V17" s="712"/>
      <c r="W17" s="712"/>
      <c r="X17" s="712"/>
      <c r="Y17" s="712"/>
      <c r="Z17" s="263"/>
      <c r="AA17" s="335">
        <v>697</v>
      </c>
      <c r="AB17" s="335">
        <v>621</v>
      </c>
      <c r="AC17" s="335">
        <v>196184</v>
      </c>
      <c r="AD17" s="136" t="s">
        <v>356</v>
      </c>
      <c r="AE17" s="137"/>
      <c r="AF17" s="137"/>
      <c r="AG17" s="135"/>
      <c r="AH17" s="318" t="s">
        <v>375</v>
      </c>
    </row>
    <row r="18" spans="1:34" ht="15.75">
      <c r="A18" s="506" t="s">
        <v>204</v>
      </c>
      <c r="B18" s="507"/>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8"/>
      <c r="AA18" s="573">
        <v>0</v>
      </c>
      <c r="AB18" s="573">
        <v>0</v>
      </c>
      <c r="AC18" s="505">
        <f>39087+12540</f>
        <v>51627</v>
      </c>
      <c r="AD18" s="260"/>
      <c r="AE18" s="128"/>
      <c r="AF18" s="128"/>
      <c r="AG18" s="109"/>
      <c r="AH18" s="318"/>
    </row>
    <row r="19" spans="1:34" ht="15.75">
      <c r="A19" s="506" t="s">
        <v>205</v>
      </c>
      <c r="B19" s="507"/>
      <c r="C19" s="507"/>
      <c r="D19" s="507"/>
      <c r="E19" s="507"/>
      <c r="F19" s="507"/>
      <c r="G19" s="507"/>
      <c r="H19" s="507"/>
      <c r="I19" s="507"/>
      <c r="J19" s="507"/>
      <c r="K19" s="507"/>
      <c r="L19" s="507"/>
      <c r="M19" s="507"/>
      <c r="N19" s="507"/>
      <c r="O19" s="507"/>
      <c r="P19" s="507"/>
      <c r="Q19" s="507"/>
      <c r="R19" s="507"/>
      <c r="S19" s="507"/>
      <c r="T19" s="507"/>
      <c r="U19" s="507"/>
      <c r="V19" s="507"/>
      <c r="W19" s="507"/>
      <c r="X19" s="507"/>
      <c r="Y19" s="507"/>
      <c r="Z19" s="508"/>
      <c r="AA19" s="573">
        <v>0</v>
      </c>
      <c r="AB19" s="573">
        <v>0</v>
      </c>
      <c r="AC19" s="505">
        <v>15057</v>
      </c>
      <c r="AD19" s="260"/>
      <c r="AE19" s="128"/>
      <c r="AF19" s="128"/>
      <c r="AG19" s="109"/>
      <c r="AH19" s="318"/>
    </row>
    <row r="20" spans="1:34" ht="18.75" customHeight="1">
      <c r="A20" s="707" t="s">
        <v>117</v>
      </c>
      <c r="B20" s="708"/>
      <c r="C20" s="708"/>
      <c r="D20" s="708"/>
      <c r="E20" s="708"/>
      <c r="F20" s="708"/>
      <c r="G20" s="708"/>
      <c r="H20" s="708"/>
      <c r="I20" s="708"/>
      <c r="J20" s="708"/>
      <c r="K20" s="708"/>
      <c r="L20" s="708"/>
      <c r="M20" s="708"/>
      <c r="N20" s="708"/>
      <c r="O20" s="708"/>
      <c r="P20" s="708"/>
      <c r="Q20" s="708"/>
      <c r="R20" s="708"/>
      <c r="S20" s="708"/>
      <c r="T20" s="708"/>
      <c r="U20" s="708"/>
      <c r="V20" s="708"/>
      <c r="W20" s="708"/>
      <c r="X20" s="708"/>
      <c r="Y20" s="708"/>
      <c r="Z20" s="265"/>
      <c r="AA20" s="574">
        <v>0</v>
      </c>
      <c r="AB20" s="574">
        <v>0</v>
      </c>
      <c r="AC20" s="572">
        <v>0</v>
      </c>
      <c r="AD20" s="261"/>
      <c r="AE20" s="262"/>
      <c r="AF20" s="262"/>
      <c r="AG20" s="266"/>
      <c r="AH20" s="318" t="s">
        <v>375</v>
      </c>
    </row>
    <row r="21" spans="1:34" ht="15.75">
      <c r="A21" s="679" t="s">
        <v>296</v>
      </c>
      <c r="B21" s="734"/>
      <c r="C21" s="734"/>
      <c r="D21" s="734"/>
      <c r="E21" s="734"/>
      <c r="F21" s="734"/>
      <c r="G21" s="734"/>
      <c r="H21" s="734"/>
      <c r="I21" s="734"/>
      <c r="J21" s="734"/>
      <c r="K21" s="734"/>
      <c r="L21" s="734"/>
      <c r="M21" s="734"/>
      <c r="N21" s="734"/>
      <c r="O21" s="734"/>
      <c r="P21" s="734"/>
      <c r="Q21" s="734"/>
      <c r="R21" s="734"/>
      <c r="S21" s="734"/>
      <c r="T21" s="734"/>
      <c r="U21" s="734"/>
      <c r="V21" s="734"/>
      <c r="W21" s="734"/>
      <c r="X21" s="734"/>
      <c r="Y21" s="734"/>
      <c r="Z21" s="261"/>
      <c r="AA21" s="336">
        <f>+AA20+AA17</f>
        <v>697</v>
      </c>
      <c r="AB21" s="336">
        <f>+AB20+AB17</f>
        <v>621</v>
      </c>
      <c r="AC21" s="336">
        <f>+AC20+AC17+AC18+AC19</f>
        <v>262868</v>
      </c>
      <c r="AD21" s="261"/>
      <c r="AE21" s="262"/>
      <c r="AF21" s="262"/>
      <c r="AG21" s="266"/>
      <c r="AH21" s="318" t="s">
        <v>375</v>
      </c>
    </row>
    <row r="22" spans="1:34" ht="15.75">
      <c r="A22" s="735" t="s">
        <v>69</v>
      </c>
      <c r="B22" s="736"/>
      <c r="C22" s="736"/>
      <c r="D22" s="736"/>
      <c r="E22" s="736"/>
      <c r="F22" s="736"/>
      <c r="G22" s="736"/>
      <c r="H22" s="736"/>
      <c r="I22" s="736"/>
      <c r="J22" s="736"/>
      <c r="K22" s="736"/>
      <c r="L22" s="736"/>
      <c r="M22" s="736"/>
      <c r="N22" s="736"/>
      <c r="O22" s="736"/>
      <c r="P22" s="736"/>
      <c r="Q22" s="736"/>
      <c r="R22" s="736"/>
      <c r="S22" s="736"/>
      <c r="T22" s="736"/>
      <c r="U22" s="736"/>
      <c r="V22" s="736"/>
      <c r="W22" s="736"/>
      <c r="X22" s="736"/>
      <c r="Y22" s="736"/>
      <c r="Z22" s="118"/>
      <c r="AA22" s="328"/>
      <c r="AB22" s="328"/>
      <c r="AC22" s="329"/>
      <c r="AD22" s="118"/>
      <c r="AE22" s="129"/>
      <c r="AF22" s="129"/>
      <c r="AG22" s="120"/>
      <c r="AH22" s="318" t="s">
        <v>375</v>
      </c>
    </row>
    <row r="23" spans="1:34" ht="15.75">
      <c r="A23" s="765" t="s">
        <v>110</v>
      </c>
      <c r="B23" s="706"/>
      <c r="C23" s="706"/>
      <c r="D23" s="706"/>
      <c r="E23" s="706"/>
      <c r="F23" s="706"/>
      <c r="G23" s="706"/>
      <c r="H23" s="706"/>
      <c r="I23" s="706"/>
      <c r="J23" s="706"/>
      <c r="K23" s="706"/>
      <c r="L23" s="706"/>
      <c r="M23" s="706"/>
      <c r="N23" s="706"/>
      <c r="O23" s="706"/>
      <c r="P23" s="706"/>
      <c r="Q23" s="706"/>
      <c r="R23" s="706"/>
      <c r="S23" s="706"/>
      <c r="T23" s="706"/>
      <c r="U23" s="706"/>
      <c r="V23" s="706"/>
      <c r="W23" s="706"/>
      <c r="X23" s="706"/>
      <c r="Y23" s="706"/>
      <c r="Z23" s="118"/>
      <c r="AA23" s="129">
        <v>0</v>
      </c>
      <c r="AB23" s="129">
        <v>0</v>
      </c>
      <c r="AC23" s="329">
        <v>-51627</v>
      </c>
      <c r="AD23" s="118"/>
      <c r="AE23" s="129"/>
      <c r="AF23" s="129"/>
      <c r="AG23" s="120"/>
      <c r="AH23" s="318" t="s">
        <v>375</v>
      </c>
    </row>
    <row r="24" spans="1:34" ht="15.75">
      <c r="A24" s="519" t="s">
        <v>111</v>
      </c>
      <c r="B24" s="520"/>
      <c r="C24" s="519"/>
      <c r="D24" s="520"/>
      <c r="E24" s="520"/>
      <c r="F24" s="520"/>
      <c r="G24" s="520"/>
      <c r="H24" s="520"/>
      <c r="I24" s="520"/>
      <c r="J24" s="520"/>
      <c r="K24" s="520"/>
      <c r="L24" s="520"/>
      <c r="M24" s="520"/>
      <c r="N24" s="520"/>
      <c r="O24" s="520"/>
      <c r="P24" s="520"/>
      <c r="Q24" s="520"/>
      <c r="R24" s="520"/>
      <c r="S24" s="520"/>
      <c r="T24" s="520"/>
      <c r="U24" s="520"/>
      <c r="V24" s="520"/>
      <c r="W24" s="520"/>
      <c r="X24" s="520"/>
      <c r="Y24" s="520"/>
      <c r="Z24" s="527"/>
      <c r="AA24" s="129">
        <v>0</v>
      </c>
      <c r="AB24" s="129">
        <v>0</v>
      </c>
      <c r="AC24" s="329">
        <v>-15057</v>
      </c>
      <c r="AD24" s="118"/>
      <c r="AE24" s="129"/>
      <c r="AF24" s="129"/>
      <c r="AG24" s="120"/>
      <c r="AH24" s="318"/>
    </row>
    <row r="25" spans="1:34" ht="15.75">
      <c r="A25" s="519"/>
      <c r="B25" s="520"/>
      <c r="C25" s="528" t="s">
        <v>68</v>
      </c>
      <c r="D25" s="520"/>
      <c r="E25" s="520"/>
      <c r="F25" s="520"/>
      <c r="G25" s="520"/>
      <c r="H25" s="520"/>
      <c r="I25" s="520"/>
      <c r="J25" s="520"/>
      <c r="K25" s="520"/>
      <c r="L25" s="520"/>
      <c r="M25" s="520"/>
      <c r="N25" s="520"/>
      <c r="O25" s="520"/>
      <c r="P25" s="520"/>
      <c r="Q25" s="520"/>
      <c r="R25" s="520"/>
      <c r="S25" s="520"/>
      <c r="T25" s="520"/>
      <c r="U25" s="520"/>
      <c r="V25" s="520"/>
      <c r="W25" s="520"/>
      <c r="X25" s="520"/>
      <c r="Y25" s="520"/>
      <c r="Z25" s="529"/>
      <c r="AA25" s="328">
        <v>0</v>
      </c>
      <c r="AB25" s="328">
        <v>0</v>
      </c>
      <c r="AC25" s="329">
        <f>SUM(AC23:AC24)</f>
        <v>-66684</v>
      </c>
      <c r="AD25" s="118"/>
      <c r="AE25" s="129"/>
      <c r="AF25" s="129"/>
      <c r="AG25" s="120"/>
      <c r="AH25" s="318"/>
    </row>
    <row r="26" spans="1:34" ht="15.75">
      <c r="A26" s="690" t="s">
        <v>413</v>
      </c>
      <c r="B26" s="691"/>
      <c r="C26" s="691"/>
      <c r="D26" s="691"/>
      <c r="E26" s="691"/>
      <c r="F26" s="691"/>
      <c r="G26" s="691"/>
      <c r="H26" s="691"/>
      <c r="I26" s="691"/>
      <c r="J26" s="691"/>
      <c r="K26" s="691"/>
      <c r="L26" s="691"/>
      <c r="M26" s="691"/>
      <c r="N26" s="691"/>
      <c r="O26" s="691"/>
      <c r="P26" s="691"/>
      <c r="Q26" s="691"/>
      <c r="R26" s="691"/>
      <c r="S26" s="691"/>
      <c r="T26" s="691"/>
      <c r="U26" s="691"/>
      <c r="V26" s="691"/>
      <c r="W26" s="691"/>
      <c r="X26" s="691"/>
      <c r="Y26" s="691"/>
      <c r="Z26" s="118"/>
      <c r="AA26" s="328"/>
      <c r="AB26" s="328"/>
      <c r="AC26" s="329"/>
      <c r="AD26" s="118"/>
      <c r="AE26" s="129"/>
      <c r="AF26" s="129"/>
      <c r="AG26" s="120"/>
      <c r="AH26" s="318" t="s">
        <v>375</v>
      </c>
    </row>
    <row r="27" spans="1:34" ht="15.75">
      <c r="A27" s="521" t="s">
        <v>67</v>
      </c>
      <c r="B27" s="522"/>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118"/>
      <c r="AA27" s="328"/>
      <c r="AB27" s="328"/>
      <c r="AC27" s="329"/>
      <c r="AD27" s="118"/>
      <c r="AE27" s="129"/>
      <c r="AF27" s="129"/>
      <c r="AG27" s="120"/>
      <c r="AH27" s="318"/>
    </row>
    <row r="28" spans="1:34" ht="15.75">
      <c r="A28" s="662" t="s">
        <v>204</v>
      </c>
      <c r="B28" s="522"/>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118"/>
      <c r="AA28" s="129">
        <v>0</v>
      </c>
      <c r="AB28" s="129">
        <v>0</v>
      </c>
      <c r="AC28" s="329">
        <v>45424</v>
      </c>
      <c r="AD28" s="118"/>
      <c r="AE28" s="129"/>
      <c r="AF28" s="129"/>
      <c r="AG28" s="120"/>
      <c r="AH28" s="318"/>
    </row>
    <row r="29" spans="1:34" ht="15.75">
      <c r="A29" s="506" t="s">
        <v>205</v>
      </c>
      <c r="B29" s="522"/>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118"/>
      <c r="AA29" s="129">
        <v>0</v>
      </c>
      <c r="AB29" s="129">
        <v>0</v>
      </c>
      <c r="AC29" s="329">
        <v>20801</v>
      </c>
      <c r="AD29" s="118"/>
      <c r="AE29" s="129"/>
      <c r="AF29" s="129"/>
      <c r="AG29" s="120"/>
      <c r="AH29" s="318"/>
    </row>
    <row r="30" spans="1:34" ht="15.75">
      <c r="A30" s="661" t="s">
        <v>114</v>
      </c>
      <c r="B30" s="522"/>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118"/>
      <c r="AA30" s="129">
        <v>0</v>
      </c>
      <c r="AB30" s="129">
        <v>0</v>
      </c>
      <c r="AC30" s="329">
        <v>3000</v>
      </c>
      <c r="AD30" s="118"/>
      <c r="AE30" s="129"/>
      <c r="AF30" s="129"/>
      <c r="AG30" s="120"/>
      <c r="AH30" s="318"/>
    </row>
    <row r="31" spans="1:34" ht="15.75">
      <c r="A31" s="116" t="s">
        <v>327</v>
      </c>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118"/>
      <c r="AA31" s="129">
        <v>0</v>
      </c>
      <c r="AB31" s="328">
        <v>12</v>
      </c>
      <c r="AC31" s="329">
        <v>0</v>
      </c>
      <c r="AD31" s="118"/>
      <c r="AE31" s="129"/>
      <c r="AF31" s="129"/>
      <c r="AG31" s="120"/>
      <c r="AH31" s="318"/>
    </row>
    <row r="32" spans="1:34" ht="15.75">
      <c r="A32" s="115"/>
      <c r="B32" s="522"/>
      <c r="C32" s="575" t="s">
        <v>70</v>
      </c>
      <c r="D32" s="522"/>
      <c r="E32" s="522"/>
      <c r="F32" s="522"/>
      <c r="G32" s="522"/>
      <c r="H32" s="522"/>
      <c r="I32" s="522"/>
      <c r="J32" s="522"/>
      <c r="K32" s="522"/>
      <c r="L32" s="522"/>
      <c r="M32" s="522"/>
      <c r="N32" s="522"/>
      <c r="O32" s="522"/>
      <c r="P32" s="522"/>
      <c r="Q32" s="522"/>
      <c r="R32" s="522"/>
      <c r="S32" s="522"/>
      <c r="T32" s="522"/>
      <c r="U32" s="522"/>
      <c r="V32" s="522"/>
      <c r="W32" s="522"/>
      <c r="X32" s="522"/>
      <c r="Y32" s="522"/>
      <c r="Z32" s="118"/>
      <c r="AA32" s="328">
        <v>0</v>
      </c>
      <c r="AB32" s="328">
        <v>0</v>
      </c>
      <c r="AC32" s="329">
        <f>SUM(AC28:AC31)</f>
        <v>69225</v>
      </c>
      <c r="AD32" s="118"/>
      <c r="AE32" s="129"/>
      <c r="AF32" s="129"/>
      <c r="AG32" s="120"/>
      <c r="AH32" s="318"/>
    </row>
    <row r="33" spans="1:34" ht="15.75">
      <c r="A33" s="694" t="s">
        <v>167</v>
      </c>
      <c r="B33" s="689"/>
      <c r="C33" s="689"/>
      <c r="D33" s="689"/>
      <c r="E33" s="689"/>
      <c r="F33" s="689"/>
      <c r="G33" s="689"/>
      <c r="H33" s="689"/>
      <c r="I33" s="689"/>
      <c r="J33" s="689"/>
      <c r="K33" s="689"/>
      <c r="L33" s="689"/>
      <c r="M33" s="689"/>
      <c r="N33" s="689"/>
      <c r="O33" s="689"/>
      <c r="P33" s="689"/>
      <c r="Q33" s="689"/>
      <c r="R33" s="689"/>
      <c r="S33" s="689"/>
      <c r="T33" s="689"/>
      <c r="U33" s="689"/>
      <c r="V33" s="689"/>
      <c r="W33" s="689"/>
      <c r="X33" s="689"/>
      <c r="Y33" s="689"/>
      <c r="Z33" s="118"/>
      <c r="AA33" s="328"/>
      <c r="AB33" s="328"/>
      <c r="AC33" s="329"/>
      <c r="AD33" s="118"/>
      <c r="AE33" s="129"/>
      <c r="AF33" s="129"/>
      <c r="AG33" s="120"/>
      <c r="AH33" s="318" t="s">
        <v>375</v>
      </c>
    </row>
    <row r="34" spans="1:34" ht="15.75">
      <c r="A34" s="762" t="s">
        <v>379</v>
      </c>
      <c r="B34" s="706"/>
      <c r="C34" s="706"/>
      <c r="D34" s="706"/>
      <c r="E34" s="706"/>
      <c r="F34" s="706"/>
      <c r="G34" s="706"/>
      <c r="H34" s="706"/>
      <c r="I34" s="706"/>
      <c r="J34" s="706"/>
      <c r="K34" s="706"/>
      <c r="L34" s="706"/>
      <c r="M34" s="706"/>
      <c r="N34" s="706"/>
      <c r="O34" s="706"/>
      <c r="P34" s="706"/>
      <c r="Q34" s="706"/>
      <c r="R34" s="706"/>
      <c r="S34" s="706"/>
      <c r="T34" s="706"/>
      <c r="U34" s="706"/>
      <c r="V34" s="706"/>
      <c r="W34" s="706"/>
      <c r="X34" s="706"/>
      <c r="Y34" s="706"/>
      <c r="Z34" s="118"/>
      <c r="AA34" s="129">
        <v>0</v>
      </c>
      <c r="AB34" s="129">
        <v>0</v>
      </c>
      <c r="AC34" s="329">
        <f>1727+322</f>
        <v>2049</v>
      </c>
      <c r="AD34" s="118"/>
      <c r="AE34" s="129"/>
      <c r="AF34" s="129"/>
      <c r="AG34" s="120"/>
      <c r="AH34" s="318" t="s">
        <v>375</v>
      </c>
    </row>
    <row r="35" spans="1:34" ht="15.75" hidden="1">
      <c r="A35" s="115"/>
      <c r="B35" s="8"/>
      <c r="C35" s="5" t="s">
        <v>411</v>
      </c>
      <c r="D35" s="7"/>
      <c r="E35" s="7"/>
      <c r="F35" s="7"/>
      <c r="G35" s="7"/>
      <c r="H35" s="15"/>
      <c r="I35" s="15"/>
      <c r="J35" s="15"/>
      <c r="K35" s="15"/>
      <c r="L35" s="15"/>
      <c r="M35" s="15"/>
      <c r="N35" s="15"/>
      <c r="O35" s="15"/>
      <c r="P35" s="15"/>
      <c r="Q35" s="15"/>
      <c r="R35" s="15"/>
      <c r="S35" s="15"/>
      <c r="T35" s="15"/>
      <c r="U35" s="15"/>
      <c r="V35" s="15"/>
      <c r="W35" s="15"/>
      <c r="X35" s="15"/>
      <c r="Y35" s="15"/>
      <c r="Z35" s="15"/>
      <c r="AA35" s="129">
        <v>0</v>
      </c>
      <c r="AB35" s="129">
        <v>0</v>
      </c>
      <c r="AC35" s="331"/>
      <c r="AD35" s="15"/>
      <c r="AE35" s="128"/>
      <c r="AF35" s="128"/>
      <c r="AG35" s="109"/>
      <c r="AH35" s="318" t="s">
        <v>375</v>
      </c>
    </row>
    <row r="36" spans="1:34" ht="15.75" hidden="1">
      <c r="A36" s="115"/>
      <c r="B36" s="8"/>
      <c r="C36" s="5" t="s">
        <v>370</v>
      </c>
      <c r="D36" s="7"/>
      <c r="E36" s="7"/>
      <c r="F36" s="7"/>
      <c r="G36" s="7"/>
      <c r="H36" s="15"/>
      <c r="I36" s="15"/>
      <c r="J36" s="15"/>
      <c r="K36" s="15"/>
      <c r="L36" s="15"/>
      <c r="M36" s="15"/>
      <c r="N36" s="15"/>
      <c r="O36" s="15"/>
      <c r="P36" s="15"/>
      <c r="Q36" s="15"/>
      <c r="R36" s="15"/>
      <c r="S36" s="15"/>
      <c r="T36" s="15"/>
      <c r="U36" s="15"/>
      <c r="V36" s="15"/>
      <c r="W36" s="15"/>
      <c r="X36" s="15"/>
      <c r="Y36" s="15"/>
      <c r="Z36" s="15"/>
      <c r="AA36" s="129">
        <v>0</v>
      </c>
      <c r="AB36" s="129">
        <v>0</v>
      </c>
      <c r="AC36" s="331"/>
      <c r="AD36" s="15"/>
      <c r="AE36" s="128"/>
      <c r="AF36" s="128"/>
      <c r="AG36" s="109"/>
      <c r="AH36" s="318" t="s">
        <v>375</v>
      </c>
    </row>
    <row r="37" spans="1:34" ht="15.75">
      <c r="A37" s="763" t="s">
        <v>264</v>
      </c>
      <c r="B37" s="764"/>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118"/>
      <c r="AA37" s="129">
        <v>0</v>
      </c>
      <c r="AB37" s="129">
        <v>0</v>
      </c>
      <c r="AC37" s="329">
        <f>994+429</f>
        <v>1423</v>
      </c>
      <c r="AD37" s="118"/>
      <c r="AE37" s="129"/>
      <c r="AF37" s="129"/>
      <c r="AG37" s="120"/>
      <c r="AH37" s="318" t="s">
        <v>375</v>
      </c>
    </row>
    <row r="38" spans="1:34" ht="16.5" customHeight="1">
      <c r="A38" s="692" t="s">
        <v>118</v>
      </c>
      <c r="B38" s="706"/>
      <c r="C38" s="706"/>
      <c r="D38" s="706"/>
      <c r="E38" s="706"/>
      <c r="F38" s="706"/>
      <c r="G38" s="706"/>
      <c r="H38" s="706"/>
      <c r="I38" s="706"/>
      <c r="J38" s="706"/>
      <c r="K38" s="706"/>
      <c r="L38" s="706"/>
      <c r="M38" s="706"/>
      <c r="N38" s="706"/>
      <c r="O38" s="706"/>
      <c r="P38" s="706"/>
      <c r="Q38" s="706"/>
      <c r="R38" s="706"/>
      <c r="S38" s="706"/>
      <c r="T38" s="706"/>
      <c r="U38" s="706"/>
      <c r="V38" s="706"/>
      <c r="W38" s="706"/>
      <c r="X38" s="706"/>
      <c r="Y38" s="706"/>
      <c r="Z38" s="118"/>
      <c r="AA38" s="129">
        <v>0</v>
      </c>
      <c r="AB38" s="129">
        <v>0</v>
      </c>
      <c r="AC38" s="329">
        <v>576</v>
      </c>
      <c r="AD38" s="118"/>
      <c r="AE38" s="129"/>
      <c r="AF38" s="129"/>
      <c r="AG38" s="120"/>
      <c r="AH38" s="318" t="s">
        <v>375</v>
      </c>
    </row>
    <row r="39" spans="1:34" ht="15.75" hidden="1">
      <c r="A39" s="115"/>
      <c r="B39" s="8"/>
      <c r="C39" s="5" t="s">
        <v>360</v>
      </c>
      <c r="D39" s="7"/>
      <c r="E39" s="7"/>
      <c r="F39" s="7"/>
      <c r="G39" s="7"/>
      <c r="H39" s="15"/>
      <c r="I39" s="15"/>
      <c r="J39" s="15"/>
      <c r="K39" s="15"/>
      <c r="L39" s="15"/>
      <c r="M39" s="15"/>
      <c r="N39" s="15"/>
      <c r="O39" s="15"/>
      <c r="P39" s="15"/>
      <c r="Q39" s="15"/>
      <c r="R39" s="15"/>
      <c r="S39" s="15"/>
      <c r="T39" s="15"/>
      <c r="U39" s="15"/>
      <c r="V39" s="15"/>
      <c r="W39" s="15"/>
      <c r="X39" s="15"/>
      <c r="Y39" s="15"/>
      <c r="Z39" s="15"/>
      <c r="AA39" s="129">
        <v>0</v>
      </c>
      <c r="AB39" s="129">
        <v>0</v>
      </c>
      <c r="AC39" s="331"/>
      <c r="AD39" s="15"/>
      <c r="AE39" s="128"/>
      <c r="AF39" s="128"/>
      <c r="AG39" s="109"/>
      <c r="AH39" s="318" t="s">
        <v>375</v>
      </c>
    </row>
    <row r="40" spans="1:34" ht="15.75" hidden="1">
      <c r="A40" s="115"/>
      <c r="B40" s="8"/>
      <c r="C40" s="5" t="s">
        <v>371</v>
      </c>
      <c r="D40" s="7"/>
      <c r="E40" s="7"/>
      <c r="F40" s="7"/>
      <c r="G40" s="7"/>
      <c r="H40" s="15"/>
      <c r="I40" s="15"/>
      <c r="J40" s="15"/>
      <c r="K40" s="15"/>
      <c r="L40" s="15"/>
      <c r="M40" s="15"/>
      <c r="N40" s="15"/>
      <c r="O40" s="15"/>
      <c r="P40" s="15"/>
      <c r="Q40" s="15"/>
      <c r="R40" s="15"/>
      <c r="S40" s="15"/>
      <c r="T40" s="15"/>
      <c r="U40" s="15"/>
      <c r="V40" s="15"/>
      <c r="W40" s="15"/>
      <c r="X40" s="15"/>
      <c r="Y40" s="15"/>
      <c r="Z40" s="15"/>
      <c r="AA40" s="129">
        <v>0</v>
      </c>
      <c r="AB40" s="129">
        <v>0</v>
      </c>
      <c r="AC40" s="331"/>
      <c r="AD40" s="15"/>
      <c r="AE40" s="128"/>
      <c r="AF40" s="133"/>
      <c r="AG40" s="109"/>
      <c r="AH40" s="318" t="s">
        <v>375</v>
      </c>
    </row>
    <row r="41" spans="1:34" ht="15.75" hidden="1">
      <c r="A41" s="115"/>
      <c r="B41" s="8"/>
      <c r="C41" s="5" t="s">
        <v>331</v>
      </c>
      <c r="D41" s="7"/>
      <c r="E41" s="7"/>
      <c r="F41" s="7"/>
      <c r="G41" s="7"/>
      <c r="H41" s="15"/>
      <c r="I41" s="15"/>
      <c r="J41" s="15"/>
      <c r="K41" s="15"/>
      <c r="L41" s="15"/>
      <c r="M41" s="15"/>
      <c r="N41" s="15"/>
      <c r="O41" s="15"/>
      <c r="P41" s="15"/>
      <c r="Q41" s="15"/>
      <c r="R41" s="15"/>
      <c r="S41" s="15"/>
      <c r="T41" s="15"/>
      <c r="U41" s="15"/>
      <c r="V41" s="15"/>
      <c r="W41" s="15"/>
      <c r="X41" s="15"/>
      <c r="Y41" s="15"/>
      <c r="Z41" s="15"/>
      <c r="AA41" s="129">
        <v>0</v>
      </c>
      <c r="AB41" s="129">
        <v>0</v>
      </c>
      <c r="AC41" s="331"/>
      <c r="AD41" s="15"/>
      <c r="AE41" s="128"/>
      <c r="AF41" s="128"/>
      <c r="AG41" s="109"/>
      <c r="AH41" s="318" t="s">
        <v>375</v>
      </c>
    </row>
    <row r="42" spans="1:34" ht="16.5" customHeight="1">
      <c r="A42" s="692" t="s">
        <v>187</v>
      </c>
      <c r="B42" s="706"/>
      <c r="C42" s="706"/>
      <c r="D42" s="706"/>
      <c r="E42" s="706"/>
      <c r="F42" s="706"/>
      <c r="G42" s="706"/>
      <c r="H42" s="706"/>
      <c r="I42" s="706"/>
      <c r="J42" s="706"/>
      <c r="K42" s="706"/>
      <c r="L42" s="706"/>
      <c r="M42" s="706"/>
      <c r="N42" s="706"/>
      <c r="O42" s="706"/>
      <c r="P42" s="706"/>
      <c r="Q42" s="706"/>
      <c r="R42" s="706"/>
      <c r="S42" s="706"/>
      <c r="T42" s="706"/>
      <c r="U42" s="706"/>
      <c r="V42" s="706"/>
      <c r="W42" s="706"/>
      <c r="X42" s="706"/>
      <c r="Y42" s="706"/>
      <c r="Z42" s="118"/>
      <c r="AA42" s="129">
        <v>0</v>
      </c>
      <c r="AB42" s="129">
        <v>0</v>
      </c>
      <c r="AC42" s="329">
        <f>49+26</f>
        <v>75</v>
      </c>
      <c r="AD42" s="118"/>
      <c r="AE42" s="129"/>
      <c r="AF42" s="129"/>
      <c r="AG42" s="120"/>
      <c r="AH42" s="318" t="s">
        <v>375</v>
      </c>
    </row>
    <row r="43" spans="1:34" ht="16.5" customHeight="1">
      <c r="A43" s="660"/>
      <c r="B43" s="501"/>
      <c r="C43" s="502" t="s">
        <v>186</v>
      </c>
      <c r="D43" s="501"/>
      <c r="E43" s="501"/>
      <c r="F43" s="501"/>
      <c r="G43" s="501"/>
      <c r="H43" s="501"/>
      <c r="I43" s="501"/>
      <c r="J43" s="501"/>
      <c r="K43" s="501"/>
      <c r="L43" s="501"/>
      <c r="M43" s="501"/>
      <c r="N43" s="501"/>
      <c r="O43" s="501"/>
      <c r="P43" s="501"/>
      <c r="Q43" s="501"/>
      <c r="R43" s="501"/>
      <c r="S43" s="501"/>
      <c r="T43" s="501"/>
      <c r="U43" s="501"/>
      <c r="V43" s="501"/>
      <c r="W43" s="501"/>
      <c r="X43" s="501"/>
      <c r="Y43" s="118"/>
      <c r="Z43" s="118"/>
      <c r="AA43" s="129">
        <v>0</v>
      </c>
      <c r="AB43" s="129">
        <v>0</v>
      </c>
      <c r="AC43" s="329">
        <f>323+536</f>
        <v>859</v>
      </c>
      <c r="AD43" s="118"/>
      <c r="AE43" s="129"/>
      <c r="AF43" s="129"/>
      <c r="AG43" s="120"/>
      <c r="AH43" s="318"/>
    </row>
    <row r="44" spans="1:34" ht="16.5" customHeight="1">
      <c r="A44" s="116"/>
      <c r="B44" s="501"/>
      <c r="C44" s="502" t="s">
        <v>188</v>
      </c>
      <c r="D44" s="501"/>
      <c r="E44" s="501"/>
      <c r="F44" s="501"/>
      <c r="G44" s="501"/>
      <c r="H44" s="501"/>
      <c r="I44" s="501"/>
      <c r="J44" s="501"/>
      <c r="K44" s="501"/>
      <c r="L44" s="501"/>
      <c r="M44" s="501"/>
      <c r="N44" s="501"/>
      <c r="O44" s="501"/>
      <c r="P44" s="501"/>
      <c r="Q44" s="501"/>
      <c r="R44" s="501"/>
      <c r="S44" s="501"/>
      <c r="T44" s="501"/>
      <c r="U44" s="501"/>
      <c r="V44" s="501"/>
      <c r="W44" s="501"/>
      <c r="X44" s="501"/>
      <c r="Y44" s="501"/>
      <c r="Z44" s="118"/>
      <c r="AA44" s="129">
        <v>0</v>
      </c>
      <c r="AB44" s="129">
        <v>0</v>
      </c>
      <c r="AC44" s="329">
        <v>13</v>
      </c>
      <c r="AD44" s="118"/>
      <c r="AE44" s="129"/>
      <c r="AF44" s="129"/>
      <c r="AG44" s="120"/>
      <c r="AH44" s="318"/>
    </row>
    <row r="45" spans="1:34" ht="14.25" customHeight="1">
      <c r="A45" s="116"/>
      <c r="B45" s="501"/>
      <c r="C45" s="502" t="s">
        <v>189</v>
      </c>
      <c r="D45" s="501"/>
      <c r="E45" s="501"/>
      <c r="F45" s="501"/>
      <c r="G45" s="501"/>
      <c r="H45" s="501"/>
      <c r="I45" s="501"/>
      <c r="J45" s="501"/>
      <c r="K45" s="501"/>
      <c r="L45" s="501"/>
      <c r="M45" s="501"/>
      <c r="N45" s="501"/>
      <c r="O45" s="501"/>
      <c r="P45" s="501"/>
      <c r="Q45" s="501"/>
      <c r="R45" s="501"/>
      <c r="S45" s="501"/>
      <c r="T45" s="501"/>
      <c r="U45" s="501"/>
      <c r="V45" s="501"/>
      <c r="W45" s="501"/>
      <c r="X45" s="501"/>
      <c r="Y45" s="501"/>
      <c r="Z45" s="118"/>
      <c r="AA45" s="129">
        <v>0</v>
      </c>
      <c r="AB45" s="129">
        <v>0</v>
      </c>
      <c r="AC45" s="329">
        <v>5</v>
      </c>
      <c r="AD45" s="118"/>
      <c r="AE45" s="129"/>
      <c r="AF45" s="129"/>
      <c r="AG45" s="120"/>
      <c r="AH45" s="318"/>
    </row>
    <row r="46" spans="1:34" ht="15.75" customHeight="1">
      <c r="A46" s="116"/>
      <c r="B46" s="501"/>
      <c r="C46" s="502" t="s">
        <v>185</v>
      </c>
      <c r="D46" s="501"/>
      <c r="E46" s="501"/>
      <c r="F46" s="501"/>
      <c r="G46" s="501"/>
      <c r="H46" s="501"/>
      <c r="I46" s="501"/>
      <c r="J46" s="501"/>
      <c r="K46" s="501"/>
      <c r="L46" s="501"/>
      <c r="M46" s="501"/>
      <c r="N46" s="501"/>
      <c r="O46" s="501"/>
      <c r="P46" s="501"/>
      <c r="Q46" s="501"/>
      <c r="R46" s="501"/>
      <c r="S46" s="501"/>
      <c r="T46" s="501"/>
      <c r="U46" s="501"/>
      <c r="V46" s="501"/>
      <c r="W46" s="501"/>
      <c r="X46" s="501"/>
      <c r="Y46" s="501"/>
      <c r="Z46" s="118"/>
      <c r="AA46" s="129">
        <v>0</v>
      </c>
      <c r="AB46" s="129">
        <v>0</v>
      </c>
      <c r="AC46" s="329">
        <f>62+16</f>
        <v>78</v>
      </c>
      <c r="AD46" s="118"/>
      <c r="AE46" s="129"/>
      <c r="AF46" s="129"/>
      <c r="AG46" s="120"/>
      <c r="AH46" s="318"/>
    </row>
    <row r="47" spans="1:34" ht="15.75" customHeight="1">
      <c r="A47" s="116"/>
      <c r="B47" s="501"/>
      <c r="C47" s="502" t="s">
        <v>190</v>
      </c>
      <c r="D47" s="501"/>
      <c r="E47" s="501"/>
      <c r="F47" s="501"/>
      <c r="G47" s="501"/>
      <c r="H47" s="501"/>
      <c r="I47" s="501"/>
      <c r="J47" s="501"/>
      <c r="K47" s="501"/>
      <c r="L47" s="501"/>
      <c r="M47" s="501"/>
      <c r="N47" s="501"/>
      <c r="O47" s="501"/>
      <c r="P47" s="501"/>
      <c r="Q47" s="501"/>
      <c r="R47" s="501"/>
      <c r="S47" s="501"/>
      <c r="T47" s="501"/>
      <c r="U47" s="501"/>
      <c r="V47" s="501"/>
      <c r="W47" s="501"/>
      <c r="X47" s="501"/>
      <c r="Y47" s="501"/>
      <c r="Z47" s="118"/>
      <c r="AA47" s="129">
        <v>0</v>
      </c>
      <c r="AB47" s="129">
        <v>0</v>
      </c>
      <c r="AC47" s="329">
        <f>16+21</f>
        <v>37</v>
      </c>
      <c r="AD47" s="118"/>
      <c r="AE47" s="129"/>
      <c r="AF47" s="129"/>
      <c r="AG47" s="120"/>
      <c r="AH47" s="318"/>
    </row>
    <row r="48" spans="1:34" ht="16.5" customHeight="1">
      <c r="A48" s="116"/>
      <c r="B48" s="501"/>
      <c r="C48" s="502" t="s">
        <v>191</v>
      </c>
      <c r="D48" s="501"/>
      <c r="E48" s="501"/>
      <c r="F48" s="501"/>
      <c r="G48" s="501"/>
      <c r="H48" s="501"/>
      <c r="I48" s="501"/>
      <c r="J48" s="501"/>
      <c r="K48" s="501"/>
      <c r="L48" s="501"/>
      <c r="M48" s="501"/>
      <c r="N48" s="501"/>
      <c r="O48" s="501"/>
      <c r="P48" s="501"/>
      <c r="Q48" s="501"/>
      <c r="R48" s="501"/>
      <c r="S48" s="501"/>
      <c r="T48" s="501"/>
      <c r="U48" s="501"/>
      <c r="V48" s="501"/>
      <c r="W48" s="501"/>
      <c r="X48" s="501"/>
      <c r="Y48" s="501"/>
      <c r="Z48" s="118"/>
      <c r="AA48" s="129">
        <v>0</v>
      </c>
      <c r="AB48" s="129">
        <v>0</v>
      </c>
      <c r="AC48" s="329">
        <f>523+33</f>
        <v>556</v>
      </c>
      <c r="AD48" s="118"/>
      <c r="AE48" s="129"/>
      <c r="AF48" s="129"/>
      <c r="AG48" s="120"/>
      <c r="AH48" s="318"/>
    </row>
    <row r="49" spans="1:34" ht="18" customHeight="1">
      <c r="A49" s="692" t="s">
        <v>71</v>
      </c>
      <c r="B49" s="706"/>
      <c r="C49" s="706"/>
      <c r="D49" s="706"/>
      <c r="E49" s="706"/>
      <c r="F49" s="706"/>
      <c r="G49" s="706"/>
      <c r="H49" s="706"/>
      <c r="I49" s="706"/>
      <c r="J49" s="706"/>
      <c r="K49" s="706"/>
      <c r="L49" s="706"/>
      <c r="M49" s="706"/>
      <c r="N49" s="706"/>
      <c r="O49" s="706"/>
      <c r="P49" s="706"/>
      <c r="Q49" s="706"/>
      <c r="R49" s="706"/>
      <c r="S49" s="706"/>
      <c r="T49" s="706"/>
      <c r="U49" s="706"/>
      <c r="V49" s="706"/>
      <c r="W49" s="706"/>
      <c r="X49" s="706"/>
      <c r="Y49" s="706"/>
      <c r="Z49" s="118"/>
      <c r="AA49" s="328">
        <f>SUM(AA34:AA42)</f>
        <v>0</v>
      </c>
      <c r="AB49" s="328">
        <v>12</v>
      </c>
      <c r="AC49" s="328">
        <f>SUM(AC34:AC48)</f>
        <v>5671</v>
      </c>
      <c r="AD49" s="118"/>
      <c r="AE49" s="129">
        <f>SUM(AE34:AE41)</f>
        <v>0</v>
      </c>
      <c r="AF49" s="129">
        <f>SUM(AF34:AF41)</f>
        <v>0</v>
      </c>
      <c r="AG49" s="120">
        <f>SUM(AG34:AG41)</f>
        <v>0</v>
      </c>
      <c r="AH49" s="318" t="s">
        <v>375</v>
      </c>
    </row>
    <row r="50" spans="1:34" ht="15.75">
      <c r="A50" s="694" t="s">
        <v>168</v>
      </c>
      <c r="B50" s="689"/>
      <c r="C50" s="689"/>
      <c r="D50" s="689"/>
      <c r="E50" s="689"/>
      <c r="F50" s="689"/>
      <c r="G50" s="689"/>
      <c r="H50" s="689"/>
      <c r="I50" s="689"/>
      <c r="J50" s="689"/>
      <c r="K50" s="689"/>
      <c r="L50" s="689"/>
      <c r="M50" s="689"/>
      <c r="N50" s="689"/>
      <c r="O50" s="689"/>
      <c r="P50" s="689"/>
      <c r="Q50" s="689"/>
      <c r="R50" s="689"/>
      <c r="S50" s="689"/>
      <c r="T50" s="689"/>
      <c r="U50" s="689"/>
      <c r="V50" s="689"/>
      <c r="W50" s="689"/>
      <c r="X50" s="689"/>
      <c r="Y50" s="689"/>
      <c r="Z50" s="118"/>
      <c r="AA50" s="328"/>
      <c r="AB50" s="328"/>
      <c r="AC50" s="329"/>
      <c r="AD50" s="118"/>
      <c r="AE50" s="129"/>
      <c r="AF50" s="129"/>
      <c r="AG50" s="120"/>
      <c r="AH50" s="318" t="s">
        <v>375</v>
      </c>
    </row>
    <row r="51" spans="1:34" ht="15.75">
      <c r="A51" s="531"/>
      <c r="B51" s="532"/>
      <c r="C51" s="502" t="s">
        <v>192</v>
      </c>
      <c r="D51" s="532"/>
      <c r="E51" s="532"/>
      <c r="F51" s="532"/>
      <c r="G51" s="532"/>
      <c r="H51" s="532"/>
      <c r="I51" s="532"/>
      <c r="J51" s="532"/>
      <c r="K51" s="532"/>
      <c r="L51" s="532"/>
      <c r="M51" s="532"/>
      <c r="N51" s="532"/>
      <c r="O51" s="532"/>
      <c r="P51" s="532"/>
      <c r="Q51" s="532"/>
      <c r="R51" s="532"/>
      <c r="S51" s="532"/>
      <c r="T51" s="532"/>
      <c r="U51" s="532"/>
      <c r="V51" s="532"/>
      <c r="W51" s="532"/>
      <c r="X51" s="532"/>
      <c r="Y51" s="532"/>
      <c r="Z51" s="118"/>
      <c r="AA51" s="129">
        <v>0</v>
      </c>
      <c r="AB51" s="129">
        <v>0</v>
      </c>
      <c r="AC51" s="329">
        <v>-127</v>
      </c>
      <c r="AD51" s="118"/>
      <c r="AE51" s="129"/>
      <c r="AF51" s="129"/>
      <c r="AG51" s="120"/>
      <c r="AH51" s="318"/>
    </row>
    <row r="52" spans="1:34" ht="15.75">
      <c r="A52" s="765" t="s">
        <v>193</v>
      </c>
      <c r="B52" s="706"/>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118"/>
      <c r="AA52" s="129">
        <v>0</v>
      </c>
      <c r="AB52" s="129">
        <v>0</v>
      </c>
      <c r="AC52" s="329">
        <v>-47</v>
      </c>
      <c r="AD52" s="118"/>
      <c r="AE52" s="129"/>
      <c r="AF52" s="129"/>
      <c r="AG52" s="120"/>
      <c r="AH52" s="318" t="s">
        <v>375</v>
      </c>
    </row>
    <row r="53" spans="1:34" ht="15.75">
      <c r="A53" s="762" t="s">
        <v>194</v>
      </c>
      <c r="B53" s="706"/>
      <c r="C53" s="706"/>
      <c r="D53" s="706"/>
      <c r="E53" s="706"/>
      <c r="F53" s="706"/>
      <c r="G53" s="706"/>
      <c r="H53" s="706"/>
      <c r="I53" s="706"/>
      <c r="J53" s="706"/>
      <c r="K53" s="706"/>
      <c r="L53" s="706"/>
      <c r="M53" s="706"/>
      <c r="N53" s="706"/>
      <c r="O53" s="706"/>
      <c r="P53" s="706"/>
      <c r="Q53" s="706"/>
      <c r="R53" s="706"/>
      <c r="S53" s="706"/>
      <c r="T53" s="706"/>
      <c r="U53" s="706"/>
      <c r="V53" s="706"/>
      <c r="W53" s="706"/>
      <c r="X53" s="706"/>
      <c r="Y53" s="706"/>
      <c r="Z53" s="118"/>
      <c r="AA53" s="129">
        <v>0</v>
      </c>
      <c r="AB53" s="129">
        <v>0</v>
      </c>
      <c r="AC53" s="329">
        <f>-299-58</f>
        <v>-357</v>
      </c>
      <c r="AD53" s="118"/>
      <c r="AE53" s="129">
        <v>0</v>
      </c>
      <c r="AF53" s="129">
        <v>0</v>
      </c>
      <c r="AG53" s="120"/>
      <c r="AH53" s="318" t="s">
        <v>375</v>
      </c>
    </row>
    <row r="54" spans="1:34" ht="15.75">
      <c r="A54" s="692" t="s">
        <v>72</v>
      </c>
      <c r="B54" s="706"/>
      <c r="C54" s="706"/>
      <c r="D54" s="706"/>
      <c r="E54" s="706"/>
      <c r="F54" s="706"/>
      <c r="G54" s="706"/>
      <c r="H54" s="706"/>
      <c r="I54" s="706"/>
      <c r="J54" s="706"/>
      <c r="K54" s="706"/>
      <c r="L54" s="706"/>
      <c r="M54" s="706"/>
      <c r="N54" s="706"/>
      <c r="O54" s="706"/>
      <c r="P54" s="706"/>
      <c r="Q54" s="706"/>
      <c r="R54" s="706"/>
      <c r="S54" s="706"/>
      <c r="T54" s="706"/>
      <c r="U54" s="706"/>
      <c r="V54" s="706"/>
      <c r="W54" s="706"/>
      <c r="X54" s="706"/>
      <c r="Y54" s="706"/>
      <c r="Z54" s="118"/>
      <c r="AA54" s="129">
        <f>+AA52+AA53</f>
        <v>0</v>
      </c>
      <c r="AB54" s="129">
        <f>+AB52+AB53</f>
        <v>0</v>
      </c>
      <c r="AC54" s="328">
        <f>SUM(AC51:AC53)</f>
        <v>-531</v>
      </c>
      <c r="AD54" s="118"/>
      <c r="AE54" s="129">
        <f>AE53</f>
        <v>0</v>
      </c>
      <c r="AF54" s="129">
        <f>AF53</f>
        <v>0</v>
      </c>
      <c r="AG54" s="120">
        <f>AG53</f>
        <v>0</v>
      </c>
      <c r="AH54" s="318" t="s">
        <v>375</v>
      </c>
    </row>
    <row r="55" spans="1:34" ht="15.75">
      <c r="A55" s="688" t="s">
        <v>164</v>
      </c>
      <c r="B55" s="689"/>
      <c r="C55" s="689"/>
      <c r="D55" s="689"/>
      <c r="E55" s="689"/>
      <c r="F55" s="689"/>
      <c r="G55" s="689"/>
      <c r="H55" s="689"/>
      <c r="I55" s="689"/>
      <c r="J55" s="689"/>
      <c r="K55" s="689"/>
      <c r="L55" s="689"/>
      <c r="M55" s="689"/>
      <c r="N55" s="689"/>
      <c r="O55" s="689"/>
      <c r="P55" s="689"/>
      <c r="Q55" s="689"/>
      <c r="R55" s="689"/>
      <c r="S55" s="689"/>
      <c r="T55" s="689"/>
      <c r="U55" s="689"/>
      <c r="V55" s="689"/>
      <c r="W55" s="689"/>
      <c r="X55" s="689"/>
      <c r="Y55" s="689"/>
      <c r="Z55" s="118"/>
      <c r="AA55" s="328">
        <f>+AA49+AA54</f>
        <v>0</v>
      </c>
      <c r="AB55" s="328">
        <f>+AB49+AB54</f>
        <v>12</v>
      </c>
      <c r="AC55" s="328">
        <f>+AC49+AC54+AC32</f>
        <v>74365</v>
      </c>
      <c r="AD55" s="118"/>
      <c r="AE55" s="129" t="e">
        <f>AE54+AE49+#REF!</f>
        <v>#REF!</v>
      </c>
      <c r="AF55" s="129" t="e">
        <f>AF54+AF49+#REF!</f>
        <v>#REF!</v>
      </c>
      <c r="AG55" s="120" t="e">
        <f>AG54+AG49+#REF!</f>
        <v>#REF!</v>
      </c>
      <c r="AH55" s="318" t="s">
        <v>375</v>
      </c>
    </row>
    <row r="56" spans="1:34" ht="15.75">
      <c r="A56" s="688" t="s">
        <v>163</v>
      </c>
      <c r="B56" s="689"/>
      <c r="C56" s="689"/>
      <c r="D56" s="689"/>
      <c r="E56" s="689"/>
      <c r="F56" s="689"/>
      <c r="G56" s="689"/>
      <c r="H56" s="689"/>
      <c r="I56" s="689"/>
      <c r="J56" s="689"/>
      <c r="K56" s="689"/>
      <c r="L56" s="689"/>
      <c r="M56" s="689"/>
      <c r="N56" s="689"/>
      <c r="O56" s="689"/>
      <c r="P56" s="689"/>
      <c r="Q56" s="689"/>
      <c r="R56" s="689"/>
      <c r="S56" s="689"/>
      <c r="T56" s="689"/>
      <c r="U56" s="689"/>
      <c r="V56" s="689"/>
      <c r="W56" s="689"/>
      <c r="X56" s="689"/>
      <c r="Y56" s="689"/>
      <c r="Z56" s="118"/>
      <c r="AA56" s="328">
        <f>AA55+AA23</f>
        <v>0</v>
      </c>
      <c r="AB56" s="328">
        <f>AB55+AB23</f>
        <v>12</v>
      </c>
      <c r="AC56" s="328">
        <f>AC55+AC25</f>
        <v>7681</v>
      </c>
      <c r="AD56" s="118"/>
      <c r="AE56" s="129"/>
      <c r="AF56" s="129"/>
      <c r="AG56" s="120"/>
      <c r="AH56" s="318" t="s">
        <v>375</v>
      </c>
    </row>
    <row r="57" spans="1:34" ht="15.75">
      <c r="A57" s="288" t="s">
        <v>119</v>
      </c>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60"/>
      <c r="AA57" s="536">
        <f>AA56+AA17</f>
        <v>697</v>
      </c>
      <c r="AB57" s="536">
        <v>633</v>
      </c>
      <c r="AC57" s="537">
        <f>AC56+AC21</f>
        <v>270549</v>
      </c>
      <c r="AD57" s="260"/>
      <c r="AE57" s="128"/>
      <c r="AF57" s="128"/>
      <c r="AG57" s="109"/>
      <c r="AH57" s="318" t="s">
        <v>375</v>
      </c>
    </row>
    <row r="58" spans="1:34" ht="15.75">
      <c r="A58" s="690" t="s">
        <v>249</v>
      </c>
      <c r="B58" s="691"/>
      <c r="C58" s="691"/>
      <c r="D58" s="691"/>
      <c r="E58" s="691"/>
      <c r="F58" s="691"/>
      <c r="G58" s="691"/>
      <c r="H58" s="691"/>
      <c r="I58" s="691"/>
      <c r="J58" s="691"/>
      <c r="K58" s="691"/>
      <c r="L58" s="691"/>
      <c r="M58" s="691"/>
      <c r="N58" s="691"/>
      <c r="O58" s="691"/>
      <c r="P58" s="691"/>
      <c r="Q58" s="691"/>
      <c r="R58" s="691"/>
      <c r="S58" s="691"/>
      <c r="T58" s="691"/>
      <c r="U58" s="691"/>
      <c r="V58" s="691"/>
      <c r="W58" s="691"/>
      <c r="X58" s="691"/>
      <c r="Y58" s="691"/>
      <c r="Z58" s="118"/>
      <c r="AA58" s="328"/>
      <c r="AB58" s="328"/>
      <c r="AC58" s="659"/>
      <c r="AD58" s="118"/>
      <c r="AE58" s="129"/>
      <c r="AF58" s="129"/>
      <c r="AG58" s="120"/>
      <c r="AH58" s="318" t="s">
        <v>375</v>
      </c>
    </row>
    <row r="59" spans="1:34" ht="15.75">
      <c r="A59" s="694" t="s">
        <v>112</v>
      </c>
      <c r="B59" s="689"/>
      <c r="C59" s="689"/>
      <c r="D59" s="689"/>
      <c r="E59" s="689"/>
      <c r="F59" s="689"/>
      <c r="G59" s="689"/>
      <c r="H59" s="689"/>
      <c r="I59" s="689"/>
      <c r="J59" s="689"/>
      <c r="K59" s="689"/>
      <c r="L59" s="689"/>
      <c r="M59" s="689"/>
      <c r="N59" s="689"/>
      <c r="O59" s="689"/>
      <c r="P59" s="689"/>
      <c r="Q59" s="689"/>
      <c r="R59" s="689"/>
      <c r="S59" s="689"/>
      <c r="T59" s="689"/>
      <c r="U59" s="689"/>
      <c r="V59" s="689"/>
      <c r="W59" s="689"/>
      <c r="X59" s="689"/>
      <c r="Y59" s="689"/>
      <c r="Z59" s="118"/>
      <c r="AA59" s="328" t="s">
        <v>356</v>
      </c>
      <c r="AB59" s="328"/>
      <c r="AC59" s="328"/>
      <c r="AD59" s="118" t="s">
        <v>356</v>
      </c>
      <c r="AE59" s="129" t="s">
        <v>356</v>
      </c>
      <c r="AF59" s="129"/>
      <c r="AG59" s="120"/>
      <c r="AH59" s="318" t="s">
        <v>375</v>
      </c>
    </row>
    <row r="60" spans="1:34" ht="15.75">
      <c r="A60" s="692" t="s">
        <v>91</v>
      </c>
      <c r="B60" s="706"/>
      <c r="C60" s="706"/>
      <c r="D60" s="706"/>
      <c r="E60" s="706"/>
      <c r="F60" s="706"/>
      <c r="G60" s="706"/>
      <c r="H60" s="706"/>
      <c r="I60" s="706"/>
      <c r="J60" s="706"/>
      <c r="K60" s="706"/>
      <c r="L60" s="706"/>
      <c r="M60" s="706"/>
      <c r="N60" s="706"/>
      <c r="O60" s="706"/>
      <c r="P60" s="706"/>
      <c r="Q60" s="706"/>
      <c r="R60" s="706"/>
      <c r="S60" s="706"/>
      <c r="T60" s="706"/>
      <c r="U60" s="706"/>
      <c r="V60" s="706"/>
      <c r="W60" s="706"/>
      <c r="X60" s="706"/>
      <c r="Y60" s="706"/>
      <c r="Z60" s="118"/>
      <c r="AA60" s="328">
        <v>166</v>
      </c>
      <c r="AB60" s="328">
        <v>142</v>
      </c>
      <c r="AC60" s="329">
        <v>0</v>
      </c>
      <c r="AD60" s="118"/>
      <c r="AE60" s="129"/>
      <c r="AF60" s="129"/>
      <c r="AG60" s="120"/>
      <c r="AH60" s="318" t="s">
        <v>375</v>
      </c>
    </row>
    <row r="61" spans="1:34" ht="15.75" hidden="1">
      <c r="A61" s="116"/>
      <c r="B61" s="117"/>
      <c r="C61" s="117" t="s">
        <v>406</v>
      </c>
      <c r="D61" s="117"/>
      <c r="E61" s="117"/>
      <c r="F61" s="117"/>
      <c r="G61" s="117"/>
      <c r="H61" s="119"/>
      <c r="I61" s="119"/>
      <c r="J61" s="119"/>
      <c r="K61" s="118"/>
      <c r="L61" s="118"/>
      <c r="M61" s="118"/>
      <c r="N61" s="118"/>
      <c r="O61" s="118"/>
      <c r="P61" s="118"/>
      <c r="Q61" s="118"/>
      <c r="R61" s="118"/>
      <c r="S61" s="118"/>
      <c r="T61" s="118"/>
      <c r="U61" s="118"/>
      <c r="V61" s="118"/>
      <c r="W61" s="118"/>
      <c r="X61" s="118"/>
      <c r="Y61" s="118"/>
      <c r="Z61" s="118"/>
      <c r="AA61" s="328"/>
      <c r="AB61" s="328"/>
      <c r="AC61" s="329"/>
      <c r="AD61" s="118"/>
      <c r="AE61" s="129"/>
      <c r="AF61" s="129"/>
      <c r="AG61" s="120"/>
      <c r="AH61" s="318" t="s">
        <v>375</v>
      </c>
    </row>
    <row r="62" spans="1:34" ht="16.5" customHeight="1" hidden="1">
      <c r="A62" s="115"/>
      <c r="B62" s="8"/>
      <c r="C62" s="5" t="s">
        <v>374</v>
      </c>
      <c r="K62" s="15"/>
      <c r="L62" s="15"/>
      <c r="M62" s="15"/>
      <c r="N62" s="15"/>
      <c r="O62" s="15"/>
      <c r="P62" s="15"/>
      <c r="Q62" s="15"/>
      <c r="R62" s="15"/>
      <c r="S62" s="15"/>
      <c r="T62" s="15"/>
      <c r="U62" s="15"/>
      <c r="V62" s="15"/>
      <c r="W62" s="15"/>
      <c r="X62" s="15"/>
      <c r="Y62" s="15"/>
      <c r="Z62" s="15"/>
      <c r="AA62" s="330"/>
      <c r="AB62" s="330"/>
      <c r="AC62" s="331"/>
      <c r="AD62" s="15"/>
      <c r="AE62" s="128"/>
      <c r="AF62" s="128"/>
      <c r="AG62" s="109"/>
      <c r="AH62" s="318" t="s">
        <v>375</v>
      </c>
    </row>
    <row r="63" spans="1:34" ht="15.75" hidden="1">
      <c r="A63" s="115"/>
      <c r="B63" s="8"/>
      <c r="C63" s="5" t="s">
        <v>401</v>
      </c>
      <c r="K63" s="15"/>
      <c r="L63" s="15"/>
      <c r="M63" s="15"/>
      <c r="N63" s="15"/>
      <c r="O63" s="15"/>
      <c r="P63" s="15"/>
      <c r="Q63" s="15"/>
      <c r="R63" s="15"/>
      <c r="S63" s="15"/>
      <c r="T63" s="15"/>
      <c r="U63" s="15"/>
      <c r="V63" s="15"/>
      <c r="W63" s="15"/>
      <c r="X63" s="15"/>
      <c r="Y63" s="15"/>
      <c r="Z63" s="15"/>
      <c r="AA63" s="330"/>
      <c r="AB63" s="330"/>
      <c r="AC63" s="331"/>
      <c r="AD63" s="15"/>
      <c r="AE63" s="128"/>
      <c r="AF63" s="128"/>
      <c r="AG63" s="109"/>
      <c r="AH63" s="318" t="s">
        <v>375</v>
      </c>
    </row>
    <row r="64" spans="1:34" ht="15.75" hidden="1">
      <c r="A64" s="115"/>
      <c r="B64" s="8"/>
      <c r="C64" s="5" t="s">
        <v>402</v>
      </c>
      <c r="K64" s="15"/>
      <c r="L64" s="15"/>
      <c r="M64" s="15"/>
      <c r="N64" s="15"/>
      <c r="O64" s="15"/>
      <c r="P64" s="15"/>
      <c r="Q64" s="15"/>
      <c r="R64" s="15"/>
      <c r="S64" s="15"/>
      <c r="T64" s="15"/>
      <c r="U64" s="15"/>
      <c r="V64" s="15"/>
      <c r="W64" s="15"/>
      <c r="X64" s="15"/>
      <c r="Y64" s="15"/>
      <c r="Z64" s="15"/>
      <c r="AA64" s="337"/>
      <c r="AB64" s="337"/>
      <c r="AC64" s="338"/>
      <c r="AD64" s="15"/>
      <c r="AE64" s="131"/>
      <c r="AF64" s="131"/>
      <c r="AG64" s="111"/>
      <c r="AH64" s="318" t="s">
        <v>375</v>
      </c>
    </row>
    <row r="65" spans="1:34" ht="15.75">
      <c r="A65" s="530" t="s">
        <v>279</v>
      </c>
      <c r="B65" s="520"/>
      <c r="C65" s="520"/>
      <c r="D65" s="520"/>
      <c r="E65" s="520"/>
      <c r="F65" s="520"/>
      <c r="G65" s="520"/>
      <c r="H65" s="520"/>
      <c r="I65" s="520"/>
      <c r="J65" s="520"/>
      <c r="K65" s="520"/>
      <c r="L65" s="520"/>
      <c r="M65" s="520"/>
      <c r="N65" s="520"/>
      <c r="O65" s="520"/>
      <c r="P65" s="520"/>
      <c r="Q65" s="520"/>
      <c r="R65" s="520"/>
      <c r="S65" s="520"/>
      <c r="T65" s="520"/>
      <c r="U65" s="520"/>
      <c r="V65" s="520"/>
      <c r="W65" s="520"/>
      <c r="X65" s="520"/>
      <c r="Y65" s="520"/>
      <c r="Z65" s="118"/>
      <c r="AA65" s="129">
        <v>0</v>
      </c>
      <c r="AB65" s="129">
        <v>0</v>
      </c>
      <c r="AC65" s="329">
        <f>53000-34780</f>
        <v>18220</v>
      </c>
      <c r="AD65" s="15"/>
      <c r="AE65" s="128"/>
      <c r="AF65" s="128"/>
      <c r="AG65" s="109"/>
      <c r="AH65" s="318"/>
    </row>
    <row r="66" spans="1:34" ht="15.75">
      <c r="A66" s="533" t="s">
        <v>280</v>
      </c>
      <c r="B66" s="534"/>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118"/>
      <c r="AA66" s="129">
        <v>0</v>
      </c>
      <c r="AB66" s="129">
        <v>0</v>
      </c>
      <c r="AC66" s="329">
        <v>12747</v>
      </c>
      <c r="AD66" s="15"/>
      <c r="AE66" s="128"/>
      <c r="AF66" s="128"/>
      <c r="AG66" s="109"/>
      <c r="AH66" s="318"/>
    </row>
    <row r="67" spans="1:34" ht="15.75">
      <c r="A67" s="763" t="s">
        <v>251</v>
      </c>
      <c r="B67" s="764"/>
      <c r="C67" s="764"/>
      <c r="D67" s="764"/>
      <c r="E67" s="764"/>
      <c r="F67" s="764"/>
      <c r="G67" s="764"/>
      <c r="H67" s="764"/>
      <c r="I67" s="764"/>
      <c r="J67" s="764"/>
      <c r="K67" s="764"/>
      <c r="L67" s="764"/>
      <c r="M67" s="764"/>
      <c r="N67" s="764"/>
      <c r="O67" s="764"/>
      <c r="P67" s="764"/>
      <c r="Q67" s="764"/>
      <c r="R67" s="764"/>
      <c r="S67" s="764"/>
      <c r="T67" s="764"/>
      <c r="U67" s="764"/>
      <c r="V67" s="764"/>
      <c r="W67" s="764"/>
      <c r="X67" s="764"/>
      <c r="Y67" s="764"/>
      <c r="Z67" s="118"/>
      <c r="AA67" s="328">
        <v>166</v>
      </c>
      <c r="AB67" s="328">
        <f>SUM(AB60:AB64)</f>
        <v>142</v>
      </c>
      <c r="AC67" s="329">
        <f>SUM(AC60:AC66)</f>
        <v>30967</v>
      </c>
      <c r="AD67" s="118"/>
      <c r="AE67" s="129">
        <f>SUM(AE60:AE64)</f>
        <v>0</v>
      </c>
      <c r="AF67" s="129">
        <f>SUM(AF60:AF64)</f>
        <v>0</v>
      </c>
      <c r="AG67" s="120">
        <f>SUM(AG60:AG64)</f>
        <v>0</v>
      </c>
      <c r="AH67" s="318" t="s">
        <v>375</v>
      </c>
    </row>
    <row r="68" spans="1:34" ht="15.75">
      <c r="A68" s="694" t="s">
        <v>367</v>
      </c>
      <c r="B68" s="689"/>
      <c r="C68" s="689"/>
      <c r="D68" s="689"/>
      <c r="E68" s="689"/>
      <c r="F68" s="689"/>
      <c r="G68" s="689"/>
      <c r="H68" s="689"/>
      <c r="I68" s="689"/>
      <c r="J68" s="689"/>
      <c r="K68" s="689"/>
      <c r="L68" s="689"/>
      <c r="M68" s="689"/>
      <c r="N68" s="689"/>
      <c r="O68" s="689"/>
      <c r="P68" s="689"/>
      <c r="Q68" s="689"/>
      <c r="R68" s="689"/>
      <c r="S68" s="689"/>
      <c r="T68" s="689"/>
      <c r="U68" s="689"/>
      <c r="V68" s="689"/>
      <c r="W68" s="689"/>
      <c r="X68" s="689"/>
      <c r="Y68" s="689"/>
      <c r="Z68" s="118"/>
      <c r="AA68" s="328"/>
      <c r="AB68" s="328"/>
      <c r="AC68" s="329"/>
      <c r="AD68" s="118"/>
      <c r="AE68" s="129"/>
      <c r="AF68" s="129"/>
      <c r="AG68" s="120"/>
      <c r="AH68" s="318" t="s">
        <v>375</v>
      </c>
    </row>
    <row r="69" spans="1:34" ht="15.75">
      <c r="A69" s="530" t="s">
        <v>278</v>
      </c>
      <c r="B69" s="535"/>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118"/>
      <c r="AA69" s="129">
        <v>0</v>
      </c>
      <c r="AB69" s="129">
        <v>0</v>
      </c>
      <c r="AC69" s="328">
        <f>-37000+34700</f>
        <v>-2300</v>
      </c>
      <c r="AD69" s="118"/>
      <c r="AE69" s="129"/>
      <c r="AF69" s="129"/>
      <c r="AG69" s="120"/>
      <c r="AH69" s="318"/>
    </row>
    <row r="70" spans="1:34" ht="15.75">
      <c r="A70" s="692" t="s">
        <v>277</v>
      </c>
      <c r="B70" s="693"/>
      <c r="C70" s="693"/>
      <c r="D70" s="693"/>
      <c r="E70" s="693"/>
      <c r="F70" s="693"/>
      <c r="G70" s="693"/>
      <c r="H70" s="693"/>
      <c r="I70" s="693"/>
      <c r="J70" s="693"/>
      <c r="K70" s="693"/>
      <c r="L70" s="693"/>
      <c r="M70" s="693"/>
      <c r="N70" s="693"/>
      <c r="O70" s="693"/>
      <c r="P70" s="693"/>
      <c r="Q70" s="693"/>
      <c r="R70" s="693"/>
      <c r="S70" s="693"/>
      <c r="T70" s="693"/>
      <c r="U70" s="693"/>
      <c r="V70" s="693"/>
      <c r="W70" s="693"/>
      <c r="X70" s="693"/>
      <c r="Y70" s="693"/>
      <c r="Z70" s="118"/>
      <c r="AA70" s="129">
        <v>0</v>
      </c>
      <c r="AB70" s="129">
        <v>0</v>
      </c>
      <c r="AC70" s="329">
        <v>-5800</v>
      </c>
      <c r="AD70" s="118"/>
      <c r="AE70" s="129"/>
      <c r="AF70" s="129"/>
      <c r="AG70" s="120"/>
      <c r="AH70" s="318" t="s">
        <v>375</v>
      </c>
    </row>
    <row r="71" spans="1:34" ht="15.75">
      <c r="A71" s="530" t="s">
        <v>41</v>
      </c>
      <c r="B71" s="535"/>
      <c r="C71" s="535"/>
      <c r="D71" s="535"/>
      <c r="E71" s="535"/>
      <c r="F71" s="535"/>
      <c r="G71" s="535"/>
      <c r="H71" s="535"/>
      <c r="I71" s="535"/>
      <c r="J71" s="535"/>
      <c r="K71" s="535"/>
      <c r="L71" s="535"/>
      <c r="M71" s="535"/>
      <c r="N71" s="535"/>
      <c r="O71" s="535"/>
      <c r="P71" s="535"/>
      <c r="Q71" s="535"/>
      <c r="R71" s="535"/>
      <c r="S71" s="535"/>
      <c r="T71" s="535"/>
      <c r="U71" s="535"/>
      <c r="V71" s="535"/>
      <c r="W71" s="535"/>
      <c r="X71" s="535"/>
      <c r="Y71" s="535"/>
      <c r="Z71" s="118"/>
      <c r="AA71" s="129">
        <v>0</v>
      </c>
      <c r="AB71" s="129">
        <v>0</v>
      </c>
      <c r="AC71" s="329">
        <f>-10904-11280-50000-2820-9400-5140</f>
        <v>-89544</v>
      </c>
      <c r="AD71" s="118"/>
      <c r="AE71" s="129"/>
      <c r="AF71" s="129"/>
      <c r="AG71" s="120"/>
      <c r="AH71" s="318"/>
    </row>
    <row r="72" spans="1:34" ht="15.75">
      <c r="A72" s="692" t="s">
        <v>252</v>
      </c>
      <c r="B72" s="706"/>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118"/>
      <c r="AA72" s="129">
        <f>SUM(AA70:AA70)</f>
        <v>0</v>
      </c>
      <c r="AB72" s="129">
        <f>SUM(AB70:AB70)</f>
        <v>0</v>
      </c>
      <c r="AC72" s="328">
        <f>SUM(AC69:AC71)</f>
        <v>-97644</v>
      </c>
      <c r="AD72" s="118"/>
      <c r="AE72" s="129"/>
      <c r="AF72" s="129"/>
      <c r="AG72" s="120"/>
      <c r="AH72" s="318" t="s">
        <v>375</v>
      </c>
    </row>
    <row r="73" spans="1:34" ht="15.75">
      <c r="A73" s="694" t="s">
        <v>250</v>
      </c>
      <c r="B73" s="689"/>
      <c r="C73" s="689"/>
      <c r="D73" s="689"/>
      <c r="E73" s="689"/>
      <c r="F73" s="689"/>
      <c r="G73" s="689"/>
      <c r="H73" s="689"/>
      <c r="I73" s="689"/>
      <c r="J73" s="689"/>
      <c r="K73" s="689"/>
      <c r="L73" s="689"/>
      <c r="M73" s="689"/>
      <c r="N73" s="689"/>
      <c r="O73" s="689"/>
      <c r="P73" s="689"/>
      <c r="Q73" s="689"/>
      <c r="R73" s="689"/>
      <c r="S73" s="689"/>
      <c r="T73" s="689"/>
      <c r="U73" s="689"/>
      <c r="V73" s="689"/>
      <c r="W73" s="689"/>
      <c r="X73" s="689"/>
      <c r="Y73" s="689"/>
      <c r="Z73" s="118"/>
      <c r="AA73" s="339">
        <f>SUM(AA67+AA72)</f>
        <v>166</v>
      </c>
      <c r="AB73" s="339">
        <f>SUM(AB67+AB72)</f>
        <v>142</v>
      </c>
      <c r="AC73" s="339">
        <f>SUM(AC67+AC72)</f>
        <v>-66677</v>
      </c>
      <c r="AD73" s="118"/>
      <c r="AE73" s="129">
        <f>SUM(AE68+AE70)</f>
        <v>0</v>
      </c>
      <c r="AF73" s="129">
        <f>SUM(AF68+AF70)</f>
        <v>0</v>
      </c>
      <c r="AG73" s="129">
        <f>SUM(AG68+AG70)</f>
        <v>0</v>
      </c>
      <c r="AH73" s="318" t="s">
        <v>375</v>
      </c>
    </row>
    <row r="74" spans="1:34" ht="15.75">
      <c r="A74" s="787" t="s">
        <v>165</v>
      </c>
      <c r="B74" s="788"/>
      <c r="C74" s="788"/>
      <c r="D74" s="788"/>
      <c r="E74" s="788"/>
      <c r="F74" s="788"/>
      <c r="G74" s="788"/>
      <c r="H74" s="788"/>
      <c r="I74" s="788"/>
      <c r="J74" s="788"/>
      <c r="K74" s="788"/>
      <c r="L74" s="788"/>
      <c r="M74" s="788"/>
      <c r="N74" s="788"/>
      <c r="O74" s="788"/>
      <c r="P74" s="788"/>
      <c r="Q74" s="788"/>
      <c r="R74" s="788"/>
      <c r="S74" s="788"/>
      <c r="T74" s="788"/>
      <c r="U74" s="788"/>
      <c r="V74" s="788"/>
      <c r="W74" s="788"/>
      <c r="X74" s="788"/>
      <c r="Y74" s="788"/>
      <c r="Z74" s="136"/>
      <c r="AA74" s="340">
        <f>AA57+AA73</f>
        <v>863</v>
      </c>
      <c r="AB74" s="340">
        <f>AB57+AB73</f>
        <v>775</v>
      </c>
      <c r="AC74" s="341">
        <f>AC57+AC73</f>
        <v>203872</v>
      </c>
      <c r="AD74" s="136"/>
      <c r="AE74" s="137"/>
      <c r="AF74" s="137"/>
      <c r="AG74" s="135"/>
      <c r="AH74" s="318" t="s">
        <v>375</v>
      </c>
    </row>
    <row r="75" spans="1:34" ht="15.75">
      <c r="A75" s="677" t="s">
        <v>290</v>
      </c>
      <c r="B75" s="671"/>
      <c r="C75" s="671"/>
      <c r="D75" s="671"/>
      <c r="E75" s="671"/>
      <c r="F75" s="671"/>
      <c r="G75" s="671"/>
      <c r="H75" s="671"/>
      <c r="I75" s="671"/>
      <c r="J75" s="671"/>
      <c r="K75" s="671"/>
      <c r="L75" s="671"/>
      <c r="M75" s="671"/>
      <c r="N75" s="671"/>
      <c r="O75" s="671"/>
      <c r="P75" s="671"/>
      <c r="Q75" s="671"/>
      <c r="R75" s="671"/>
      <c r="S75" s="671"/>
      <c r="T75" s="671"/>
      <c r="U75" s="671"/>
      <c r="V75" s="671"/>
      <c r="W75" s="671"/>
      <c r="X75" s="671"/>
      <c r="Y75" s="671"/>
      <c r="Z75" s="136"/>
      <c r="AA75" s="129">
        <v>0</v>
      </c>
      <c r="AB75" s="129">
        <v>0</v>
      </c>
      <c r="AC75" s="686" t="s">
        <v>291</v>
      </c>
      <c r="AD75" s="136"/>
      <c r="AE75" s="137"/>
      <c r="AF75" s="137"/>
      <c r="AG75" s="135"/>
      <c r="AH75" s="318"/>
    </row>
    <row r="76" spans="1:34" ht="15.75">
      <c r="A76" s="787" t="s">
        <v>166</v>
      </c>
      <c r="B76" s="788"/>
      <c r="C76" s="788"/>
      <c r="D76" s="788"/>
      <c r="E76" s="788"/>
      <c r="F76" s="788"/>
      <c r="G76" s="788"/>
      <c r="H76" s="788"/>
      <c r="I76" s="788"/>
      <c r="J76" s="788"/>
      <c r="K76" s="788"/>
      <c r="L76" s="788"/>
      <c r="M76" s="788"/>
      <c r="N76" s="788"/>
      <c r="O76" s="788"/>
      <c r="P76" s="788"/>
      <c r="Q76" s="788"/>
      <c r="R76" s="788"/>
      <c r="S76" s="788"/>
      <c r="T76" s="788"/>
      <c r="U76" s="788"/>
      <c r="V76" s="788"/>
      <c r="W76" s="788"/>
      <c r="X76" s="788"/>
      <c r="Y76" s="788"/>
      <c r="Z76" s="136"/>
      <c r="AA76" s="340">
        <v>863</v>
      </c>
      <c r="AB76" s="340">
        <v>775</v>
      </c>
      <c r="AC76" s="687" t="s">
        <v>292</v>
      </c>
      <c r="AD76" s="136"/>
      <c r="AE76" s="137"/>
      <c r="AF76" s="137"/>
      <c r="AG76" s="135"/>
      <c r="AH76" s="318"/>
    </row>
    <row r="77" spans="1:34" ht="15.75">
      <c r="A77" s="792" t="s">
        <v>120</v>
      </c>
      <c r="B77" s="788"/>
      <c r="C77" s="788"/>
      <c r="D77" s="788"/>
      <c r="E77" s="788"/>
      <c r="F77" s="788"/>
      <c r="G77" s="788"/>
      <c r="H77" s="788"/>
      <c r="I77" s="788"/>
      <c r="J77" s="788"/>
      <c r="K77" s="788"/>
      <c r="L77" s="788"/>
      <c r="M77" s="788"/>
      <c r="N77" s="788"/>
      <c r="O77" s="788"/>
      <c r="P77" s="788"/>
      <c r="Q77" s="788"/>
      <c r="R77" s="788"/>
      <c r="S77" s="788"/>
      <c r="T77" s="788"/>
      <c r="U77" s="788"/>
      <c r="V77" s="788"/>
      <c r="W77" s="788"/>
      <c r="X77" s="788"/>
      <c r="Y77" s="788"/>
      <c r="Z77" s="114"/>
      <c r="AA77" s="337">
        <f>AA74-AA17</f>
        <v>166</v>
      </c>
      <c r="AB77" s="337">
        <f>AB74-AB17</f>
        <v>154</v>
      </c>
      <c r="AC77" s="338">
        <f>AC74-AC21</f>
        <v>-58996</v>
      </c>
      <c r="AD77" s="114"/>
      <c r="AE77" s="131" t="e">
        <f>#REF!-AE17</f>
        <v>#REF!</v>
      </c>
      <c r="AF77" s="131" t="e">
        <f>#REF!-AF17</f>
        <v>#REF!</v>
      </c>
      <c r="AG77" s="111" t="e">
        <f>#REF!-AG17</f>
        <v>#REF!</v>
      </c>
      <c r="AH77" s="318" t="s">
        <v>375</v>
      </c>
    </row>
    <row r="78" ht="15.75">
      <c r="AH78" s="318" t="s">
        <v>375</v>
      </c>
    </row>
    <row r="79" spans="1:34" ht="22.5">
      <c r="A79" s="724"/>
      <c r="B79" s="725"/>
      <c r="C79" s="725"/>
      <c r="D79" s="725"/>
      <c r="E79" s="725"/>
      <c r="F79" s="725"/>
      <c r="G79" s="725"/>
      <c r="H79" s="725"/>
      <c r="I79" s="725"/>
      <c r="J79" s="725"/>
      <c r="K79" s="725"/>
      <c r="L79" s="725"/>
      <c r="M79" s="725"/>
      <c r="N79" s="725"/>
      <c r="O79" s="725"/>
      <c r="P79" s="725"/>
      <c r="Q79" s="725"/>
      <c r="R79" s="725"/>
      <c r="S79" s="725"/>
      <c r="T79" s="725"/>
      <c r="U79" s="725"/>
      <c r="V79" s="725"/>
      <c r="W79" s="725"/>
      <c r="X79" s="725"/>
      <c r="Y79" s="725"/>
      <c r="Z79" s="725"/>
      <c r="AA79" s="725"/>
      <c r="AB79" s="725"/>
      <c r="AC79" s="725"/>
      <c r="AD79" s="12"/>
      <c r="AE79" s="12"/>
      <c r="AF79" s="12"/>
      <c r="AG79" s="12"/>
      <c r="AH79" s="318" t="s">
        <v>375</v>
      </c>
    </row>
    <row r="80" spans="1:34" ht="23.25">
      <c r="A80" s="726" t="s">
        <v>201</v>
      </c>
      <c r="B80" s="722"/>
      <c r="C80" s="722"/>
      <c r="D80" s="722"/>
      <c r="E80" s="722"/>
      <c r="F80" s="722"/>
      <c r="G80" s="722"/>
      <c r="H80" s="722"/>
      <c r="I80" s="722"/>
      <c r="J80" s="722"/>
      <c r="K80" s="722"/>
      <c r="L80" s="722"/>
      <c r="M80" s="722"/>
      <c r="N80" s="722"/>
      <c r="O80" s="722"/>
      <c r="P80" s="722"/>
      <c r="Q80" s="722"/>
      <c r="R80" s="722"/>
      <c r="S80" s="722"/>
      <c r="T80" s="722"/>
      <c r="U80" s="722"/>
      <c r="V80" s="722"/>
      <c r="W80" s="722"/>
      <c r="X80" s="722"/>
      <c r="Y80" s="722"/>
      <c r="Z80" s="722"/>
      <c r="AA80" s="722"/>
      <c r="AB80" s="722"/>
      <c r="AC80" s="722"/>
      <c r="AD80" s="12"/>
      <c r="AE80" s="12"/>
      <c r="AF80" s="12"/>
      <c r="AG80" s="12"/>
      <c r="AH80" s="318" t="s">
        <v>375</v>
      </c>
    </row>
    <row r="81" spans="1:34" ht="23.25">
      <c r="A81" s="726" t="s">
        <v>380</v>
      </c>
      <c r="B81" s="725"/>
      <c r="C81" s="725"/>
      <c r="D81" s="725"/>
      <c r="E81" s="725"/>
      <c r="F81" s="725"/>
      <c r="G81" s="725"/>
      <c r="H81" s="725"/>
      <c r="I81" s="725"/>
      <c r="J81" s="725"/>
      <c r="K81" s="725"/>
      <c r="L81" s="725"/>
      <c r="M81" s="725"/>
      <c r="N81" s="725"/>
      <c r="O81" s="725"/>
      <c r="P81" s="725"/>
      <c r="Q81" s="725"/>
      <c r="R81" s="725"/>
      <c r="S81" s="725"/>
      <c r="T81" s="725"/>
      <c r="U81" s="725"/>
      <c r="V81" s="725"/>
      <c r="W81" s="725"/>
      <c r="X81" s="725"/>
      <c r="Y81" s="725"/>
      <c r="Z81" s="725"/>
      <c r="AA81" s="725"/>
      <c r="AB81" s="725"/>
      <c r="AC81" s="725"/>
      <c r="AD81" s="12"/>
      <c r="AE81" s="12"/>
      <c r="AF81" s="12"/>
      <c r="AG81" s="12"/>
      <c r="AH81" s="318" t="s">
        <v>375</v>
      </c>
    </row>
    <row r="82" spans="1:34" ht="23.25">
      <c r="A82" s="726" t="s">
        <v>332</v>
      </c>
      <c r="B82" s="722"/>
      <c r="C82" s="722"/>
      <c r="D82" s="722"/>
      <c r="E82" s="722"/>
      <c r="F82" s="722"/>
      <c r="G82" s="722"/>
      <c r="H82" s="722"/>
      <c r="I82" s="722"/>
      <c r="J82" s="722"/>
      <c r="K82" s="722"/>
      <c r="L82" s="722"/>
      <c r="M82" s="722"/>
      <c r="N82" s="722"/>
      <c r="O82" s="722"/>
      <c r="P82" s="722"/>
      <c r="Q82" s="722"/>
      <c r="R82" s="722"/>
      <c r="S82" s="722"/>
      <c r="T82" s="722"/>
      <c r="U82" s="722"/>
      <c r="V82" s="722"/>
      <c r="W82" s="722"/>
      <c r="X82" s="722"/>
      <c r="Y82" s="722"/>
      <c r="Z82" s="722"/>
      <c r="AA82" s="722"/>
      <c r="AB82" s="722"/>
      <c r="AC82" s="722"/>
      <c r="AD82" s="12"/>
      <c r="AE82" s="12"/>
      <c r="AF82" s="12"/>
      <c r="AG82" s="12"/>
      <c r="AH82" s="318" t="s">
        <v>375</v>
      </c>
    </row>
    <row r="83" ht="15.75">
      <c r="AH83" s="318" t="s">
        <v>375</v>
      </c>
    </row>
    <row r="84" spans="10:34" ht="15.75">
      <c r="J84" s="653"/>
      <c r="AH84" s="318" t="s">
        <v>375</v>
      </c>
    </row>
    <row r="85" ht="15.75">
      <c r="AH85" s="318" t="s">
        <v>375</v>
      </c>
    </row>
    <row r="86" ht="18" customHeight="1">
      <c r="AH86" s="318" t="s">
        <v>375</v>
      </c>
    </row>
    <row r="87" spans="1:34" ht="18" customHeight="1">
      <c r="A87" s="243"/>
      <c r="B87" s="243"/>
      <c r="C87" s="243"/>
      <c r="D87" s="243"/>
      <c r="E87" s="243"/>
      <c r="F87" s="243"/>
      <c r="G87" s="243"/>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318" t="s">
        <v>375</v>
      </c>
    </row>
    <row r="88" spans="1:34" ht="18" customHeight="1">
      <c r="A88" s="778" t="s">
        <v>354</v>
      </c>
      <c r="B88" s="779"/>
      <c r="C88" s="779"/>
      <c r="D88" s="779"/>
      <c r="E88" s="779"/>
      <c r="F88" s="779"/>
      <c r="G88" s="780"/>
      <c r="H88" s="766" t="s">
        <v>48</v>
      </c>
      <c r="I88" s="767"/>
      <c r="J88" s="768"/>
      <c r="K88" s="772" t="s">
        <v>297</v>
      </c>
      <c r="L88" s="773"/>
      <c r="M88" s="774"/>
      <c r="N88" s="766" t="s">
        <v>49</v>
      </c>
      <c r="O88" s="767"/>
      <c r="P88" s="768"/>
      <c r="Q88" s="766" t="s">
        <v>119</v>
      </c>
      <c r="R88" s="767"/>
      <c r="S88" s="768"/>
      <c r="T88" s="766" t="s">
        <v>50</v>
      </c>
      <c r="U88" s="789"/>
      <c r="V88" s="789"/>
      <c r="W88" s="766" t="s">
        <v>51</v>
      </c>
      <c r="X88" s="767"/>
      <c r="Y88" s="767"/>
      <c r="Z88" s="290"/>
      <c r="AA88" s="766" t="s">
        <v>127</v>
      </c>
      <c r="AB88" s="767"/>
      <c r="AC88" s="768"/>
      <c r="AD88" s="185"/>
      <c r="AE88" s="183" t="s">
        <v>270</v>
      </c>
      <c r="AF88" s="184"/>
      <c r="AG88" s="186"/>
      <c r="AH88" s="318" t="s">
        <v>375</v>
      </c>
    </row>
    <row r="89" spans="1:34" ht="28.5" customHeight="1">
      <c r="A89" s="781"/>
      <c r="B89" s="782"/>
      <c r="C89" s="782"/>
      <c r="D89" s="782"/>
      <c r="E89" s="782"/>
      <c r="F89" s="782"/>
      <c r="G89" s="783"/>
      <c r="H89" s="769"/>
      <c r="I89" s="770"/>
      <c r="J89" s="771"/>
      <c r="K89" s="775"/>
      <c r="L89" s="776"/>
      <c r="M89" s="777"/>
      <c r="N89" s="769"/>
      <c r="O89" s="770"/>
      <c r="P89" s="771"/>
      <c r="Q89" s="769"/>
      <c r="R89" s="770"/>
      <c r="S89" s="771"/>
      <c r="T89" s="790"/>
      <c r="U89" s="791"/>
      <c r="V89" s="791"/>
      <c r="W89" s="769"/>
      <c r="X89" s="770"/>
      <c r="Y89" s="770"/>
      <c r="Z89" s="291"/>
      <c r="AA89" s="769"/>
      <c r="AB89" s="770"/>
      <c r="AC89" s="771"/>
      <c r="AD89" s="190"/>
      <c r="AE89" s="188" t="s">
        <v>359</v>
      </c>
      <c r="AF89" s="189"/>
      <c r="AG89" s="191"/>
      <c r="AH89" s="318" t="s">
        <v>375</v>
      </c>
    </row>
    <row r="90" spans="1:34" ht="18" customHeight="1" thickBot="1">
      <c r="A90" s="784"/>
      <c r="B90" s="785"/>
      <c r="C90" s="785"/>
      <c r="D90" s="785"/>
      <c r="E90" s="785"/>
      <c r="F90" s="785"/>
      <c r="G90" s="786"/>
      <c r="H90" s="192" t="s">
        <v>355</v>
      </c>
      <c r="I90" s="193" t="s">
        <v>174</v>
      </c>
      <c r="J90" s="194" t="s">
        <v>357</v>
      </c>
      <c r="K90" s="192" t="s">
        <v>355</v>
      </c>
      <c r="L90" s="193" t="s">
        <v>174</v>
      </c>
      <c r="M90" s="194" t="s">
        <v>357</v>
      </c>
      <c r="N90" s="192" t="s">
        <v>355</v>
      </c>
      <c r="O90" s="193" t="s">
        <v>174</v>
      </c>
      <c r="P90" s="194" t="s">
        <v>357</v>
      </c>
      <c r="Q90" s="192" t="s">
        <v>355</v>
      </c>
      <c r="R90" s="193" t="s">
        <v>174</v>
      </c>
      <c r="S90" s="194" t="s">
        <v>357</v>
      </c>
      <c r="T90" s="192" t="s">
        <v>355</v>
      </c>
      <c r="U90" s="193" t="s">
        <v>174</v>
      </c>
      <c r="V90" s="194" t="s">
        <v>357</v>
      </c>
      <c r="W90" s="192" t="s">
        <v>355</v>
      </c>
      <c r="X90" s="193" t="s">
        <v>174</v>
      </c>
      <c r="Y90" s="194" t="s">
        <v>357</v>
      </c>
      <c r="Z90" s="195"/>
      <c r="AA90" s="192" t="s">
        <v>355</v>
      </c>
      <c r="AB90" s="193" t="s">
        <v>174</v>
      </c>
      <c r="AC90" s="196" t="s">
        <v>357</v>
      </c>
      <c r="AD90" s="195"/>
      <c r="AE90" s="192" t="s">
        <v>355</v>
      </c>
      <c r="AF90" s="193" t="s">
        <v>174</v>
      </c>
      <c r="AG90" s="196" t="s">
        <v>357</v>
      </c>
      <c r="AH90" s="318" t="s">
        <v>375</v>
      </c>
    </row>
    <row r="91" spans="1:34" ht="18" customHeight="1">
      <c r="A91" s="746" t="s">
        <v>100</v>
      </c>
      <c r="B91" s="747"/>
      <c r="C91" s="747"/>
      <c r="D91" s="747"/>
      <c r="E91" s="747"/>
      <c r="F91" s="747"/>
      <c r="G91" s="748"/>
      <c r="H91" s="198">
        <v>0</v>
      </c>
      <c r="I91" s="199">
        <v>0</v>
      </c>
      <c r="J91" s="577">
        <v>54298</v>
      </c>
      <c r="K91" s="198">
        <v>0</v>
      </c>
      <c r="L91" s="199">
        <v>0</v>
      </c>
      <c r="M91" s="577">
        <v>37000</v>
      </c>
      <c r="N91" s="198">
        <v>0</v>
      </c>
      <c r="O91" s="199">
        <v>0</v>
      </c>
      <c r="P91" s="577">
        <v>0</v>
      </c>
      <c r="Q91" s="198">
        <v>0</v>
      </c>
      <c r="R91" s="199">
        <v>0</v>
      </c>
      <c r="S91" s="577">
        <f>P91+M91</f>
        <v>37000</v>
      </c>
      <c r="T91" s="198">
        <v>0</v>
      </c>
      <c r="U91" s="199">
        <v>0</v>
      </c>
      <c r="V91" s="577">
        <v>0</v>
      </c>
      <c r="W91" s="198">
        <v>0</v>
      </c>
      <c r="X91" s="199">
        <v>0</v>
      </c>
      <c r="Y91" s="577">
        <f>-37000+34700</f>
        <v>-2300</v>
      </c>
      <c r="Z91" s="388"/>
      <c r="AA91" s="198">
        <v>0</v>
      </c>
      <c r="AB91" s="199">
        <v>0</v>
      </c>
      <c r="AC91" s="576">
        <f aca="true" t="shared" si="0" ref="AC91:AC96">V91+S91+Y91</f>
        <v>34700</v>
      </c>
      <c r="AD91" s="199"/>
      <c r="AE91" s="198">
        <f>AA91-K91</f>
        <v>0</v>
      </c>
      <c r="AF91" s="199">
        <f>AB91-L91</f>
        <v>0</v>
      </c>
      <c r="AG91" s="200">
        <f>AC91-M91</f>
        <v>-2300</v>
      </c>
      <c r="AH91" s="318" t="s">
        <v>375</v>
      </c>
    </row>
    <row r="92" spans="1:34" ht="18" customHeight="1">
      <c r="A92" s="749" t="s">
        <v>101</v>
      </c>
      <c r="B92" s="750"/>
      <c r="C92" s="750"/>
      <c r="D92" s="750"/>
      <c r="E92" s="750"/>
      <c r="F92" s="750"/>
      <c r="G92" s="751"/>
      <c r="H92" s="198">
        <v>0</v>
      </c>
      <c r="I92" s="199">
        <v>0</v>
      </c>
      <c r="J92" s="388">
        <v>34553</v>
      </c>
      <c r="K92" s="198">
        <v>0</v>
      </c>
      <c r="L92" s="199">
        <v>0</v>
      </c>
      <c r="M92" s="388">
        <v>34780</v>
      </c>
      <c r="N92" s="198">
        <v>0</v>
      </c>
      <c r="O92" s="199">
        <v>0</v>
      </c>
      <c r="P92" s="388">
        <v>0</v>
      </c>
      <c r="Q92" s="198">
        <v>0</v>
      </c>
      <c r="R92" s="199">
        <v>0</v>
      </c>
      <c r="S92" s="388">
        <f aca="true" t="shared" si="1" ref="S92:S101">P92+M92</f>
        <v>34780</v>
      </c>
      <c r="T92" s="198">
        <v>0</v>
      </c>
      <c r="U92" s="199">
        <v>0</v>
      </c>
      <c r="V92" s="388">
        <f>18220</f>
        <v>18220</v>
      </c>
      <c r="W92" s="198">
        <v>0</v>
      </c>
      <c r="X92" s="199">
        <v>0</v>
      </c>
      <c r="Y92" s="388">
        <v>0</v>
      </c>
      <c r="Z92" s="388"/>
      <c r="AA92" s="198">
        <v>0</v>
      </c>
      <c r="AB92" s="199">
        <v>0</v>
      </c>
      <c r="AC92" s="389">
        <f t="shared" si="0"/>
        <v>53000</v>
      </c>
      <c r="AD92" s="199"/>
      <c r="AE92" s="198"/>
      <c r="AF92" s="199"/>
      <c r="AG92" s="200"/>
      <c r="AH92" s="318"/>
    </row>
    <row r="93" spans="1:35" ht="18" customHeight="1">
      <c r="A93" s="749" t="s">
        <v>102</v>
      </c>
      <c r="B93" s="750"/>
      <c r="C93" s="750"/>
      <c r="D93" s="750"/>
      <c r="E93" s="750"/>
      <c r="F93" s="750"/>
      <c r="G93" s="751"/>
      <c r="H93" s="198">
        <v>0</v>
      </c>
      <c r="I93" s="199">
        <v>0</v>
      </c>
      <c r="J93" s="388">
        <v>8885</v>
      </c>
      <c r="K93" s="198">
        <v>0</v>
      </c>
      <c r="L93" s="199">
        <v>0</v>
      </c>
      <c r="M93" s="388">
        <v>9400</v>
      </c>
      <c r="N93" s="198">
        <v>0</v>
      </c>
      <c r="O93" s="199">
        <v>0</v>
      </c>
      <c r="P93" s="388">
        <v>0</v>
      </c>
      <c r="Q93" s="198">
        <v>0</v>
      </c>
      <c r="R93" s="199">
        <v>0</v>
      </c>
      <c r="S93" s="388">
        <f t="shared" si="1"/>
        <v>9400</v>
      </c>
      <c r="T93" s="198">
        <v>0</v>
      </c>
      <c r="U93" s="199">
        <v>0</v>
      </c>
      <c r="V93" s="388">
        <v>0</v>
      </c>
      <c r="W93" s="198">
        <v>0</v>
      </c>
      <c r="X93" s="199">
        <v>0</v>
      </c>
      <c r="Y93" s="388">
        <v>-9400</v>
      </c>
      <c r="Z93" s="388"/>
      <c r="AA93" s="198">
        <v>0</v>
      </c>
      <c r="AB93" s="199">
        <v>0</v>
      </c>
      <c r="AC93" s="389">
        <f t="shared" si="0"/>
        <v>0</v>
      </c>
      <c r="AD93" s="199"/>
      <c r="AE93" s="198"/>
      <c r="AF93" s="199"/>
      <c r="AG93" s="200"/>
      <c r="AH93" s="318"/>
      <c r="AI93" s="653"/>
    </row>
    <row r="94" spans="1:34" ht="18" customHeight="1">
      <c r="A94" s="749" t="s">
        <v>106</v>
      </c>
      <c r="B94" s="750"/>
      <c r="C94" s="750"/>
      <c r="D94" s="750"/>
      <c r="E94" s="750"/>
      <c r="F94" s="750"/>
      <c r="G94" s="751"/>
      <c r="H94" s="198">
        <v>0</v>
      </c>
      <c r="I94" s="199">
        <v>0</v>
      </c>
      <c r="J94" s="388">
        <v>39719</v>
      </c>
      <c r="K94" s="198">
        <v>0</v>
      </c>
      <c r="L94" s="199">
        <v>0</v>
      </c>
      <c r="M94" s="388">
        <v>40000</v>
      </c>
      <c r="N94" s="198">
        <v>0</v>
      </c>
      <c r="O94" s="199">
        <v>0</v>
      </c>
      <c r="P94" s="388">
        <v>0</v>
      </c>
      <c r="Q94" s="198">
        <v>0</v>
      </c>
      <c r="R94" s="199">
        <v>0</v>
      </c>
      <c r="S94" s="388">
        <f t="shared" si="1"/>
        <v>40000</v>
      </c>
      <c r="T94" s="198">
        <v>0</v>
      </c>
      <c r="U94" s="199">
        <v>0</v>
      </c>
      <c r="V94" s="388">
        <v>0</v>
      </c>
      <c r="W94" s="198">
        <v>0</v>
      </c>
      <c r="X94" s="199">
        <v>0</v>
      </c>
      <c r="Y94" s="388">
        <v>-5800</v>
      </c>
      <c r="Z94" s="388"/>
      <c r="AA94" s="198">
        <v>0</v>
      </c>
      <c r="AB94" s="199">
        <v>0</v>
      </c>
      <c r="AC94" s="389">
        <f t="shared" si="0"/>
        <v>34200</v>
      </c>
      <c r="AD94" s="199"/>
      <c r="AE94" s="198"/>
      <c r="AF94" s="199"/>
      <c r="AG94" s="200"/>
      <c r="AH94" s="318"/>
    </row>
    <row r="95" spans="1:34" ht="18" customHeight="1">
      <c r="A95" s="749" t="s">
        <v>103</v>
      </c>
      <c r="B95" s="750"/>
      <c r="C95" s="750"/>
      <c r="D95" s="750"/>
      <c r="E95" s="750"/>
      <c r="F95" s="750"/>
      <c r="G95" s="751"/>
      <c r="H95" s="198">
        <v>0</v>
      </c>
      <c r="I95" s="199">
        <v>0</v>
      </c>
      <c r="J95" s="388">
        <v>47387</v>
      </c>
      <c r="K95" s="198">
        <v>0</v>
      </c>
      <c r="L95" s="199">
        <v>0</v>
      </c>
      <c r="M95" s="388">
        <v>50000</v>
      </c>
      <c r="N95" s="198">
        <v>0</v>
      </c>
      <c r="O95" s="199">
        <v>0</v>
      </c>
      <c r="P95" s="388">
        <v>0</v>
      </c>
      <c r="Q95" s="198">
        <v>0</v>
      </c>
      <c r="R95" s="199">
        <v>0</v>
      </c>
      <c r="S95" s="388">
        <f t="shared" si="1"/>
        <v>50000</v>
      </c>
      <c r="T95" s="198">
        <v>0</v>
      </c>
      <c r="U95" s="199">
        <v>0</v>
      </c>
      <c r="V95" s="388">
        <v>0</v>
      </c>
      <c r="W95" s="198">
        <v>0</v>
      </c>
      <c r="X95" s="199">
        <v>0</v>
      </c>
      <c r="Y95" s="388">
        <v>-50000</v>
      </c>
      <c r="Z95" s="388"/>
      <c r="AA95" s="198">
        <v>0</v>
      </c>
      <c r="AB95" s="199">
        <v>0</v>
      </c>
      <c r="AC95" s="389">
        <f t="shared" si="0"/>
        <v>0</v>
      </c>
      <c r="AD95" s="199"/>
      <c r="AE95" s="198"/>
      <c r="AF95" s="199"/>
      <c r="AG95" s="200"/>
      <c r="AH95" s="318"/>
    </row>
    <row r="96" spans="1:34" ht="18" customHeight="1">
      <c r="A96" s="749" t="s">
        <v>104</v>
      </c>
      <c r="B96" s="750"/>
      <c r="C96" s="750"/>
      <c r="D96" s="750"/>
      <c r="E96" s="750"/>
      <c r="F96" s="750"/>
      <c r="G96" s="751"/>
      <c r="H96" s="198">
        <v>0</v>
      </c>
      <c r="I96" s="199">
        <v>0</v>
      </c>
      <c r="J96" s="388">
        <v>0</v>
      </c>
      <c r="K96" s="198">
        <v>0</v>
      </c>
      <c r="L96" s="199">
        <v>0</v>
      </c>
      <c r="M96" s="388">
        <v>11280</v>
      </c>
      <c r="N96" s="198">
        <v>0</v>
      </c>
      <c r="O96" s="199">
        <v>0</v>
      </c>
      <c r="P96" s="388">
        <v>0</v>
      </c>
      <c r="Q96" s="198">
        <v>0</v>
      </c>
      <c r="R96" s="199">
        <v>0</v>
      </c>
      <c r="S96" s="388">
        <f t="shared" si="1"/>
        <v>11280</v>
      </c>
      <c r="T96" s="198">
        <v>0</v>
      </c>
      <c r="U96" s="199">
        <v>0</v>
      </c>
      <c r="V96" s="388">
        <v>0</v>
      </c>
      <c r="W96" s="198">
        <v>0</v>
      </c>
      <c r="X96" s="199">
        <v>0</v>
      </c>
      <c r="Y96" s="388">
        <v>-11280</v>
      </c>
      <c r="Z96" s="388"/>
      <c r="AA96" s="198">
        <v>0</v>
      </c>
      <c r="AB96" s="199">
        <v>0</v>
      </c>
      <c r="AC96" s="389">
        <f t="shared" si="0"/>
        <v>0</v>
      </c>
      <c r="AD96" s="199"/>
      <c r="AE96" s="198"/>
      <c r="AF96" s="199"/>
      <c r="AG96" s="200"/>
      <c r="AH96" s="318"/>
    </row>
    <row r="97" spans="1:34" ht="18" customHeight="1">
      <c r="A97" s="749" t="s">
        <v>199</v>
      </c>
      <c r="B97" s="750"/>
      <c r="C97" s="750"/>
      <c r="D97" s="750"/>
      <c r="E97" s="750"/>
      <c r="F97" s="750"/>
      <c r="G97" s="751"/>
      <c r="H97" s="198">
        <v>0</v>
      </c>
      <c r="I97" s="199">
        <v>0</v>
      </c>
      <c r="J97" s="388">
        <v>1974</v>
      </c>
      <c r="K97" s="198">
        <v>0</v>
      </c>
      <c r="L97" s="199">
        <v>0</v>
      </c>
      <c r="M97" s="388">
        <v>0</v>
      </c>
      <c r="N97" s="198">
        <v>0</v>
      </c>
      <c r="O97" s="199">
        <v>0</v>
      </c>
      <c r="P97" s="388">
        <v>0</v>
      </c>
      <c r="Q97" s="198">
        <v>0</v>
      </c>
      <c r="R97" s="199">
        <v>0</v>
      </c>
      <c r="S97" s="388">
        <v>0</v>
      </c>
      <c r="T97" s="198">
        <v>0</v>
      </c>
      <c r="U97" s="199">
        <v>0</v>
      </c>
      <c r="V97" s="388">
        <v>0</v>
      </c>
      <c r="W97" s="198">
        <v>0</v>
      </c>
      <c r="X97" s="199">
        <v>0</v>
      </c>
      <c r="Y97" s="388">
        <v>0</v>
      </c>
      <c r="Z97" s="388"/>
      <c r="AA97" s="198">
        <v>0</v>
      </c>
      <c r="AB97" s="199">
        <v>0</v>
      </c>
      <c r="AC97" s="389">
        <v>0</v>
      </c>
      <c r="AD97" s="199"/>
      <c r="AE97" s="198"/>
      <c r="AF97" s="199"/>
      <c r="AG97" s="200"/>
      <c r="AH97" s="318"/>
    </row>
    <row r="98" spans="1:34" ht="18" customHeight="1">
      <c r="A98" s="749" t="s">
        <v>105</v>
      </c>
      <c r="B98" s="750"/>
      <c r="C98" s="750"/>
      <c r="D98" s="750"/>
      <c r="E98" s="750"/>
      <c r="F98" s="750"/>
      <c r="G98" s="751"/>
      <c r="H98" s="198">
        <v>0</v>
      </c>
      <c r="I98" s="199">
        <v>0</v>
      </c>
      <c r="J98" s="388">
        <v>0</v>
      </c>
      <c r="K98" s="198">
        <v>0</v>
      </c>
      <c r="L98" s="199">
        <v>0</v>
      </c>
      <c r="M98" s="388">
        <v>2820</v>
      </c>
      <c r="N98" s="198">
        <v>0</v>
      </c>
      <c r="O98" s="199">
        <v>0</v>
      </c>
      <c r="P98" s="388">
        <v>0</v>
      </c>
      <c r="Q98" s="198">
        <v>0</v>
      </c>
      <c r="R98" s="199">
        <v>0</v>
      </c>
      <c r="S98" s="388">
        <f t="shared" si="1"/>
        <v>2820</v>
      </c>
      <c r="T98" s="198">
        <v>0</v>
      </c>
      <c r="U98" s="199">
        <v>0</v>
      </c>
      <c r="V98" s="388">
        <v>0</v>
      </c>
      <c r="W98" s="198">
        <v>0</v>
      </c>
      <c r="X98" s="199">
        <v>0</v>
      </c>
      <c r="Y98" s="388">
        <v>-2820</v>
      </c>
      <c r="Z98" s="388"/>
      <c r="AA98" s="198">
        <v>0</v>
      </c>
      <c r="AB98" s="199">
        <v>0</v>
      </c>
      <c r="AC98" s="389">
        <f>V98+S98+Y98</f>
        <v>0</v>
      </c>
      <c r="AD98" s="199"/>
      <c r="AE98" s="198">
        <f aca="true" t="shared" si="2" ref="AE98:AG99">AA98-K98</f>
        <v>0</v>
      </c>
      <c r="AF98" s="199">
        <f t="shared" si="2"/>
        <v>0</v>
      </c>
      <c r="AG98" s="201">
        <f t="shared" si="2"/>
        <v>-2820</v>
      </c>
      <c r="AH98" s="318" t="s">
        <v>375</v>
      </c>
    </row>
    <row r="99" spans="1:34" ht="18" customHeight="1">
      <c r="A99" s="749" t="s">
        <v>196</v>
      </c>
      <c r="B99" s="750"/>
      <c r="C99" s="750"/>
      <c r="D99" s="750"/>
      <c r="E99" s="750"/>
      <c r="F99" s="750"/>
      <c r="G99" s="751"/>
      <c r="H99" s="198">
        <v>0</v>
      </c>
      <c r="I99" s="199">
        <v>0</v>
      </c>
      <c r="J99" s="388">
        <v>8885</v>
      </c>
      <c r="K99" s="198">
        <v>0</v>
      </c>
      <c r="L99" s="199">
        <v>0</v>
      </c>
      <c r="M99" s="388">
        <v>0</v>
      </c>
      <c r="N99" s="198">
        <v>0</v>
      </c>
      <c r="O99" s="199">
        <v>0</v>
      </c>
      <c r="P99" s="388">
        <v>0</v>
      </c>
      <c r="Q99" s="198">
        <v>0</v>
      </c>
      <c r="R99" s="199">
        <v>0</v>
      </c>
      <c r="S99" s="388">
        <f t="shared" si="1"/>
        <v>0</v>
      </c>
      <c r="T99" s="198">
        <v>0</v>
      </c>
      <c r="U99" s="199">
        <v>0</v>
      </c>
      <c r="V99" s="388">
        <v>0</v>
      </c>
      <c r="W99" s="198">
        <v>0</v>
      </c>
      <c r="X99" s="199">
        <v>0</v>
      </c>
      <c r="Y99" s="388">
        <v>0</v>
      </c>
      <c r="Z99" s="388"/>
      <c r="AA99" s="198">
        <v>0</v>
      </c>
      <c r="AB99" s="199">
        <v>0</v>
      </c>
      <c r="AC99" s="389">
        <f>V99+S99</f>
        <v>0</v>
      </c>
      <c r="AD99" s="199"/>
      <c r="AE99" s="198">
        <f t="shared" si="2"/>
        <v>0</v>
      </c>
      <c r="AF99" s="199">
        <f t="shared" si="2"/>
        <v>0</v>
      </c>
      <c r="AG99" s="201">
        <f t="shared" si="2"/>
        <v>0</v>
      </c>
      <c r="AH99" s="318" t="s">
        <v>375</v>
      </c>
    </row>
    <row r="100" spans="1:34" ht="18" customHeight="1">
      <c r="A100" s="421" t="s">
        <v>73</v>
      </c>
      <c r="B100" s="422"/>
      <c r="C100" s="422"/>
      <c r="D100" s="422"/>
      <c r="E100" s="422"/>
      <c r="F100" s="422"/>
      <c r="G100" s="500"/>
      <c r="H100" s="198">
        <v>0</v>
      </c>
      <c r="I100" s="199">
        <v>0</v>
      </c>
      <c r="J100" s="388">
        <v>0</v>
      </c>
      <c r="K100" s="198">
        <v>0</v>
      </c>
      <c r="L100" s="199">
        <v>0</v>
      </c>
      <c r="M100" s="388">
        <v>0</v>
      </c>
      <c r="N100" s="198">
        <v>0</v>
      </c>
      <c r="O100" s="199">
        <v>0</v>
      </c>
      <c r="P100" s="388">
        <v>0</v>
      </c>
      <c r="Q100" s="198">
        <v>0</v>
      </c>
      <c r="R100" s="199">
        <v>0</v>
      </c>
      <c r="S100" s="388">
        <v>0</v>
      </c>
      <c r="T100" s="198"/>
      <c r="U100" s="199"/>
      <c r="V100" s="388">
        <v>12747</v>
      </c>
      <c r="W100" s="198">
        <v>0</v>
      </c>
      <c r="X100" s="199">
        <v>0</v>
      </c>
      <c r="Y100" s="388">
        <v>0</v>
      </c>
      <c r="Z100" s="388"/>
      <c r="AA100" s="198">
        <v>0</v>
      </c>
      <c r="AB100" s="199">
        <v>0</v>
      </c>
      <c r="AC100" s="389">
        <f>V100+S100</f>
        <v>12747</v>
      </c>
      <c r="AD100" s="199"/>
      <c r="AE100" s="198"/>
      <c r="AF100" s="199"/>
      <c r="AG100" s="201"/>
      <c r="AH100" s="318"/>
    </row>
    <row r="101" spans="1:34" ht="18" customHeight="1">
      <c r="A101" s="749" t="s">
        <v>30</v>
      </c>
      <c r="B101" s="750"/>
      <c r="C101" s="750"/>
      <c r="D101" s="750"/>
      <c r="E101" s="750"/>
      <c r="F101" s="750"/>
      <c r="G101" s="751"/>
      <c r="H101" s="390">
        <v>672</v>
      </c>
      <c r="I101" s="391">
        <v>660</v>
      </c>
      <c r="J101" s="391">
        <f>42639+66077</f>
        <v>108716</v>
      </c>
      <c r="K101" s="390">
        <v>697</v>
      </c>
      <c r="L101" s="391">
        <v>621</v>
      </c>
      <c r="M101" s="391">
        <f>10904+15057+51627</f>
        <v>77588</v>
      </c>
      <c r="N101" s="579">
        <v>0</v>
      </c>
      <c r="O101" s="391">
        <v>12</v>
      </c>
      <c r="P101" s="391">
        <v>7681</v>
      </c>
      <c r="Q101" s="390">
        <v>697</v>
      </c>
      <c r="R101" s="391">
        <v>633</v>
      </c>
      <c r="S101" s="391">
        <f t="shared" si="1"/>
        <v>85269</v>
      </c>
      <c r="T101" s="390">
        <v>166</v>
      </c>
      <c r="U101" s="391">
        <v>142</v>
      </c>
      <c r="V101" s="391">
        <v>0</v>
      </c>
      <c r="W101" s="579">
        <v>0</v>
      </c>
      <c r="X101" s="580">
        <v>0</v>
      </c>
      <c r="Y101" s="391">
        <f>-10904-5140</f>
        <v>-16044</v>
      </c>
      <c r="Z101" s="391"/>
      <c r="AA101" s="390">
        <f>T101+Q101+W101</f>
        <v>863</v>
      </c>
      <c r="AB101" s="391">
        <f>+R101+U101+X101</f>
        <v>775</v>
      </c>
      <c r="AC101" s="578">
        <f>V101+S101+Y101</f>
        <v>69225</v>
      </c>
      <c r="AD101" s="190"/>
      <c r="AE101" s="203">
        <f>AA101-K101</f>
        <v>166</v>
      </c>
      <c r="AF101" s="190">
        <f>AB101-L101</f>
        <v>154</v>
      </c>
      <c r="AG101" s="204">
        <f>AC101-M101</f>
        <v>-8363</v>
      </c>
      <c r="AH101" s="318" t="s">
        <v>375</v>
      </c>
    </row>
    <row r="102" spans="1:34" ht="18" customHeight="1">
      <c r="A102" s="759" t="s">
        <v>206</v>
      </c>
      <c r="B102" s="760"/>
      <c r="C102" s="760"/>
      <c r="D102" s="760"/>
      <c r="E102" s="760"/>
      <c r="F102" s="760"/>
      <c r="G102" s="761"/>
      <c r="H102" s="342">
        <f>SUM(H91:H101)</f>
        <v>672</v>
      </c>
      <c r="I102" s="206">
        <f aca="true" t="shared" si="3" ref="I102:X102">SUM(I91:I101)</f>
        <v>660</v>
      </c>
      <c r="J102" s="386">
        <f t="shared" si="3"/>
        <v>304417</v>
      </c>
      <c r="K102" s="393">
        <f t="shared" si="3"/>
        <v>697</v>
      </c>
      <c r="L102" s="394">
        <f t="shared" si="3"/>
        <v>621</v>
      </c>
      <c r="M102" s="386">
        <f t="shared" si="3"/>
        <v>262868</v>
      </c>
      <c r="N102" s="393">
        <f t="shared" si="3"/>
        <v>0</v>
      </c>
      <c r="O102" s="394">
        <f t="shared" si="3"/>
        <v>12</v>
      </c>
      <c r="P102" s="386">
        <f t="shared" si="3"/>
        <v>7681</v>
      </c>
      <c r="Q102" s="393">
        <f t="shared" si="3"/>
        <v>697</v>
      </c>
      <c r="R102" s="394">
        <f t="shared" si="3"/>
        <v>633</v>
      </c>
      <c r="S102" s="386">
        <f t="shared" si="3"/>
        <v>270549</v>
      </c>
      <c r="T102" s="393">
        <f t="shared" si="3"/>
        <v>166</v>
      </c>
      <c r="U102" s="394">
        <f t="shared" si="3"/>
        <v>142</v>
      </c>
      <c r="V102" s="386">
        <f t="shared" si="3"/>
        <v>30967</v>
      </c>
      <c r="W102" s="393">
        <f t="shared" si="3"/>
        <v>0</v>
      </c>
      <c r="X102" s="394">
        <f t="shared" si="3"/>
        <v>0</v>
      </c>
      <c r="Y102" s="386">
        <f>SUM(Y91:Y101)</f>
        <v>-97644</v>
      </c>
      <c r="Z102" s="206"/>
      <c r="AA102" s="393">
        <f>SUM(AA91:AA101)</f>
        <v>863</v>
      </c>
      <c r="AB102" s="394">
        <f>SUM(AB91:AB101)</f>
        <v>775</v>
      </c>
      <c r="AC102" s="396">
        <f>SUM(AC91:AC101)</f>
        <v>203872</v>
      </c>
      <c r="AD102" s="208"/>
      <c r="AE102" s="207">
        <f>SUM(AE91:AE101)</f>
        <v>166</v>
      </c>
      <c r="AF102" s="208">
        <f>SUM(AF91:AF101)</f>
        <v>154</v>
      </c>
      <c r="AG102" s="209">
        <f>SUM(AG91:AG101)</f>
        <v>-13483</v>
      </c>
      <c r="AH102" s="318" t="s">
        <v>375</v>
      </c>
    </row>
    <row r="103" spans="1:34" ht="18" customHeight="1">
      <c r="A103" s="737" t="s">
        <v>203</v>
      </c>
      <c r="B103" s="738"/>
      <c r="C103" s="738"/>
      <c r="D103" s="738"/>
      <c r="E103" s="738"/>
      <c r="F103" s="738"/>
      <c r="G103" s="739"/>
      <c r="H103" s="199">
        <v>0</v>
      </c>
      <c r="I103" s="199">
        <v>0</v>
      </c>
      <c r="J103" s="388">
        <v>-6000</v>
      </c>
      <c r="K103" s="198">
        <v>0</v>
      </c>
      <c r="L103" s="199">
        <v>0</v>
      </c>
      <c r="M103" s="388">
        <v>0</v>
      </c>
      <c r="N103" s="198">
        <v>0</v>
      </c>
      <c r="O103" s="199">
        <v>0</v>
      </c>
      <c r="P103" s="388">
        <v>0</v>
      </c>
      <c r="Q103" s="198">
        <v>0</v>
      </c>
      <c r="R103" s="199">
        <v>0</v>
      </c>
      <c r="S103" s="388">
        <v>0</v>
      </c>
      <c r="T103" s="198">
        <v>0</v>
      </c>
      <c r="U103" s="199">
        <v>0</v>
      </c>
      <c r="V103" s="388">
        <v>0</v>
      </c>
      <c r="W103" s="198">
        <v>0</v>
      </c>
      <c r="X103" s="199">
        <v>0</v>
      </c>
      <c r="Y103" s="388">
        <v>0</v>
      </c>
      <c r="Z103" s="388"/>
      <c r="AA103" s="198">
        <v>0</v>
      </c>
      <c r="AB103" s="199">
        <v>0</v>
      </c>
      <c r="AC103" s="389">
        <v>0</v>
      </c>
      <c r="AD103" s="509"/>
      <c r="AE103" s="510"/>
      <c r="AF103" s="509"/>
      <c r="AG103" s="511"/>
      <c r="AH103" s="318"/>
    </row>
    <row r="104" spans="1:34" ht="18" customHeight="1">
      <c r="A104" s="752" t="s">
        <v>207</v>
      </c>
      <c r="B104" s="703"/>
      <c r="C104" s="703"/>
      <c r="D104" s="703"/>
      <c r="E104" s="703"/>
      <c r="F104" s="703"/>
      <c r="G104" s="704"/>
      <c r="H104" s="680">
        <f>SUM(H102)</f>
        <v>672</v>
      </c>
      <c r="I104" s="681">
        <f>SUM(I102)</f>
        <v>660</v>
      </c>
      <c r="J104" s="682">
        <f>J102+J103</f>
        <v>298417</v>
      </c>
      <c r="K104" s="683">
        <f>SUM(K102)</f>
        <v>697</v>
      </c>
      <c r="L104" s="684">
        <f>SUM(L102)</f>
        <v>621</v>
      </c>
      <c r="M104" s="682">
        <f>SUM(M102:M103)</f>
        <v>262868</v>
      </c>
      <c r="N104" s="683"/>
      <c r="O104" s="684"/>
      <c r="P104" s="682">
        <f>SUM(P102:P103)</f>
        <v>7681</v>
      </c>
      <c r="Q104" s="683"/>
      <c r="R104" s="684"/>
      <c r="S104" s="682">
        <f>SUM(S102:S103)</f>
        <v>270549</v>
      </c>
      <c r="T104" s="683"/>
      <c r="U104" s="684"/>
      <c r="V104" s="682">
        <f>SUM(V102:V103)</f>
        <v>30967</v>
      </c>
      <c r="W104" s="683"/>
      <c r="X104" s="684"/>
      <c r="Y104" s="682">
        <f>SUM(Y102:Y103)</f>
        <v>-97644</v>
      </c>
      <c r="Z104" s="681"/>
      <c r="AA104" s="683"/>
      <c r="AB104" s="684"/>
      <c r="AC104" s="685">
        <f>SUM(AC102:AC103)</f>
        <v>203872</v>
      </c>
      <c r="AD104" s="509"/>
      <c r="AE104" s="510"/>
      <c r="AF104" s="509"/>
      <c r="AG104" s="511"/>
      <c r="AH104" s="318"/>
    </row>
    <row r="105" spans="1:34" ht="18" customHeight="1">
      <c r="A105" s="753" t="s">
        <v>335</v>
      </c>
      <c r="B105" s="754"/>
      <c r="C105" s="754"/>
      <c r="D105" s="754"/>
      <c r="E105" s="754"/>
      <c r="F105" s="754"/>
      <c r="G105" s="755"/>
      <c r="H105" s="718"/>
      <c r="I105" s="720">
        <v>12</v>
      </c>
      <c r="J105" s="733"/>
      <c r="K105" s="718"/>
      <c r="L105" s="720">
        <v>12</v>
      </c>
      <c r="M105" s="733"/>
      <c r="N105" s="718"/>
      <c r="O105" s="720">
        <v>0</v>
      </c>
      <c r="P105" s="733"/>
      <c r="Q105" s="718"/>
      <c r="R105" s="720">
        <v>0</v>
      </c>
      <c r="S105" s="733"/>
      <c r="T105" s="718"/>
      <c r="U105" s="720">
        <v>0</v>
      </c>
      <c r="V105" s="733"/>
      <c r="W105" s="718"/>
      <c r="X105" s="720">
        <v>0</v>
      </c>
      <c r="Y105" s="720"/>
      <c r="Z105" s="187"/>
      <c r="AA105" s="718"/>
      <c r="AB105" s="720">
        <f>U106+R105</f>
        <v>0</v>
      </c>
      <c r="AC105" s="733"/>
      <c r="AD105" s="211"/>
      <c r="AE105" s="210"/>
      <c r="AF105" s="211"/>
      <c r="AG105" s="212"/>
      <c r="AH105" s="318" t="s">
        <v>375</v>
      </c>
    </row>
    <row r="106" spans="1:34" ht="18" customHeight="1">
      <c r="A106" s="756"/>
      <c r="B106" s="757"/>
      <c r="C106" s="757"/>
      <c r="D106" s="757"/>
      <c r="E106" s="757"/>
      <c r="F106" s="757"/>
      <c r="G106" s="758"/>
      <c r="H106" s="719"/>
      <c r="I106" s="721"/>
      <c r="J106" s="723"/>
      <c r="K106" s="719"/>
      <c r="L106" s="721"/>
      <c r="M106" s="723"/>
      <c r="N106" s="719"/>
      <c r="O106" s="721"/>
      <c r="P106" s="723"/>
      <c r="Q106" s="719"/>
      <c r="R106" s="721"/>
      <c r="S106" s="723"/>
      <c r="T106" s="719"/>
      <c r="U106" s="721"/>
      <c r="V106" s="723"/>
      <c r="W106" s="719"/>
      <c r="X106" s="721"/>
      <c r="Y106" s="721"/>
      <c r="Z106" s="202"/>
      <c r="AA106" s="719"/>
      <c r="AB106" s="721"/>
      <c r="AC106" s="723"/>
      <c r="AD106" s="190"/>
      <c r="AE106" s="203"/>
      <c r="AF106" s="190">
        <f>AB105-L105</f>
        <v>-12</v>
      </c>
      <c r="AG106" s="204"/>
      <c r="AH106" s="318" t="s">
        <v>375</v>
      </c>
    </row>
    <row r="107" spans="1:34" ht="18" customHeight="1">
      <c r="A107" s="737" t="s">
        <v>338</v>
      </c>
      <c r="B107" s="738"/>
      <c r="C107" s="738"/>
      <c r="D107" s="738"/>
      <c r="E107" s="738"/>
      <c r="F107" s="738"/>
      <c r="G107" s="739"/>
      <c r="H107" s="197"/>
      <c r="I107" s="388">
        <f>+I102+I105</f>
        <v>672</v>
      </c>
      <c r="J107" s="388"/>
      <c r="K107" s="387"/>
      <c r="L107" s="388">
        <f>+L102+L105</f>
        <v>633</v>
      </c>
      <c r="M107" s="388"/>
      <c r="N107" s="387"/>
      <c r="O107" s="388">
        <f>+O102+O106</f>
        <v>12</v>
      </c>
      <c r="P107" s="388"/>
      <c r="Q107" s="387"/>
      <c r="R107" s="388">
        <f>+R102+R105</f>
        <v>633</v>
      </c>
      <c r="S107" s="388"/>
      <c r="T107" s="387"/>
      <c r="U107" s="388">
        <f>+U102+U106</f>
        <v>142</v>
      </c>
      <c r="V107" s="388"/>
      <c r="W107" s="387"/>
      <c r="X107" s="388">
        <f>+X102+X106</f>
        <v>0</v>
      </c>
      <c r="Y107" s="388"/>
      <c r="Z107" s="388"/>
      <c r="AA107" s="387"/>
      <c r="AB107" s="388">
        <f>+AB102+AB105</f>
        <v>775</v>
      </c>
      <c r="AC107" s="389"/>
      <c r="AD107" s="199"/>
      <c r="AE107" s="198"/>
      <c r="AF107" s="199">
        <f>+AF102+AF106</f>
        <v>142</v>
      </c>
      <c r="AG107" s="201"/>
      <c r="AH107" s="318" t="s">
        <v>375</v>
      </c>
    </row>
    <row r="108" spans="1:34" ht="18" customHeight="1">
      <c r="A108" s="740" t="s">
        <v>336</v>
      </c>
      <c r="B108" s="741"/>
      <c r="C108" s="741"/>
      <c r="D108" s="741"/>
      <c r="E108" s="741"/>
      <c r="F108" s="741"/>
      <c r="G108" s="742"/>
      <c r="H108" s="700"/>
      <c r="I108" s="727"/>
      <c r="J108" s="731"/>
      <c r="K108" s="729"/>
      <c r="L108" s="727"/>
      <c r="M108" s="731"/>
      <c r="N108" s="729"/>
      <c r="O108" s="727"/>
      <c r="P108" s="731"/>
      <c r="Q108" s="729"/>
      <c r="R108" s="727"/>
      <c r="S108" s="731"/>
      <c r="T108" s="729"/>
      <c r="U108" s="727"/>
      <c r="V108" s="731"/>
      <c r="W108" s="729"/>
      <c r="X108" s="727"/>
      <c r="Y108" s="727"/>
      <c r="Z108" s="395"/>
      <c r="AA108" s="729"/>
      <c r="AB108" s="727"/>
      <c r="AC108" s="731"/>
      <c r="AD108" s="211"/>
      <c r="AE108" s="210"/>
      <c r="AF108" s="211"/>
      <c r="AG108" s="212"/>
      <c r="AH108" s="318" t="s">
        <v>375</v>
      </c>
    </row>
    <row r="109" spans="1:34" ht="18" customHeight="1">
      <c r="A109" s="743"/>
      <c r="B109" s="744"/>
      <c r="C109" s="744"/>
      <c r="D109" s="744"/>
      <c r="E109" s="744"/>
      <c r="F109" s="744"/>
      <c r="G109" s="745"/>
      <c r="H109" s="701"/>
      <c r="I109" s="728"/>
      <c r="J109" s="732"/>
      <c r="K109" s="730"/>
      <c r="L109" s="728"/>
      <c r="M109" s="732"/>
      <c r="N109" s="730"/>
      <c r="O109" s="728"/>
      <c r="P109" s="732"/>
      <c r="Q109" s="730"/>
      <c r="R109" s="728"/>
      <c r="S109" s="732"/>
      <c r="T109" s="730"/>
      <c r="U109" s="728"/>
      <c r="V109" s="732"/>
      <c r="W109" s="730"/>
      <c r="X109" s="728"/>
      <c r="Y109" s="728"/>
      <c r="Z109" s="388"/>
      <c r="AA109" s="730"/>
      <c r="AB109" s="728"/>
      <c r="AC109" s="732"/>
      <c r="AD109" s="199"/>
      <c r="AE109" s="198"/>
      <c r="AF109" s="199"/>
      <c r="AG109" s="201"/>
      <c r="AH109" s="318" t="s">
        <v>375</v>
      </c>
    </row>
    <row r="110" spans="1:34" ht="18" customHeight="1">
      <c r="A110" s="705" t="s">
        <v>183</v>
      </c>
      <c r="B110" s="706"/>
      <c r="C110" s="706"/>
      <c r="D110" s="706"/>
      <c r="E110" s="706"/>
      <c r="F110" s="706"/>
      <c r="G110" s="699"/>
      <c r="H110" s="197"/>
      <c r="I110" s="388"/>
      <c r="J110" s="388"/>
      <c r="K110" s="387"/>
      <c r="L110" s="388"/>
      <c r="M110" s="388"/>
      <c r="N110" s="387"/>
      <c r="O110" s="388"/>
      <c r="P110" s="388"/>
      <c r="Q110" s="387"/>
      <c r="R110" s="388"/>
      <c r="S110" s="388"/>
      <c r="T110" s="387"/>
      <c r="U110" s="388"/>
      <c r="V110" s="388"/>
      <c r="W110" s="387"/>
      <c r="X110" s="388"/>
      <c r="Y110" s="388"/>
      <c r="Z110" s="388"/>
      <c r="AA110" s="387"/>
      <c r="AB110" s="388"/>
      <c r="AC110" s="389"/>
      <c r="AD110" s="199"/>
      <c r="AE110" s="198"/>
      <c r="AF110" s="199">
        <f>AB110-L110</f>
        <v>0</v>
      </c>
      <c r="AG110" s="201"/>
      <c r="AH110" s="318" t="s">
        <v>375</v>
      </c>
    </row>
    <row r="111" spans="1:34" ht="18" customHeight="1">
      <c r="A111" s="702" t="s">
        <v>248</v>
      </c>
      <c r="B111" s="703"/>
      <c r="C111" s="703"/>
      <c r="D111" s="703"/>
      <c r="E111" s="703"/>
      <c r="F111" s="703"/>
      <c r="G111" s="704"/>
      <c r="H111" s="205"/>
      <c r="I111" s="391"/>
      <c r="J111" s="391"/>
      <c r="K111" s="390"/>
      <c r="L111" s="391"/>
      <c r="M111" s="391"/>
      <c r="N111" s="390"/>
      <c r="O111" s="391"/>
      <c r="P111" s="391"/>
      <c r="Q111" s="390"/>
      <c r="R111" s="391"/>
      <c r="S111" s="391"/>
      <c r="T111" s="390"/>
      <c r="U111" s="391"/>
      <c r="V111" s="391"/>
      <c r="W111" s="390"/>
      <c r="X111" s="391"/>
      <c r="Y111" s="391"/>
      <c r="Z111" s="391"/>
      <c r="AA111" s="390"/>
      <c r="AB111" s="391"/>
      <c r="AC111" s="392"/>
      <c r="AD111" s="190"/>
      <c r="AE111" s="203"/>
      <c r="AF111" s="190">
        <f>AB111-L111</f>
        <v>0</v>
      </c>
      <c r="AG111" s="204"/>
      <c r="AH111" s="318" t="s">
        <v>375</v>
      </c>
    </row>
    <row r="112" spans="1:34" ht="18" customHeight="1">
      <c r="A112" s="709" t="s">
        <v>337</v>
      </c>
      <c r="B112" s="710"/>
      <c r="C112" s="710"/>
      <c r="D112" s="710"/>
      <c r="E112" s="710"/>
      <c r="F112" s="710"/>
      <c r="G112" s="711"/>
      <c r="H112" s="205"/>
      <c r="I112" s="391">
        <f>I111+I110+I107</f>
        <v>672</v>
      </c>
      <c r="J112" s="391"/>
      <c r="K112" s="390"/>
      <c r="L112" s="391">
        <f>L111+L110+L107</f>
        <v>633</v>
      </c>
      <c r="M112" s="391"/>
      <c r="N112" s="390"/>
      <c r="O112" s="391">
        <f>O111+O110+O107</f>
        <v>12</v>
      </c>
      <c r="P112" s="391"/>
      <c r="Q112" s="390"/>
      <c r="R112" s="391">
        <f>R111+R110+R107</f>
        <v>633</v>
      </c>
      <c r="S112" s="391"/>
      <c r="T112" s="390"/>
      <c r="U112" s="391">
        <f>U111+U110+U107</f>
        <v>142</v>
      </c>
      <c r="V112" s="391"/>
      <c r="W112" s="390"/>
      <c r="X112" s="391">
        <f>X111+X110+X107</f>
        <v>0</v>
      </c>
      <c r="Y112" s="391"/>
      <c r="Z112" s="391"/>
      <c r="AA112" s="390"/>
      <c r="AB112" s="391">
        <f>AB111+AB110+AB107</f>
        <v>775</v>
      </c>
      <c r="AC112" s="392"/>
      <c r="AD112" s="190"/>
      <c r="AE112" s="203"/>
      <c r="AF112" s="190">
        <f>AF111+AF110+AF107</f>
        <v>142</v>
      </c>
      <c r="AG112" s="204"/>
      <c r="AH112" s="318" t="s">
        <v>55</v>
      </c>
    </row>
    <row r="113" spans="1:34" ht="18" customHeight="1">
      <c r="A113" s="654" t="s">
        <v>395</v>
      </c>
      <c r="B113" s="422"/>
      <c r="C113" s="422"/>
      <c r="D113" s="422"/>
      <c r="E113" s="422"/>
      <c r="F113" s="422"/>
      <c r="G113" s="422"/>
      <c r="H113" s="655"/>
      <c r="I113" s="656"/>
      <c r="J113" s="656"/>
      <c r="K113" s="656"/>
      <c r="L113" s="656"/>
      <c r="M113" s="656"/>
      <c r="N113" s="656"/>
      <c r="O113" s="656"/>
      <c r="P113" s="656"/>
      <c r="Q113" s="656"/>
      <c r="R113" s="656"/>
      <c r="S113" s="656"/>
      <c r="T113" s="656"/>
      <c r="U113" s="656"/>
      <c r="V113" s="656"/>
      <c r="W113" s="656"/>
      <c r="X113" s="656"/>
      <c r="Y113" s="656"/>
      <c r="Z113" s="656"/>
      <c r="AA113" s="656"/>
      <c r="AB113" s="656"/>
      <c r="AC113" s="656"/>
      <c r="AD113" s="657"/>
      <c r="AE113" s="657"/>
      <c r="AF113" s="657"/>
      <c r="AG113" s="657"/>
      <c r="AH113" s="318"/>
    </row>
    <row r="114" spans="1:34" ht="18" customHeight="1">
      <c r="A114" s="654" t="s">
        <v>396</v>
      </c>
      <c r="B114" s="422"/>
      <c r="C114" s="422"/>
      <c r="D114" s="422"/>
      <c r="E114" s="422"/>
      <c r="F114" s="422"/>
      <c r="G114" s="422"/>
      <c r="H114" s="655"/>
      <c r="I114" s="656"/>
      <c r="J114" s="656"/>
      <c r="K114" s="656"/>
      <c r="L114" s="656"/>
      <c r="M114" s="656"/>
      <c r="N114" s="656"/>
      <c r="O114" s="656"/>
      <c r="P114" s="656"/>
      <c r="Q114" s="656"/>
      <c r="R114" s="656"/>
      <c r="S114" s="656"/>
      <c r="T114" s="656"/>
      <c r="U114" s="656"/>
      <c r="V114" s="656"/>
      <c r="W114" s="656"/>
      <c r="X114" s="656"/>
      <c r="Y114" s="656"/>
      <c r="Z114" s="656"/>
      <c r="AA114" s="656"/>
      <c r="AB114" s="656"/>
      <c r="AC114" s="656"/>
      <c r="AD114" s="657"/>
      <c r="AE114" s="657"/>
      <c r="AF114" s="657"/>
      <c r="AG114" s="657"/>
      <c r="AH114" s="318"/>
    </row>
    <row r="115" spans="1:34" ht="18" customHeight="1">
      <c r="A115" s="654" t="s">
        <v>397</v>
      </c>
      <c r="B115" s="422"/>
      <c r="C115" s="422"/>
      <c r="D115" s="422"/>
      <c r="E115" s="422"/>
      <c r="F115" s="422"/>
      <c r="G115" s="422"/>
      <c r="H115" s="655"/>
      <c r="I115" s="656"/>
      <c r="J115" s="656"/>
      <c r="K115" s="656"/>
      <c r="L115" s="656"/>
      <c r="M115" s="656"/>
      <c r="N115" s="656"/>
      <c r="O115" s="656"/>
      <c r="P115" s="656"/>
      <c r="Q115" s="656"/>
      <c r="R115" s="656"/>
      <c r="S115" s="656"/>
      <c r="T115" s="656"/>
      <c r="U115" s="656"/>
      <c r="V115" s="656"/>
      <c r="W115" s="656"/>
      <c r="X115" s="656"/>
      <c r="Y115" s="656"/>
      <c r="Z115" s="656"/>
      <c r="AA115" s="656"/>
      <c r="AB115" s="656"/>
      <c r="AC115" s="656"/>
      <c r="AD115" s="657"/>
      <c r="AE115" s="657"/>
      <c r="AF115" s="657"/>
      <c r="AG115" s="657"/>
      <c r="AH115" s="318"/>
    </row>
    <row r="116" spans="1:34" ht="18" customHeight="1">
      <c r="A116" s="654" t="s">
        <v>398</v>
      </c>
      <c r="B116" s="422"/>
      <c r="C116" s="422"/>
      <c r="D116" s="422"/>
      <c r="E116" s="422"/>
      <c r="F116" s="422"/>
      <c r="G116" s="422"/>
      <c r="H116" s="655"/>
      <c r="I116" s="656"/>
      <c r="J116" s="656"/>
      <c r="K116" s="656"/>
      <c r="L116" s="656"/>
      <c r="M116" s="656"/>
      <c r="N116" s="656"/>
      <c r="O116" s="656"/>
      <c r="P116" s="656"/>
      <c r="Q116" s="656"/>
      <c r="R116" s="656"/>
      <c r="S116" s="656"/>
      <c r="T116" s="656"/>
      <c r="U116" s="656"/>
      <c r="V116" s="656"/>
      <c r="W116" s="656"/>
      <c r="X116" s="656"/>
      <c r="Y116" s="656"/>
      <c r="Z116" s="656"/>
      <c r="AA116" s="656"/>
      <c r="AB116" s="656"/>
      <c r="AC116" s="656"/>
      <c r="AD116" s="657"/>
      <c r="AE116" s="657"/>
      <c r="AF116" s="657"/>
      <c r="AG116" s="657"/>
      <c r="AH116" s="318"/>
    </row>
    <row r="117" spans="1:34" ht="18" customHeight="1">
      <c r="A117" s="654" t="s">
        <v>399</v>
      </c>
      <c r="B117" s="422"/>
      <c r="C117" s="422"/>
      <c r="D117" s="422"/>
      <c r="E117" s="422"/>
      <c r="F117" s="422"/>
      <c r="G117" s="422"/>
      <c r="H117" s="655"/>
      <c r="I117" s="656"/>
      <c r="J117" s="656"/>
      <c r="K117" s="656"/>
      <c r="L117" s="656"/>
      <c r="M117" s="656"/>
      <c r="N117" s="656"/>
      <c r="O117" s="656"/>
      <c r="P117" s="656"/>
      <c r="Q117" s="656"/>
      <c r="R117" s="656"/>
      <c r="S117" s="656"/>
      <c r="T117" s="656"/>
      <c r="U117" s="656"/>
      <c r="V117" s="656"/>
      <c r="W117" s="656"/>
      <c r="X117" s="656"/>
      <c r="Y117" s="656"/>
      <c r="Z117" s="656"/>
      <c r="AA117" s="656"/>
      <c r="AB117" s="656"/>
      <c r="AC117" s="656"/>
      <c r="AD117" s="657"/>
      <c r="AE117" s="657"/>
      <c r="AF117" s="657"/>
      <c r="AG117" s="657"/>
      <c r="AH117" s="318"/>
    </row>
    <row r="118" spans="1:34" ht="18" customHeight="1">
      <c r="A118" s="654" t="s">
        <v>400</v>
      </c>
      <c r="B118" s="422"/>
      <c r="C118" s="422"/>
      <c r="D118" s="422"/>
      <c r="E118" s="422"/>
      <c r="F118" s="422"/>
      <c r="G118" s="422"/>
      <c r="H118" s="655"/>
      <c r="I118" s="656"/>
      <c r="J118" s="656"/>
      <c r="K118" s="656"/>
      <c r="L118" s="656"/>
      <c r="M118" s="658"/>
      <c r="N118" s="656"/>
      <c r="O118" s="656"/>
      <c r="P118" s="656"/>
      <c r="Q118" s="656"/>
      <c r="R118" s="656"/>
      <c r="S118" s="656"/>
      <c r="T118" s="656"/>
      <c r="U118" s="656"/>
      <c r="V118" s="656"/>
      <c r="W118" s="656"/>
      <c r="X118" s="656"/>
      <c r="Y118" s="656"/>
      <c r="Z118" s="656"/>
      <c r="AA118" s="656"/>
      <c r="AB118" s="656"/>
      <c r="AC118" s="656"/>
      <c r="AD118" s="657"/>
      <c r="AE118" s="657"/>
      <c r="AF118" s="657"/>
      <c r="AG118" s="657"/>
      <c r="AH118" s="318"/>
    </row>
    <row r="119" ht="15.75">
      <c r="AH119" s="318"/>
    </row>
    <row r="120" ht="15.75">
      <c r="AH120" s="318"/>
    </row>
  </sheetData>
  <mergeCells count="115">
    <mergeCell ref="A76:Y76"/>
    <mergeCell ref="A96:G96"/>
    <mergeCell ref="A67:Y67"/>
    <mergeCell ref="A93:G93"/>
    <mergeCell ref="T88:V89"/>
    <mergeCell ref="W88:Y89"/>
    <mergeCell ref="A77:Y77"/>
    <mergeCell ref="A74:Y74"/>
    <mergeCell ref="A73:Y73"/>
    <mergeCell ref="A79:AC79"/>
    <mergeCell ref="AA88:AC89"/>
    <mergeCell ref="A92:G92"/>
    <mergeCell ref="A52:Y52"/>
    <mergeCell ref="A49:Y49"/>
    <mergeCell ref="A50:Y50"/>
    <mergeCell ref="K88:M89"/>
    <mergeCell ref="N88:P89"/>
    <mergeCell ref="Q88:S89"/>
    <mergeCell ref="H88:J89"/>
    <mergeCell ref="A88:G90"/>
    <mergeCell ref="A53:Y53"/>
    <mergeCell ref="A10:Y10"/>
    <mergeCell ref="A11:Y11"/>
    <mergeCell ref="A37:Y37"/>
    <mergeCell ref="A26:Y26"/>
    <mergeCell ref="A33:Y33"/>
    <mergeCell ref="A34:Y34"/>
    <mergeCell ref="A12:Y12"/>
    <mergeCell ref="A23:Y23"/>
    <mergeCell ref="K105:K106"/>
    <mergeCell ref="V105:V106"/>
    <mergeCell ref="A97:G97"/>
    <mergeCell ref="U105:U106"/>
    <mergeCell ref="L105:L106"/>
    <mergeCell ref="M105:M106"/>
    <mergeCell ref="A105:G106"/>
    <mergeCell ref="A102:G102"/>
    <mergeCell ref="N105:N106"/>
    <mergeCell ref="Q105:Q106"/>
    <mergeCell ref="A107:G107"/>
    <mergeCell ref="A108:G109"/>
    <mergeCell ref="A91:G91"/>
    <mergeCell ref="A98:G98"/>
    <mergeCell ref="A104:G104"/>
    <mergeCell ref="A99:G99"/>
    <mergeCell ref="A103:G103"/>
    <mergeCell ref="A94:G94"/>
    <mergeCell ref="A101:G101"/>
    <mergeCell ref="A95:G95"/>
    <mergeCell ref="A54:Y54"/>
    <mergeCell ref="A59:Y59"/>
    <mergeCell ref="AC7:AC8"/>
    <mergeCell ref="AB7:AB8"/>
    <mergeCell ref="AA7:AA8"/>
    <mergeCell ref="A42:Y42"/>
    <mergeCell ref="A38:Y38"/>
    <mergeCell ref="A21:Y21"/>
    <mergeCell ref="A22:Y22"/>
    <mergeCell ref="A55:Y55"/>
    <mergeCell ref="A56:Y56"/>
    <mergeCell ref="A58:Y58"/>
    <mergeCell ref="A72:Y72"/>
    <mergeCell ref="A60:Y60"/>
    <mergeCell ref="A70:Y70"/>
    <mergeCell ref="A68:Y68"/>
    <mergeCell ref="K108:K109"/>
    <mergeCell ref="P108:P109"/>
    <mergeCell ref="O108:O109"/>
    <mergeCell ref="N108:N109"/>
    <mergeCell ref="R105:R106"/>
    <mergeCell ref="Q108:Q109"/>
    <mergeCell ref="A112:G112"/>
    <mergeCell ref="H108:H109"/>
    <mergeCell ref="I108:I109"/>
    <mergeCell ref="J108:J109"/>
    <mergeCell ref="A111:G111"/>
    <mergeCell ref="A110:G110"/>
    <mergeCell ref="M108:M109"/>
    <mergeCell ref="L108:L109"/>
    <mergeCell ref="A1:AC1"/>
    <mergeCell ref="A9:Y9"/>
    <mergeCell ref="A17:Y17"/>
    <mergeCell ref="H105:H106"/>
    <mergeCell ref="J105:J106"/>
    <mergeCell ref="I105:I106"/>
    <mergeCell ref="O105:O106"/>
    <mergeCell ref="P105:P106"/>
    <mergeCell ref="A16:Y16"/>
    <mergeCell ref="A20:Y20"/>
    <mergeCell ref="A80:AC80"/>
    <mergeCell ref="A81:AC81"/>
    <mergeCell ref="A82:AC82"/>
    <mergeCell ref="S105:S106"/>
    <mergeCell ref="T105:T106"/>
    <mergeCell ref="W105:W106"/>
    <mergeCell ref="X105:X106"/>
    <mergeCell ref="Y105:Y106"/>
    <mergeCell ref="AA105:AA106"/>
    <mergeCell ref="AB105:AB106"/>
    <mergeCell ref="A2:AC2"/>
    <mergeCell ref="A3:AC3"/>
    <mergeCell ref="A4:AC4"/>
    <mergeCell ref="A5:AC5"/>
    <mergeCell ref="AC105:AC106"/>
    <mergeCell ref="AA108:AA109"/>
    <mergeCell ref="AB108:AB109"/>
    <mergeCell ref="AC108:AC109"/>
    <mergeCell ref="Y108:Y109"/>
    <mergeCell ref="X108:X109"/>
    <mergeCell ref="W108:W109"/>
    <mergeCell ref="V108:V109"/>
    <mergeCell ref="U108:U109"/>
    <mergeCell ref="T108:T109"/>
    <mergeCell ref="S108:S109"/>
    <mergeCell ref="R108:R109"/>
  </mergeCells>
  <printOptions horizontalCentered="1"/>
  <pageMargins left="0.5" right="0.4" top="0" bottom="0" header="0" footer="0"/>
  <pageSetup firstPageNumber="8" useFirstPageNumber="1" fitToHeight="0" fitToWidth="1" horizontalDpi="300" verticalDpi="300" orientation="landscape" scale="54" r:id="rId1"/>
  <headerFooter alignWithMargins="0">
    <oddFooter xml:space="preserve">&amp;C&amp;"Times New Roman,Regular"Exhibit B - Summary of Requirements&amp;R&amp;"Times New Roman,Regular"Justice Assistance </oddFooter>
  </headerFooter>
  <rowBreaks count="1" manualBreakCount="1">
    <brk id="77" max="33" man="1"/>
  </rowBreaks>
</worksheet>
</file>

<file path=xl/worksheets/sheet10.xml><?xml version="1.0" encoding="utf-8"?>
<worksheet xmlns="http://schemas.openxmlformats.org/spreadsheetml/2006/main" xmlns:r="http://schemas.openxmlformats.org/officeDocument/2006/relationships">
  <sheetPr codeName="Sheet16"/>
  <dimension ref="A1:L39"/>
  <sheetViews>
    <sheetView showGridLines="0" showOutlineSymbols="0" zoomScale="75" zoomScaleNormal="75" workbookViewId="0" topLeftCell="B1">
      <pane xSplit="1" ySplit="15" topLeftCell="C16" activePane="bottomRight" state="frozen"/>
      <selection pane="topLeft" activeCell="W47" sqref="W47"/>
      <selection pane="topRight" activeCell="W47" sqref="W47"/>
      <selection pane="bottomLeft" activeCell="W47" sqref="W47"/>
      <selection pane="bottomRight" activeCell="W47" sqref="W47"/>
    </sheetView>
  </sheetViews>
  <sheetFormatPr defaultColWidth="8.88671875" defaultRowHeight="15"/>
  <cols>
    <col min="1" max="1" width="3.88671875" style="10" hidden="1" customWidth="1"/>
    <col min="2" max="2" width="56.99609375" style="10" customWidth="1"/>
    <col min="3" max="3" width="8.3359375" style="10" customWidth="1"/>
    <col min="4" max="4" width="9.77734375" style="10" customWidth="1"/>
    <col min="5" max="5" width="8.77734375" style="10" customWidth="1"/>
    <col min="6" max="6" width="9.77734375" style="10" customWidth="1"/>
    <col min="7" max="7" width="9.21484375" style="10" customWidth="1"/>
    <col min="8" max="8" width="9.77734375" style="10" customWidth="1"/>
    <col min="9" max="9" width="7.77734375" style="10" customWidth="1"/>
    <col min="10" max="10" width="11.77734375" style="10" bestFit="1" customWidth="1"/>
    <col min="11" max="11" width="1.2265625" style="309" customWidth="1"/>
    <col min="12" max="16384" width="9.6640625" style="10" customWidth="1"/>
  </cols>
  <sheetData>
    <row r="1" spans="1:11" ht="20.25">
      <c r="A1" s="40" t="s">
        <v>266</v>
      </c>
      <c r="B1" s="1008" t="s">
        <v>275</v>
      </c>
      <c r="C1" s="940"/>
      <c r="D1" s="940"/>
      <c r="E1" s="940"/>
      <c r="F1" s="940"/>
      <c r="G1" s="940"/>
      <c r="H1" s="940"/>
      <c r="I1" s="940"/>
      <c r="J1" s="940"/>
      <c r="K1" s="308" t="s">
        <v>375</v>
      </c>
    </row>
    <row r="2" spans="1:11" ht="20.25">
      <c r="A2" s="40"/>
      <c r="B2" s="153"/>
      <c r="C2" s="27"/>
      <c r="D2" s="27"/>
      <c r="E2" s="27"/>
      <c r="F2" s="27"/>
      <c r="G2" s="27"/>
      <c r="H2" s="27"/>
      <c r="I2" s="27"/>
      <c r="J2" s="27"/>
      <c r="K2" s="308" t="s">
        <v>375</v>
      </c>
    </row>
    <row r="3" spans="1:11" ht="20.25">
      <c r="A3" s="40"/>
      <c r="B3" s="27"/>
      <c r="C3" s="27"/>
      <c r="D3" s="27"/>
      <c r="E3" s="27"/>
      <c r="F3" s="27"/>
      <c r="G3" s="27"/>
      <c r="H3" s="27"/>
      <c r="I3" s="27"/>
      <c r="J3" s="27"/>
      <c r="K3" s="308" t="s">
        <v>375</v>
      </c>
    </row>
    <row r="4" spans="1:11" ht="20.25">
      <c r="A4" s="40"/>
      <c r="B4" s="1007" t="s">
        <v>369</v>
      </c>
      <c r="C4" s="725"/>
      <c r="D4" s="725"/>
      <c r="E4" s="725"/>
      <c r="F4" s="725"/>
      <c r="G4" s="725"/>
      <c r="H4" s="725"/>
      <c r="I4" s="725"/>
      <c r="J4" s="725"/>
      <c r="K4" s="308" t="s">
        <v>375</v>
      </c>
    </row>
    <row r="5" spans="1:11" ht="18.75">
      <c r="A5" s="11" t="s">
        <v>369</v>
      </c>
      <c r="B5" s="1006" t="str">
        <f>+'B. Summary of Requirements '!A3</f>
        <v>Office of Justice Programs </v>
      </c>
      <c r="C5" s="722"/>
      <c r="D5" s="722"/>
      <c r="E5" s="722"/>
      <c r="F5" s="722"/>
      <c r="G5" s="722"/>
      <c r="H5" s="722"/>
      <c r="I5" s="722"/>
      <c r="J5" s="722"/>
      <c r="K5" s="308" t="s">
        <v>375</v>
      </c>
    </row>
    <row r="6" spans="1:11" ht="18.75">
      <c r="A6" s="13" t="e">
        <f>+#REF!</f>
        <v>#REF!</v>
      </c>
      <c r="B6" s="1006" t="str">
        <f>+'B. Summary of Requirements '!A4</f>
        <v>Justice Assistance</v>
      </c>
      <c r="C6" s="725"/>
      <c r="D6" s="725"/>
      <c r="E6" s="725"/>
      <c r="F6" s="725"/>
      <c r="G6" s="725"/>
      <c r="H6" s="725"/>
      <c r="I6" s="725"/>
      <c r="J6" s="725"/>
      <c r="K6" s="308" t="s">
        <v>375</v>
      </c>
    </row>
    <row r="7" spans="1:11" ht="15.75">
      <c r="A7" s="14"/>
      <c r="B7" s="29"/>
      <c r="C7" s="29"/>
      <c r="D7" s="29"/>
      <c r="E7" s="29"/>
      <c r="F7" s="29"/>
      <c r="G7" s="29"/>
      <c r="H7" s="29"/>
      <c r="I7" s="29"/>
      <c r="J7" s="29"/>
      <c r="K7" s="308" t="s">
        <v>375</v>
      </c>
    </row>
    <row r="8" spans="1:11" ht="16.5" thickBot="1">
      <c r="A8" s="27"/>
      <c r="B8" s="27" t="s">
        <v>356</v>
      </c>
      <c r="C8" s="27"/>
      <c r="D8" s="27"/>
      <c r="E8" s="27"/>
      <c r="F8" s="27"/>
      <c r="G8" s="27"/>
      <c r="H8" s="27"/>
      <c r="I8" s="27"/>
      <c r="J8" s="27"/>
      <c r="K8" s="308" t="s">
        <v>375</v>
      </c>
    </row>
    <row r="9" spans="1:11" ht="15.75">
      <c r="A9" s="146"/>
      <c r="B9" s="1015" t="s">
        <v>179</v>
      </c>
      <c r="C9" s="1009" t="s">
        <v>351</v>
      </c>
      <c r="D9" s="1010"/>
      <c r="E9" s="1009" t="s">
        <v>297</v>
      </c>
      <c r="F9" s="1012"/>
      <c r="G9" s="1009" t="s">
        <v>127</v>
      </c>
      <c r="H9" s="1012"/>
      <c r="I9" s="1009" t="s">
        <v>169</v>
      </c>
      <c r="J9" s="1012"/>
      <c r="K9" s="308" t="s">
        <v>375</v>
      </c>
    </row>
    <row r="10" spans="1:11" ht="15.75">
      <c r="A10" s="144"/>
      <c r="B10" s="1016"/>
      <c r="C10" s="1011"/>
      <c r="D10" s="999"/>
      <c r="E10" s="1013"/>
      <c r="F10" s="1014"/>
      <c r="G10" s="1013"/>
      <c r="H10" s="1014"/>
      <c r="I10" s="1013"/>
      <c r="J10" s="1014"/>
      <c r="K10" s="308" t="s">
        <v>375</v>
      </c>
    </row>
    <row r="11" spans="1:11" ht="16.5" thickBot="1">
      <c r="A11" s="147"/>
      <c r="B11" s="1017"/>
      <c r="C11" s="149" t="s">
        <v>355</v>
      </c>
      <c r="D11" s="148" t="s">
        <v>357</v>
      </c>
      <c r="E11" s="149" t="s">
        <v>355</v>
      </c>
      <c r="F11" s="148" t="s">
        <v>357</v>
      </c>
      <c r="G11" s="149" t="s">
        <v>355</v>
      </c>
      <c r="H11" s="148" t="s">
        <v>357</v>
      </c>
      <c r="I11" s="149" t="s">
        <v>355</v>
      </c>
      <c r="J11" s="150" t="s">
        <v>357</v>
      </c>
      <c r="K11" s="308" t="s">
        <v>375</v>
      </c>
    </row>
    <row r="12" spans="1:11" ht="15.75" hidden="1">
      <c r="A12" s="144"/>
      <c r="B12" s="151" t="s">
        <v>180</v>
      </c>
      <c r="C12" s="144"/>
      <c r="D12" s="83"/>
      <c r="E12" s="144"/>
      <c r="F12" s="83"/>
      <c r="G12" s="144"/>
      <c r="H12" s="83"/>
      <c r="I12" s="144">
        <f>G12-E12</f>
        <v>0</v>
      </c>
      <c r="J12" s="84"/>
      <c r="K12" s="308" t="s">
        <v>375</v>
      </c>
    </row>
    <row r="13" spans="1:11" ht="15.75" hidden="1">
      <c r="A13" s="144"/>
      <c r="B13" s="151" t="s">
        <v>181</v>
      </c>
      <c r="C13" s="144"/>
      <c r="D13" s="83"/>
      <c r="E13" s="144"/>
      <c r="F13" s="83"/>
      <c r="G13" s="144"/>
      <c r="H13" s="83"/>
      <c r="I13" s="144">
        <f>G13-E13</f>
        <v>0</v>
      </c>
      <c r="J13" s="84"/>
      <c r="K13" s="308" t="s">
        <v>375</v>
      </c>
    </row>
    <row r="14" spans="1:11" ht="15.75" hidden="1">
      <c r="A14" s="144"/>
      <c r="B14" s="151" t="s">
        <v>182</v>
      </c>
      <c r="C14" s="144"/>
      <c r="D14" s="83"/>
      <c r="E14" s="144"/>
      <c r="F14" s="83"/>
      <c r="G14" s="144"/>
      <c r="H14" s="83"/>
      <c r="I14" s="144">
        <f>G14-E14</f>
        <v>0</v>
      </c>
      <c r="J14" s="84"/>
      <c r="K14" s="308" t="s">
        <v>375</v>
      </c>
    </row>
    <row r="15" spans="1:11" ht="15.75" hidden="1">
      <c r="A15" s="144"/>
      <c r="B15" s="151" t="s">
        <v>240</v>
      </c>
      <c r="C15" s="144"/>
      <c r="D15" s="83"/>
      <c r="E15" s="144"/>
      <c r="F15" s="83"/>
      <c r="G15" s="144"/>
      <c r="H15" s="83"/>
      <c r="I15" s="144">
        <f>G15-E15</f>
        <v>0</v>
      </c>
      <c r="J15" s="84"/>
      <c r="K15" s="308" t="s">
        <v>375</v>
      </c>
    </row>
    <row r="16" spans="1:12" ht="18.75">
      <c r="A16" s="144"/>
      <c r="B16" s="151"/>
      <c r="C16" s="563">
        <v>6</v>
      </c>
      <c r="D16" s="564"/>
      <c r="E16" s="563">
        <v>6</v>
      </c>
      <c r="F16" s="564"/>
      <c r="G16" s="563">
        <v>6</v>
      </c>
      <c r="H16" s="564"/>
      <c r="I16" s="563">
        <f>E16-G16</f>
        <v>0</v>
      </c>
      <c r="J16" s="564"/>
      <c r="K16" s="565"/>
      <c r="L16" s="267"/>
    </row>
    <row r="17" spans="1:12" ht="18.75">
      <c r="A17" s="144"/>
      <c r="B17" s="670" t="s">
        <v>276</v>
      </c>
      <c r="C17" s="564">
        <v>20</v>
      </c>
      <c r="D17" s="564"/>
      <c r="E17" s="563">
        <v>20</v>
      </c>
      <c r="F17" s="564"/>
      <c r="G17" s="563">
        <f>20+1</f>
        <v>21</v>
      </c>
      <c r="H17" s="564"/>
      <c r="I17" s="563">
        <f>G17-E17</f>
        <v>1</v>
      </c>
      <c r="J17" s="564"/>
      <c r="K17" s="565" t="s">
        <v>375</v>
      </c>
      <c r="L17" s="267"/>
    </row>
    <row r="18" spans="1:12" ht="18.75">
      <c r="A18" s="144"/>
      <c r="B18" s="154" t="s">
        <v>162</v>
      </c>
      <c r="C18" s="563">
        <v>78</v>
      </c>
      <c r="D18" s="564"/>
      <c r="E18" s="563">
        <v>78</v>
      </c>
      <c r="F18" s="564"/>
      <c r="G18" s="563">
        <f>79+18</f>
        <v>97</v>
      </c>
      <c r="H18" s="564"/>
      <c r="I18" s="563">
        <f aca="true" t="shared" si="0" ref="I18:I32">G18-E18</f>
        <v>19</v>
      </c>
      <c r="J18" s="564"/>
      <c r="K18" s="565" t="s">
        <v>375</v>
      </c>
      <c r="L18" s="267"/>
    </row>
    <row r="19" spans="1:12" ht="18.75">
      <c r="A19" s="144"/>
      <c r="B19" s="154" t="s">
        <v>161</v>
      </c>
      <c r="C19" s="563">
        <v>127</v>
      </c>
      <c r="D19" s="564"/>
      <c r="E19" s="563">
        <v>128</v>
      </c>
      <c r="F19" s="564"/>
      <c r="G19" s="563">
        <f>129+25</f>
        <v>154</v>
      </c>
      <c r="H19" s="564"/>
      <c r="I19" s="563">
        <f t="shared" si="0"/>
        <v>26</v>
      </c>
      <c r="J19" s="564"/>
      <c r="K19" s="565" t="s">
        <v>375</v>
      </c>
      <c r="L19" s="267"/>
    </row>
    <row r="20" spans="1:12" ht="18.75">
      <c r="A20" s="144"/>
      <c r="B20" s="154" t="s">
        <v>160</v>
      </c>
      <c r="C20" s="563">
        <f>223+8+10</f>
        <v>241</v>
      </c>
      <c r="D20" s="564"/>
      <c r="E20" s="563">
        <f>230+8+10</f>
        <v>248</v>
      </c>
      <c r="F20" s="564"/>
      <c r="G20" s="563">
        <f>250+32+4</f>
        <v>286</v>
      </c>
      <c r="H20" s="564"/>
      <c r="I20" s="563">
        <f t="shared" si="0"/>
        <v>38</v>
      </c>
      <c r="J20" s="564"/>
      <c r="K20" s="565" t="s">
        <v>375</v>
      </c>
      <c r="L20" s="267"/>
    </row>
    <row r="21" spans="1:12" ht="18.75">
      <c r="A21" s="144"/>
      <c r="B21" s="154" t="s">
        <v>159</v>
      </c>
      <c r="C21" s="563">
        <v>55</v>
      </c>
      <c r="D21" s="564"/>
      <c r="E21" s="563">
        <v>58</v>
      </c>
      <c r="F21" s="564"/>
      <c r="G21" s="563">
        <f>58+42</f>
        <v>100</v>
      </c>
      <c r="H21" s="564"/>
      <c r="I21" s="563">
        <f t="shared" si="0"/>
        <v>42</v>
      </c>
      <c r="J21" s="564"/>
      <c r="K21" s="565" t="s">
        <v>375</v>
      </c>
      <c r="L21" s="267"/>
    </row>
    <row r="22" spans="1:12" ht="18.75">
      <c r="A22" s="144"/>
      <c r="B22" s="154" t="s">
        <v>158</v>
      </c>
      <c r="C22" s="563">
        <v>50</v>
      </c>
      <c r="D22" s="564"/>
      <c r="E22" s="563">
        <v>58</v>
      </c>
      <c r="F22" s="564"/>
      <c r="G22" s="563">
        <v>60</v>
      </c>
      <c r="H22" s="564"/>
      <c r="I22" s="563">
        <f t="shared" si="0"/>
        <v>2</v>
      </c>
      <c r="J22" s="564"/>
      <c r="K22" s="565" t="s">
        <v>375</v>
      </c>
      <c r="L22" s="267"/>
    </row>
    <row r="23" spans="1:12" ht="18.75">
      <c r="A23" s="144"/>
      <c r="B23" s="154" t="s">
        <v>157</v>
      </c>
      <c r="C23" s="563">
        <v>2</v>
      </c>
      <c r="D23" s="564"/>
      <c r="E23" s="563">
        <v>2</v>
      </c>
      <c r="F23" s="564"/>
      <c r="G23" s="563">
        <v>2</v>
      </c>
      <c r="H23" s="564"/>
      <c r="I23" s="563">
        <f t="shared" si="0"/>
        <v>0</v>
      </c>
      <c r="J23" s="564"/>
      <c r="K23" s="565" t="s">
        <v>375</v>
      </c>
      <c r="L23" s="267"/>
    </row>
    <row r="24" spans="1:12" ht="18.75">
      <c r="A24" s="144"/>
      <c r="B24" s="154" t="s">
        <v>156</v>
      </c>
      <c r="C24" s="563">
        <v>30</v>
      </c>
      <c r="D24" s="564"/>
      <c r="E24" s="563">
        <v>34</v>
      </c>
      <c r="F24" s="564"/>
      <c r="G24" s="563">
        <f>35+13</f>
        <v>48</v>
      </c>
      <c r="H24" s="564"/>
      <c r="I24" s="563">
        <f t="shared" si="0"/>
        <v>14</v>
      </c>
      <c r="J24" s="564"/>
      <c r="K24" s="565" t="s">
        <v>375</v>
      </c>
      <c r="L24" s="267"/>
    </row>
    <row r="25" spans="1:12" ht="18.75">
      <c r="A25" s="144"/>
      <c r="B25" s="154" t="s">
        <v>155</v>
      </c>
      <c r="C25" s="563">
        <v>12</v>
      </c>
      <c r="D25" s="564"/>
      <c r="E25" s="563">
        <v>13</v>
      </c>
      <c r="F25" s="564"/>
      <c r="G25" s="563">
        <f>13+5</f>
        <v>18</v>
      </c>
      <c r="H25" s="564"/>
      <c r="I25" s="563">
        <f t="shared" si="0"/>
        <v>5</v>
      </c>
      <c r="J25" s="564"/>
      <c r="K25" s="565" t="s">
        <v>375</v>
      </c>
      <c r="L25" s="267"/>
    </row>
    <row r="26" spans="1:12" ht="18.75">
      <c r="A26" s="144"/>
      <c r="B26" s="154" t="s">
        <v>154</v>
      </c>
      <c r="C26" s="563">
        <v>22</v>
      </c>
      <c r="D26" s="564"/>
      <c r="E26" s="563">
        <v>23</v>
      </c>
      <c r="F26" s="564"/>
      <c r="G26" s="563">
        <f>24+30</f>
        <v>54</v>
      </c>
      <c r="H26" s="564"/>
      <c r="I26" s="563">
        <f t="shared" si="0"/>
        <v>31</v>
      </c>
      <c r="J26" s="564"/>
      <c r="K26" s="565" t="s">
        <v>375</v>
      </c>
      <c r="L26" s="267"/>
    </row>
    <row r="27" spans="1:12" ht="18.75">
      <c r="A27" s="144"/>
      <c r="B27" s="154" t="s">
        <v>153</v>
      </c>
      <c r="C27" s="563">
        <v>9</v>
      </c>
      <c r="D27" s="564"/>
      <c r="E27" s="563">
        <v>9</v>
      </c>
      <c r="F27" s="564"/>
      <c r="G27" s="563">
        <v>9</v>
      </c>
      <c r="H27" s="564"/>
      <c r="I27" s="563">
        <f t="shared" si="0"/>
        <v>0</v>
      </c>
      <c r="J27" s="564"/>
      <c r="K27" s="565" t="s">
        <v>375</v>
      </c>
      <c r="L27" s="267"/>
    </row>
    <row r="28" spans="1:12" ht="18.75">
      <c r="A28" s="144"/>
      <c r="B28" s="154" t="s">
        <v>152</v>
      </c>
      <c r="C28" s="563">
        <v>6</v>
      </c>
      <c r="D28" s="564"/>
      <c r="E28" s="563">
        <v>6</v>
      </c>
      <c r="F28" s="564"/>
      <c r="G28" s="563">
        <v>6</v>
      </c>
      <c r="H28" s="564"/>
      <c r="I28" s="563">
        <f t="shared" si="0"/>
        <v>0</v>
      </c>
      <c r="J28" s="564"/>
      <c r="K28" s="565" t="s">
        <v>375</v>
      </c>
      <c r="L28" s="267"/>
    </row>
    <row r="29" spans="1:12" ht="18.75">
      <c r="A29" s="144"/>
      <c r="B29" s="154" t="s">
        <v>151</v>
      </c>
      <c r="C29" s="563">
        <v>2</v>
      </c>
      <c r="D29" s="564"/>
      <c r="E29" s="563">
        <v>2</v>
      </c>
      <c r="F29" s="564"/>
      <c r="G29" s="563">
        <v>2</v>
      </c>
      <c r="H29" s="564"/>
      <c r="I29" s="563">
        <f t="shared" si="0"/>
        <v>0</v>
      </c>
      <c r="J29" s="564"/>
      <c r="K29" s="565" t="s">
        <v>375</v>
      </c>
      <c r="L29" s="267"/>
    </row>
    <row r="30" spans="1:11" ht="18.75">
      <c r="A30" s="144"/>
      <c r="B30" s="154" t="s">
        <v>150</v>
      </c>
      <c r="C30" s="441">
        <v>0</v>
      </c>
      <c r="D30" s="439"/>
      <c r="E30" s="438"/>
      <c r="F30" s="439"/>
      <c r="G30" s="438"/>
      <c r="H30" s="439"/>
      <c r="I30" s="563">
        <f t="shared" si="0"/>
        <v>0</v>
      </c>
      <c r="J30" s="440"/>
      <c r="K30" s="308" t="s">
        <v>375</v>
      </c>
    </row>
    <row r="31" spans="1:11" ht="18.75">
      <c r="A31" s="144"/>
      <c r="B31" s="154" t="s">
        <v>149</v>
      </c>
      <c r="C31" s="438">
        <v>0</v>
      </c>
      <c r="D31" s="439"/>
      <c r="E31" s="438"/>
      <c r="F31" s="439"/>
      <c r="G31" s="438"/>
      <c r="H31" s="439"/>
      <c r="I31" s="563">
        <f t="shared" si="0"/>
        <v>0</v>
      </c>
      <c r="J31" s="440"/>
      <c r="K31" s="308" t="s">
        <v>375</v>
      </c>
    </row>
    <row r="32" spans="1:11" ht="18.75">
      <c r="A32" s="144"/>
      <c r="B32" s="152" t="s">
        <v>148</v>
      </c>
      <c r="C32" s="145">
        <v>0</v>
      </c>
      <c r="D32" s="442"/>
      <c r="E32" s="145"/>
      <c r="F32" s="442"/>
      <c r="G32" s="145"/>
      <c r="H32" s="442"/>
      <c r="I32" s="563">
        <f t="shared" si="0"/>
        <v>0</v>
      </c>
      <c r="J32" s="443"/>
      <c r="K32" s="308" t="s">
        <v>375</v>
      </c>
    </row>
    <row r="33" spans="1:11" ht="15.75">
      <c r="A33" s="144"/>
      <c r="B33" s="169" t="s">
        <v>226</v>
      </c>
      <c r="C33" s="444">
        <f>SUM(C16:C32)</f>
        <v>660</v>
      </c>
      <c r="D33" s="445"/>
      <c r="E33" s="444">
        <f>SUM(E16:E32)</f>
        <v>685</v>
      </c>
      <c r="F33" s="445"/>
      <c r="G33" s="444">
        <f>SUM(G16:G32)</f>
        <v>863</v>
      </c>
      <c r="H33" s="445"/>
      <c r="I33" s="444">
        <f>SUM(I17:I32)</f>
        <v>178</v>
      </c>
      <c r="J33" s="446"/>
      <c r="K33" s="308" t="s">
        <v>375</v>
      </c>
    </row>
    <row r="34" spans="1:11" ht="15.75">
      <c r="A34" s="144"/>
      <c r="B34" s="170" t="s">
        <v>40</v>
      </c>
      <c r="C34" s="438"/>
      <c r="D34" s="447">
        <v>143018</v>
      </c>
      <c r="E34" s="438"/>
      <c r="F34" s="447">
        <f>D34*1.031</f>
        <v>147451.558</v>
      </c>
      <c r="G34" s="434"/>
      <c r="H34" s="447">
        <f>F34*1.022</f>
        <v>150695.492276</v>
      </c>
      <c r="I34" s="438"/>
      <c r="J34" s="440"/>
      <c r="K34" s="308" t="s">
        <v>375</v>
      </c>
    </row>
    <row r="35" spans="1:11" ht="15.75">
      <c r="A35" s="144"/>
      <c r="B35" s="170" t="s">
        <v>241</v>
      </c>
      <c r="C35" s="448"/>
      <c r="D35" s="447">
        <v>91430</v>
      </c>
      <c r="E35" s="438"/>
      <c r="F35" s="447">
        <f>D35*1.031</f>
        <v>94264.32999999999</v>
      </c>
      <c r="G35" s="434"/>
      <c r="H35" s="447">
        <f>F35*1.022</f>
        <v>96338.14525999999</v>
      </c>
      <c r="I35" s="438"/>
      <c r="J35" s="440"/>
      <c r="K35" s="308" t="s">
        <v>375</v>
      </c>
    </row>
    <row r="36" spans="1:11" ht="16.5" thickBot="1">
      <c r="A36" s="145"/>
      <c r="B36" s="240" t="s">
        <v>242</v>
      </c>
      <c r="C36" s="449"/>
      <c r="D36" s="566">
        <v>12.5</v>
      </c>
      <c r="E36" s="567"/>
      <c r="F36" s="566">
        <v>12.45</v>
      </c>
      <c r="G36" s="450"/>
      <c r="H36" s="566">
        <v>12</v>
      </c>
      <c r="I36" s="450"/>
      <c r="J36" s="451"/>
      <c r="K36" s="308" t="s">
        <v>55</v>
      </c>
    </row>
    <row r="37" spans="1:11" ht="15.75">
      <c r="A37" s="27"/>
      <c r="B37" s="1018">
        <v>12</v>
      </c>
      <c r="C37" s="828"/>
      <c r="D37" s="828"/>
      <c r="E37" s="828"/>
      <c r="F37" s="828"/>
      <c r="G37" s="828"/>
      <c r="H37" s="828"/>
      <c r="I37" s="828"/>
      <c r="J37" s="828"/>
      <c r="K37" s="828"/>
    </row>
    <row r="39" ht="15.75">
      <c r="K39" s="308"/>
    </row>
  </sheetData>
  <mergeCells count="10">
    <mergeCell ref="C9:D10"/>
    <mergeCell ref="E9:F10"/>
    <mergeCell ref="G9:H10"/>
    <mergeCell ref="I9:J10"/>
    <mergeCell ref="B9:B11"/>
    <mergeCell ref="B37:K37"/>
    <mergeCell ref="B6:J6"/>
    <mergeCell ref="B5:J5"/>
    <mergeCell ref="B4:J4"/>
    <mergeCell ref="B1:J1"/>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Grade&amp;RJustice Assistance</oddFooter>
  </headerFooter>
</worksheet>
</file>

<file path=xl/worksheets/sheet11.xml><?xml version="1.0" encoding="utf-8"?>
<worksheet xmlns="http://schemas.openxmlformats.org/spreadsheetml/2006/main" xmlns:r="http://schemas.openxmlformats.org/officeDocument/2006/relationships">
  <sheetPr codeName="Sheet17"/>
  <dimension ref="A1:P70"/>
  <sheetViews>
    <sheetView zoomScale="75" zoomScaleNormal="75" zoomScaleSheetLayoutView="50" workbookViewId="0" topLeftCell="A1">
      <pane xSplit="4" ySplit="9" topLeftCell="I23" activePane="bottomRight" state="frozen"/>
      <selection pane="topLeft" activeCell="M122" sqref="M122"/>
      <selection pane="topRight" activeCell="M122" sqref="M122"/>
      <selection pane="bottomLeft" activeCell="M122" sqref="M122"/>
      <selection pane="bottomRight" activeCell="W47" sqref="W47"/>
    </sheetView>
  </sheetViews>
  <sheetFormatPr defaultColWidth="8.88671875" defaultRowHeight="15"/>
  <cols>
    <col min="1" max="1" width="1.88671875" style="3" customWidth="1"/>
    <col min="2" max="2" width="27.10546875" style="3" customWidth="1"/>
    <col min="3" max="3" width="12.5546875" style="3" customWidth="1"/>
    <col min="4" max="4" width="18.10546875" style="3" customWidth="1"/>
    <col min="5" max="5" width="8.99609375" style="3" bestFit="1" customWidth="1"/>
    <col min="6" max="6" width="10.99609375" style="3" customWidth="1"/>
    <col min="7" max="7" width="8.99609375" style="3" bestFit="1" customWidth="1"/>
    <col min="8" max="8" width="10.6640625" style="3" customWidth="1"/>
    <col min="9" max="9" width="8.99609375" style="3" bestFit="1" customWidth="1"/>
    <col min="10" max="10" width="10.99609375" style="3" bestFit="1" customWidth="1"/>
    <col min="11" max="11" width="8.99609375" style="3" bestFit="1" customWidth="1"/>
    <col min="12" max="12" width="10.3359375" style="3" customWidth="1"/>
    <col min="13" max="15" width="8.88671875" style="3" hidden="1" customWidth="1"/>
    <col min="16" max="16" width="0.9921875" style="307" customWidth="1"/>
    <col min="18" max="16384" width="8.88671875" style="3" customWidth="1"/>
  </cols>
  <sheetData>
    <row r="1" spans="1:16" ht="18.75" customHeight="1">
      <c r="A1" s="715" t="s">
        <v>274</v>
      </c>
      <c r="B1" s="782"/>
      <c r="C1" s="782"/>
      <c r="D1" s="782"/>
      <c r="E1" s="782"/>
      <c r="F1" s="782"/>
      <c r="G1" s="782"/>
      <c r="H1" s="782"/>
      <c r="I1" s="782"/>
      <c r="J1" s="782"/>
      <c r="K1" s="782"/>
      <c r="L1" s="1039"/>
      <c r="P1" s="306" t="s">
        <v>375</v>
      </c>
    </row>
    <row r="2" spans="1:16" ht="18.75" customHeight="1">
      <c r="A2" s="903"/>
      <c r="B2" s="1046"/>
      <c r="C2" s="1046"/>
      <c r="D2" s="1046"/>
      <c r="E2" s="1046"/>
      <c r="F2" s="1046"/>
      <c r="G2" s="1046"/>
      <c r="H2" s="1046"/>
      <c r="I2" s="1046"/>
      <c r="J2" s="1046"/>
      <c r="K2" s="1046"/>
      <c r="L2" s="1047"/>
      <c r="P2" s="306" t="s">
        <v>375</v>
      </c>
    </row>
    <row r="3" spans="1:16" ht="18.75">
      <c r="A3" s="1048" t="s">
        <v>247</v>
      </c>
      <c r="B3" s="1049"/>
      <c r="C3" s="1049"/>
      <c r="D3" s="1049"/>
      <c r="E3" s="1049"/>
      <c r="F3" s="1049"/>
      <c r="G3" s="1049"/>
      <c r="H3" s="1049"/>
      <c r="I3" s="1049"/>
      <c r="J3" s="1049"/>
      <c r="K3" s="1049"/>
      <c r="L3" s="1050"/>
      <c r="P3" s="306" t="s">
        <v>375</v>
      </c>
    </row>
    <row r="4" spans="1:16" ht="16.5">
      <c r="A4" s="1038" t="str">
        <f>+'B. Summary of Requirements '!A3</f>
        <v>Office of Justice Programs </v>
      </c>
      <c r="B4" s="782"/>
      <c r="C4" s="782"/>
      <c r="D4" s="782"/>
      <c r="E4" s="782"/>
      <c r="F4" s="782"/>
      <c r="G4" s="782"/>
      <c r="H4" s="782"/>
      <c r="I4" s="782"/>
      <c r="J4" s="782"/>
      <c r="K4" s="782"/>
      <c r="L4" s="1039"/>
      <c r="P4" s="306" t="s">
        <v>375</v>
      </c>
    </row>
    <row r="5" spans="1:16" ht="16.5">
      <c r="A5" s="1038" t="str">
        <f>+'B. Summary of Requirements '!A4</f>
        <v>Justice Assistance</v>
      </c>
      <c r="B5" s="782"/>
      <c r="C5" s="782"/>
      <c r="D5" s="782"/>
      <c r="E5" s="782"/>
      <c r="F5" s="782"/>
      <c r="G5" s="782"/>
      <c r="H5" s="782"/>
      <c r="I5" s="782"/>
      <c r="J5" s="782"/>
      <c r="K5" s="782"/>
      <c r="L5" s="1039"/>
      <c r="P5" s="306" t="s">
        <v>375</v>
      </c>
    </row>
    <row r="6" spans="1:16" ht="15.75">
      <c r="A6" s="1041" t="s">
        <v>332</v>
      </c>
      <c r="B6" s="782"/>
      <c r="C6" s="782"/>
      <c r="D6" s="782"/>
      <c r="E6" s="782"/>
      <c r="F6" s="782"/>
      <c r="G6" s="782"/>
      <c r="H6" s="782"/>
      <c r="I6" s="782"/>
      <c r="J6" s="782"/>
      <c r="K6" s="782"/>
      <c r="L6" s="1039"/>
      <c r="P6" s="306" t="s">
        <v>375</v>
      </c>
    </row>
    <row r="7" spans="1:16" ht="11.25" customHeight="1">
      <c r="A7" s="43"/>
      <c r="B7" s="13"/>
      <c r="C7" s="30"/>
      <c r="D7" s="30"/>
      <c r="E7" s="30"/>
      <c r="F7" s="30"/>
      <c r="G7" s="30"/>
      <c r="H7" s="30"/>
      <c r="I7" s="30"/>
      <c r="J7" s="30"/>
      <c r="K7" s="4"/>
      <c r="L7" s="4"/>
      <c r="P7" s="306" t="s">
        <v>375</v>
      </c>
    </row>
    <row r="8" spans="1:16" ht="44.25" customHeight="1">
      <c r="A8" s="1040" t="s">
        <v>243</v>
      </c>
      <c r="B8" s="779"/>
      <c r="C8" s="779"/>
      <c r="D8" s="780"/>
      <c r="E8" s="1056" t="s">
        <v>384</v>
      </c>
      <c r="F8" s="1057"/>
      <c r="G8" s="1044" t="s">
        <v>113</v>
      </c>
      <c r="H8" s="1045"/>
      <c r="I8" s="1042" t="s">
        <v>127</v>
      </c>
      <c r="J8" s="1043"/>
      <c r="K8" s="1042" t="s">
        <v>169</v>
      </c>
      <c r="L8" s="837"/>
      <c r="M8" s="10"/>
      <c r="P8" s="306" t="s">
        <v>375</v>
      </c>
    </row>
    <row r="9" spans="1:16" ht="25.5" customHeight="1" thickBot="1">
      <c r="A9" s="784"/>
      <c r="B9" s="785"/>
      <c r="C9" s="785"/>
      <c r="D9" s="786"/>
      <c r="E9" s="139" t="s">
        <v>174</v>
      </c>
      <c r="F9" s="140" t="s">
        <v>357</v>
      </c>
      <c r="G9" s="139" t="s">
        <v>174</v>
      </c>
      <c r="H9" s="140" t="s">
        <v>357</v>
      </c>
      <c r="I9" s="139" t="s">
        <v>174</v>
      </c>
      <c r="J9" s="140" t="s">
        <v>357</v>
      </c>
      <c r="K9" s="139" t="s">
        <v>174</v>
      </c>
      <c r="L9" s="141" t="s">
        <v>357</v>
      </c>
      <c r="M9" s="10"/>
      <c r="P9" s="306" t="s">
        <v>375</v>
      </c>
    </row>
    <row r="10" spans="1:16" ht="15.75">
      <c r="A10" s="1025" t="s">
        <v>19</v>
      </c>
      <c r="B10" s="1026"/>
      <c r="C10" s="1026"/>
      <c r="D10" s="1027"/>
      <c r="E10" s="452">
        <v>0</v>
      </c>
      <c r="F10" s="453">
        <v>38303</v>
      </c>
      <c r="G10" s="452">
        <v>0</v>
      </c>
      <c r="H10" s="453">
        <v>45600</v>
      </c>
      <c r="I10" s="452"/>
      <c r="J10" s="453">
        <v>56500</v>
      </c>
      <c r="K10" s="452">
        <f>I10-G10</f>
        <v>0</v>
      </c>
      <c r="L10" s="454">
        <f>J10-H10</f>
        <v>10900</v>
      </c>
      <c r="M10" s="10"/>
      <c r="P10" s="306" t="s">
        <v>375</v>
      </c>
    </row>
    <row r="11" spans="1:16" ht="15.75">
      <c r="A11" s="1022" t="s">
        <v>225</v>
      </c>
      <c r="B11" s="1030"/>
      <c r="C11" s="1030"/>
      <c r="D11" s="1031"/>
      <c r="E11" s="452">
        <v>0</v>
      </c>
      <c r="F11" s="453">
        <v>2915</v>
      </c>
      <c r="G11" s="452">
        <v>0</v>
      </c>
      <c r="H11" s="453">
        <v>2445</v>
      </c>
      <c r="I11" s="452">
        <v>0</v>
      </c>
      <c r="J11" s="453">
        <v>2495</v>
      </c>
      <c r="K11" s="452">
        <f>I11-G11</f>
        <v>0</v>
      </c>
      <c r="L11" s="454">
        <f>J11-H11</f>
        <v>50</v>
      </c>
      <c r="M11" s="32" t="s">
        <v>172</v>
      </c>
      <c r="N11" s="3" t="s">
        <v>173</v>
      </c>
      <c r="P11" s="306" t="s">
        <v>375</v>
      </c>
    </row>
    <row r="12" spans="1:16" ht="15.75">
      <c r="A12" s="1022" t="s">
        <v>184</v>
      </c>
      <c r="B12" s="1030"/>
      <c r="C12" s="1030"/>
      <c r="D12" s="1031"/>
      <c r="E12" s="452">
        <f aca="true" t="shared" si="0" ref="E12:K12">+E13+E14</f>
        <v>0</v>
      </c>
      <c r="F12" s="453">
        <v>1233</v>
      </c>
      <c r="G12" s="452">
        <f t="shared" si="0"/>
        <v>0</v>
      </c>
      <c r="H12" s="453">
        <v>1450</v>
      </c>
      <c r="I12" s="452">
        <f t="shared" si="0"/>
        <v>0</v>
      </c>
      <c r="J12" s="453">
        <v>1450</v>
      </c>
      <c r="K12" s="452">
        <f t="shared" si="0"/>
        <v>0</v>
      </c>
      <c r="L12" s="454">
        <f>J12-H12</f>
        <v>0</v>
      </c>
      <c r="M12" s="10">
        <v>93</v>
      </c>
      <c r="P12" s="306" t="s">
        <v>375</v>
      </c>
    </row>
    <row r="13" spans="1:16" ht="15.75">
      <c r="A13" s="1051" t="s">
        <v>209</v>
      </c>
      <c r="B13" s="689"/>
      <c r="C13" s="689"/>
      <c r="D13" s="1029"/>
      <c r="E13" s="455"/>
      <c r="F13" s="456"/>
      <c r="G13" s="455"/>
      <c r="H13" s="456"/>
      <c r="I13" s="455"/>
      <c r="J13" s="456"/>
      <c r="K13" s="455">
        <f>I13-G13</f>
        <v>0</v>
      </c>
      <c r="L13" s="457">
        <f>J13-H13</f>
        <v>0</v>
      </c>
      <c r="M13" s="10"/>
      <c r="P13" s="306" t="s">
        <v>375</v>
      </c>
    </row>
    <row r="14" spans="1:16" ht="15.75">
      <c r="A14" s="1051" t="s">
        <v>208</v>
      </c>
      <c r="B14" s="689"/>
      <c r="C14" s="689"/>
      <c r="D14" s="1029"/>
      <c r="E14" s="455"/>
      <c r="F14" s="456"/>
      <c r="G14" s="455"/>
      <c r="H14" s="456"/>
      <c r="I14" s="455"/>
      <c r="J14" s="456"/>
      <c r="K14" s="455">
        <f>I14-G14</f>
        <v>0</v>
      </c>
      <c r="L14" s="457">
        <f>J14-H14</f>
        <v>0</v>
      </c>
      <c r="M14" s="10"/>
      <c r="P14" s="306" t="s">
        <v>375</v>
      </c>
    </row>
    <row r="15" spans="1:16" ht="15.75">
      <c r="A15" s="1052" t="s">
        <v>210</v>
      </c>
      <c r="B15" s="1053"/>
      <c r="C15" s="1053"/>
      <c r="D15" s="1054"/>
      <c r="E15" s="458">
        <v>0</v>
      </c>
      <c r="F15" s="28">
        <v>133</v>
      </c>
      <c r="G15" s="458">
        <v>0</v>
      </c>
      <c r="H15" s="28">
        <v>0</v>
      </c>
      <c r="I15" s="458"/>
      <c r="J15" s="28"/>
      <c r="K15" s="458">
        <f>I15-G15</f>
        <v>0</v>
      </c>
      <c r="L15" s="459">
        <f>J15-H15</f>
        <v>0</v>
      </c>
      <c r="M15" s="10"/>
      <c r="P15" s="306" t="s">
        <v>375</v>
      </c>
    </row>
    <row r="16" spans="1:16" ht="15.75">
      <c r="A16" s="1055" t="s">
        <v>20</v>
      </c>
      <c r="B16" s="738"/>
      <c r="C16" s="738"/>
      <c r="D16" s="739"/>
      <c r="E16" s="460">
        <f aca="true" t="shared" si="1" ref="E16:J16">+E10+E11+E12+E15</f>
        <v>0</v>
      </c>
      <c r="F16" s="461">
        <f t="shared" si="1"/>
        <v>42584</v>
      </c>
      <c r="G16" s="460">
        <f t="shared" si="1"/>
        <v>0</v>
      </c>
      <c r="H16" s="461">
        <f t="shared" si="1"/>
        <v>49495</v>
      </c>
      <c r="I16" s="460">
        <f t="shared" si="1"/>
        <v>0</v>
      </c>
      <c r="J16" s="461">
        <f t="shared" si="1"/>
        <v>60445</v>
      </c>
      <c r="K16" s="460">
        <f>SUM(K10:K15)</f>
        <v>0</v>
      </c>
      <c r="L16" s="462">
        <f>SUM(L10:L15)</f>
        <v>10950</v>
      </c>
      <c r="M16" s="44">
        <f>697+630+957+2333</f>
        <v>4617</v>
      </c>
      <c r="N16" s="3">
        <f>2451-93</f>
        <v>2358</v>
      </c>
      <c r="O16" s="3">
        <f>+H16-J16</f>
        <v>-10950</v>
      </c>
      <c r="P16" s="306" t="s">
        <v>375</v>
      </c>
    </row>
    <row r="17" spans="1:16" ht="15.75">
      <c r="A17" s="1022" t="s">
        <v>244</v>
      </c>
      <c r="B17" s="1030"/>
      <c r="C17" s="1030"/>
      <c r="D17" s="1031"/>
      <c r="E17" s="452"/>
      <c r="F17" s="453"/>
      <c r="G17" s="452"/>
      <c r="H17" s="453"/>
      <c r="I17" s="452"/>
      <c r="J17" s="453">
        <f>14950-14888</f>
        <v>62</v>
      </c>
      <c r="K17" s="452"/>
      <c r="L17" s="454"/>
      <c r="M17" s="10"/>
      <c r="P17" s="306" t="s">
        <v>375</v>
      </c>
    </row>
    <row r="18" spans="1:16" ht="15.75">
      <c r="A18" s="1028" t="s">
        <v>212</v>
      </c>
      <c r="B18" s="689"/>
      <c r="C18" s="689"/>
      <c r="D18" s="1029"/>
      <c r="E18" s="452">
        <v>0</v>
      </c>
      <c r="F18" s="453">
        <v>12768</v>
      </c>
      <c r="G18" s="452">
        <v>0</v>
      </c>
      <c r="H18" s="453">
        <v>14000</v>
      </c>
      <c r="I18" s="452"/>
      <c r="J18" s="453">
        <v>15000</v>
      </c>
      <c r="K18" s="452"/>
      <c r="L18" s="454">
        <f>J18-H18</f>
        <v>1000</v>
      </c>
      <c r="M18" s="10">
        <v>359</v>
      </c>
      <c r="N18" s="3">
        <f>1171+93</f>
        <v>1264</v>
      </c>
      <c r="O18" s="3">
        <f aca="true" t="shared" si="2" ref="O18:O27">+H18-J18</f>
        <v>-1000</v>
      </c>
      <c r="P18" s="306" t="s">
        <v>375</v>
      </c>
    </row>
    <row r="19" spans="1:16" ht="15.75">
      <c r="A19" s="1028" t="s">
        <v>213</v>
      </c>
      <c r="B19" s="689"/>
      <c r="C19" s="689"/>
      <c r="D19" s="1029"/>
      <c r="E19" s="452">
        <v>0</v>
      </c>
      <c r="F19" s="453">
        <v>3050</v>
      </c>
      <c r="G19" s="452">
        <v>0</v>
      </c>
      <c r="H19" s="453">
        <v>3000</v>
      </c>
      <c r="I19" s="452"/>
      <c r="J19" s="453">
        <v>3000</v>
      </c>
      <c r="K19" s="452"/>
      <c r="L19" s="454">
        <f>J19-H19</f>
        <v>0</v>
      </c>
      <c r="M19" s="10"/>
      <c r="N19" s="3">
        <v>110</v>
      </c>
      <c r="O19" s="3">
        <f t="shared" si="2"/>
        <v>0</v>
      </c>
      <c r="P19" s="306" t="s">
        <v>375</v>
      </c>
    </row>
    <row r="20" spans="1:16" ht="15.75">
      <c r="A20" s="1028" t="s">
        <v>214</v>
      </c>
      <c r="B20" s="689"/>
      <c r="C20" s="689"/>
      <c r="D20" s="1029"/>
      <c r="E20" s="452">
        <v>0</v>
      </c>
      <c r="F20" s="453">
        <v>0</v>
      </c>
      <c r="G20" s="452">
        <v>0</v>
      </c>
      <c r="H20" s="453">
        <v>0</v>
      </c>
      <c r="I20" s="452"/>
      <c r="J20" s="453">
        <v>0</v>
      </c>
      <c r="K20" s="452"/>
      <c r="L20" s="454">
        <f>J20-H20</f>
        <v>0</v>
      </c>
      <c r="M20" s="10"/>
      <c r="N20" s="3">
        <v>0</v>
      </c>
      <c r="O20" s="3">
        <f t="shared" si="2"/>
        <v>0</v>
      </c>
      <c r="P20" s="306" t="s">
        <v>375</v>
      </c>
    </row>
    <row r="21" spans="1:16" ht="15.75">
      <c r="A21" s="1028" t="s">
        <v>267</v>
      </c>
      <c r="B21" s="689"/>
      <c r="C21" s="689"/>
      <c r="D21" s="1029"/>
      <c r="E21" s="452">
        <v>0</v>
      </c>
      <c r="F21" s="453">
        <v>11041</v>
      </c>
      <c r="G21" s="452">
        <v>0</v>
      </c>
      <c r="H21" s="453">
        <v>11156</v>
      </c>
      <c r="I21" s="452"/>
      <c r="J21" s="453">
        <v>14888</v>
      </c>
      <c r="K21" s="452"/>
      <c r="L21" s="454">
        <f>J21-H21</f>
        <v>3732</v>
      </c>
      <c r="M21" s="10">
        <f>4220-576</f>
        <v>3644</v>
      </c>
      <c r="O21" s="3">
        <f t="shared" si="2"/>
        <v>-3732</v>
      </c>
      <c r="P21" s="306" t="s">
        <v>375</v>
      </c>
    </row>
    <row r="22" spans="1:16" ht="15.75">
      <c r="A22" s="1028" t="s">
        <v>144</v>
      </c>
      <c r="B22" s="689"/>
      <c r="C22" s="689"/>
      <c r="D22" s="1029"/>
      <c r="E22" s="452">
        <v>0</v>
      </c>
      <c r="F22" s="453">
        <v>0</v>
      </c>
      <c r="G22" s="452">
        <v>0</v>
      </c>
      <c r="H22" s="453">
        <v>0</v>
      </c>
      <c r="I22" s="452"/>
      <c r="J22" s="453">
        <v>62</v>
      </c>
      <c r="K22" s="452"/>
      <c r="L22" s="454">
        <f>J22-H22</f>
        <v>62</v>
      </c>
      <c r="M22" s="10"/>
      <c r="O22" s="3">
        <f t="shared" si="2"/>
        <v>-62</v>
      </c>
      <c r="P22" s="306" t="s">
        <v>375</v>
      </c>
    </row>
    <row r="23" spans="1:16" ht="15.75">
      <c r="A23" s="1028" t="s">
        <v>215</v>
      </c>
      <c r="B23" s="689"/>
      <c r="C23" s="689"/>
      <c r="D23" s="1029"/>
      <c r="E23" s="452">
        <v>0</v>
      </c>
      <c r="F23" s="453">
        <v>0</v>
      </c>
      <c r="G23" s="452">
        <v>0</v>
      </c>
      <c r="H23" s="453">
        <v>500</v>
      </c>
      <c r="I23" s="452"/>
      <c r="J23" s="453">
        <v>500</v>
      </c>
      <c r="K23" s="452"/>
      <c r="L23" s="454">
        <f aca="true" t="shared" si="3" ref="L23:L32">J23-H23</f>
        <v>0</v>
      </c>
      <c r="M23" s="10">
        <v>332</v>
      </c>
      <c r="N23" s="3">
        <v>175</v>
      </c>
      <c r="O23" s="3">
        <f t="shared" si="2"/>
        <v>0</v>
      </c>
      <c r="P23" s="306" t="s">
        <v>375</v>
      </c>
    </row>
    <row r="24" spans="1:16" ht="15.75">
      <c r="A24" s="1028" t="s">
        <v>216</v>
      </c>
      <c r="B24" s="689"/>
      <c r="C24" s="689"/>
      <c r="D24" s="1029"/>
      <c r="E24" s="452">
        <v>0</v>
      </c>
      <c r="F24" s="453">
        <v>856</v>
      </c>
      <c r="G24" s="452">
        <v>0</v>
      </c>
      <c r="H24" s="453">
        <v>900</v>
      </c>
      <c r="I24" s="452"/>
      <c r="J24" s="453">
        <v>900</v>
      </c>
      <c r="K24" s="452"/>
      <c r="L24" s="454">
        <f t="shared" si="3"/>
        <v>0</v>
      </c>
      <c r="M24" s="10"/>
      <c r="O24" s="3">
        <f t="shared" si="2"/>
        <v>0</v>
      </c>
      <c r="P24" s="306" t="s">
        <v>375</v>
      </c>
    </row>
    <row r="25" spans="1:16" ht="15.75">
      <c r="A25" s="1028" t="s">
        <v>217</v>
      </c>
      <c r="B25" s="689"/>
      <c r="C25" s="689"/>
      <c r="D25" s="1029"/>
      <c r="E25" s="452">
        <v>0</v>
      </c>
      <c r="F25" s="453">
        <v>311</v>
      </c>
      <c r="G25" s="452">
        <v>0</v>
      </c>
      <c r="H25" s="453">
        <v>0</v>
      </c>
      <c r="I25" s="452"/>
      <c r="J25" s="453"/>
      <c r="K25" s="452"/>
      <c r="L25" s="454">
        <f t="shared" si="3"/>
        <v>0</v>
      </c>
      <c r="M25" s="10"/>
      <c r="N25" s="3">
        <v>14918</v>
      </c>
      <c r="O25" s="3">
        <f t="shared" si="2"/>
        <v>0</v>
      </c>
      <c r="P25" s="306" t="s">
        <v>375</v>
      </c>
    </row>
    <row r="26" spans="1:16" ht="15.75">
      <c r="A26" s="1028" t="s">
        <v>218</v>
      </c>
      <c r="B26" s="689"/>
      <c r="C26" s="689"/>
      <c r="D26" s="1029"/>
      <c r="E26" s="452">
        <v>0</v>
      </c>
      <c r="F26" s="453">
        <v>35148</v>
      </c>
      <c r="G26" s="452">
        <v>0</v>
      </c>
      <c r="H26" s="453">
        <f>30000+1328+1000+500+500</f>
        <v>33328</v>
      </c>
      <c r="I26" s="452"/>
      <c r="J26" s="453">
        <v>12507</v>
      </c>
      <c r="K26" s="452"/>
      <c r="L26" s="454">
        <f t="shared" si="3"/>
        <v>-20821</v>
      </c>
      <c r="M26" s="10">
        <v>276</v>
      </c>
      <c r="N26" s="3">
        <v>14853</v>
      </c>
      <c r="O26" s="3">
        <f t="shared" si="2"/>
        <v>20821</v>
      </c>
      <c r="P26" s="306" t="s">
        <v>375</v>
      </c>
    </row>
    <row r="27" spans="1:16" ht="15.75">
      <c r="A27" s="1028" t="s">
        <v>372</v>
      </c>
      <c r="B27" s="1036"/>
      <c r="C27" s="1036"/>
      <c r="D27" s="1037"/>
      <c r="E27" s="452">
        <v>0</v>
      </c>
      <c r="F27" s="453">
        <v>40891</v>
      </c>
      <c r="G27" s="452">
        <v>0</v>
      </c>
      <c r="H27" s="453">
        <f>40000-721-1205</f>
        <v>38074</v>
      </c>
      <c r="I27" s="452"/>
      <c r="J27" s="453">
        <f>15000+300+943</f>
        <v>16243</v>
      </c>
      <c r="K27" s="452"/>
      <c r="L27" s="454">
        <f t="shared" si="3"/>
        <v>-21831</v>
      </c>
      <c r="M27" s="10"/>
      <c r="N27" s="3">
        <v>135</v>
      </c>
      <c r="O27" s="3">
        <f t="shared" si="2"/>
        <v>21831</v>
      </c>
      <c r="P27" s="306" t="s">
        <v>375</v>
      </c>
    </row>
    <row r="28" spans="1:16" ht="15.75">
      <c r="A28" s="1028" t="s">
        <v>268</v>
      </c>
      <c r="B28" s="689"/>
      <c r="C28" s="689"/>
      <c r="D28" s="1029"/>
      <c r="E28" s="452">
        <v>0</v>
      </c>
      <c r="F28" s="453">
        <v>0</v>
      </c>
      <c r="G28" s="452">
        <v>0</v>
      </c>
      <c r="H28" s="453">
        <v>0</v>
      </c>
      <c r="I28" s="452"/>
      <c r="J28" s="453"/>
      <c r="K28" s="452"/>
      <c r="L28" s="454">
        <f t="shared" si="3"/>
        <v>0</v>
      </c>
      <c r="M28" s="10"/>
      <c r="P28" s="306" t="s">
        <v>375</v>
      </c>
    </row>
    <row r="29" spans="1:16" ht="15.75">
      <c r="A29" s="1028" t="s">
        <v>311</v>
      </c>
      <c r="B29" s="689"/>
      <c r="C29" s="689"/>
      <c r="D29" s="1029"/>
      <c r="E29" s="452">
        <v>0</v>
      </c>
      <c r="F29" s="453">
        <v>0</v>
      </c>
      <c r="G29" s="452">
        <v>0</v>
      </c>
      <c r="H29" s="453">
        <v>0</v>
      </c>
      <c r="I29" s="452"/>
      <c r="J29" s="453"/>
      <c r="K29" s="452"/>
      <c r="L29" s="454">
        <f t="shared" si="3"/>
        <v>0</v>
      </c>
      <c r="M29" s="10"/>
      <c r="O29" s="3">
        <f>+H29-J29</f>
        <v>0</v>
      </c>
      <c r="P29" s="306" t="s">
        <v>375</v>
      </c>
    </row>
    <row r="30" spans="1:16" ht="15.75">
      <c r="A30" s="1028" t="s">
        <v>312</v>
      </c>
      <c r="B30" s="689"/>
      <c r="C30" s="689"/>
      <c r="D30" s="1029"/>
      <c r="E30" s="452">
        <v>0</v>
      </c>
      <c r="F30" s="453">
        <v>0</v>
      </c>
      <c r="G30" s="452">
        <v>0</v>
      </c>
      <c r="H30" s="453">
        <v>0</v>
      </c>
      <c r="I30" s="452"/>
      <c r="J30" s="453"/>
      <c r="K30" s="452"/>
      <c r="L30" s="454">
        <f t="shared" si="3"/>
        <v>0</v>
      </c>
      <c r="M30" s="10"/>
      <c r="N30" s="3">
        <v>10</v>
      </c>
      <c r="O30" s="3">
        <f>+H30-J30</f>
        <v>0</v>
      </c>
      <c r="P30" s="306" t="s">
        <v>375</v>
      </c>
    </row>
    <row r="31" spans="1:16" ht="15.75">
      <c r="A31" s="1028" t="s">
        <v>219</v>
      </c>
      <c r="B31" s="689"/>
      <c r="C31" s="689"/>
      <c r="D31" s="1029"/>
      <c r="E31" s="452">
        <v>0</v>
      </c>
      <c r="F31" s="453">
        <v>721</v>
      </c>
      <c r="G31" s="452">
        <v>0</v>
      </c>
      <c r="H31" s="453">
        <v>1000</v>
      </c>
      <c r="I31" s="452"/>
      <c r="J31" s="453">
        <v>1000</v>
      </c>
      <c r="K31" s="452"/>
      <c r="L31" s="454">
        <f t="shared" si="3"/>
        <v>0</v>
      </c>
      <c r="M31" s="10"/>
      <c r="N31" s="3">
        <v>85</v>
      </c>
      <c r="O31" s="3">
        <f>+H31-J31</f>
        <v>0</v>
      </c>
      <c r="P31" s="306" t="s">
        <v>375</v>
      </c>
    </row>
    <row r="32" spans="1:16" ht="15.75">
      <c r="A32" s="1028" t="s">
        <v>220</v>
      </c>
      <c r="B32" s="689"/>
      <c r="C32" s="689"/>
      <c r="D32" s="1029"/>
      <c r="E32" s="452">
        <v>0</v>
      </c>
      <c r="F32" s="453">
        <v>2845</v>
      </c>
      <c r="G32" s="452">
        <v>0</v>
      </c>
      <c r="H32" s="453">
        <v>2200</v>
      </c>
      <c r="I32" s="452"/>
      <c r="J32" s="453">
        <v>1800</v>
      </c>
      <c r="K32" s="452"/>
      <c r="L32" s="454">
        <f t="shared" si="3"/>
        <v>-400</v>
      </c>
      <c r="M32" s="10"/>
      <c r="N32" s="3">
        <v>37758</v>
      </c>
      <c r="O32" s="3">
        <f>+H32-J32</f>
        <v>400</v>
      </c>
      <c r="P32" s="306" t="s">
        <v>375</v>
      </c>
    </row>
    <row r="33" spans="1:16" ht="15.75">
      <c r="A33" s="1028" t="s">
        <v>43</v>
      </c>
      <c r="B33" s="689"/>
      <c r="C33" s="689"/>
      <c r="D33" s="1029"/>
      <c r="E33" s="452">
        <v>0</v>
      </c>
      <c r="F33" s="453">
        <v>155436</v>
      </c>
      <c r="G33" s="452">
        <v>0</v>
      </c>
      <c r="H33" s="453">
        <f>290482-155095+1442</f>
        <v>136829</v>
      </c>
      <c r="I33" s="452"/>
      <c r="J33" s="453">
        <f>209012-124045-5140-2000-362</f>
        <v>77465</v>
      </c>
      <c r="K33" s="452"/>
      <c r="L33" s="454"/>
      <c r="M33" s="10"/>
      <c r="P33" s="306"/>
    </row>
    <row r="34" spans="1:16" ht="15.75">
      <c r="A34" s="1028" t="s">
        <v>42</v>
      </c>
      <c r="B34" s="689"/>
      <c r="C34" s="689"/>
      <c r="D34" s="1029"/>
      <c r="E34" s="452">
        <v>0</v>
      </c>
      <c r="F34" s="453">
        <v>42</v>
      </c>
      <c r="G34" s="452">
        <v>0</v>
      </c>
      <c r="H34" s="453">
        <v>0</v>
      </c>
      <c r="I34" s="452"/>
      <c r="J34" s="453">
        <v>0</v>
      </c>
      <c r="K34" s="452"/>
      <c r="L34" s="454"/>
      <c r="M34" s="10"/>
      <c r="P34" s="306"/>
    </row>
    <row r="35" spans="1:16" ht="15.75">
      <c r="A35" s="1033" t="s">
        <v>221</v>
      </c>
      <c r="B35" s="1034"/>
      <c r="C35" s="1034"/>
      <c r="D35" s="1035"/>
      <c r="E35" s="463">
        <v>0</v>
      </c>
      <c r="F35" s="464">
        <f>SUM(F16:F33)</f>
        <v>305651</v>
      </c>
      <c r="G35" s="463"/>
      <c r="H35" s="464">
        <f>SUM(H16:H34)</f>
        <v>290482</v>
      </c>
      <c r="I35" s="463"/>
      <c r="J35" s="464">
        <f>SUM(J16:J34)</f>
        <v>203872</v>
      </c>
      <c r="K35" s="463"/>
      <c r="L35" s="465">
        <f>SUM(L16:L32)</f>
        <v>-27308</v>
      </c>
      <c r="M35" s="10">
        <f>SUM(M12:M32)</f>
        <v>9321</v>
      </c>
      <c r="N35" s="3">
        <f>SUM(N16:N32)</f>
        <v>71666</v>
      </c>
      <c r="O35" s="3">
        <f>+H35-J35</f>
        <v>86610</v>
      </c>
      <c r="P35" s="306" t="s">
        <v>375</v>
      </c>
    </row>
    <row r="36" spans="1:16" ht="16.5" customHeight="1">
      <c r="A36" s="1032" t="s">
        <v>222</v>
      </c>
      <c r="B36" s="689"/>
      <c r="C36" s="689"/>
      <c r="D36" s="1029"/>
      <c r="E36" s="466">
        <v>0</v>
      </c>
      <c r="F36" s="467">
        <v>-14336</v>
      </c>
      <c r="G36" s="466"/>
      <c r="H36" s="467">
        <f>-F38</f>
        <v>-17615</v>
      </c>
      <c r="I36" s="466"/>
      <c r="J36" s="467">
        <f>-H38</f>
        <v>0</v>
      </c>
      <c r="K36" s="466"/>
      <c r="L36" s="468"/>
      <c r="M36" s="10"/>
      <c r="P36" s="306" t="s">
        <v>375</v>
      </c>
    </row>
    <row r="37" spans="1:16" ht="16.5" customHeight="1">
      <c r="A37" s="570" t="s">
        <v>89</v>
      </c>
      <c r="B37" s="532"/>
      <c r="C37" s="532"/>
      <c r="D37" s="569"/>
      <c r="E37" s="466"/>
      <c r="F37" s="467">
        <v>6000</v>
      </c>
      <c r="G37" s="466"/>
      <c r="H37" s="467">
        <v>0</v>
      </c>
      <c r="I37" s="466"/>
      <c r="J37" s="467">
        <v>0</v>
      </c>
      <c r="K37" s="466"/>
      <c r="L37" s="468"/>
      <c r="M37" s="10"/>
      <c r="P37" s="306"/>
    </row>
    <row r="38" spans="1:16" ht="15.75">
      <c r="A38" s="1032" t="s">
        <v>223</v>
      </c>
      <c r="B38" s="689"/>
      <c r="C38" s="689"/>
      <c r="D38" s="1029"/>
      <c r="E38" s="466">
        <v>0</v>
      </c>
      <c r="F38" s="467">
        <v>17615</v>
      </c>
      <c r="G38" s="466"/>
      <c r="H38" s="467">
        <v>0</v>
      </c>
      <c r="I38" s="466"/>
      <c r="J38" s="467">
        <v>0</v>
      </c>
      <c r="K38" s="466"/>
      <c r="L38" s="468"/>
      <c r="M38" s="10"/>
      <c r="P38" s="306" t="s">
        <v>375</v>
      </c>
    </row>
    <row r="39" spans="1:16" ht="15.75">
      <c r="A39" s="1032" t="s">
        <v>224</v>
      </c>
      <c r="B39" s="689"/>
      <c r="C39" s="689"/>
      <c r="D39" s="1029"/>
      <c r="E39" s="466">
        <v>0</v>
      </c>
      <c r="F39" s="467">
        <v>-10513</v>
      </c>
      <c r="G39" s="466"/>
      <c r="H39" s="467">
        <v>-10000</v>
      </c>
      <c r="I39" s="466"/>
      <c r="J39" s="467">
        <v>0</v>
      </c>
      <c r="K39" s="466"/>
      <c r="L39" s="468"/>
      <c r="M39" s="10"/>
      <c r="P39" s="306" t="s">
        <v>375</v>
      </c>
    </row>
    <row r="40" spans="1:16" ht="16.5" thickBot="1">
      <c r="A40" s="1019" t="s">
        <v>376</v>
      </c>
      <c r="B40" s="1020"/>
      <c r="C40" s="1020"/>
      <c r="D40" s="1021"/>
      <c r="E40" s="469"/>
      <c r="F40" s="470">
        <f>SUM(F35:F39)</f>
        <v>304417</v>
      </c>
      <c r="G40" s="469"/>
      <c r="H40" s="470">
        <f>SUM(H35:H39)</f>
        <v>262867</v>
      </c>
      <c r="I40" s="469"/>
      <c r="J40" s="470">
        <f>SUM(J35:J39)</f>
        <v>203872</v>
      </c>
      <c r="K40" s="469"/>
      <c r="L40" s="471"/>
      <c r="M40" s="10"/>
      <c r="P40" s="306" t="s">
        <v>375</v>
      </c>
    </row>
    <row r="41" spans="1:16" ht="15.75">
      <c r="A41" s="1025" t="s">
        <v>345</v>
      </c>
      <c r="B41" s="1026"/>
      <c r="C41" s="1026"/>
      <c r="D41" s="1027"/>
      <c r="E41" s="452"/>
      <c r="F41" s="453"/>
      <c r="G41" s="452"/>
      <c r="H41" s="453"/>
      <c r="I41" s="452"/>
      <c r="J41" s="453"/>
      <c r="K41" s="452"/>
      <c r="L41" s="454"/>
      <c r="M41" s="10"/>
      <c r="P41" s="306" t="s">
        <v>375</v>
      </c>
    </row>
    <row r="42" spans="1:16" ht="15.75">
      <c r="A42" s="1028" t="s">
        <v>211</v>
      </c>
      <c r="B42" s="689"/>
      <c r="C42" s="689"/>
      <c r="D42" s="1029"/>
      <c r="E42" s="472"/>
      <c r="F42" s="453"/>
      <c r="G42" s="472"/>
      <c r="H42" s="453"/>
      <c r="I42" s="472"/>
      <c r="J42" s="453"/>
      <c r="K42" s="466">
        <f>I42-G42</f>
        <v>0</v>
      </c>
      <c r="L42" s="454">
        <f>J42-H42</f>
        <v>0</v>
      </c>
      <c r="M42" s="10"/>
      <c r="P42" s="306" t="s">
        <v>375</v>
      </c>
    </row>
    <row r="43" spans="1:16" ht="15.75">
      <c r="A43" s="1022" t="s">
        <v>377</v>
      </c>
      <c r="B43" s="1030"/>
      <c r="C43" s="1030"/>
      <c r="D43" s="1031"/>
      <c r="E43" s="452"/>
      <c r="F43" s="453"/>
      <c r="G43" s="452"/>
      <c r="H43" s="453"/>
      <c r="I43" s="452"/>
      <c r="J43" s="453"/>
      <c r="K43" s="466"/>
      <c r="L43" s="454">
        <f>J43-H43</f>
        <v>0</v>
      </c>
      <c r="M43" s="10"/>
      <c r="P43" s="306" t="s">
        <v>375</v>
      </c>
    </row>
    <row r="44" spans="1:16" ht="15.75">
      <c r="A44" s="1022" t="s">
        <v>378</v>
      </c>
      <c r="B44" s="1023"/>
      <c r="C44" s="1023"/>
      <c r="D44" s="1024"/>
      <c r="E44" s="452"/>
      <c r="F44" s="453"/>
      <c r="G44" s="452"/>
      <c r="H44" s="453"/>
      <c r="I44" s="452"/>
      <c r="J44" s="453"/>
      <c r="K44" s="466"/>
      <c r="L44" s="454">
        <f>J44-H44</f>
        <v>0</v>
      </c>
      <c r="M44" s="10"/>
      <c r="P44" s="306" t="s">
        <v>375</v>
      </c>
    </row>
    <row r="45" spans="1:16" ht="15.75">
      <c r="A45" s="267"/>
      <c r="B45" s="286"/>
      <c r="C45" s="246"/>
      <c r="D45" s="287"/>
      <c r="E45" s="246"/>
      <c r="F45" s="246"/>
      <c r="G45" s="246"/>
      <c r="H45" s="246"/>
      <c r="I45" s="246"/>
      <c r="J45" s="246"/>
      <c r="K45" s="246"/>
      <c r="L45" s="246"/>
      <c r="M45" s="10"/>
      <c r="P45" s="306" t="s">
        <v>55</v>
      </c>
    </row>
    <row r="46" spans="1:16" ht="15.75">
      <c r="A46" s="1058"/>
      <c r="B46" s="828"/>
      <c r="C46" s="828"/>
      <c r="D46" s="828"/>
      <c r="E46" s="828"/>
      <c r="F46" s="828"/>
      <c r="G46" s="828"/>
      <c r="H46" s="828"/>
      <c r="I46" s="828"/>
      <c r="J46" s="828"/>
      <c r="K46" s="828"/>
      <c r="L46" s="828"/>
      <c r="M46" s="828"/>
      <c r="N46" s="828"/>
      <c r="O46" s="828"/>
      <c r="P46" s="939"/>
    </row>
    <row r="47" spans="11:13" ht="15.75">
      <c r="K47" s="27"/>
      <c r="L47" s="27"/>
      <c r="M47" s="10"/>
    </row>
    <row r="48" spans="11:13" ht="15.75">
      <c r="K48" s="27"/>
      <c r="L48" s="28"/>
      <c r="M48" s="10"/>
    </row>
    <row r="49" spans="11:13" ht="15.75">
      <c r="K49" s="27"/>
      <c r="L49" s="28"/>
      <c r="M49" s="10"/>
    </row>
    <row r="50" spans="11:13" ht="15.75">
      <c r="K50" s="27"/>
      <c r="L50" s="27"/>
      <c r="M50" s="10"/>
    </row>
    <row r="51" spans="11:13" ht="15.75">
      <c r="K51" s="27"/>
      <c r="L51" s="27"/>
      <c r="M51" s="10"/>
    </row>
    <row r="52" spans="11:13" ht="15.75">
      <c r="K52" s="27"/>
      <c r="L52" s="27"/>
      <c r="M52" s="10"/>
    </row>
    <row r="53" spans="11:13" ht="15.75">
      <c r="K53" s="27"/>
      <c r="L53" s="27"/>
      <c r="M53" s="10"/>
    </row>
    <row r="54" spans="11:13" ht="15.75">
      <c r="K54" s="27"/>
      <c r="L54" s="27"/>
      <c r="M54" s="10"/>
    </row>
    <row r="55" spans="11:13" ht="15.75">
      <c r="K55" s="27"/>
      <c r="L55" s="27"/>
      <c r="M55" s="10"/>
    </row>
    <row r="56" spans="11:13" ht="15.75">
      <c r="K56" s="27"/>
      <c r="L56" s="27"/>
      <c r="M56" s="10"/>
    </row>
    <row r="57" spans="11:13" ht="15.75">
      <c r="K57" s="27"/>
      <c r="L57" s="27"/>
      <c r="M57" s="10"/>
    </row>
    <row r="58" spans="11:13" ht="15.75">
      <c r="K58" s="27"/>
      <c r="L58" s="27"/>
      <c r="M58" s="10"/>
    </row>
    <row r="59" spans="11:13" ht="15.75">
      <c r="K59" s="27"/>
      <c r="L59" s="27"/>
      <c r="M59" s="10"/>
    </row>
    <row r="60" spans="11:13" ht="15.75">
      <c r="K60" s="27"/>
      <c r="L60" s="27"/>
      <c r="M60" s="10"/>
    </row>
    <row r="61" spans="11:13" ht="15.75">
      <c r="K61" s="27"/>
      <c r="L61" s="27"/>
      <c r="M61" s="10"/>
    </row>
    <row r="62" spans="11:13" ht="15.75">
      <c r="K62" s="27"/>
      <c r="L62" s="27"/>
      <c r="M62" s="10"/>
    </row>
    <row r="63" spans="11:13" ht="15.75">
      <c r="K63" s="31"/>
      <c r="L63" s="27"/>
      <c r="M63" s="10"/>
    </row>
    <row r="64" spans="11:13" ht="15.75">
      <c r="K64" s="10"/>
      <c r="L64" s="10"/>
      <c r="M64" s="10"/>
    </row>
    <row r="65" spans="11:13" ht="15.75">
      <c r="K65" s="9"/>
      <c r="L65" s="9"/>
      <c r="M65" s="10"/>
    </row>
    <row r="66" spans="11:13" ht="15.75">
      <c r="K66" s="9"/>
      <c r="L66" s="9"/>
      <c r="M66" s="10"/>
    </row>
    <row r="67" spans="11:13" ht="15.75">
      <c r="K67" s="9"/>
      <c r="L67" s="9"/>
      <c r="M67" s="10"/>
    </row>
    <row r="68" spans="11:13" ht="15.75">
      <c r="K68" s="9"/>
      <c r="L68" s="9"/>
      <c r="M68" s="10"/>
    </row>
    <row r="69" ht="15.75">
      <c r="M69" s="10"/>
    </row>
    <row r="70" ht="15.75">
      <c r="M70" s="10"/>
    </row>
  </sheetData>
  <mergeCells count="46">
    <mergeCell ref="A17:D17"/>
    <mergeCell ref="A16:D16"/>
    <mergeCell ref="E8:F8"/>
    <mergeCell ref="A20:D20"/>
    <mergeCell ref="A21:D21"/>
    <mergeCell ref="A22:D22"/>
    <mergeCell ref="A46:P46"/>
    <mergeCell ref="A23:D23"/>
    <mergeCell ref="A24:D24"/>
    <mergeCell ref="A25:D25"/>
    <mergeCell ref="A12:D12"/>
    <mergeCell ref="A13:D13"/>
    <mergeCell ref="A14:D14"/>
    <mergeCell ref="A15:D15"/>
    <mergeCell ref="A1:L1"/>
    <mergeCell ref="A2:L2"/>
    <mergeCell ref="A3:L3"/>
    <mergeCell ref="A4:L4"/>
    <mergeCell ref="A5:L5"/>
    <mergeCell ref="A8:D9"/>
    <mergeCell ref="A10:D10"/>
    <mergeCell ref="A11:D11"/>
    <mergeCell ref="A6:L6"/>
    <mergeCell ref="K8:L8"/>
    <mergeCell ref="I8:J8"/>
    <mergeCell ref="G8:H8"/>
    <mergeCell ref="A18:D18"/>
    <mergeCell ref="A26:D26"/>
    <mergeCell ref="A27:D27"/>
    <mergeCell ref="A28:D28"/>
    <mergeCell ref="A19:D19"/>
    <mergeCell ref="A38:D38"/>
    <mergeCell ref="A39:D39"/>
    <mergeCell ref="A29:D29"/>
    <mergeCell ref="A30:D30"/>
    <mergeCell ref="A31:D31"/>
    <mergeCell ref="A32:D32"/>
    <mergeCell ref="A33:D33"/>
    <mergeCell ref="A34:D34"/>
    <mergeCell ref="A35:D35"/>
    <mergeCell ref="A36:D36"/>
    <mergeCell ref="A40:D40"/>
    <mergeCell ref="A44:D44"/>
    <mergeCell ref="A41:D41"/>
    <mergeCell ref="A42:D42"/>
    <mergeCell ref="A43:D43"/>
  </mergeCells>
  <printOptions horizontalCentered="1"/>
  <pageMargins left="0.5" right="0.5" top="0.5" bottom="0.25" header="0.5" footer="0.5"/>
  <pageSetup horizontalDpi="600" verticalDpi="600" orientation="landscape" scale="70" r:id="rId1"/>
  <headerFooter alignWithMargins="0">
    <oddFooter>&amp;C&amp;"Times New Roman,Regular"Exhibit L - Summary of Requirements by Object Class&amp;R&amp;"Times New Roman,Regular"Justice Assistance</oddFooter>
  </headerFooter>
</worksheet>
</file>

<file path=xl/worksheets/sheet2.xml><?xml version="1.0" encoding="utf-8"?>
<worksheet xmlns="http://schemas.openxmlformats.org/spreadsheetml/2006/main" xmlns:r="http://schemas.openxmlformats.org/officeDocument/2006/relationships">
  <sheetPr codeName="Sheet6">
    <pageSetUpPr fitToPage="1"/>
  </sheetPr>
  <dimension ref="A1:H30"/>
  <sheetViews>
    <sheetView zoomScale="75" zoomScaleNormal="75" zoomScaleSheetLayoutView="75" workbookViewId="0" topLeftCell="A1">
      <selection activeCell="W47" sqref="W47"/>
    </sheetView>
  </sheetViews>
  <sheetFormatPr defaultColWidth="8.88671875" defaultRowHeight="15"/>
  <cols>
    <col min="1" max="1" width="35.6640625" style="45" customWidth="1"/>
    <col min="2" max="2" width="15.88671875" style="45" customWidth="1"/>
    <col min="3" max="3" width="8.6640625" style="45" customWidth="1"/>
    <col min="4" max="4" width="9.6640625" style="45" customWidth="1"/>
    <col min="5" max="5" width="8.4453125" style="45" customWidth="1"/>
    <col min="6" max="6" width="8.10546875" style="45" customWidth="1"/>
    <col min="7" max="7" width="14.5546875" style="45" customWidth="1"/>
    <col min="8" max="8" width="1.1171875" style="321" customWidth="1"/>
    <col min="9" max="16384" width="7.21484375" style="45" customWidth="1"/>
  </cols>
  <sheetData>
    <row r="1" spans="1:8" ht="20.25">
      <c r="A1" s="715" t="s">
        <v>76</v>
      </c>
      <c r="B1" s="716"/>
      <c r="C1" s="716"/>
      <c r="D1" s="716"/>
      <c r="E1" s="716"/>
      <c r="F1" s="716"/>
      <c r="G1" s="716"/>
      <c r="H1" s="320" t="s">
        <v>375</v>
      </c>
    </row>
    <row r="2" spans="1:8" ht="20.25">
      <c r="A2" s="40"/>
      <c r="H2" s="320"/>
    </row>
    <row r="3" ht="12.75">
      <c r="H3" s="320"/>
    </row>
    <row r="4" spans="1:8" ht="23.25">
      <c r="A4" s="796" t="s">
        <v>77</v>
      </c>
      <c r="B4" s="797"/>
      <c r="C4" s="797"/>
      <c r="D4" s="797"/>
      <c r="E4" s="797"/>
      <c r="F4" s="797"/>
      <c r="G4" s="797"/>
      <c r="H4" s="320" t="s">
        <v>375</v>
      </c>
    </row>
    <row r="5" spans="1:8" ht="23.25">
      <c r="A5" s="798" t="str">
        <f>'B. Summary of Requirements '!A80</f>
        <v>Office of Justice Programs</v>
      </c>
      <c r="B5" s="799"/>
      <c r="C5" s="799"/>
      <c r="D5" s="799"/>
      <c r="E5" s="799"/>
      <c r="F5" s="799"/>
      <c r="G5" s="799"/>
      <c r="H5" s="320" t="s">
        <v>375</v>
      </c>
    </row>
    <row r="6" spans="1:8" ht="23.25">
      <c r="A6" s="800" t="s">
        <v>332</v>
      </c>
      <c r="B6" s="797"/>
      <c r="C6" s="797"/>
      <c r="D6" s="797"/>
      <c r="E6" s="797"/>
      <c r="F6" s="797"/>
      <c r="G6" s="797"/>
      <c r="H6" s="320" t="s">
        <v>375</v>
      </c>
    </row>
    <row r="7" spans="1:8" ht="12.75">
      <c r="A7" s="213"/>
      <c r="B7" s="50"/>
      <c r="C7" s="50"/>
      <c r="D7" s="50"/>
      <c r="E7" s="50"/>
      <c r="F7" s="50"/>
      <c r="G7" s="50"/>
      <c r="H7" s="320"/>
    </row>
    <row r="8" ht="12.75">
      <c r="H8" s="320"/>
    </row>
    <row r="9" spans="1:8" ht="53.25" customHeight="1">
      <c r="A9" s="801" t="s">
        <v>294</v>
      </c>
      <c r="B9" s="793" t="s">
        <v>78</v>
      </c>
      <c r="C9" s="803" t="s">
        <v>41</v>
      </c>
      <c r="D9" s="804"/>
      <c r="E9" s="804"/>
      <c r="F9" s="805"/>
      <c r="G9" s="793" t="s">
        <v>60</v>
      </c>
      <c r="H9" s="320" t="s">
        <v>375</v>
      </c>
    </row>
    <row r="10" spans="1:8" ht="15.75">
      <c r="A10" s="802"/>
      <c r="B10" s="794"/>
      <c r="C10" s="589" t="s">
        <v>355</v>
      </c>
      <c r="D10" s="589" t="s">
        <v>403</v>
      </c>
      <c r="E10" s="589" t="s">
        <v>174</v>
      </c>
      <c r="F10" s="590" t="s">
        <v>357</v>
      </c>
      <c r="G10" s="794"/>
      <c r="H10" s="320" t="s">
        <v>375</v>
      </c>
    </row>
    <row r="11" spans="1:8" ht="15.75">
      <c r="A11" s="600" t="s">
        <v>195</v>
      </c>
      <c r="B11" s="601" t="s">
        <v>380</v>
      </c>
      <c r="C11" s="663">
        <v>155</v>
      </c>
      <c r="D11" s="343">
        <v>11</v>
      </c>
      <c r="E11" s="343">
        <v>142</v>
      </c>
      <c r="F11" s="344">
        <v>0</v>
      </c>
      <c r="G11" s="610">
        <v>0</v>
      </c>
      <c r="H11" s="320" t="s">
        <v>375</v>
      </c>
    </row>
    <row r="12" spans="1:8" ht="18.75" customHeight="1">
      <c r="A12" s="600" t="s">
        <v>279</v>
      </c>
      <c r="B12" s="601" t="s">
        <v>380</v>
      </c>
      <c r="C12" s="664">
        <v>0</v>
      </c>
      <c r="D12" s="596">
        <v>0</v>
      </c>
      <c r="E12" s="596">
        <v>0</v>
      </c>
      <c r="F12" s="344">
        <v>18220</v>
      </c>
      <c r="G12" s="344">
        <v>18220</v>
      </c>
      <c r="H12" s="320" t="s">
        <v>375</v>
      </c>
    </row>
    <row r="13" spans="1:8" ht="18.75" customHeight="1">
      <c r="A13" s="607" t="s">
        <v>73</v>
      </c>
      <c r="B13" s="601" t="s">
        <v>380</v>
      </c>
      <c r="C13" s="597">
        <v>0</v>
      </c>
      <c r="D13" s="598">
        <v>0</v>
      </c>
      <c r="E13" s="598">
        <v>0</v>
      </c>
      <c r="F13" s="345">
        <v>12747</v>
      </c>
      <c r="G13" s="345">
        <v>12747</v>
      </c>
      <c r="H13" s="320" t="s">
        <v>375</v>
      </c>
    </row>
    <row r="14" spans="1:8" ht="18.75" customHeight="1">
      <c r="A14" s="599" t="s">
        <v>346</v>
      </c>
      <c r="B14" s="602"/>
      <c r="C14" s="582">
        <f>SUM(C11:C13)</f>
        <v>155</v>
      </c>
      <c r="D14" s="583">
        <f>SUM(D11:D13)</f>
        <v>11</v>
      </c>
      <c r="E14" s="583">
        <f>SUM(E11:E13)</f>
        <v>142</v>
      </c>
      <c r="F14" s="584">
        <f>SUM(F11:F13)</f>
        <v>30967</v>
      </c>
      <c r="G14" s="585">
        <f>SUM(G11:G13)</f>
        <v>30967</v>
      </c>
      <c r="H14" s="320" t="s">
        <v>375</v>
      </c>
    </row>
    <row r="15" spans="1:8" ht="18.75" customHeight="1">
      <c r="A15" s="586"/>
      <c r="B15" s="603"/>
      <c r="C15" s="586"/>
      <c r="D15" s="587"/>
      <c r="E15" s="587"/>
      <c r="F15" s="588"/>
      <c r="G15" s="588"/>
      <c r="H15" s="320" t="s">
        <v>375</v>
      </c>
    </row>
    <row r="16" spans="1:8" ht="47.25" customHeight="1">
      <c r="A16" s="811" t="s">
        <v>405</v>
      </c>
      <c r="B16" s="793" t="s">
        <v>78</v>
      </c>
      <c r="C16" s="803" t="s">
        <v>41</v>
      </c>
      <c r="D16" s="806"/>
      <c r="E16" s="806"/>
      <c r="F16" s="807"/>
      <c r="G16" s="793" t="s">
        <v>333</v>
      </c>
      <c r="H16" s="320" t="s">
        <v>375</v>
      </c>
    </row>
    <row r="17" spans="1:8" ht="17.25" customHeight="1">
      <c r="A17" s="812"/>
      <c r="B17" s="794"/>
      <c r="C17" s="589" t="s">
        <v>355</v>
      </c>
      <c r="D17" s="589" t="s">
        <v>403</v>
      </c>
      <c r="E17" s="589" t="s">
        <v>174</v>
      </c>
      <c r="F17" s="590" t="s">
        <v>357</v>
      </c>
      <c r="G17" s="795"/>
      <c r="H17" s="320" t="s">
        <v>375</v>
      </c>
    </row>
    <row r="18" spans="1:8" ht="18.75" customHeight="1">
      <c r="A18" s="604" t="s">
        <v>74</v>
      </c>
      <c r="B18" s="601" t="s">
        <v>380</v>
      </c>
      <c r="C18" s="665">
        <v>0</v>
      </c>
      <c r="D18" s="596">
        <v>0</v>
      </c>
      <c r="E18" s="596">
        <v>0</v>
      </c>
      <c r="F18" s="344">
        <v>-2300</v>
      </c>
      <c r="G18" s="610">
        <f aca="true" t="shared" si="0" ref="G18:G24">+F18</f>
        <v>-2300</v>
      </c>
      <c r="H18" s="320" t="s">
        <v>375</v>
      </c>
    </row>
    <row r="19" spans="1:8" ht="18.75" customHeight="1">
      <c r="A19" s="604" t="s">
        <v>25</v>
      </c>
      <c r="B19" s="601" t="s">
        <v>380</v>
      </c>
      <c r="C19" s="664">
        <v>0</v>
      </c>
      <c r="D19" s="596">
        <v>0</v>
      </c>
      <c r="E19" s="596">
        <v>0</v>
      </c>
      <c r="F19" s="344">
        <v>-9400</v>
      </c>
      <c r="G19" s="344">
        <f t="shared" si="0"/>
        <v>-9400</v>
      </c>
      <c r="H19" s="320" t="s">
        <v>375</v>
      </c>
    </row>
    <row r="20" spans="1:8" ht="18.75" customHeight="1">
      <c r="A20" s="605" t="s">
        <v>277</v>
      </c>
      <c r="B20" s="601" t="s">
        <v>380</v>
      </c>
      <c r="C20" s="664">
        <v>0</v>
      </c>
      <c r="D20" s="596">
        <v>0</v>
      </c>
      <c r="E20" s="596">
        <v>0</v>
      </c>
      <c r="F20" s="344">
        <v>-5800</v>
      </c>
      <c r="G20" s="344">
        <f t="shared" si="0"/>
        <v>-5800</v>
      </c>
      <c r="H20" s="320" t="s">
        <v>375</v>
      </c>
    </row>
    <row r="21" spans="1:8" ht="18.75" customHeight="1">
      <c r="A21" s="605" t="s">
        <v>23</v>
      </c>
      <c r="B21" s="601" t="s">
        <v>380</v>
      </c>
      <c r="C21" s="664">
        <v>0</v>
      </c>
      <c r="D21" s="596">
        <v>0</v>
      </c>
      <c r="E21" s="596">
        <v>0</v>
      </c>
      <c r="F21" s="344">
        <v>-50000</v>
      </c>
      <c r="G21" s="344">
        <f t="shared" si="0"/>
        <v>-50000</v>
      </c>
      <c r="H21" s="320" t="s">
        <v>375</v>
      </c>
    </row>
    <row r="22" spans="1:8" ht="18.75" customHeight="1">
      <c r="A22" s="606" t="s">
        <v>198</v>
      </c>
      <c r="B22" s="601" t="s">
        <v>380</v>
      </c>
      <c r="C22" s="664">
        <v>0</v>
      </c>
      <c r="D22" s="596">
        <v>0</v>
      </c>
      <c r="E22" s="596">
        <v>0</v>
      </c>
      <c r="F22" s="666">
        <v>-11280</v>
      </c>
      <c r="G22" s="611">
        <f t="shared" si="0"/>
        <v>-11280</v>
      </c>
      <c r="H22" s="320"/>
    </row>
    <row r="23" spans="1:8" ht="18.75" customHeight="1">
      <c r="A23" s="115" t="s">
        <v>37</v>
      </c>
      <c r="B23" s="601" t="s">
        <v>380</v>
      </c>
      <c r="C23" s="664">
        <v>0</v>
      </c>
      <c r="D23" s="596">
        <v>0</v>
      </c>
      <c r="E23" s="596">
        <v>0</v>
      </c>
      <c r="F23" s="667">
        <v>-2820</v>
      </c>
      <c r="G23" s="581">
        <f t="shared" si="0"/>
        <v>-2820</v>
      </c>
      <c r="H23" s="320"/>
    </row>
    <row r="24" spans="1:8" ht="18.75" customHeight="1">
      <c r="A24" s="607" t="s">
        <v>30</v>
      </c>
      <c r="B24" s="612" t="s">
        <v>380</v>
      </c>
      <c r="C24" s="595">
        <v>0</v>
      </c>
      <c r="D24" s="596">
        <v>0</v>
      </c>
      <c r="E24" s="596">
        <v>0</v>
      </c>
      <c r="F24" s="345">
        <f>-10904-5140</f>
        <v>-16044</v>
      </c>
      <c r="G24" s="344">
        <f t="shared" si="0"/>
        <v>-16044</v>
      </c>
      <c r="H24" s="320" t="s">
        <v>375</v>
      </c>
    </row>
    <row r="25" spans="1:8" ht="18.75" customHeight="1">
      <c r="A25" s="608" t="s">
        <v>75</v>
      </c>
      <c r="B25" s="609"/>
      <c r="C25" s="591">
        <f>SUM(C18:C24)</f>
        <v>0</v>
      </c>
      <c r="D25" s="592">
        <f>SUM(D18:D24)</f>
        <v>0</v>
      </c>
      <c r="E25" s="592">
        <f>SUM(E18:E24)</f>
        <v>0</v>
      </c>
      <c r="F25" s="593">
        <f>SUM(F18:F24)</f>
        <v>-97644</v>
      </c>
      <c r="G25" s="594">
        <f>SUM(G18:G24)</f>
        <v>-97644</v>
      </c>
      <c r="H25" s="320" t="s">
        <v>55</v>
      </c>
    </row>
    <row r="26" spans="1:8" ht="18.75" customHeight="1">
      <c r="A26" s="808"/>
      <c r="B26" s="809"/>
      <c r="C26" s="809"/>
      <c r="D26" s="809"/>
      <c r="E26" s="809"/>
      <c r="F26" s="809"/>
      <c r="G26" s="810"/>
      <c r="H26" s="320"/>
    </row>
    <row r="27" spans="1:8" ht="18.75" customHeight="1">
      <c r="A27" s="214"/>
      <c r="B27" s="167"/>
      <c r="C27" s="167"/>
      <c r="D27" s="167"/>
      <c r="E27" s="167"/>
      <c r="F27" s="167"/>
      <c r="G27" s="167"/>
      <c r="H27" s="320"/>
    </row>
    <row r="28" ht="18.75" customHeight="1">
      <c r="H28" s="320"/>
    </row>
    <row r="29" spans="1:7" ht="15" customHeight="1">
      <c r="A29" s="247"/>
      <c r="B29" s="248"/>
      <c r="C29" s="248"/>
      <c r="D29" s="248"/>
      <c r="E29" s="248"/>
      <c r="F29" s="248"/>
      <c r="G29" s="299"/>
    </row>
    <row r="30" spans="1:6" ht="12.75">
      <c r="A30" s="248"/>
      <c r="B30" s="248"/>
      <c r="C30" s="248"/>
      <c r="D30" s="248"/>
      <c r="E30" s="248"/>
      <c r="F30" s="248"/>
    </row>
  </sheetData>
  <mergeCells count="13">
    <mergeCell ref="A9:A10"/>
    <mergeCell ref="C9:F9"/>
    <mergeCell ref="B9:B10"/>
    <mergeCell ref="C16:F16"/>
    <mergeCell ref="B16:B17"/>
    <mergeCell ref="A26:G26"/>
    <mergeCell ref="A16:A17"/>
    <mergeCell ref="G9:G10"/>
    <mergeCell ref="G16:G17"/>
    <mergeCell ref="A1:G1"/>
    <mergeCell ref="A4:G4"/>
    <mergeCell ref="A5:G5"/>
    <mergeCell ref="A6:G6"/>
  </mergeCells>
  <printOptions horizontalCentered="1"/>
  <pageMargins left="0.75" right="0.75" top="1" bottom="1" header="0.5" footer="0.5"/>
  <pageSetup fitToHeight="1" fitToWidth="1" horizontalDpi="600" verticalDpi="600" orientation="landscape" scale="91" r:id="rId1"/>
  <headerFooter alignWithMargins="0">
    <oddFooter>&amp;C&amp;"Times New Roman,Regular"Exhibit C - Program Increases/Offsets By Decision Unit&amp;R&amp;"Times New Roman,Regular"Justice Assistance</oddFooter>
  </headerFooter>
</worksheet>
</file>

<file path=xl/worksheets/sheet3.xml><?xml version="1.0" encoding="utf-8"?>
<worksheet xmlns="http://schemas.openxmlformats.org/spreadsheetml/2006/main" xmlns:r="http://schemas.openxmlformats.org/officeDocument/2006/relationships">
  <sheetPr codeName="Sheet9"/>
  <dimension ref="A1:T94"/>
  <sheetViews>
    <sheetView zoomScale="75" zoomScaleNormal="75" zoomScaleSheetLayoutView="75" workbookViewId="0" topLeftCell="B1">
      <selection activeCell="W47" sqref="W47"/>
    </sheetView>
  </sheetViews>
  <sheetFormatPr defaultColWidth="8.88671875" defaultRowHeight="15"/>
  <cols>
    <col min="1" max="1" width="49.5546875" style="47" customWidth="1"/>
    <col min="2" max="2" width="1.2265625" style="47" customWidth="1"/>
    <col min="3" max="3" width="10.77734375" style="47" customWidth="1"/>
    <col min="4" max="4" width="10.99609375" style="47" customWidth="1"/>
    <col min="5" max="5" width="1.2265625" style="47" customWidth="1"/>
    <col min="6" max="7" width="11.21484375" style="47" customWidth="1"/>
    <col min="8" max="8" width="1.2265625" style="47" customWidth="1"/>
    <col min="9" max="9" width="7.21484375" style="47" customWidth="1"/>
    <col min="10" max="10" width="9.4453125" style="47" customWidth="1"/>
    <col min="11" max="11" width="6.77734375" style="47" customWidth="1"/>
    <col min="12" max="12" width="8.5546875" style="47" customWidth="1"/>
    <col min="13" max="13" width="6.77734375" style="47" customWidth="1"/>
    <col min="14" max="14" width="8.88671875" style="47" customWidth="1"/>
    <col min="15" max="15" width="6.6640625" style="47" customWidth="1"/>
    <col min="16" max="16" width="9.10546875" style="47" customWidth="1"/>
    <col min="17" max="17" width="1.88671875" style="47" customWidth="1"/>
    <col min="18" max="16384" width="7.21484375" style="47" customWidth="1"/>
  </cols>
  <sheetData>
    <row r="1" spans="1:19" ht="20.25">
      <c r="A1" s="813" t="s">
        <v>65</v>
      </c>
      <c r="B1" s="814"/>
      <c r="C1" s="814"/>
      <c r="D1" s="814"/>
      <c r="E1" s="814"/>
      <c r="F1" s="814"/>
      <c r="G1" s="814"/>
      <c r="H1" s="814"/>
      <c r="I1" s="814"/>
      <c r="J1" s="814"/>
      <c r="K1" s="814"/>
      <c r="L1" s="814"/>
      <c r="M1" s="814"/>
      <c r="N1" s="814"/>
      <c r="O1" s="814"/>
      <c r="P1" s="815"/>
      <c r="Q1" s="296" t="s">
        <v>375</v>
      </c>
      <c r="R1" s="298"/>
      <c r="S1" s="298"/>
    </row>
    <row r="2" spans="1:20" ht="18.75" customHeight="1">
      <c r="A2" s="51"/>
      <c r="Q2" s="296" t="s">
        <v>375</v>
      </c>
      <c r="T2" s="296"/>
    </row>
    <row r="3" spans="1:20" ht="15.75">
      <c r="A3" s="816" t="s">
        <v>404</v>
      </c>
      <c r="B3" s="722"/>
      <c r="C3" s="722"/>
      <c r="D3" s="722"/>
      <c r="E3" s="722"/>
      <c r="F3" s="722"/>
      <c r="G3" s="722"/>
      <c r="H3" s="722"/>
      <c r="I3" s="722"/>
      <c r="J3" s="722"/>
      <c r="K3" s="722"/>
      <c r="L3" s="722"/>
      <c r="M3" s="722"/>
      <c r="N3" s="722"/>
      <c r="O3" s="722"/>
      <c r="P3" s="817"/>
      <c r="Q3" s="296" t="s">
        <v>375</v>
      </c>
      <c r="R3" s="232"/>
      <c r="S3" s="232"/>
      <c r="T3" s="296"/>
    </row>
    <row r="4" spans="1:19" ht="15.75">
      <c r="A4" s="818" t="str">
        <f>+'B. Summary of Requirements '!A80</f>
        <v>Office of Justice Programs</v>
      </c>
      <c r="B4" s="722"/>
      <c r="C4" s="722"/>
      <c r="D4" s="722"/>
      <c r="E4" s="722"/>
      <c r="F4" s="722"/>
      <c r="G4" s="722"/>
      <c r="H4" s="722"/>
      <c r="I4" s="722"/>
      <c r="J4" s="722"/>
      <c r="K4" s="722"/>
      <c r="L4" s="722"/>
      <c r="M4" s="722"/>
      <c r="N4" s="722"/>
      <c r="O4" s="722"/>
      <c r="P4" s="722"/>
      <c r="Q4" s="296" t="s">
        <v>375</v>
      </c>
      <c r="R4" s="215"/>
      <c r="S4" s="215"/>
    </row>
    <row r="5" spans="1:20" ht="15">
      <c r="A5" s="819" t="s">
        <v>332</v>
      </c>
      <c r="B5" s="722"/>
      <c r="C5" s="722"/>
      <c r="D5" s="722"/>
      <c r="E5" s="722"/>
      <c r="F5" s="722"/>
      <c r="G5" s="722"/>
      <c r="H5" s="722"/>
      <c r="I5" s="722"/>
      <c r="J5" s="722"/>
      <c r="K5" s="722"/>
      <c r="L5" s="722"/>
      <c r="M5" s="722"/>
      <c r="N5" s="722"/>
      <c r="O5" s="722"/>
      <c r="P5" s="817"/>
      <c r="Q5" s="296" t="s">
        <v>375</v>
      </c>
      <c r="R5" s="232"/>
      <c r="S5" s="232"/>
      <c r="T5" s="296"/>
    </row>
    <row r="6" spans="17:20" ht="12.75">
      <c r="Q6" s="296" t="s">
        <v>375</v>
      </c>
      <c r="T6" s="296"/>
    </row>
    <row r="7" spans="17:20" ht="13.5" thickBot="1">
      <c r="Q7" s="296" t="s">
        <v>375</v>
      </c>
      <c r="T7" s="296"/>
    </row>
    <row r="8" spans="1:20" ht="21" customHeight="1">
      <c r="A8" s="245"/>
      <c r="B8" s="55"/>
      <c r="C8" s="831" t="str">
        <f>+'B. Summary of Requirements '!H88</f>
        <v>2007 Appropriation Enacted w/Rescissions and Supplementals</v>
      </c>
      <c r="D8" s="830"/>
      <c r="E8" s="297"/>
      <c r="F8" s="831" t="str">
        <f>+'B. Summary of Requirements '!K88</f>
        <v>2008 Enacted</v>
      </c>
      <c r="G8" s="830"/>
      <c r="H8" s="297"/>
      <c r="I8" s="829" t="str">
        <f>+'B. Summary of Requirements '!Q88</f>
        <v>2009 Current Services</v>
      </c>
      <c r="J8" s="830"/>
      <c r="K8" s="833">
        <v>2009</v>
      </c>
      <c r="L8" s="834"/>
      <c r="M8" s="834"/>
      <c r="N8" s="835"/>
      <c r="O8" s="829" t="str">
        <f>+'B. Summary of Requirements '!AA88</f>
        <v>2009 Request</v>
      </c>
      <c r="P8" s="830"/>
      <c r="Q8" s="296" t="s">
        <v>375</v>
      </c>
      <c r="R8" s="268"/>
      <c r="S8" s="269"/>
      <c r="T8" s="296"/>
    </row>
    <row r="9" spans="1:20" ht="14.25" customHeight="1">
      <c r="A9" s="55"/>
      <c r="B9" s="55"/>
      <c r="C9" s="790"/>
      <c r="D9" s="832"/>
      <c r="E9" s="297"/>
      <c r="F9" s="769"/>
      <c r="G9" s="771"/>
      <c r="H9" s="297"/>
      <c r="I9" s="769"/>
      <c r="J9" s="771"/>
      <c r="K9" s="838" t="s">
        <v>361</v>
      </c>
      <c r="L9" s="839"/>
      <c r="M9" s="836" t="s">
        <v>367</v>
      </c>
      <c r="N9" s="837"/>
      <c r="O9" s="769"/>
      <c r="P9" s="771"/>
      <c r="Q9" s="296" t="s">
        <v>375</v>
      </c>
      <c r="R9" s="269"/>
      <c r="S9" s="269"/>
      <c r="T9" s="296"/>
    </row>
    <row r="10" spans="1:20" ht="12.75" hidden="1">
      <c r="A10" s="823" t="s">
        <v>271</v>
      </c>
      <c r="B10" s="55"/>
      <c r="C10" s="179"/>
      <c r="D10" s="180"/>
      <c r="E10" s="173"/>
      <c r="F10" s="179"/>
      <c r="G10" s="180"/>
      <c r="H10" s="173"/>
      <c r="I10" s="179"/>
      <c r="J10" s="180"/>
      <c r="K10" s="179"/>
      <c r="L10" s="180"/>
      <c r="M10" s="250"/>
      <c r="N10" s="180"/>
      <c r="O10" s="179"/>
      <c r="P10" s="180"/>
      <c r="Q10" s="296" t="s">
        <v>375</v>
      </c>
      <c r="R10" s="250"/>
      <c r="S10" s="250"/>
      <c r="T10" s="296"/>
    </row>
    <row r="11" spans="1:20" ht="51">
      <c r="A11" s="824"/>
      <c r="B11" s="55"/>
      <c r="C11" s="279" t="s">
        <v>16</v>
      </c>
      <c r="D11" s="280" t="s">
        <v>17</v>
      </c>
      <c r="E11" s="173"/>
      <c r="F11" s="279" t="s">
        <v>16</v>
      </c>
      <c r="G11" s="280" t="s">
        <v>17</v>
      </c>
      <c r="H11" s="173"/>
      <c r="I11" s="279" t="s">
        <v>16</v>
      </c>
      <c r="J11" s="280" t="s">
        <v>17</v>
      </c>
      <c r="K11" s="279" t="s">
        <v>16</v>
      </c>
      <c r="L11" s="280" t="s">
        <v>17</v>
      </c>
      <c r="M11" s="279" t="s">
        <v>16</v>
      </c>
      <c r="N11" s="280" t="s">
        <v>17</v>
      </c>
      <c r="O11" s="279" t="s">
        <v>16</v>
      </c>
      <c r="P11" s="280" t="s">
        <v>17</v>
      </c>
      <c r="Q11" s="296" t="s">
        <v>375</v>
      </c>
      <c r="R11" s="270"/>
      <c r="S11" s="270"/>
      <c r="T11" s="296"/>
    </row>
    <row r="12" spans="1:20" ht="12.75">
      <c r="A12" s="281"/>
      <c r="B12" s="55"/>
      <c r="C12" s="352"/>
      <c r="D12" s="353"/>
      <c r="E12" s="346"/>
      <c r="F12" s="352"/>
      <c r="G12" s="353"/>
      <c r="H12" s="346"/>
      <c r="I12" s="352"/>
      <c r="J12" s="353"/>
      <c r="K12" s="352"/>
      <c r="L12" s="355"/>
      <c r="M12" s="403"/>
      <c r="N12" s="353"/>
      <c r="O12" s="352"/>
      <c r="P12" s="353"/>
      <c r="Q12" s="296" t="s">
        <v>375</v>
      </c>
      <c r="R12" s="252"/>
      <c r="S12" s="252"/>
      <c r="T12" s="296"/>
    </row>
    <row r="13" spans="1:20" ht="12.75">
      <c r="A13" s="59" t="s">
        <v>416</v>
      </c>
      <c r="B13" s="55"/>
      <c r="C13" s="352"/>
      <c r="D13" s="397"/>
      <c r="E13" s="346"/>
      <c r="F13" s="352"/>
      <c r="G13" s="397"/>
      <c r="H13" s="346"/>
      <c r="I13" s="352"/>
      <c r="J13" s="397"/>
      <c r="K13" s="352"/>
      <c r="L13" s="355"/>
      <c r="M13" s="352"/>
      <c r="N13" s="397"/>
      <c r="O13" s="352"/>
      <c r="P13" s="397"/>
      <c r="Q13" s="296" t="s">
        <v>375</v>
      </c>
      <c r="R13" s="253"/>
      <c r="S13" s="271"/>
      <c r="T13" s="296"/>
    </row>
    <row r="14" spans="1:20" ht="12.75">
      <c r="A14" s="282" t="s">
        <v>131</v>
      </c>
      <c r="B14" s="55"/>
      <c r="C14" s="352"/>
      <c r="D14" s="397"/>
      <c r="E14" s="346"/>
      <c r="F14" s="352"/>
      <c r="G14" s="397"/>
      <c r="H14" s="346"/>
      <c r="I14" s="352"/>
      <c r="J14" s="397"/>
      <c r="K14" s="352"/>
      <c r="L14" s="355"/>
      <c r="M14" s="352"/>
      <c r="N14" s="397"/>
      <c r="O14" s="352">
        <f aca="true" t="shared" si="0" ref="O14:P17">+I14+K14+M14</f>
        <v>0</v>
      </c>
      <c r="P14" s="353">
        <f t="shared" si="0"/>
        <v>0</v>
      </c>
      <c r="Q14" s="296" t="s">
        <v>375</v>
      </c>
      <c r="R14" s="253"/>
      <c r="S14" s="271"/>
      <c r="T14" s="296"/>
    </row>
    <row r="15" spans="1:20" ht="18.75" customHeight="1">
      <c r="A15" s="283" t="s">
        <v>132</v>
      </c>
      <c r="B15" s="55"/>
      <c r="C15" s="352"/>
      <c r="D15" s="397"/>
      <c r="E15" s="346"/>
      <c r="F15" s="352"/>
      <c r="G15" s="397"/>
      <c r="H15" s="346"/>
      <c r="I15" s="352"/>
      <c r="J15" s="397"/>
      <c r="K15" s="352"/>
      <c r="L15" s="355"/>
      <c r="M15" s="352"/>
      <c r="N15" s="397"/>
      <c r="O15" s="352">
        <f t="shared" si="0"/>
        <v>0</v>
      </c>
      <c r="P15" s="353">
        <f t="shared" si="0"/>
        <v>0</v>
      </c>
      <c r="Q15" s="296" t="s">
        <v>375</v>
      </c>
      <c r="R15" s="253"/>
      <c r="S15" s="271"/>
      <c r="T15" s="296"/>
    </row>
    <row r="16" spans="1:20" ht="25.5">
      <c r="A16" s="283" t="s">
        <v>46</v>
      </c>
      <c r="B16" s="55"/>
      <c r="C16" s="352"/>
      <c r="D16" s="397"/>
      <c r="E16" s="346"/>
      <c r="F16" s="352"/>
      <c r="G16" s="397"/>
      <c r="H16" s="346"/>
      <c r="I16" s="352"/>
      <c r="J16" s="397"/>
      <c r="K16" s="352"/>
      <c r="L16" s="355"/>
      <c r="M16" s="352"/>
      <c r="N16" s="397"/>
      <c r="O16" s="352">
        <f t="shared" si="0"/>
        <v>0</v>
      </c>
      <c r="P16" s="353">
        <f t="shared" si="0"/>
        <v>0</v>
      </c>
      <c r="Q16" s="296" t="s">
        <v>375</v>
      </c>
      <c r="R16" s="253"/>
      <c r="S16" s="271"/>
      <c r="T16" s="296"/>
    </row>
    <row r="17" spans="1:20" ht="13.5" customHeight="1">
      <c r="A17" s="282" t="s">
        <v>133</v>
      </c>
      <c r="B17" s="56"/>
      <c r="C17" s="358"/>
      <c r="D17" s="359"/>
      <c r="E17" s="347"/>
      <c r="F17" s="358"/>
      <c r="G17" s="359"/>
      <c r="H17" s="348"/>
      <c r="I17" s="358"/>
      <c r="J17" s="359"/>
      <c r="K17" s="358"/>
      <c r="L17" s="362"/>
      <c r="M17" s="358"/>
      <c r="N17" s="359"/>
      <c r="O17" s="358">
        <f t="shared" si="0"/>
        <v>0</v>
      </c>
      <c r="P17" s="359">
        <f t="shared" si="0"/>
        <v>0</v>
      </c>
      <c r="Q17" s="296" t="s">
        <v>375</v>
      </c>
      <c r="R17" s="257"/>
      <c r="S17" s="257"/>
      <c r="T17" s="296"/>
    </row>
    <row r="18" spans="1:20" ht="12.75" hidden="1">
      <c r="A18" s="62" t="s">
        <v>407</v>
      </c>
      <c r="B18" s="55"/>
      <c r="C18" s="398"/>
      <c r="D18" s="399"/>
      <c r="E18" s="349"/>
      <c r="F18" s="398"/>
      <c r="G18" s="399"/>
      <c r="H18" s="349"/>
      <c r="I18" s="398"/>
      <c r="J18" s="399"/>
      <c r="K18" s="398"/>
      <c r="L18" s="401"/>
      <c r="M18" s="398"/>
      <c r="N18" s="399"/>
      <c r="O18" s="398"/>
      <c r="P18" s="399"/>
      <c r="Q18" s="296" t="s">
        <v>375</v>
      </c>
      <c r="R18" s="255"/>
      <c r="S18" s="255"/>
      <c r="T18" s="296"/>
    </row>
    <row r="19" spans="1:20" s="48" customFormat="1" ht="12.75">
      <c r="A19" s="70" t="s">
        <v>417</v>
      </c>
      <c r="B19" s="59"/>
      <c r="C19" s="364">
        <f>SUM(C14:C18)</f>
        <v>0</v>
      </c>
      <c r="D19" s="365">
        <f>SUM(D14:D18)</f>
        <v>0</v>
      </c>
      <c r="E19" s="350"/>
      <c r="F19" s="364">
        <f>SUM(F14:F18)</f>
        <v>0</v>
      </c>
      <c r="G19" s="365">
        <f>SUM(G14:G18)</f>
        <v>0</v>
      </c>
      <c r="H19" s="351"/>
      <c r="I19" s="364">
        <f aca="true" t="shared" si="1" ref="I19:P19">SUM(I14:I18)</f>
        <v>0</v>
      </c>
      <c r="J19" s="365">
        <f t="shared" si="1"/>
        <v>0</v>
      </c>
      <c r="K19" s="364">
        <f>SUM(K14:K18)</f>
        <v>0</v>
      </c>
      <c r="L19" s="365">
        <f t="shared" si="1"/>
        <v>0</v>
      </c>
      <c r="M19" s="364">
        <f t="shared" si="1"/>
        <v>0</v>
      </c>
      <c r="N19" s="365">
        <f t="shared" si="1"/>
        <v>0</v>
      </c>
      <c r="O19" s="364">
        <f t="shared" si="1"/>
        <v>0</v>
      </c>
      <c r="P19" s="365">
        <f t="shared" si="1"/>
        <v>0</v>
      </c>
      <c r="Q19" s="296" t="s">
        <v>375</v>
      </c>
      <c r="R19" s="272"/>
      <c r="S19" s="272"/>
      <c r="T19" s="296"/>
    </row>
    <row r="20" spans="1:20" ht="12.75">
      <c r="A20" s="56"/>
      <c r="B20" s="55"/>
      <c r="C20" s="352"/>
      <c r="D20" s="353"/>
      <c r="E20" s="300"/>
      <c r="F20" s="352"/>
      <c r="G20" s="353"/>
      <c r="H20" s="300"/>
      <c r="I20" s="352"/>
      <c r="J20" s="353"/>
      <c r="K20" s="352"/>
      <c r="L20" s="355"/>
      <c r="M20" s="352"/>
      <c r="N20" s="353"/>
      <c r="O20" s="352"/>
      <c r="P20" s="353"/>
      <c r="Q20" s="296" t="s">
        <v>375</v>
      </c>
      <c r="R20" s="252"/>
      <c r="S20" s="252"/>
      <c r="T20" s="296"/>
    </row>
    <row r="21" spans="1:20" ht="25.5">
      <c r="A21" s="69" t="s">
        <v>129</v>
      </c>
      <c r="B21" s="55"/>
      <c r="C21" s="352"/>
      <c r="D21" s="353"/>
      <c r="E21" s="354"/>
      <c r="F21" s="352"/>
      <c r="G21" s="353"/>
      <c r="H21" s="354"/>
      <c r="I21" s="352"/>
      <c r="J21" s="353"/>
      <c r="K21" s="352"/>
      <c r="L21" s="355"/>
      <c r="M21" s="352"/>
      <c r="N21" s="353"/>
      <c r="O21" s="356"/>
      <c r="P21" s="357"/>
      <c r="Q21" s="296" t="s">
        <v>375</v>
      </c>
      <c r="R21" s="252"/>
      <c r="S21" s="252"/>
      <c r="T21" s="296"/>
    </row>
    <row r="22" spans="1:20" ht="25.5">
      <c r="A22" s="283" t="s">
        <v>134</v>
      </c>
      <c r="B22" s="55"/>
      <c r="C22" s="352">
        <f>414+62</f>
        <v>476</v>
      </c>
      <c r="D22" s="353">
        <f>298417-124647+10044</f>
        <v>183814</v>
      </c>
      <c r="E22" s="354"/>
      <c r="F22" s="352">
        <v>451</v>
      </c>
      <c r="G22" s="353">
        <f>262868-101655+7125</f>
        <v>168338</v>
      </c>
      <c r="H22" s="354"/>
      <c r="I22" s="352">
        <f>394+57</f>
        <v>451</v>
      </c>
      <c r="J22" s="353">
        <f>270549-104045+7695</f>
        <v>174199</v>
      </c>
      <c r="K22" s="352">
        <v>142</v>
      </c>
      <c r="L22" s="355">
        <v>0</v>
      </c>
      <c r="M22" s="352">
        <v>0</v>
      </c>
      <c r="N22" s="353">
        <f>-92504+2300-5140</f>
        <v>-95344</v>
      </c>
      <c r="O22" s="352">
        <f aca="true" t="shared" si="2" ref="O22:P29">+I22+K22+M22</f>
        <v>593</v>
      </c>
      <c r="P22" s="353">
        <f t="shared" si="2"/>
        <v>78855</v>
      </c>
      <c r="Q22" s="296" t="s">
        <v>375</v>
      </c>
      <c r="R22" s="252"/>
      <c r="S22" s="252"/>
      <c r="T22" s="296"/>
    </row>
    <row r="23" spans="1:20" ht="12.75">
      <c r="A23" s="282" t="s">
        <v>135</v>
      </c>
      <c r="B23" s="55"/>
      <c r="C23" s="352"/>
      <c r="D23" s="353"/>
      <c r="E23" s="354"/>
      <c r="F23" s="352"/>
      <c r="G23" s="353"/>
      <c r="H23" s="354"/>
      <c r="I23" s="352"/>
      <c r="J23" s="353"/>
      <c r="K23" s="352"/>
      <c r="L23" s="355"/>
      <c r="M23" s="352"/>
      <c r="N23" s="353"/>
      <c r="O23" s="352">
        <f t="shared" si="2"/>
        <v>0</v>
      </c>
      <c r="P23" s="353">
        <f t="shared" si="2"/>
        <v>0</v>
      </c>
      <c r="Q23" s="296" t="s">
        <v>375</v>
      </c>
      <c r="R23" s="252"/>
      <c r="S23" s="252"/>
      <c r="T23" s="296"/>
    </row>
    <row r="24" spans="1:20" ht="12.75">
      <c r="A24" s="282" t="s">
        <v>136</v>
      </c>
      <c r="B24" s="55"/>
      <c r="C24" s="352"/>
      <c r="D24" s="353"/>
      <c r="E24" s="354"/>
      <c r="F24" s="352"/>
      <c r="G24" s="353"/>
      <c r="H24" s="354"/>
      <c r="I24" s="352"/>
      <c r="J24" s="353"/>
      <c r="K24" s="352"/>
      <c r="L24" s="355"/>
      <c r="M24" s="352"/>
      <c r="N24" s="353"/>
      <c r="O24" s="352">
        <f t="shared" si="2"/>
        <v>0</v>
      </c>
      <c r="P24" s="353">
        <f t="shared" si="2"/>
        <v>0</v>
      </c>
      <c r="Q24" s="296" t="s">
        <v>375</v>
      </c>
      <c r="R24" s="252"/>
      <c r="S24" s="252"/>
      <c r="T24" s="296"/>
    </row>
    <row r="25" spans="1:20" ht="12.75">
      <c r="A25" s="282" t="s">
        <v>137</v>
      </c>
      <c r="B25" s="55"/>
      <c r="C25" s="352"/>
      <c r="D25" s="353"/>
      <c r="E25" s="354"/>
      <c r="F25" s="352"/>
      <c r="G25" s="353"/>
      <c r="H25" s="354"/>
      <c r="I25" s="352"/>
      <c r="J25" s="353"/>
      <c r="K25" s="352"/>
      <c r="L25" s="355"/>
      <c r="M25" s="352"/>
      <c r="N25" s="353"/>
      <c r="O25" s="352">
        <f t="shared" si="2"/>
        <v>0</v>
      </c>
      <c r="P25" s="353">
        <f t="shared" si="2"/>
        <v>0</v>
      </c>
      <c r="Q25" s="296" t="s">
        <v>375</v>
      </c>
      <c r="R25" s="252"/>
      <c r="S25" s="252"/>
      <c r="T25" s="296"/>
    </row>
    <row r="26" spans="1:20" ht="25.5">
      <c r="A26" s="283" t="s">
        <v>138</v>
      </c>
      <c r="B26" s="55"/>
      <c r="C26" s="352"/>
      <c r="D26" s="353"/>
      <c r="E26" s="354"/>
      <c r="F26" s="352"/>
      <c r="G26" s="353"/>
      <c r="H26" s="354"/>
      <c r="I26" s="352"/>
      <c r="J26" s="353"/>
      <c r="K26" s="352"/>
      <c r="L26" s="355"/>
      <c r="M26" s="352"/>
      <c r="N26" s="353"/>
      <c r="O26" s="352">
        <f t="shared" si="2"/>
        <v>0</v>
      </c>
      <c r="P26" s="353">
        <f t="shared" si="2"/>
        <v>0</v>
      </c>
      <c r="Q26" s="296" t="s">
        <v>375</v>
      </c>
      <c r="R26" s="252"/>
      <c r="S26" s="252"/>
      <c r="T26" s="296"/>
    </row>
    <row r="27" spans="1:20" ht="12.75">
      <c r="A27" s="282" t="s">
        <v>139</v>
      </c>
      <c r="B27" s="55"/>
      <c r="C27" s="352"/>
      <c r="D27" s="353"/>
      <c r="E27" s="354"/>
      <c r="F27" s="352"/>
      <c r="G27" s="353"/>
      <c r="H27" s="354"/>
      <c r="I27" s="352"/>
      <c r="J27" s="353"/>
      <c r="K27" s="352"/>
      <c r="L27" s="355"/>
      <c r="M27" s="352"/>
      <c r="N27" s="353"/>
      <c r="O27" s="352">
        <f t="shared" si="2"/>
        <v>0</v>
      </c>
      <c r="P27" s="353">
        <f t="shared" si="2"/>
        <v>0</v>
      </c>
      <c r="Q27" s="296" t="s">
        <v>375</v>
      </c>
      <c r="R27" s="252"/>
      <c r="S27" s="252"/>
      <c r="T27" s="296"/>
    </row>
    <row r="28" spans="1:20" ht="25.5">
      <c r="A28" s="283" t="s">
        <v>140</v>
      </c>
      <c r="B28" s="55"/>
      <c r="C28" s="352"/>
      <c r="D28" s="353"/>
      <c r="E28" s="354"/>
      <c r="F28" s="352"/>
      <c r="G28" s="353"/>
      <c r="H28" s="354"/>
      <c r="I28" s="352"/>
      <c r="J28" s="353"/>
      <c r="K28" s="352"/>
      <c r="L28" s="355"/>
      <c r="M28" s="352"/>
      <c r="N28" s="353"/>
      <c r="O28" s="352">
        <f t="shared" si="2"/>
        <v>0</v>
      </c>
      <c r="P28" s="353">
        <f t="shared" si="2"/>
        <v>0</v>
      </c>
      <c r="Q28" s="296" t="s">
        <v>375</v>
      </c>
      <c r="R28" s="252"/>
      <c r="S28" s="252"/>
      <c r="T28" s="296"/>
    </row>
    <row r="29" spans="1:20" ht="27.75" customHeight="1">
      <c r="A29" s="283" t="s">
        <v>141</v>
      </c>
      <c r="B29" s="56"/>
      <c r="C29" s="358"/>
      <c r="D29" s="359"/>
      <c r="E29" s="360"/>
      <c r="F29" s="358"/>
      <c r="G29" s="359"/>
      <c r="H29" s="361"/>
      <c r="I29" s="358"/>
      <c r="J29" s="359"/>
      <c r="K29" s="358"/>
      <c r="L29" s="362"/>
      <c r="M29" s="358"/>
      <c r="N29" s="359"/>
      <c r="O29" s="352">
        <f t="shared" si="2"/>
        <v>0</v>
      </c>
      <c r="P29" s="363">
        <f t="shared" si="2"/>
        <v>0</v>
      </c>
      <c r="Q29" s="296" t="s">
        <v>375</v>
      </c>
      <c r="R29" s="257"/>
      <c r="S29" s="257"/>
      <c r="T29" s="296"/>
    </row>
    <row r="30" spans="1:20" ht="12.75">
      <c r="A30" s="70" t="s">
        <v>3</v>
      </c>
      <c r="B30" s="59"/>
      <c r="C30" s="364">
        <f>SUM(C22:C29)</f>
        <v>476</v>
      </c>
      <c r="D30" s="365">
        <f>SUM(D22:D29)</f>
        <v>183814</v>
      </c>
      <c r="E30" s="366"/>
      <c r="F30" s="364">
        <f>SUM(F22:F29)</f>
        <v>451</v>
      </c>
      <c r="G30" s="365">
        <f>SUM(G22:G29)</f>
        <v>168338</v>
      </c>
      <c r="H30" s="367"/>
      <c r="I30" s="364">
        <f aca="true" t="shared" si="3" ref="I30:P30">SUM(I22:I29)</f>
        <v>451</v>
      </c>
      <c r="J30" s="365">
        <f t="shared" si="3"/>
        <v>174199</v>
      </c>
      <c r="K30" s="368">
        <f t="shared" si="3"/>
        <v>142</v>
      </c>
      <c r="L30" s="369">
        <f t="shared" si="3"/>
        <v>0</v>
      </c>
      <c r="M30" s="364">
        <f t="shared" si="3"/>
        <v>0</v>
      </c>
      <c r="N30" s="365">
        <f t="shared" si="3"/>
        <v>-95344</v>
      </c>
      <c r="O30" s="368">
        <f t="shared" si="3"/>
        <v>593</v>
      </c>
      <c r="P30" s="365">
        <f t="shared" si="3"/>
        <v>78855</v>
      </c>
      <c r="Q30" s="296" t="s">
        <v>375</v>
      </c>
      <c r="R30" s="272"/>
      <c r="S30" s="272"/>
      <c r="T30" s="296"/>
    </row>
    <row r="31" spans="1:20" ht="9.75" customHeight="1">
      <c r="A31" s="56"/>
      <c r="B31" s="55"/>
      <c r="C31" s="352"/>
      <c r="D31" s="353"/>
      <c r="E31" s="55"/>
      <c r="F31" s="352"/>
      <c r="G31" s="353"/>
      <c r="H31" s="55"/>
      <c r="I31" s="352"/>
      <c r="J31" s="353"/>
      <c r="K31" s="352"/>
      <c r="L31" s="355"/>
      <c r="M31" s="352"/>
      <c r="N31" s="353"/>
      <c r="O31" s="352"/>
      <c r="P31" s="353"/>
      <c r="Q31" s="296" t="s">
        <v>375</v>
      </c>
      <c r="R31" s="252"/>
      <c r="S31" s="252"/>
      <c r="T31" s="296"/>
    </row>
    <row r="32" spans="1:20" ht="23.25" customHeight="1">
      <c r="A32" s="69" t="s">
        <v>130</v>
      </c>
      <c r="B32" s="55"/>
      <c r="C32" s="352"/>
      <c r="D32" s="353"/>
      <c r="E32" s="346"/>
      <c r="F32" s="352"/>
      <c r="G32" s="353"/>
      <c r="H32" s="346"/>
      <c r="I32" s="352"/>
      <c r="J32" s="353"/>
      <c r="K32" s="352"/>
      <c r="L32" s="355"/>
      <c r="M32" s="352"/>
      <c r="N32" s="353"/>
      <c r="O32" s="352"/>
      <c r="P32" s="353"/>
      <c r="Q32" s="296" t="s">
        <v>375</v>
      </c>
      <c r="R32" s="252"/>
      <c r="S32" s="252"/>
      <c r="T32" s="296"/>
    </row>
    <row r="33" spans="1:20" ht="38.25">
      <c r="A33" s="283" t="s">
        <v>142</v>
      </c>
      <c r="B33" s="55"/>
      <c r="C33" s="352"/>
      <c r="D33" s="353"/>
      <c r="E33" s="346"/>
      <c r="F33" s="352"/>
      <c r="G33" s="353"/>
      <c r="H33" s="346"/>
      <c r="I33" s="352"/>
      <c r="J33" s="353"/>
      <c r="K33" s="352"/>
      <c r="L33" s="355"/>
      <c r="M33" s="352"/>
      <c r="N33" s="353"/>
      <c r="O33" s="352">
        <f aca="true" t="shared" si="4" ref="O33:P39">+I33+K33+M33</f>
        <v>0</v>
      </c>
      <c r="P33" s="353">
        <f t="shared" si="4"/>
        <v>0</v>
      </c>
      <c r="Q33" s="296" t="s">
        <v>375</v>
      </c>
      <c r="R33" s="252"/>
      <c r="S33" s="252"/>
      <c r="T33" s="296"/>
    </row>
    <row r="34" spans="1:20" ht="12.75">
      <c r="A34" s="282" t="s">
        <v>143</v>
      </c>
      <c r="B34" s="55"/>
      <c r="C34" s="352"/>
      <c r="D34" s="353"/>
      <c r="E34" s="346"/>
      <c r="F34" s="352"/>
      <c r="G34" s="353"/>
      <c r="H34" s="346"/>
      <c r="I34" s="352"/>
      <c r="J34" s="353"/>
      <c r="K34" s="352"/>
      <c r="L34" s="355"/>
      <c r="M34" s="352"/>
      <c r="N34" s="353"/>
      <c r="O34" s="352">
        <f t="shared" si="4"/>
        <v>0</v>
      </c>
      <c r="P34" s="353">
        <f t="shared" si="4"/>
        <v>0</v>
      </c>
      <c r="Q34" s="296" t="s">
        <v>375</v>
      </c>
      <c r="R34" s="252"/>
      <c r="S34" s="252"/>
      <c r="T34" s="296"/>
    </row>
    <row r="35" spans="1:20" ht="38.25">
      <c r="A35" s="283" t="s">
        <v>262</v>
      </c>
      <c r="B35" s="55"/>
      <c r="C35" s="352"/>
      <c r="D35" s="353"/>
      <c r="E35" s="346"/>
      <c r="F35" s="352"/>
      <c r="G35" s="353"/>
      <c r="H35" s="346"/>
      <c r="I35" s="352"/>
      <c r="J35" s="353"/>
      <c r="K35" s="352"/>
      <c r="L35" s="355"/>
      <c r="M35" s="352"/>
      <c r="N35" s="353"/>
      <c r="O35" s="352">
        <f t="shared" si="4"/>
        <v>0</v>
      </c>
      <c r="P35" s="353">
        <f t="shared" si="4"/>
        <v>0</v>
      </c>
      <c r="Q35" s="296" t="s">
        <v>375</v>
      </c>
      <c r="R35" s="252"/>
      <c r="S35" s="252"/>
      <c r="T35" s="296"/>
    </row>
    <row r="36" spans="1:20" ht="38.25">
      <c r="A36" s="283" t="s">
        <v>145</v>
      </c>
      <c r="B36" s="55"/>
      <c r="C36" s="352"/>
      <c r="D36" s="353"/>
      <c r="E36" s="346"/>
      <c r="F36" s="352"/>
      <c r="G36" s="353"/>
      <c r="H36" s="346"/>
      <c r="I36" s="352"/>
      <c r="J36" s="353"/>
      <c r="K36" s="352"/>
      <c r="L36" s="355"/>
      <c r="M36" s="352"/>
      <c r="N36" s="353"/>
      <c r="O36" s="352">
        <f t="shared" si="4"/>
        <v>0</v>
      </c>
      <c r="P36" s="353">
        <f t="shared" si="4"/>
        <v>0</v>
      </c>
      <c r="Q36" s="296" t="s">
        <v>375</v>
      </c>
      <c r="R36" s="252"/>
      <c r="S36" s="252"/>
      <c r="T36" s="296"/>
    </row>
    <row r="37" spans="1:20" ht="25.5">
      <c r="A37" s="283" t="s">
        <v>146</v>
      </c>
      <c r="B37" s="55"/>
      <c r="C37" s="352"/>
      <c r="D37" s="353"/>
      <c r="E37" s="346"/>
      <c r="F37" s="352"/>
      <c r="G37" s="353"/>
      <c r="H37" s="346"/>
      <c r="I37" s="352"/>
      <c r="J37" s="353"/>
      <c r="K37" s="352"/>
      <c r="L37" s="355"/>
      <c r="M37" s="352"/>
      <c r="N37" s="353"/>
      <c r="O37" s="352">
        <f t="shared" si="4"/>
        <v>0</v>
      </c>
      <c r="P37" s="353">
        <f t="shared" si="4"/>
        <v>0</v>
      </c>
      <c r="Q37" s="296" t="s">
        <v>375</v>
      </c>
      <c r="R37" s="252"/>
      <c r="S37" s="252"/>
      <c r="T37" s="296"/>
    </row>
    <row r="38" spans="1:20" ht="25.5">
      <c r="A38" s="283" t="s">
        <v>263</v>
      </c>
      <c r="B38" s="55"/>
      <c r="C38" s="352">
        <v>196</v>
      </c>
      <c r="D38" s="353">
        <f>54298+34553+31752</f>
        <v>120603</v>
      </c>
      <c r="E38" s="346"/>
      <c r="F38" s="352">
        <f>200-18</f>
        <v>182</v>
      </c>
      <c r="G38" s="353">
        <f>37000+34780+22750</f>
        <v>94530</v>
      </c>
      <c r="H38" s="346"/>
      <c r="I38" s="352">
        <v>182</v>
      </c>
      <c r="J38" s="353">
        <f>37000+34780+24570</f>
        <v>96350</v>
      </c>
      <c r="K38" s="352">
        <v>0</v>
      </c>
      <c r="L38" s="355">
        <v>18220</v>
      </c>
      <c r="M38" s="352">
        <v>0</v>
      </c>
      <c r="N38" s="353">
        <v>-2300</v>
      </c>
      <c r="O38" s="352">
        <f t="shared" si="4"/>
        <v>182</v>
      </c>
      <c r="P38" s="353">
        <f t="shared" si="4"/>
        <v>112270</v>
      </c>
      <c r="Q38" s="296" t="s">
        <v>375</v>
      </c>
      <c r="R38" s="252"/>
      <c r="S38" s="252"/>
      <c r="T38" s="296"/>
    </row>
    <row r="39" spans="1:20" ht="12.75">
      <c r="A39" s="282" t="s">
        <v>147</v>
      </c>
      <c r="B39" s="55"/>
      <c r="C39" s="649" t="s">
        <v>95</v>
      </c>
      <c r="D39" s="353"/>
      <c r="E39" s="346"/>
      <c r="F39" s="649" t="s">
        <v>96</v>
      </c>
      <c r="G39" s="353"/>
      <c r="H39" s="346"/>
      <c r="I39" s="649" t="s">
        <v>96</v>
      </c>
      <c r="J39" s="353"/>
      <c r="K39" s="352">
        <v>0</v>
      </c>
      <c r="L39" s="355">
        <v>12747</v>
      </c>
      <c r="M39" s="352">
        <v>0</v>
      </c>
      <c r="N39" s="353">
        <v>0</v>
      </c>
      <c r="O39" s="649" t="s">
        <v>96</v>
      </c>
      <c r="P39" s="353">
        <f t="shared" si="4"/>
        <v>12747</v>
      </c>
      <c r="Q39" s="296" t="s">
        <v>375</v>
      </c>
      <c r="R39" s="252"/>
      <c r="S39" s="252"/>
      <c r="T39" s="296"/>
    </row>
    <row r="40" spans="1:20" ht="12.75" hidden="1">
      <c r="A40" s="62" t="s">
        <v>5</v>
      </c>
      <c r="B40" s="55"/>
      <c r="C40" s="360"/>
      <c r="D40" s="400"/>
      <c r="E40" s="349"/>
      <c r="F40" s="360"/>
      <c r="G40" s="400"/>
      <c r="H40" s="349"/>
      <c r="I40" s="360"/>
      <c r="J40" s="400"/>
      <c r="K40" s="360"/>
      <c r="L40" s="402"/>
      <c r="M40" s="360"/>
      <c r="N40" s="400"/>
      <c r="O40" s="360">
        <f>K40+I40+M40</f>
        <v>0</v>
      </c>
      <c r="P40" s="400">
        <f>N40+J40+L40</f>
        <v>0</v>
      </c>
      <c r="Q40" s="296" t="s">
        <v>375</v>
      </c>
      <c r="R40" s="257"/>
      <c r="S40" s="257"/>
      <c r="T40" s="296"/>
    </row>
    <row r="41" spans="1:20" ht="12.75" hidden="1">
      <c r="A41" s="62" t="s">
        <v>6</v>
      </c>
      <c r="B41" s="55"/>
      <c r="C41" s="398"/>
      <c r="D41" s="399"/>
      <c r="E41" s="349"/>
      <c r="F41" s="398"/>
      <c r="G41" s="399"/>
      <c r="H41" s="349"/>
      <c r="I41" s="398"/>
      <c r="J41" s="399"/>
      <c r="K41" s="398"/>
      <c r="L41" s="401"/>
      <c r="M41" s="398"/>
      <c r="N41" s="399"/>
      <c r="O41" s="398">
        <f>K41+I41+M41</f>
        <v>0</v>
      </c>
      <c r="P41" s="399">
        <f>N41+J41+L41</f>
        <v>0</v>
      </c>
      <c r="Q41" s="296" t="s">
        <v>375</v>
      </c>
      <c r="R41" s="255"/>
      <c r="S41" s="255"/>
      <c r="T41" s="296"/>
    </row>
    <row r="42" spans="1:20" ht="12.75">
      <c r="A42" s="70" t="s">
        <v>7</v>
      </c>
      <c r="B42" s="59"/>
      <c r="C42" s="364">
        <f>SUM(C33:C39)</f>
        <v>196</v>
      </c>
      <c r="D42" s="365">
        <f>SUM(D33:D39)</f>
        <v>120603</v>
      </c>
      <c r="E42" s="350"/>
      <c r="F42" s="364">
        <f>SUM(F33:F39)</f>
        <v>182</v>
      </c>
      <c r="G42" s="365">
        <f>SUM(G33:G39)</f>
        <v>94530</v>
      </c>
      <c r="H42" s="351"/>
      <c r="I42" s="364">
        <f aca="true" t="shared" si="5" ref="I42:P42">SUM(I33:I39)</f>
        <v>182</v>
      </c>
      <c r="J42" s="365">
        <f t="shared" si="5"/>
        <v>96350</v>
      </c>
      <c r="K42" s="364">
        <f t="shared" si="5"/>
        <v>0</v>
      </c>
      <c r="L42" s="369">
        <f t="shared" si="5"/>
        <v>30967</v>
      </c>
      <c r="M42" s="364">
        <f t="shared" si="5"/>
        <v>0</v>
      </c>
      <c r="N42" s="365">
        <f t="shared" si="5"/>
        <v>-2300</v>
      </c>
      <c r="O42" s="364">
        <f t="shared" si="5"/>
        <v>182</v>
      </c>
      <c r="P42" s="365">
        <f t="shared" si="5"/>
        <v>125017</v>
      </c>
      <c r="Q42" s="296" t="s">
        <v>375</v>
      </c>
      <c r="R42" s="272"/>
      <c r="S42" s="272"/>
      <c r="T42" s="296"/>
    </row>
    <row r="43" spans="1:20" ht="12.75">
      <c r="A43" s="613"/>
      <c r="B43" s="613"/>
      <c r="C43" s="614"/>
      <c r="D43" s="614"/>
      <c r="E43" s="615"/>
      <c r="F43" s="614"/>
      <c r="G43" s="614"/>
      <c r="H43" s="615"/>
      <c r="I43" s="614"/>
      <c r="J43" s="614"/>
      <c r="K43" s="614"/>
      <c r="L43" s="614"/>
      <c r="M43" s="614"/>
      <c r="N43" s="614"/>
      <c r="O43" s="614"/>
      <c r="P43" s="614"/>
      <c r="Q43" s="296"/>
      <c r="R43" s="272"/>
      <c r="S43" s="272"/>
      <c r="T43" s="296"/>
    </row>
    <row r="44" spans="1:20" ht="12.75">
      <c r="A44" s="617" t="s">
        <v>79</v>
      </c>
      <c r="B44" s="613"/>
      <c r="C44" s="368"/>
      <c r="D44" s="616">
        <v>-6000</v>
      </c>
      <c r="E44" s="615"/>
      <c r="F44" s="368"/>
      <c r="G44" s="616"/>
      <c r="H44" s="615"/>
      <c r="I44" s="368"/>
      <c r="J44" s="616"/>
      <c r="K44" s="368"/>
      <c r="L44" s="616"/>
      <c r="M44" s="368"/>
      <c r="N44" s="616"/>
      <c r="O44" s="619"/>
      <c r="P44" s="616"/>
      <c r="Q44" s="296"/>
      <c r="R44" s="272"/>
      <c r="S44" s="272"/>
      <c r="T44" s="296"/>
    </row>
    <row r="45" spans="1:20" ht="13.5" thickBot="1">
      <c r="A45" s="55"/>
      <c r="B45" s="55"/>
      <c r="C45" s="55"/>
      <c r="D45" s="55"/>
      <c r="E45" s="55"/>
      <c r="F45" s="55"/>
      <c r="G45" s="55"/>
      <c r="H45" s="55"/>
      <c r="I45" s="55"/>
      <c r="J45" s="55"/>
      <c r="K45" s="404"/>
      <c r="L45" s="404"/>
      <c r="M45" s="618"/>
      <c r="N45" s="55"/>
      <c r="O45" s="55"/>
      <c r="P45" s="55"/>
      <c r="Q45" s="296" t="s">
        <v>375</v>
      </c>
      <c r="R45" s="252"/>
      <c r="S45" s="252"/>
      <c r="T45" s="296"/>
    </row>
    <row r="46" spans="1:20" s="49" customFormat="1" ht="13.5" thickBot="1">
      <c r="A46" s="165" t="s">
        <v>15</v>
      </c>
      <c r="B46" s="166"/>
      <c r="C46" s="621">
        <f>C19+C30+C42</f>
        <v>672</v>
      </c>
      <c r="D46" s="620">
        <f>D19+D30+D42+D44</f>
        <v>298417</v>
      </c>
      <c r="E46" s="166"/>
      <c r="F46" s="621">
        <f>F19+F30+F42</f>
        <v>633</v>
      </c>
      <c r="G46" s="620">
        <f>G19+G30+G42</f>
        <v>262868</v>
      </c>
      <c r="H46" s="166"/>
      <c r="I46" s="621">
        <f aca="true" t="shared" si="6" ref="I46:P46">I19+I30+I42</f>
        <v>633</v>
      </c>
      <c r="J46" s="620">
        <f t="shared" si="6"/>
        <v>270549</v>
      </c>
      <c r="K46" s="621">
        <f t="shared" si="6"/>
        <v>142</v>
      </c>
      <c r="L46" s="620">
        <f t="shared" si="6"/>
        <v>30967</v>
      </c>
      <c r="M46" s="621">
        <f t="shared" si="6"/>
        <v>0</v>
      </c>
      <c r="N46" s="303">
        <f>N19+N30+N42</f>
        <v>-97644</v>
      </c>
      <c r="O46" s="621">
        <f t="shared" si="6"/>
        <v>775</v>
      </c>
      <c r="P46" s="620">
        <f t="shared" si="6"/>
        <v>203872</v>
      </c>
      <c r="Q46" s="296" t="s">
        <v>55</v>
      </c>
      <c r="R46" s="75"/>
      <c r="S46" s="76"/>
      <c r="T46" s="296"/>
    </row>
    <row r="47" spans="1:20" s="49" customFormat="1" ht="15">
      <c r="A47" s="827"/>
      <c r="B47" s="828"/>
      <c r="C47" s="828"/>
      <c r="D47" s="828"/>
      <c r="E47" s="828"/>
      <c r="F47" s="828"/>
      <c r="G47" s="828"/>
      <c r="H47" s="828"/>
      <c r="I47" s="828"/>
      <c r="J47" s="828"/>
      <c r="K47" s="828"/>
      <c r="L47" s="828"/>
      <c r="M47" s="828"/>
      <c r="N47" s="828"/>
      <c r="O47" s="828"/>
      <c r="P47" s="828"/>
      <c r="Q47" s="304"/>
      <c r="R47" s="273"/>
      <c r="S47" s="273"/>
      <c r="T47" s="296"/>
    </row>
    <row r="48" spans="1:20" s="49" customFormat="1" ht="15.75" hidden="1">
      <c r="A48" s="52" t="s">
        <v>404</v>
      </c>
      <c r="B48" s="46"/>
      <c r="C48" s="46"/>
      <c r="D48" s="46"/>
      <c r="E48" s="46"/>
      <c r="F48" s="46"/>
      <c r="G48" s="46"/>
      <c r="H48" s="46"/>
      <c r="I48" s="46"/>
      <c r="J48" s="46"/>
      <c r="K48" s="46"/>
      <c r="L48" s="46"/>
      <c r="M48" s="46"/>
      <c r="N48" s="46"/>
      <c r="O48" s="46"/>
      <c r="P48" s="46"/>
      <c r="Q48" s="46"/>
      <c r="R48" s="274"/>
      <c r="S48" s="274"/>
      <c r="T48" s="296"/>
    </row>
    <row r="49" spans="1:20" s="49" customFormat="1" ht="15.75" hidden="1">
      <c r="A49" s="53" t="e">
        <f>+#REF!</f>
        <v>#REF!</v>
      </c>
      <c r="B49" s="46"/>
      <c r="C49" s="46"/>
      <c r="D49" s="46"/>
      <c r="E49" s="46"/>
      <c r="F49" s="46"/>
      <c r="G49" s="46"/>
      <c r="H49" s="46"/>
      <c r="I49" s="46"/>
      <c r="J49" s="46"/>
      <c r="K49" s="46"/>
      <c r="L49" s="46"/>
      <c r="M49" s="46"/>
      <c r="N49" s="46"/>
      <c r="O49" s="46"/>
      <c r="P49" s="46"/>
      <c r="Q49" s="46"/>
      <c r="R49" s="274"/>
      <c r="S49" s="274"/>
      <c r="T49" s="296"/>
    </row>
    <row r="50" spans="1:20" s="49" customFormat="1" ht="12.75" hidden="1">
      <c r="A50" s="54" t="s">
        <v>332</v>
      </c>
      <c r="B50" s="46"/>
      <c r="C50" s="46"/>
      <c r="D50" s="46"/>
      <c r="E50" s="46"/>
      <c r="F50" s="46"/>
      <c r="G50" s="46"/>
      <c r="H50" s="46"/>
      <c r="I50" s="46"/>
      <c r="J50" s="46"/>
      <c r="K50" s="46"/>
      <c r="L50" s="46"/>
      <c r="M50" s="46"/>
      <c r="N50" s="46"/>
      <c r="O50" s="46"/>
      <c r="P50" s="46"/>
      <c r="Q50" s="46"/>
      <c r="R50" s="274"/>
      <c r="S50" s="274"/>
      <c r="T50" s="296"/>
    </row>
    <row r="51" spans="1:20" s="49" customFormat="1" ht="12.75" hidden="1">
      <c r="A51" s="47"/>
      <c r="B51" s="47"/>
      <c r="C51" s="47"/>
      <c r="D51" s="47"/>
      <c r="E51" s="47"/>
      <c r="F51" s="47"/>
      <c r="G51" s="47"/>
      <c r="H51" s="47"/>
      <c r="I51" s="47"/>
      <c r="J51" s="47"/>
      <c r="K51" s="47"/>
      <c r="L51" s="47"/>
      <c r="M51" s="47"/>
      <c r="N51" s="47"/>
      <c r="O51" s="47"/>
      <c r="P51" s="47"/>
      <c r="Q51" s="47"/>
      <c r="R51" s="275"/>
      <c r="S51" s="275"/>
      <c r="T51" s="296"/>
    </row>
    <row r="52" spans="18:20" ht="12.75" hidden="1">
      <c r="R52" s="275"/>
      <c r="S52" s="275"/>
      <c r="T52" s="296"/>
    </row>
    <row r="53" spans="1:20" ht="12.75" hidden="1">
      <c r="A53" s="245" t="s">
        <v>344</v>
      </c>
      <c r="B53" s="55"/>
      <c r="C53" s="171" t="e">
        <f>+#REF!</f>
        <v>#REF!</v>
      </c>
      <c r="D53" s="172"/>
      <c r="E53" s="173"/>
      <c r="F53" s="171" t="e">
        <f>+#REF!</f>
        <v>#REF!</v>
      </c>
      <c r="G53" s="172"/>
      <c r="H53" s="173"/>
      <c r="I53" s="174" t="e">
        <f>+#REF!</f>
        <v>#REF!</v>
      </c>
      <c r="J53" s="172"/>
      <c r="K53" s="174" t="e">
        <f>+#REF!</f>
        <v>#REF!</v>
      </c>
      <c r="L53" s="259"/>
      <c r="M53" s="259"/>
      <c r="N53" s="172"/>
      <c r="O53" s="174" t="e">
        <f>+#REF!</f>
        <v>#REF!</v>
      </c>
      <c r="P53" s="172"/>
      <c r="Q53" s="175"/>
      <c r="R53" s="268"/>
      <c r="S53" s="269"/>
      <c r="T53" s="296"/>
    </row>
    <row r="54" spans="2:20" ht="12.75" hidden="1">
      <c r="B54" s="55"/>
      <c r="C54" s="176" t="e">
        <f>+#REF!</f>
        <v>#REF!</v>
      </c>
      <c r="D54" s="177"/>
      <c r="E54" s="173"/>
      <c r="F54" s="176" t="e">
        <f>+#REF!</f>
        <v>#REF!</v>
      </c>
      <c r="G54" s="178"/>
      <c r="H54" s="173"/>
      <c r="I54" s="176" t="e">
        <f>+#REF!</f>
        <v>#REF!</v>
      </c>
      <c r="J54" s="178"/>
      <c r="K54" s="176" t="s">
        <v>334</v>
      </c>
      <c r="L54" s="249"/>
      <c r="M54" s="249"/>
      <c r="N54" s="178"/>
      <c r="O54" s="176" t="e">
        <f>+#REF!</f>
        <v>#REF!</v>
      </c>
      <c r="P54" s="178"/>
      <c r="Q54" s="175"/>
      <c r="R54" s="269"/>
      <c r="S54" s="269"/>
      <c r="T54" s="296"/>
    </row>
    <row r="55" spans="1:20" ht="12.75" hidden="1">
      <c r="A55" s="825" t="s">
        <v>414</v>
      </c>
      <c r="B55" s="55"/>
      <c r="C55" s="179"/>
      <c r="D55" s="180" t="s">
        <v>357</v>
      </c>
      <c r="E55" s="173"/>
      <c r="F55" s="179"/>
      <c r="G55" s="180" t="s">
        <v>357</v>
      </c>
      <c r="H55" s="173"/>
      <c r="I55" s="179"/>
      <c r="J55" s="180" t="s">
        <v>357</v>
      </c>
      <c r="K55" s="179"/>
      <c r="L55" s="250"/>
      <c r="M55" s="250"/>
      <c r="N55" s="180" t="s">
        <v>357</v>
      </c>
      <c r="O55" s="179"/>
      <c r="P55" s="180" t="s">
        <v>357</v>
      </c>
      <c r="Q55" s="175"/>
      <c r="R55" s="250"/>
      <c r="S55" s="250"/>
      <c r="T55" s="296"/>
    </row>
    <row r="56" spans="1:20" ht="12.75" hidden="1">
      <c r="A56" s="826"/>
      <c r="B56" s="55"/>
      <c r="C56" s="181" t="s">
        <v>174</v>
      </c>
      <c r="D56" s="182" t="s">
        <v>415</v>
      </c>
      <c r="E56" s="173"/>
      <c r="F56" s="181" t="s">
        <v>174</v>
      </c>
      <c r="G56" s="182" t="s">
        <v>415</v>
      </c>
      <c r="H56" s="173"/>
      <c r="I56" s="181" t="s">
        <v>174</v>
      </c>
      <c r="J56" s="182" t="s">
        <v>415</v>
      </c>
      <c r="K56" s="181" t="s">
        <v>174</v>
      </c>
      <c r="L56" s="251"/>
      <c r="M56" s="251"/>
      <c r="N56" s="182" t="s">
        <v>415</v>
      </c>
      <c r="O56" s="181" t="s">
        <v>174</v>
      </c>
      <c r="P56" s="182" t="s">
        <v>415</v>
      </c>
      <c r="Q56" s="175"/>
      <c r="R56" s="270"/>
      <c r="S56" s="270"/>
      <c r="T56" s="296"/>
    </row>
    <row r="57" spans="1:20" ht="12.75" hidden="1">
      <c r="A57" s="56"/>
      <c r="B57" s="55"/>
      <c r="C57" s="57"/>
      <c r="D57" s="58"/>
      <c r="E57" s="55"/>
      <c r="F57" s="57"/>
      <c r="G57" s="58"/>
      <c r="H57" s="55"/>
      <c r="I57" s="57"/>
      <c r="J57" s="58"/>
      <c r="K57" s="57"/>
      <c r="L57" s="252"/>
      <c r="M57" s="252"/>
      <c r="N57" s="58"/>
      <c r="O57" s="57"/>
      <c r="P57" s="58"/>
      <c r="R57" s="252"/>
      <c r="S57" s="252"/>
      <c r="T57" s="296"/>
    </row>
    <row r="58" spans="1:20" ht="12.75" hidden="1">
      <c r="A58" s="59" t="s">
        <v>416</v>
      </c>
      <c r="B58" s="55"/>
      <c r="C58" s="60"/>
      <c r="D58" s="61"/>
      <c r="E58" s="55"/>
      <c r="F58" s="60"/>
      <c r="G58" s="61"/>
      <c r="H58" s="55"/>
      <c r="I58" s="60"/>
      <c r="J58" s="61"/>
      <c r="K58" s="60"/>
      <c r="L58" s="253"/>
      <c r="M58" s="253"/>
      <c r="N58" s="61"/>
      <c r="O58" s="60"/>
      <c r="P58" s="61"/>
      <c r="R58" s="253"/>
      <c r="S58" s="271"/>
      <c r="T58" s="296"/>
    </row>
    <row r="59" spans="1:20" ht="12.75" hidden="1">
      <c r="A59" s="159" t="s">
        <v>408</v>
      </c>
      <c r="B59" s="56"/>
      <c r="C59" s="160"/>
      <c r="D59" s="161"/>
      <c r="E59" s="163"/>
      <c r="F59" s="160"/>
      <c r="G59" s="161"/>
      <c r="H59" s="163"/>
      <c r="I59" s="160"/>
      <c r="J59" s="161"/>
      <c r="K59" s="160"/>
      <c r="L59" s="254"/>
      <c r="M59" s="254"/>
      <c r="N59" s="161"/>
      <c r="O59" s="160">
        <f>K59+I59</f>
        <v>0</v>
      </c>
      <c r="P59" s="161">
        <f>N59+J59</f>
        <v>0</v>
      </c>
      <c r="R59" s="257"/>
      <c r="S59" s="257"/>
      <c r="T59" s="296"/>
    </row>
    <row r="60" spans="1:20" ht="10.5" customHeight="1" hidden="1">
      <c r="A60" s="62" t="s">
        <v>407</v>
      </c>
      <c r="B60" s="55"/>
      <c r="C60" s="66"/>
      <c r="D60" s="67"/>
      <c r="E60" s="65"/>
      <c r="F60" s="66"/>
      <c r="G60" s="67"/>
      <c r="H60" s="65"/>
      <c r="I60" s="66"/>
      <c r="J60" s="67"/>
      <c r="K60" s="66"/>
      <c r="L60" s="255"/>
      <c r="M60" s="255"/>
      <c r="N60" s="67"/>
      <c r="O60" s="66"/>
      <c r="P60" s="67"/>
      <c r="R60" s="255"/>
      <c r="S60" s="255"/>
      <c r="T60" s="296"/>
    </row>
    <row r="61" spans="1:20" ht="12.75" hidden="1">
      <c r="A61" s="70" t="s">
        <v>417</v>
      </c>
      <c r="B61" s="59"/>
      <c r="C61" s="71">
        <f>SUM(C59:C60)</f>
        <v>0</v>
      </c>
      <c r="D61" s="72">
        <f>SUM(D59:D60)</f>
        <v>0</v>
      </c>
      <c r="E61" s="162"/>
      <c r="F61" s="71">
        <f>SUM(F59:F60)</f>
        <v>0</v>
      </c>
      <c r="G61" s="72">
        <f>SUM(G59:G60)</f>
        <v>0</v>
      </c>
      <c r="H61" s="162"/>
      <c r="I61" s="71">
        <f aca="true" t="shared" si="7" ref="I61:P61">SUM(I59:I60)</f>
        <v>0</v>
      </c>
      <c r="J61" s="72">
        <f t="shared" si="7"/>
        <v>0</v>
      </c>
      <c r="K61" s="71">
        <f t="shared" si="7"/>
        <v>0</v>
      </c>
      <c r="L61" s="256"/>
      <c r="M61" s="256"/>
      <c r="N61" s="72">
        <f t="shared" si="7"/>
        <v>0</v>
      </c>
      <c r="O61" s="71">
        <f t="shared" si="7"/>
        <v>0</v>
      </c>
      <c r="P61" s="72">
        <f t="shared" si="7"/>
        <v>0</v>
      </c>
      <c r="Q61" s="48"/>
      <c r="R61" s="272"/>
      <c r="S61" s="272"/>
      <c r="T61" s="296"/>
    </row>
    <row r="62" spans="1:20" ht="12.75" hidden="1">
      <c r="A62" s="56"/>
      <c r="B62" s="55"/>
      <c r="C62" s="57"/>
      <c r="D62" s="58"/>
      <c r="E62" s="55"/>
      <c r="F62" s="57"/>
      <c r="G62" s="58"/>
      <c r="H62" s="55"/>
      <c r="I62" s="57"/>
      <c r="J62" s="58"/>
      <c r="K62" s="57"/>
      <c r="L62" s="252"/>
      <c r="M62" s="252"/>
      <c r="N62" s="58"/>
      <c r="O62" s="57"/>
      <c r="P62" s="58"/>
      <c r="R62" s="252"/>
      <c r="S62" s="252"/>
      <c r="T62" s="296"/>
    </row>
    <row r="63" spans="1:20" ht="25.5" hidden="1">
      <c r="A63" s="69" t="s">
        <v>419</v>
      </c>
      <c r="B63" s="55"/>
      <c r="C63" s="57"/>
      <c r="D63" s="58"/>
      <c r="E63" s="55"/>
      <c r="F63" s="57"/>
      <c r="G63" s="58"/>
      <c r="H63" s="55"/>
      <c r="I63" s="57"/>
      <c r="J63" s="58"/>
      <c r="K63" s="57"/>
      <c r="L63" s="252"/>
      <c r="M63" s="252"/>
      <c r="N63" s="58"/>
      <c r="O63" s="57"/>
      <c r="P63" s="58"/>
      <c r="R63" s="252"/>
      <c r="S63" s="252"/>
      <c r="T63" s="296"/>
    </row>
    <row r="64" spans="1:20" ht="12.75" hidden="1">
      <c r="A64" s="159">
        <v>2.1</v>
      </c>
      <c r="B64" s="56"/>
      <c r="C64" s="160"/>
      <c r="D64" s="161"/>
      <c r="E64" s="163"/>
      <c r="F64" s="160"/>
      <c r="G64" s="161"/>
      <c r="H64" s="163"/>
      <c r="I64" s="160"/>
      <c r="J64" s="161"/>
      <c r="K64" s="160"/>
      <c r="L64" s="254"/>
      <c r="M64" s="254"/>
      <c r="N64" s="161"/>
      <c r="O64" s="160">
        <f>K64+I64</f>
        <v>0</v>
      </c>
      <c r="P64" s="161">
        <f>N64+J64</f>
        <v>0</v>
      </c>
      <c r="R64" s="257"/>
      <c r="S64" s="257"/>
      <c r="T64" s="296"/>
    </row>
    <row r="65" spans="1:20" ht="12.75" hidden="1">
      <c r="A65" s="62" t="s">
        <v>420</v>
      </c>
      <c r="B65" s="55"/>
      <c r="C65" s="63"/>
      <c r="D65" s="64"/>
      <c r="E65" s="65"/>
      <c r="F65" s="63"/>
      <c r="G65" s="64"/>
      <c r="H65" s="65"/>
      <c r="I65" s="63"/>
      <c r="J65" s="64"/>
      <c r="K65" s="63"/>
      <c r="L65" s="257"/>
      <c r="M65" s="257"/>
      <c r="N65" s="64"/>
      <c r="O65" s="63"/>
      <c r="P65" s="64"/>
      <c r="R65" s="257"/>
      <c r="S65" s="257"/>
      <c r="T65" s="296"/>
    </row>
    <row r="66" spans="1:20" ht="12.75" hidden="1">
      <c r="A66" s="62" t="s">
        <v>421</v>
      </c>
      <c r="B66" s="55"/>
      <c r="C66" s="63"/>
      <c r="D66" s="64"/>
      <c r="E66" s="65"/>
      <c r="F66" s="63"/>
      <c r="G66" s="64"/>
      <c r="H66" s="65"/>
      <c r="I66" s="63"/>
      <c r="J66" s="64"/>
      <c r="K66" s="63"/>
      <c r="L66" s="257"/>
      <c r="M66" s="257"/>
      <c r="N66" s="64"/>
      <c r="O66" s="63"/>
      <c r="P66" s="64"/>
      <c r="R66" s="257"/>
      <c r="S66" s="257"/>
      <c r="T66" s="296"/>
    </row>
    <row r="67" spans="1:20" ht="12.75" hidden="1">
      <c r="A67" s="62" t="s">
        <v>0</v>
      </c>
      <c r="B67" s="55"/>
      <c r="C67" s="63"/>
      <c r="D67" s="64"/>
      <c r="E67" s="65"/>
      <c r="F67" s="63"/>
      <c r="G67" s="64"/>
      <c r="H67" s="65"/>
      <c r="I67" s="63"/>
      <c r="J67" s="64"/>
      <c r="K67" s="63"/>
      <c r="L67" s="257"/>
      <c r="M67" s="257"/>
      <c r="N67" s="64"/>
      <c r="O67" s="63"/>
      <c r="P67" s="64"/>
      <c r="R67" s="257"/>
      <c r="S67" s="257"/>
      <c r="T67" s="296"/>
    </row>
    <row r="68" spans="1:20" ht="12.75" hidden="1">
      <c r="A68" s="62" t="s">
        <v>1</v>
      </c>
      <c r="B68" s="55"/>
      <c r="C68" s="63"/>
      <c r="D68" s="64"/>
      <c r="E68" s="65"/>
      <c r="F68" s="63"/>
      <c r="G68" s="64"/>
      <c r="H68" s="65"/>
      <c r="I68" s="63"/>
      <c r="J68" s="64"/>
      <c r="K68" s="63"/>
      <c r="L68" s="257"/>
      <c r="M68" s="257"/>
      <c r="N68" s="64"/>
      <c r="O68" s="63"/>
      <c r="P68" s="64"/>
      <c r="R68" s="257"/>
      <c r="S68" s="257"/>
      <c r="T68" s="296"/>
    </row>
    <row r="69" spans="1:20" ht="12.75" hidden="1">
      <c r="A69" s="62" t="s">
        <v>2</v>
      </c>
      <c r="B69" s="55"/>
      <c r="C69" s="66"/>
      <c r="D69" s="67"/>
      <c r="E69" s="65"/>
      <c r="F69" s="66"/>
      <c r="G69" s="67"/>
      <c r="H69" s="65"/>
      <c r="I69" s="66"/>
      <c r="J69" s="67"/>
      <c r="K69" s="66"/>
      <c r="L69" s="255"/>
      <c r="M69" s="255"/>
      <c r="N69" s="67"/>
      <c r="O69" s="66"/>
      <c r="P69" s="67"/>
      <c r="R69" s="255"/>
      <c r="S69" s="255"/>
      <c r="T69" s="296"/>
    </row>
    <row r="70" spans="1:20" ht="12.75" hidden="1">
      <c r="A70" s="70" t="s">
        <v>3</v>
      </c>
      <c r="B70" s="59"/>
      <c r="C70" s="71">
        <f>SUM(C64:C69)</f>
        <v>0</v>
      </c>
      <c r="D70" s="72">
        <f>SUM(D64:D69)</f>
        <v>0</v>
      </c>
      <c r="E70" s="162"/>
      <c r="F70" s="71">
        <f>SUM(F64:F69)</f>
        <v>0</v>
      </c>
      <c r="G70" s="72">
        <f>SUM(G64:G69)</f>
        <v>0</v>
      </c>
      <c r="H70" s="162"/>
      <c r="I70" s="71">
        <f aca="true" t="shared" si="8" ref="I70:P70">SUM(I64:I69)</f>
        <v>0</v>
      </c>
      <c r="J70" s="72">
        <f t="shared" si="8"/>
        <v>0</v>
      </c>
      <c r="K70" s="71">
        <f t="shared" si="8"/>
        <v>0</v>
      </c>
      <c r="L70" s="256"/>
      <c r="M70" s="256"/>
      <c r="N70" s="72">
        <f t="shared" si="8"/>
        <v>0</v>
      </c>
      <c r="O70" s="71">
        <f t="shared" si="8"/>
        <v>0</v>
      </c>
      <c r="P70" s="72">
        <f t="shared" si="8"/>
        <v>0</v>
      </c>
      <c r="R70" s="272"/>
      <c r="S70" s="272"/>
      <c r="T70" s="296"/>
    </row>
    <row r="71" spans="1:20" ht="12.75" hidden="1">
      <c r="A71" s="56"/>
      <c r="B71" s="55"/>
      <c r="C71" s="57"/>
      <c r="D71" s="58"/>
      <c r="E71" s="55"/>
      <c r="F71" s="57"/>
      <c r="G71" s="58"/>
      <c r="H71" s="55"/>
      <c r="I71" s="57"/>
      <c r="J71" s="58"/>
      <c r="K71" s="57"/>
      <c r="L71" s="252"/>
      <c r="M71" s="252"/>
      <c r="N71" s="58"/>
      <c r="O71" s="57"/>
      <c r="P71" s="58"/>
      <c r="R71" s="252"/>
      <c r="S71" s="252"/>
      <c r="T71" s="296"/>
    </row>
    <row r="72" spans="1:20" ht="25.5" hidden="1">
      <c r="A72" s="69" t="s">
        <v>4</v>
      </c>
      <c r="B72" s="55"/>
      <c r="C72" s="57"/>
      <c r="D72" s="58"/>
      <c r="E72" s="55"/>
      <c r="F72" s="57"/>
      <c r="G72" s="58"/>
      <c r="H72" s="55"/>
      <c r="I72" s="57"/>
      <c r="J72" s="58"/>
      <c r="K72" s="57"/>
      <c r="L72" s="252"/>
      <c r="M72" s="252"/>
      <c r="N72" s="58"/>
      <c r="O72" s="57"/>
      <c r="P72" s="58"/>
      <c r="R72" s="252"/>
      <c r="S72" s="252"/>
      <c r="T72" s="296"/>
    </row>
    <row r="73" spans="1:20" ht="12.75" hidden="1">
      <c r="A73" s="159" t="s">
        <v>409</v>
      </c>
      <c r="B73" s="56"/>
      <c r="C73" s="160"/>
      <c r="D73" s="161"/>
      <c r="E73" s="163"/>
      <c r="F73" s="160"/>
      <c r="G73" s="161"/>
      <c r="H73" s="163"/>
      <c r="I73" s="160"/>
      <c r="J73" s="161"/>
      <c r="K73" s="160"/>
      <c r="L73" s="254"/>
      <c r="M73" s="254"/>
      <c r="N73" s="161"/>
      <c r="O73" s="160">
        <f>K73+I73</f>
        <v>0</v>
      </c>
      <c r="P73" s="161">
        <f>N73+J73</f>
        <v>0</v>
      </c>
      <c r="R73" s="257"/>
      <c r="S73" s="257"/>
      <c r="T73" s="296"/>
    </row>
    <row r="74" spans="1:20" ht="12.75" hidden="1">
      <c r="A74" s="62" t="s">
        <v>5</v>
      </c>
      <c r="B74" s="55"/>
      <c r="C74" s="63"/>
      <c r="D74" s="64"/>
      <c r="E74" s="65"/>
      <c r="F74" s="63"/>
      <c r="G74" s="64"/>
      <c r="H74" s="65"/>
      <c r="I74" s="63"/>
      <c r="J74" s="64"/>
      <c r="K74" s="63"/>
      <c r="L74" s="257"/>
      <c r="M74" s="257"/>
      <c r="N74" s="64"/>
      <c r="O74" s="63"/>
      <c r="P74" s="64"/>
      <c r="R74" s="257"/>
      <c r="S74" s="257"/>
      <c r="T74" s="296"/>
    </row>
    <row r="75" spans="1:20" ht="12.75" hidden="1">
      <c r="A75" s="62" t="s">
        <v>6</v>
      </c>
      <c r="B75" s="55"/>
      <c r="C75" s="66"/>
      <c r="D75" s="67"/>
      <c r="E75" s="65"/>
      <c r="F75" s="66"/>
      <c r="G75" s="67"/>
      <c r="H75" s="65"/>
      <c r="I75" s="66"/>
      <c r="J75" s="67"/>
      <c r="K75" s="66"/>
      <c r="L75" s="255"/>
      <c r="M75" s="255"/>
      <c r="N75" s="67"/>
      <c r="O75" s="66"/>
      <c r="P75" s="67"/>
      <c r="R75" s="255"/>
      <c r="S75" s="255"/>
      <c r="T75" s="296"/>
    </row>
    <row r="76" spans="1:20" ht="12.75" hidden="1">
      <c r="A76" s="70" t="s">
        <v>7</v>
      </c>
      <c r="B76" s="59"/>
      <c r="C76" s="71">
        <f>SUM(C73:C75)</f>
        <v>0</v>
      </c>
      <c r="D76" s="72">
        <f>SUM(D73:D75)</f>
        <v>0</v>
      </c>
      <c r="E76" s="162"/>
      <c r="F76" s="71">
        <f>SUM(F73:F75)</f>
        <v>0</v>
      </c>
      <c r="G76" s="72">
        <f>SUM(G73:G75)</f>
        <v>0</v>
      </c>
      <c r="H76" s="162"/>
      <c r="I76" s="71">
        <f aca="true" t="shared" si="9" ref="I76:P76">SUM(I73:I75)</f>
        <v>0</v>
      </c>
      <c r="J76" s="72">
        <f t="shared" si="9"/>
        <v>0</v>
      </c>
      <c r="K76" s="71">
        <f t="shared" si="9"/>
        <v>0</v>
      </c>
      <c r="L76" s="256"/>
      <c r="M76" s="256"/>
      <c r="N76" s="72">
        <f t="shared" si="9"/>
        <v>0</v>
      </c>
      <c r="O76" s="71">
        <f t="shared" si="9"/>
        <v>0</v>
      </c>
      <c r="P76" s="72">
        <f t="shared" si="9"/>
        <v>0</v>
      </c>
      <c r="R76" s="272"/>
      <c r="S76" s="272"/>
      <c r="T76" s="296"/>
    </row>
    <row r="77" spans="1:20" ht="12.75" hidden="1">
      <c r="A77" s="56"/>
      <c r="B77" s="55"/>
      <c r="C77" s="57"/>
      <c r="D77" s="58"/>
      <c r="E77" s="55"/>
      <c r="F77" s="57"/>
      <c r="G77" s="58"/>
      <c r="H77" s="55"/>
      <c r="I77" s="57"/>
      <c r="J77" s="58"/>
      <c r="K77" s="57"/>
      <c r="L77" s="252"/>
      <c r="M77" s="252"/>
      <c r="N77" s="58"/>
      <c r="O77" s="57"/>
      <c r="P77" s="58"/>
      <c r="R77" s="252"/>
      <c r="S77" s="252"/>
      <c r="T77" s="296"/>
    </row>
    <row r="78" spans="1:20" ht="25.5" hidden="1">
      <c r="A78" s="69" t="s">
        <v>8</v>
      </c>
      <c r="B78" s="55"/>
      <c r="C78" s="57"/>
      <c r="D78" s="58"/>
      <c r="E78" s="55"/>
      <c r="F78" s="57"/>
      <c r="G78" s="58"/>
      <c r="H78" s="55"/>
      <c r="I78" s="57"/>
      <c r="J78" s="58"/>
      <c r="K78" s="57"/>
      <c r="L78" s="252"/>
      <c r="M78" s="252"/>
      <c r="N78" s="58"/>
      <c r="O78" s="57"/>
      <c r="P78" s="58"/>
      <c r="R78" s="252"/>
      <c r="S78" s="252"/>
      <c r="T78" s="296"/>
    </row>
    <row r="79" spans="1:20" ht="12.75" hidden="1">
      <c r="A79" s="159" t="s">
        <v>410</v>
      </c>
      <c r="B79" s="56"/>
      <c r="C79" s="160">
        <v>0</v>
      </c>
      <c r="D79" s="161">
        <v>0</v>
      </c>
      <c r="E79" s="163"/>
      <c r="F79" s="160">
        <v>0</v>
      </c>
      <c r="G79" s="161">
        <v>0</v>
      </c>
      <c r="H79" s="163"/>
      <c r="I79" s="160">
        <v>0</v>
      </c>
      <c r="J79" s="161">
        <v>0</v>
      </c>
      <c r="K79" s="160">
        <v>0</v>
      </c>
      <c r="L79" s="254"/>
      <c r="M79" s="254"/>
      <c r="N79" s="161">
        <v>0</v>
      </c>
      <c r="O79" s="160">
        <f>K79+I79</f>
        <v>0</v>
      </c>
      <c r="P79" s="161">
        <f>N79+J79</f>
        <v>0</v>
      </c>
      <c r="R79" s="257"/>
      <c r="S79" s="257"/>
      <c r="T79" s="296"/>
    </row>
    <row r="80" spans="1:20" ht="12.75" hidden="1">
      <c r="A80" s="62" t="s">
        <v>9</v>
      </c>
      <c r="B80" s="55"/>
      <c r="C80" s="63">
        <v>0</v>
      </c>
      <c r="D80" s="64">
        <v>0</v>
      </c>
      <c r="E80" s="65"/>
      <c r="F80" s="63">
        <v>0</v>
      </c>
      <c r="G80" s="64">
        <v>0</v>
      </c>
      <c r="H80" s="65"/>
      <c r="I80" s="63">
        <v>0</v>
      </c>
      <c r="J80" s="64">
        <v>0</v>
      </c>
      <c r="K80" s="63">
        <v>0</v>
      </c>
      <c r="L80" s="257"/>
      <c r="M80" s="257"/>
      <c r="N80" s="64">
        <v>0</v>
      </c>
      <c r="O80" s="63">
        <v>0</v>
      </c>
      <c r="P80" s="64">
        <v>0</v>
      </c>
      <c r="R80" s="257"/>
      <c r="S80" s="257"/>
      <c r="T80" s="296"/>
    </row>
    <row r="81" spans="1:20" ht="12.75" hidden="1">
      <c r="A81" s="62" t="s">
        <v>10</v>
      </c>
      <c r="B81" s="55"/>
      <c r="C81" s="63">
        <v>0</v>
      </c>
      <c r="D81" s="64">
        <v>0</v>
      </c>
      <c r="E81" s="65"/>
      <c r="F81" s="63">
        <v>0</v>
      </c>
      <c r="G81" s="64">
        <v>0</v>
      </c>
      <c r="H81" s="65"/>
      <c r="I81" s="63">
        <v>0</v>
      </c>
      <c r="J81" s="64">
        <v>0</v>
      </c>
      <c r="K81" s="63">
        <v>0</v>
      </c>
      <c r="L81" s="257"/>
      <c r="M81" s="257"/>
      <c r="N81" s="64">
        <v>0</v>
      </c>
      <c r="O81" s="63">
        <v>0</v>
      </c>
      <c r="P81" s="64">
        <v>0</v>
      </c>
      <c r="R81" s="257"/>
      <c r="S81" s="257"/>
      <c r="T81" s="296"/>
    </row>
    <row r="82" spans="1:20" ht="12.75" hidden="1">
      <c r="A82" s="62" t="s">
        <v>11</v>
      </c>
      <c r="B82" s="55"/>
      <c r="C82" s="63">
        <v>0</v>
      </c>
      <c r="D82" s="64">
        <v>0</v>
      </c>
      <c r="E82" s="65"/>
      <c r="F82" s="63">
        <v>0</v>
      </c>
      <c r="G82" s="64">
        <v>0</v>
      </c>
      <c r="H82" s="65"/>
      <c r="I82" s="63">
        <v>0</v>
      </c>
      <c r="J82" s="64">
        <v>0</v>
      </c>
      <c r="K82" s="63">
        <v>0</v>
      </c>
      <c r="L82" s="257"/>
      <c r="M82" s="257"/>
      <c r="N82" s="64">
        <v>0</v>
      </c>
      <c r="O82" s="63">
        <v>0</v>
      </c>
      <c r="P82" s="64">
        <v>0</v>
      </c>
      <c r="R82" s="257"/>
      <c r="S82" s="257"/>
      <c r="T82" s="296"/>
    </row>
    <row r="83" spans="1:20" ht="12.75" hidden="1">
      <c r="A83" s="62" t="s">
        <v>12</v>
      </c>
      <c r="B83" s="55"/>
      <c r="C83" s="63">
        <v>0</v>
      </c>
      <c r="D83" s="64">
        <v>0</v>
      </c>
      <c r="E83" s="65"/>
      <c r="F83" s="63">
        <v>0</v>
      </c>
      <c r="G83" s="64">
        <v>0</v>
      </c>
      <c r="H83" s="65"/>
      <c r="I83" s="63">
        <v>0</v>
      </c>
      <c r="J83" s="64">
        <v>0</v>
      </c>
      <c r="K83" s="63">
        <v>0</v>
      </c>
      <c r="L83" s="257"/>
      <c r="M83" s="257"/>
      <c r="N83" s="64">
        <v>0</v>
      </c>
      <c r="O83" s="63">
        <v>0</v>
      </c>
      <c r="P83" s="64">
        <v>0</v>
      </c>
      <c r="R83" s="257"/>
      <c r="S83" s="257"/>
      <c r="T83" s="296"/>
    </row>
    <row r="84" spans="1:20" ht="12.75" hidden="1">
      <c r="A84" s="62" t="s">
        <v>13</v>
      </c>
      <c r="B84" s="55"/>
      <c r="C84" s="66">
        <v>0</v>
      </c>
      <c r="D84" s="67">
        <v>0</v>
      </c>
      <c r="E84" s="65"/>
      <c r="F84" s="66">
        <v>0</v>
      </c>
      <c r="G84" s="67">
        <v>0</v>
      </c>
      <c r="H84" s="65"/>
      <c r="I84" s="66">
        <v>0</v>
      </c>
      <c r="J84" s="67">
        <v>0</v>
      </c>
      <c r="K84" s="66">
        <v>0</v>
      </c>
      <c r="L84" s="255"/>
      <c r="M84" s="255"/>
      <c r="N84" s="67">
        <v>0</v>
      </c>
      <c r="O84" s="66">
        <v>0</v>
      </c>
      <c r="P84" s="67">
        <v>0</v>
      </c>
      <c r="R84" s="255"/>
      <c r="S84" s="255"/>
      <c r="T84" s="296"/>
    </row>
    <row r="85" spans="1:20" ht="12.75" hidden="1">
      <c r="A85" s="70" t="s">
        <v>14</v>
      </c>
      <c r="B85" s="59"/>
      <c r="C85" s="71">
        <f>SUM(C79:C84)</f>
        <v>0</v>
      </c>
      <c r="D85" s="72">
        <f>SUM(D79:D84)</f>
        <v>0</v>
      </c>
      <c r="E85" s="68"/>
      <c r="F85" s="71">
        <f>SUM(F79:F84)</f>
        <v>0</v>
      </c>
      <c r="G85" s="72">
        <f>SUM(G79:G84)</f>
        <v>0</v>
      </c>
      <c r="H85" s="162"/>
      <c r="I85" s="71">
        <f aca="true" t="shared" si="10" ref="I85:P85">SUM(I79:I84)</f>
        <v>0</v>
      </c>
      <c r="J85" s="72">
        <f t="shared" si="10"/>
        <v>0</v>
      </c>
      <c r="K85" s="71">
        <f t="shared" si="10"/>
        <v>0</v>
      </c>
      <c r="L85" s="256"/>
      <c r="M85" s="256"/>
      <c r="N85" s="72">
        <f t="shared" si="10"/>
        <v>0</v>
      </c>
      <c r="O85" s="71">
        <f t="shared" si="10"/>
        <v>0</v>
      </c>
      <c r="P85" s="72">
        <f t="shared" si="10"/>
        <v>0</v>
      </c>
      <c r="R85" s="272"/>
      <c r="S85" s="272"/>
      <c r="T85" s="296"/>
    </row>
    <row r="86" spans="1:20" ht="13.5" hidden="1" thickBot="1">
      <c r="A86" s="55"/>
      <c r="B86" s="55"/>
      <c r="C86" s="55"/>
      <c r="D86" s="55"/>
      <c r="E86" s="55"/>
      <c r="F86" s="55"/>
      <c r="G86" s="55"/>
      <c r="H86" s="55"/>
      <c r="I86" s="55"/>
      <c r="J86" s="55"/>
      <c r="K86" s="55"/>
      <c r="L86" s="55"/>
      <c r="M86" s="55"/>
      <c r="N86" s="55"/>
      <c r="O86" s="55"/>
      <c r="P86" s="55"/>
      <c r="R86" s="252"/>
      <c r="S86" s="252"/>
      <c r="T86" s="296"/>
    </row>
    <row r="87" spans="1:20" ht="13.5" hidden="1" thickBot="1">
      <c r="A87" s="165" t="s">
        <v>15</v>
      </c>
      <c r="B87" s="166"/>
      <c r="C87" s="164">
        <f>C61+C70+C76+C85</f>
        <v>0</v>
      </c>
      <c r="D87" s="73">
        <f>D61+D70+D76+D85</f>
        <v>0</v>
      </c>
      <c r="E87" s="166"/>
      <c r="F87" s="164">
        <f>F61+F70+F76+F85</f>
        <v>0</v>
      </c>
      <c r="G87" s="73">
        <f>G61+G70+G76+G85</f>
        <v>0</v>
      </c>
      <c r="H87" s="166"/>
      <c r="I87" s="164">
        <f aca="true" t="shared" si="11" ref="I87:P87">I61+I70+I76+I85</f>
        <v>0</v>
      </c>
      <c r="J87" s="73">
        <f t="shared" si="11"/>
        <v>0</v>
      </c>
      <c r="K87" s="164">
        <f t="shared" si="11"/>
        <v>0</v>
      </c>
      <c r="L87" s="258"/>
      <c r="M87" s="258"/>
      <c r="N87" s="73">
        <f t="shared" si="11"/>
        <v>0</v>
      </c>
      <c r="O87" s="164">
        <f t="shared" si="11"/>
        <v>0</v>
      </c>
      <c r="P87" s="73">
        <f t="shared" si="11"/>
        <v>0</v>
      </c>
      <c r="Q87" s="49"/>
      <c r="R87" s="75"/>
      <c r="S87" s="76"/>
      <c r="T87" s="296"/>
    </row>
    <row r="88" spans="1:20" ht="12.75">
      <c r="A88" s="74"/>
      <c r="B88" s="74"/>
      <c r="C88" s="75"/>
      <c r="D88" s="76"/>
      <c r="E88" s="74"/>
      <c r="F88" s="622"/>
      <c r="G88" s="76"/>
      <c r="H88" s="74"/>
      <c r="I88" s="75"/>
      <c r="J88" s="76"/>
      <c r="K88" s="49"/>
      <c r="L88" s="49"/>
      <c r="M88" s="49"/>
      <c r="N88" s="49"/>
      <c r="O88" s="49"/>
      <c r="P88" s="49"/>
      <c r="Q88" s="49"/>
      <c r="R88" s="273"/>
      <c r="S88" s="273"/>
      <c r="T88" s="296"/>
    </row>
    <row r="89" spans="1:20" ht="12.75">
      <c r="A89" s="74"/>
      <c r="B89" s="74"/>
      <c r="C89" s="75"/>
      <c r="D89" s="76"/>
      <c r="E89" s="74"/>
      <c r="F89" s="75"/>
      <c r="G89" s="76"/>
      <c r="H89" s="74"/>
      <c r="I89" s="75"/>
      <c r="J89" s="76"/>
      <c r="K89" s="49"/>
      <c r="L89" s="49"/>
      <c r="M89" s="49"/>
      <c r="N89" s="49"/>
      <c r="O89" s="49"/>
      <c r="P89" s="49"/>
      <c r="Q89" s="49"/>
      <c r="R89" s="273"/>
      <c r="S89" s="273"/>
      <c r="T89" s="296"/>
    </row>
    <row r="90" spans="1:20" ht="12.75">
      <c r="A90" s="82" t="s">
        <v>328</v>
      </c>
      <c r="B90" s="79"/>
      <c r="C90" s="385">
        <f>C46-'B. Summary of Requirements '!I112</f>
        <v>0</v>
      </c>
      <c r="D90" s="301">
        <f>D46-'B. Summary of Requirements '!AC16</f>
        <v>0</v>
      </c>
      <c r="E90" s="79"/>
      <c r="F90" s="385">
        <f>F46-'B. Summary of Requirements '!L112</f>
        <v>0</v>
      </c>
      <c r="G90" s="301">
        <f>G46-'B. Summary of Requirements '!AC21</f>
        <v>0</v>
      </c>
      <c r="H90" s="79"/>
      <c r="I90" s="385">
        <f>I46-'B. Summary of Requirements '!R112</f>
        <v>0</v>
      </c>
      <c r="J90" s="301">
        <f>J46-'B. Summary of Requirements '!AC57</f>
        <v>0</v>
      </c>
      <c r="K90" s="385">
        <f>K46-'B. Summary of Requirements '!U112</f>
        <v>0</v>
      </c>
      <c r="L90" s="302">
        <f>L46-'B. Summary of Requirements '!AC67</f>
        <v>0</v>
      </c>
      <c r="M90" s="385">
        <f>M46-'B. Summary of Requirements '!X112</f>
        <v>0</v>
      </c>
      <c r="N90" s="301">
        <f>+N46-'B. Summary of Requirements '!AC72</f>
        <v>0</v>
      </c>
      <c r="O90" s="385">
        <f>O46-'B. Summary of Requirements '!AB112</f>
        <v>0</v>
      </c>
      <c r="P90" s="301">
        <f>P46-'B. Summary of Requirements '!AC102</f>
        <v>0</v>
      </c>
      <c r="Q90" s="49"/>
      <c r="R90" s="80"/>
      <c r="S90" s="81"/>
      <c r="T90" s="296"/>
    </row>
    <row r="91" spans="1:19" ht="12.75">
      <c r="A91" s="74"/>
      <c r="B91" s="74"/>
      <c r="C91" s="75"/>
      <c r="D91" s="76"/>
      <c r="E91" s="74"/>
      <c r="F91" s="75"/>
      <c r="G91" s="76"/>
      <c r="H91" s="74"/>
      <c r="I91" s="75"/>
      <c r="J91" s="76"/>
      <c r="K91" s="49"/>
      <c r="L91" s="49"/>
      <c r="M91" s="49"/>
      <c r="N91" s="49"/>
      <c r="O91" s="49"/>
      <c r="P91" s="49"/>
      <c r="Q91" s="49"/>
      <c r="R91" s="273"/>
      <c r="S91" s="273"/>
    </row>
    <row r="92" spans="1:19" ht="15">
      <c r="A92" s="820"/>
      <c r="B92" s="821"/>
      <c r="C92" s="821"/>
      <c r="D92" s="821"/>
      <c r="E92" s="821"/>
      <c r="F92" s="821"/>
      <c r="G92" s="821"/>
      <c r="H92" s="821"/>
      <c r="I92" s="821"/>
      <c r="J92" s="822"/>
      <c r="K92" s="822"/>
      <c r="L92" s="822"/>
      <c r="M92" s="822"/>
      <c r="N92" s="822"/>
      <c r="O92" s="822"/>
      <c r="P92" s="822"/>
      <c r="Q92" s="822"/>
      <c r="R92" s="822"/>
      <c r="S92" s="822"/>
    </row>
    <row r="93" spans="1:19" ht="15">
      <c r="A93" s="820"/>
      <c r="B93" s="821"/>
      <c r="C93" s="821"/>
      <c r="D93" s="821"/>
      <c r="E93" s="821"/>
      <c r="F93" s="821"/>
      <c r="G93" s="821"/>
      <c r="H93" s="821"/>
      <c r="I93" s="821"/>
      <c r="J93" s="822"/>
      <c r="K93" s="822"/>
      <c r="L93" s="822"/>
      <c r="M93" s="822"/>
      <c r="N93" s="822"/>
      <c r="O93" s="822"/>
      <c r="P93" s="822"/>
      <c r="Q93" s="822"/>
      <c r="R93" s="822"/>
      <c r="S93" s="822"/>
    </row>
    <row r="94" ht="12.75">
      <c r="S94" s="296"/>
    </row>
  </sheetData>
  <mergeCells count="16">
    <mergeCell ref="I8:J9"/>
    <mergeCell ref="O8:P9"/>
    <mergeCell ref="F8:G9"/>
    <mergeCell ref="C8:D9"/>
    <mergeCell ref="K8:N8"/>
    <mergeCell ref="M9:N9"/>
    <mergeCell ref="K9:L9"/>
    <mergeCell ref="A93:S93"/>
    <mergeCell ref="A10:A11"/>
    <mergeCell ref="A92:S92"/>
    <mergeCell ref="A55:A56"/>
    <mergeCell ref="A47:P47"/>
    <mergeCell ref="A1:P1"/>
    <mergeCell ref="A3:P3"/>
    <mergeCell ref="A4:P4"/>
    <mergeCell ref="A5:P5"/>
  </mergeCells>
  <printOptions horizontalCentered="1"/>
  <pageMargins left="0.75" right="0.75" top="1" bottom="0.29" header="0.5" footer="0.5"/>
  <pageSetup horizontalDpi="600" verticalDpi="600" orientation="landscape" scale="60" r:id="rId1"/>
  <headerFooter alignWithMargins="0">
    <oddFooter>&amp;C&amp;"Times New Roman,Regular"Exhibit D - Resources by DOJ Strategic Goals &amp; Strategic Objectives&amp;RJustice Assistance</oddFooter>
  </headerFooter>
</worksheet>
</file>

<file path=xl/worksheets/sheet4.xml><?xml version="1.0" encoding="utf-8"?>
<worksheet xmlns="http://schemas.openxmlformats.org/spreadsheetml/2006/main" xmlns:r="http://schemas.openxmlformats.org/officeDocument/2006/relationships">
  <sheetPr codeName="Sheet10"/>
  <dimension ref="A1:AA106"/>
  <sheetViews>
    <sheetView zoomScale="75" zoomScaleNormal="75" zoomScaleSheetLayoutView="75" workbookViewId="0" topLeftCell="A1">
      <selection activeCell="W47" sqref="W47"/>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0.9921875" style="305" customWidth="1"/>
  </cols>
  <sheetData>
    <row r="1" spans="1:14" ht="20.25">
      <c r="A1" s="813" t="s">
        <v>64</v>
      </c>
      <c r="B1" s="840"/>
      <c r="C1" s="840"/>
      <c r="D1" s="840"/>
      <c r="E1" s="840"/>
      <c r="F1" s="840"/>
      <c r="G1" s="840"/>
      <c r="H1" s="840"/>
      <c r="I1" s="840"/>
      <c r="J1" s="840"/>
      <c r="K1" s="840"/>
      <c r="L1" s="840"/>
      <c r="M1" s="841"/>
      <c r="N1" s="305" t="s">
        <v>375</v>
      </c>
    </row>
    <row r="2" spans="1:14" ht="15.75">
      <c r="A2" s="278" t="s">
        <v>356</v>
      </c>
      <c r="N2" s="305" t="s">
        <v>375</v>
      </c>
    </row>
    <row r="3" spans="1:27" ht="15" customHeight="1">
      <c r="A3" s="816" t="s">
        <v>313</v>
      </c>
      <c r="B3" s="722"/>
      <c r="C3" s="722"/>
      <c r="D3" s="722"/>
      <c r="E3" s="722"/>
      <c r="F3" s="722"/>
      <c r="G3" s="722"/>
      <c r="H3" s="722"/>
      <c r="I3" s="722"/>
      <c r="J3" s="722"/>
      <c r="K3" s="722"/>
      <c r="L3" s="722"/>
      <c r="M3" s="722"/>
      <c r="N3" s="305" t="s">
        <v>375</v>
      </c>
      <c r="O3" s="215"/>
      <c r="P3" s="215"/>
      <c r="Q3" s="215"/>
      <c r="R3" s="215"/>
      <c r="S3" s="215"/>
      <c r="T3" s="215"/>
      <c r="U3" s="215"/>
      <c r="V3" s="215"/>
      <c r="W3" s="215"/>
      <c r="X3" s="215"/>
      <c r="Y3" s="215"/>
      <c r="Z3" s="215"/>
      <c r="AA3" s="216"/>
    </row>
    <row r="4" spans="1:27" ht="15.75">
      <c r="A4" s="818" t="str">
        <f>+'B. Summary of Requirements '!A3</f>
        <v>Office of Justice Programs </v>
      </c>
      <c r="B4" s="722"/>
      <c r="C4" s="722"/>
      <c r="D4" s="722"/>
      <c r="E4" s="722"/>
      <c r="F4" s="722"/>
      <c r="G4" s="722"/>
      <c r="H4" s="722"/>
      <c r="I4" s="722"/>
      <c r="J4" s="722"/>
      <c r="K4" s="722"/>
      <c r="L4" s="722"/>
      <c r="M4" s="817"/>
      <c r="N4" s="305" t="s">
        <v>375</v>
      </c>
      <c r="O4" s="232"/>
      <c r="P4" s="215"/>
      <c r="Q4" s="215"/>
      <c r="R4" s="215"/>
      <c r="S4" s="215"/>
      <c r="T4" s="215"/>
      <c r="U4" s="215"/>
      <c r="V4" s="215"/>
      <c r="W4" s="215"/>
      <c r="X4" s="215"/>
      <c r="Y4" s="215"/>
      <c r="Z4" s="215"/>
      <c r="AA4" s="216"/>
    </row>
    <row r="5" spans="1:27" ht="15">
      <c r="A5" s="219"/>
      <c r="B5" s="220"/>
      <c r="C5" s="220"/>
      <c r="D5" s="220"/>
      <c r="E5" s="220"/>
      <c r="F5" s="220"/>
      <c r="G5" s="220"/>
      <c r="H5" s="220"/>
      <c r="I5" s="220"/>
      <c r="J5" s="220"/>
      <c r="K5" s="220"/>
      <c r="L5" s="220"/>
      <c r="M5" s="220"/>
      <c r="N5" s="305" t="s">
        <v>375</v>
      </c>
      <c r="O5" s="220"/>
      <c r="P5" s="217"/>
      <c r="Q5" s="217"/>
      <c r="R5" s="217"/>
      <c r="S5" s="217"/>
      <c r="T5" s="217"/>
      <c r="U5" s="217"/>
      <c r="V5" s="217"/>
      <c r="W5" s="217"/>
      <c r="X5" s="217"/>
      <c r="Y5" s="217"/>
      <c r="Z5" s="217"/>
      <c r="AA5" s="218"/>
    </row>
    <row r="6" spans="1:27" ht="15">
      <c r="A6" s="624" t="s">
        <v>69</v>
      </c>
      <c r="B6" s="568"/>
      <c r="C6" s="568"/>
      <c r="D6" s="568"/>
      <c r="E6" s="568"/>
      <c r="F6" s="568"/>
      <c r="G6" s="568"/>
      <c r="H6" s="568"/>
      <c r="I6" s="568"/>
      <c r="J6" s="568"/>
      <c r="K6" s="568"/>
      <c r="L6" s="568"/>
      <c r="M6" s="568"/>
      <c r="O6" s="220"/>
      <c r="P6" s="217"/>
      <c r="Q6" s="217"/>
      <c r="R6" s="217"/>
      <c r="S6" s="217"/>
      <c r="T6" s="217"/>
      <c r="U6" s="217"/>
      <c r="V6" s="217"/>
      <c r="W6" s="217"/>
      <c r="X6" s="217"/>
      <c r="Y6" s="217"/>
      <c r="Z6" s="217"/>
      <c r="AA6" s="218"/>
    </row>
    <row r="7" spans="1:27" ht="15">
      <c r="A7" s="87"/>
      <c r="B7" s="87"/>
      <c r="C7" s="87"/>
      <c r="D7" s="87"/>
      <c r="E7" s="87"/>
      <c r="F7" s="87"/>
      <c r="G7" s="87"/>
      <c r="H7" s="87"/>
      <c r="I7" s="87"/>
      <c r="J7" s="87"/>
      <c r="K7" s="87"/>
      <c r="L7" s="87"/>
      <c r="M7" s="87"/>
      <c r="O7" s="220"/>
      <c r="P7" s="217"/>
      <c r="Q7" s="217"/>
      <c r="R7" s="217"/>
      <c r="S7" s="217"/>
      <c r="T7" s="217"/>
      <c r="U7" s="217"/>
      <c r="V7" s="217"/>
      <c r="W7" s="217"/>
      <c r="X7" s="217"/>
      <c r="Y7" s="217"/>
      <c r="Z7" s="217"/>
      <c r="AA7" s="218"/>
    </row>
    <row r="8" spans="1:27" ht="15">
      <c r="A8" s="87" t="s">
        <v>80</v>
      </c>
      <c r="B8" s="87"/>
      <c r="C8" s="87"/>
      <c r="D8" s="87"/>
      <c r="E8" s="87"/>
      <c r="F8" s="87"/>
      <c r="G8" s="87"/>
      <c r="H8" s="87"/>
      <c r="I8" s="87"/>
      <c r="J8" s="87"/>
      <c r="K8" s="87"/>
      <c r="L8" s="87"/>
      <c r="M8" s="87"/>
      <c r="O8" s="220"/>
      <c r="P8" s="217"/>
      <c r="Q8" s="217"/>
      <c r="R8" s="217"/>
      <c r="S8" s="217"/>
      <c r="T8" s="217"/>
      <c r="U8" s="217"/>
      <c r="V8" s="217"/>
      <c r="W8" s="217"/>
      <c r="X8" s="217"/>
      <c r="Y8" s="217"/>
      <c r="Z8" s="217"/>
      <c r="AA8" s="218"/>
    </row>
    <row r="9" spans="1:27" ht="15">
      <c r="A9" s="219"/>
      <c r="B9" s="220"/>
      <c r="C9" s="220"/>
      <c r="D9" s="220"/>
      <c r="E9" s="220"/>
      <c r="F9" s="220"/>
      <c r="G9" s="220"/>
      <c r="H9" s="220"/>
      <c r="I9" s="220"/>
      <c r="J9" s="220"/>
      <c r="K9" s="220"/>
      <c r="L9" s="220"/>
      <c r="M9" s="220"/>
      <c r="O9" s="220"/>
      <c r="P9" s="217"/>
      <c r="Q9" s="217"/>
      <c r="R9" s="217"/>
      <c r="S9" s="217"/>
      <c r="T9" s="217"/>
      <c r="U9" s="217"/>
      <c r="V9" s="217"/>
      <c r="W9" s="217"/>
      <c r="X9" s="217"/>
      <c r="Y9" s="217"/>
      <c r="Z9" s="217"/>
      <c r="AA9" s="218"/>
    </row>
    <row r="10" spans="1:17" ht="15">
      <c r="A10" s="869" t="s">
        <v>178</v>
      </c>
      <c r="B10" s="870"/>
      <c r="C10" s="870"/>
      <c r="D10" s="870"/>
      <c r="E10" s="870"/>
      <c r="F10" s="870"/>
      <c r="G10" s="870"/>
      <c r="H10" s="870"/>
      <c r="I10" s="870"/>
      <c r="J10" s="870"/>
      <c r="K10" s="870"/>
      <c r="L10" s="870"/>
      <c r="M10" s="870"/>
      <c r="N10" s="305" t="s">
        <v>375</v>
      </c>
      <c r="O10" s="221"/>
      <c r="P10" s="221"/>
      <c r="Q10" s="222"/>
    </row>
    <row r="11" spans="1:15" ht="15">
      <c r="A11" s="87"/>
      <c r="B11" s="87"/>
      <c r="C11" s="87"/>
      <c r="D11" s="87"/>
      <c r="E11" s="87"/>
      <c r="F11" s="87"/>
      <c r="G11" s="87"/>
      <c r="H11" s="87"/>
      <c r="I11" s="87"/>
      <c r="J11" s="87"/>
      <c r="K11" s="87"/>
      <c r="L11" s="87"/>
      <c r="M11" s="87"/>
      <c r="N11" s="305" t="s">
        <v>375</v>
      </c>
      <c r="O11" s="87"/>
    </row>
    <row r="12" spans="1:15" ht="15">
      <c r="A12" s="87" t="s">
        <v>97</v>
      </c>
      <c r="B12" s="87"/>
      <c r="C12" s="87"/>
      <c r="D12" s="87"/>
      <c r="E12" s="87"/>
      <c r="F12" s="87"/>
      <c r="G12" s="87"/>
      <c r="H12" s="87"/>
      <c r="I12" s="87"/>
      <c r="J12" s="87"/>
      <c r="K12" s="87"/>
      <c r="L12" s="87"/>
      <c r="M12" s="513"/>
      <c r="N12" s="512">
        <v>58315</v>
      </c>
      <c r="O12" s="87"/>
    </row>
    <row r="13" spans="1:15" ht="15">
      <c r="A13" s="87" t="s">
        <v>98</v>
      </c>
      <c r="B13" s="87"/>
      <c r="C13" s="87"/>
      <c r="D13" s="87"/>
      <c r="E13" s="87"/>
      <c r="F13" s="87"/>
      <c r="G13" s="87"/>
      <c r="H13" s="87"/>
      <c r="I13" s="87"/>
      <c r="J13" s="87"/>
      <c r="K13" s="87"/>
      <c r="L13" s="87"/>
      <c r="M13" s="513"/>
      <c r="N13" s="513">
        <f>26757+757</f>
        <v>27514</v>
      </c>
      <c r="O13" s="87"/>
    </row>
    <row r="14" spans="1:15" ht="15" customHeight="1">
      <c r="A14" s="514" t="s">
        <v>99</v>
      </c>
      <c r="B14" s="225"/>
      <c r="C14" s="225"/>
      <c r="D14" s="225"/>
      <c r="E14" s="225"/>
      <c r="F14" s="225"/>
      <c r="G14" s="225"/>
      <c r="H14" s="225"/>
      <c r="I14" s="225"/>
      <c r="J14" s="225"/>
      <c r="K14" s="225"/>
      <c r="L14" s="225"/>
      <c r="M14" s="623"/>
      <c r="N14" s="515">
        <v>3000</v>
      </c>
      <c r="O14" s="224"/>
    </row>
    <row r="15" spans="1:15" ht="15">
      <c r="A15" s="87"/>
      <c r="B15" s="87"/>
      <c r="C15" s="87"/>
      <c r="D15" s="87"/>
      <c r="E15" s="87"/>
      <c r="F15" s="87"/>
      <c r="G15" s="87"/>
      <c r="H15" s="87"/>
      <c r="I15" s="87"/>
      <c r="J15" s="87"/>
      <c r="K15" s="87"/>
      <c r="L15" s="87"/>
      <c r="M15" s="87"/>
      <c r="O15" s="87"/>
    </row>
    <row r="16" spans="1:15" ht="15" hidden="1">
      <c r="A16" s="87" t="s">
        <v>298</v>
      </c>
      <c r="B16" s="87"/>
      <c r="C16" s="87"/>
      <c r="D16" s="87"/>
      <c r="E16" s="87"/>
      <c r="F16" s="87"/>
      <c r="G16" s="87"/>
      <c r="H16" s="87"/>
      <c r="I16" s="87"/>
      <c r="J16" s="87"/>
      <c r="K16" s="87"/>
      <c r="L16" s="87"/>
      <c r="M16" s="87"/>
      <c r="O16" s="87"/>
    </row>
    <row r="17" spans="1:15" ht="15">
      <c r="A17" s="869" t="s">
        <v>361</v>
      </c>
      <c r="B17" s="870"/>
      <c r="C17" s="870"/>
      <c r="D17" s="870"/>
      <c r="E17" s="870"/>
      <c r="F17" s="870"/>
      <c r="G17" s="870"/>
      <c r="H17" s="870"/>
      <c r="I17" s="870"/>
      <c r="J17" s="870"/>
      <c r="K17" s="870"/>
      <c r="L17" s="870"/>
      <c r="M17" s="870"/>
      <c r="N17" s="305" t="s">
        <v>375</v>
      </c>
      <c r="O17" s="222"/>
    </row>
    <row r="18" spans="1:15" ht="15">
      <c r="A18" s="87"/>
      <c r="B18" s="87"/>
      <c r="C18" s="87"/>
      <c r="D18" s="87"/>
      <c r="E18" s="87"/>
      <c r="F18" s="87"/>
      <c r="G18" s="87"/>
      <c r="H18" s="87"/>
      <c r="I18" s="87"/>
      <c r="J18" s="87"/>
      <c r="K18" s="87"/>
      <c r="L18" s="87"/>
      <c r="M18" s="87"/>
      <c r="N18" s="305" t="s">
        <v>375</v>
      </c>
      <c r="O18" s="87"/>
    </row>
    <row r="19" spans="1:15" ht="36.75" customHeight="1">
      <c r="A19" s="847" t="s">
        <v>107</v>
      </c>
      <c r="B19" s="848"/>
      <c r="C19" s="848"/>
      <c r="D19" s="848"/>
      <c r="E19" s="848"/>
      <c r="F19" s="848"/>
      <c r="G19" s="848"/>
      <c r="H19" s="848"/>
      <c r="I19" s="848"/>
      <c r="J19" s="848"/>
      <c r="K19" s="848"/>
      <c r="L19" s="848"/>
      <c r="M19" s="848"/>
      <c r="N19" s="305" t="s">
        <v>375</v>
      </c>
      <c r="O19" s="224"/>
    </row>
    <row r="20" spans="1:15" ht="15">
      <c r="A20" s="87"/>
      <c r="B20" s="87"/>
      <c r="C20" s="87"/>
      <c r="D20" s="87"/>
      <c r="E20" s="87"/>
      <c r="F20" s="87"/>
      <c r="G20" s="87"/>
      <c r="H20" s="87"/>
      <c r="I20" s="87"/>
      <c r="J20" s="87"/>
      <c r="K20" s="87"/>
      <c r="L20" s="87"/>
      <c r="M20" s="87"/>
      <c r="N20" s="305" t="s">
        <v>375</v>
      </c>
      <c r="O20" s="87"/>
    </row>
    <row r="21" spans="1:15" ht="35.25" customHeight="1">
      <c r="A21" s="842" t="s">
        <v>283</v>
      </c>
      <c r="B21" s="845"/>
      <c r="C21" s="845"/>
      <c r="D21" s="845"/>
      <c r="E21" s="845"/>
      <c r="F21" s="845"/>
      <c r="G21" s="845"/>
      <c r="H21" s="845"/>
      <c r="I21" s="845"/>
      <c r="J21" s="845"/>
      <c r="K21" s="845"/>
      <c r="L21" s="845"/>
      <c r="M21" s="845"/>
      <c r="N21" s="305" t="s">
        <v>375</v>
      </c>
      <c r="O21" s="226"/>
    </row>
    <row r="22" spans="1:15" ht="13.5" customHeight="1">
      <c r="A22" s="233"/>
      <c r="B22" s="225"/>
      <c r="C22" s="225"/>
      <c r="D22" s="225"/>
      <c r="E22" s="225"/>
      <c r="F22" s="225"/>
      <c r="G22" s="225"/>
      <c r="H22" s="225"/>
      <c r="I22" s="225"/>
      <c r="J22" s="225"/>
      <c r="K22" s="225"/>
      <c r="L22" s="225"/>
      <c r="M22" s="225"/>
      <c r="N22" s="305" t="s">
        <v>375</v>
      </c>
      <c r="O22" s="226"/>
    </row>
    <row r="23" spans="1:15" ht="35.25" customHeight="1" hidden="1">
      <c r="A23" s="854" t="s">
        <v>302</v>
      </c>
      <c r="B23" s="855"/>
      <c r="C23" s="855"/>
      <c r="D23" s="855"/>
      <c r="E23" s="855"/>
      <c r="F23" s="855"/>
      <c r="G23" s="855"/>
      <c r="H23" s="855"/>
      <c r="I23" s="855"/>
      <c r="J23" s="855"/>
      <c r="K23" s="855"/>
      <c r="L23" s="855"/>
      <c r="M23" s="855"/>
      <c r="N23" s="305" t="s">
        <v>375</v>
      </c>
      <c r="O23" s="226"/>
    </row>
    <row r="24" spans="1:15" ht="12.75" customHeight="1" hidden="1">
      <c r="A24" s="233"/>
      <c r="B24" s="225"/>
      <c r="C24" s="225"/>
      <c r="D24" s="225"/>
      <c r="E24" s="868"/>
      <c r="F24" s="868"/>
      <c r="G24" s="868"/>
      <c r="H24" s="225"/>
      <c r="I24" s="225"/>
      <c r="J24" s="225"/>
      <c r="K24" s="225"/>
      <c r="L24" s="225"/>
      <c r="M24" s="292"/>
      <c r="N24" s="305" t="s">
        <v>375</v>
      </c>
      <c r="O24" s="226"/>
    </row>
    <row r="25" spans="1:15" s="525" customFormat="1" ht="62.25" customHeight="1">
      <c r="A25" s="852" t="s">
        <v>282</v>
      </c>
      <c r="B25" s="853"/>
      <c r="C25" s="853"/>
      <c r="D25" s="853"/>
      <c r="E25" s="853"/>
      <c r="F25" s="853"/>
      <c r="G25" s="853"/>
      <c r="H25" s="853"/>
      <c r="I25" s="853"/>
      <c r="J25" s="853"/>
      <c r="K25" s="853"/>
      <c r="L25" s="853"/>
      <c r="M25" s="853"/>
      <c r="N25" s="523" t="s">
        <v>375</v>
      </c>
      <c r="O25" s="524"/>
    </row>
    <row r="26" spans="1:15" ht="15">
      <c r="A26" s="87"/>
      <c r="B26" s="87"/>
      <c r="C26" s="87"/>
      <c r="D26" s="87"/>
      <c r="E26" s="87"/>
      <c r="F26" s="87"/>
      <c r="G26" s="87"/>
      <c r="H26" s="87"/>
      <c r="I26" s="87"/>
      <c r="J26" s="87"/>
      <c r="K26" s="87"/>
      <c r="L26" s="87"/>
      <c r="M26" s="87"/>
      <c r="N26" s="305" t="s">
        <v>375</v>
      </c>
      <c r="O26" s="87"/>
    </row>
    <row r="27" spans="2:15" ht="15">
      <c r="B27" s="87"/>
      <c r="C27" s="87"/>
      <c r="D27" s="87"/>
      <c r="E27" s="850" t="s">
        <v>418</v>
      </c>
      <c r="F27" s="228"/>
      <c r="G27" s="850" t="s">
        <v>272</v>
      </c>
      <c r="H27" s="231"/>
      <c r="I27" s="850" t="s">
        <v>273</v>
      </c>
      <c r="J27" s="87"/>
      <c r="K27" s="850" t="s">
        <v>272</v>
      </c>
      <c r="L27" s="87"/>
      <c r="M27" s="87"/>
      <c r="N27" s="305" t="s">
        <v>375</v>
      </c>
      <c r="O27" s="87"/>
    </row>
    <row r="28" spans="2:15" ht="19.5" customHeight="1">
      <c r="B28" s="87"/>
      <c r="C28" s="87"/>
      <c r="D28" s="87"/>
      <c r="E28" s="851"/>
      <c r="F28" s="230"/>
      <c r="G28" s="851"/>
      <c r="H28" s="231"/>
      <c r="I28" s="851"/>
      <c r="J28" s="87"/>
      <c r="K28" s="851"/>
      <c r="L28" s="87"/>
      <c r="M28" s="87"/>
      <c r="N28" s="305" t="s">
        <v>375</v>
      </c>
      <c r="O28" s="87"/>
    </row>
    <row r="29" spans="1:15" ht="15">
      <c r="A29" s="87" t="s">
        <v>281</v>
      </c>
      <c r="B29" s="87"/>
      <c r="C29" s="87"/>
      <c r="D29" s="87"/>
      <c r="E29" s="227">
        <v>1687</v>
      </c>
      <c r="F29" s="87"/>
      <c r="G29" s="227">
        <v>448</v>
      </c>
      <c r="H29" s="231"/>
      <c r="I29" s="227"/>
      <c r="J29" s="87"/>
      <c r="K29" s="227"/>
      <c r="L29" s="87"/>
      <c r="M29" s="87"/>
      <c r="N29" s="305" t="s">
        <v>375</v>
      </c>
      <c r="O29" s="87"/>
    </row>
    <row r="30" spans="1:15" ht="15">
      <c r="A30" s="87" t="s">
        <v>269</v>
      </c>
      <c r="B30" s="87"/>
      <c r="C30" s="87"/>
      <c r="D30" s="87"/>
      <c r="E30" s="229"/>
      <c r="F30" s="87"/>
      <c r="G30" s="229"/>
      <c r="H30" s="231"/>
      <c r="I30" s="229"/>
      <c r="J30" s="87"/>
      <c r="K30" s="229"/>
      <c r="L30" s="87"/>
      <c r="M30" s="87"/>
      <c r="N30" s="305" t="s">
        <v>375</v>
      </c>
      <c r="O30" s="87"/>
    </row>
    <row r="31" spans="1:15" ht="15">
      <c r="A31" s="87" t="s">
        <v>314</v>
      </c>
      <c r="B31" s="87"/>
      <c r="C31" s="87"/>
      <c r="D31" s="87"/>
      <c r="E31" s="227">
        <f>E29-E30</f>
        <v>1687</v>
      </c>
      <c r="F31" s="87"/>
      <c r="G31" s="227">
        <f>G29-G30</f>
        <v>448</v>
      </c>
      <c r="H31" s="231"/>
      <c r="I31" s="227">
        <f>I29-I30</f>
        <v>0</v>
      </c>
      <c r="J31" s="87"/>
      <c r="K31" s="227">
        <f>K29-K30</f>
        <v>0</v>
      </c>
      <c r="L31" s="87"/>
      <c r="M31" s="87"/>
      <c r="N31" s="305" t="s">
        <v>375</v>
      </c>
      <c r="O31" s="87"/>
    </row>
    <row r="32" spans="1:15" ht="15">
      <c r="A32" s="87" t="s">
        <v>315</v>
      </c>
      <c r="B32" s="87"/>
      <c r="C32" s="87"/>
      <c r="D32" s="87"/>
      <c r="E32" s="87">
        <v>241</v>
      </c>
      <c r="F32" s="87"/>
      <c r="G32" s="87">
        <v>128</v>
      </c>
      <c r="H32" s="231"/>
      <c r="I32" s="87"/>
      <c r="J32" s="87"/>
      <c r="K32" s="87"/>
      <c r="L32" s="87"/>
      <c r="M32" s="87"/>
      <c r="N32" s="305" t="s">
        <v>375</v>
      </c>
      <c r="O32" s="87"/>
    </row>
    <row r="33" spans="1:15" ht="15" hidden="1">
      <c r="A33" s="87" t="s">
        <v>253</v>
      </c>
      <c r="B33" s="87"/>
      <c r="C33" s="87"/>
      <c r="D33" s="87"/>
      <c r="E33" s="87"/>
      <c r="F33" s="87"/>
      <c r="G33" s="87"/>
      <c r="H33" s="231"/>
      <c r="I33" s="87"/>
      <c r="J33" s="87"/>
      <c r="K33" s="87"/>
      <c r="L33" s="87"/>
      <c r="M33" s="87"/>
      <c r="N33" s="305" t="s">
        <v>375</v>
      </c>
      <c r="O33" s="87"/>
    </row>
    <row r="34" spans="1:15" ht="15" hidden="1">
      <c r="A34" s="87" t="s">
        <v>316</v>
      </c>
      <c r="B34" s="87"/>
      <c r="C34" s="87"/>
      <c r="D34" s="87"/>
      <c r="E34" s="87"/>
      <c r="F34" s="87"/>
      <c r="G34" s="87"/>
      <c r="H34" s="231"/>
      <c r="I34" s="87"/>
      <c r="J34" s="87"/>
      <c r="K34" s="87"/>
      <c r="L34" s="87"/>
      <c r="M34" s="87"/>
      <c r="N34" s="305" t="s">
        <v>375</v>
      </c>
      <c r="O34" s="87"/>
    </row>
    <row r="35" spans="1:15" ht="15" hidden="1">
      <c r="A35" s="87" t="s">
        <v>317</v>
      </c>
      <c r="B35" s="87"/>
      <c r="C35" s="87"/>
      <c r="D35" s="87"/>
      <c r="E35" s="87"/>
      <c r="F35" s="87"/>
      <c r="G35" s="87"/>
      <c r="H35" s="231"/>
      <c r="I35" s="87"/>
      <c r="J35" s="87"/>
      <c r="K35" s="87"/>
      <c r="L35" s="87"/>
      <c r="M35" s="87"/>
      <c r="N35" s="305" t="s">
        <v>375</v>
      </c>
      <c r="O35" s="87"/>
    </row>
    <row r="36" spans="1:15" ht="15" hidden="1">
      <c r="A36" s="87" t="s">
        <v>318</v>
      </c>
      <c r="B36" s="87"/>
      <c r="C36" s="87"/>
      <c r="D36" s="87"/>
      <c r="E36" s="87"/>
      <c r="F36" s="87"/>
      <c r="G36" s="87"/>
      <c r="H36" s="231"/>
      <c r="I36" s="87"/>
      <c r="J36" s="87"/>
      <c r="K36" s="87"/>
      <c r="L36" s="87"/>
      <c r="M36" s="87"/>
      <c r="N36" s="305" t="s">
        <v>375</v>
      </c>
      <c r="O36" s="87"/>
    </row>
    <row r="37" spans="1:15" ht="15" hidden="1">
      <c r="A37" s="87" t="s">
        <v>319</v>
      </c>
      <c r="B37" s="87"/>
      <c r="C37" s="87"/>
      <c r="D37" s="87"/>
      <c r="E37" s="87"/>
      <c r="F37" s="87"/>
      <c r="G37" s="87"/>
      <c r="H37" s="231"/>
      <c r="I37" s="87"/>
      <c r="J37" s="87"/>
      <c r="K37" s="87"/>
      <c r="L37" s="87"/>
      <c r="M37" s="87"/>
      <c r="N37" s="305" t="s">
        <v>375</v>
      </c>
      <c r="O37" s="87"/>
    </row>
    <row r="38" spans="1:15" ht="15" hidden="1">
      <c r="A38" s="87" t="s">
        <v>320</v>
      </c>
      <c r="B38" s="87"/>
      <c r="C38" s="87"/>
      <c r="D38" s="87"/>
      <c r="E38" s="87"/>
      <c r="F38" s="87"/>
      <c r="G38" s="87"/>
      <c r="H38" s="231"/>
      <c r="I38" s="87"/>
      <c r="J38" s="87"/>
      <c r="K38" s="87"/>
      <c r="L38" s="87"/>
      <c r="M38" s="87"/>
      <c r="N38" s="305" t="s">
        <v>375</v>
      </c>
      <c r="O38" s="87"/>
    </row>
    <row r="39" spans="1:15" ht="15" hidden="1">
      <c r="A39" s="87" t="s">
        <v>321</v>
      </c>
      <c r="B39" s="87"/>
      <c r="C39" s="87"/>
      <c r="D39" s="87"/>
      <c r="E39" s="87"/>
      <c r="F39" s="87"/>
      <c r="G39" s="87"/>
      <c r="H39" s="231"/>
      <c r="I39" s="87"/>
      <c r="J39" s="87"/>
      <c r="K39" s="87"/>
      <c r="L39" s="87"/>
      <c r="M39" s="87"/>
      <c r="N39" s="305" t="s">
        <v>375</v>
      </c>
      <c r="O39" s="87"/>
    </row>
    <row r="40" spans="1:15" ht="15" hidden="1">
      <c r="A40" s="87" t="s">
        <v>322</v>
      </c>
      <c r="B40" s="87"/>
      <c r="C40" s="87"/>
      <c r="D40" s="87"/>
      <c r="E40" s="87"/>
      <c r="F40" s="87"/>
      <c r="G40" s="87"/>
      <c r="H40" s="231"/>
      <c r="I40" s="87"/>
      <c r="J40" s="87"/>
      <c r="K40" s="87"/>
      <c r="L40" s="87"/>
      <c r="M40" s="87"/>
      <c r="N40" s="305" t="s">
        <v>375</v>
      </c>
      <c r="O40" s="87"/>
    </row>
    <row r="41" spans="1:15" ht="15" hidden="1">
      <c r="A41" s="87" t="s">
        <v>323</v>
      </c>
      <c r="B41" s="87"/>
      <c r="C41" s="87"/>
      <c r="D41" s="87"/>
      <c r="E41" s="87"/>
      <c r="F41" s="87"/>
      <c r="G41" s="87"/>
      <c r="H41" s="231"/>
      <c r="I41" s="87"/>
      <c r="J41" s="87"/>
      <c r="K41" s="87"/>
      <c r="L41" s="87"/>
      <c r="M41" s="87"/>
      <c r="N41" s="305" t="s">
        <v>375</v>
      </c>
      <c r="O41" s="87"/>
    </row>
    <row r="42" spans="1:15" ht="15" hidden="1">
      <c r="A42" s="87" t="s">
        <v>324</v>
      </c>
      <c r="B42" s="87"/>
      <c r="C42" s="87"/>
      <c r="D42" s="87"/>
      <c r="E42" s="87"/>
      <c r="F42" s="87"/>
      <c r="G42" s="87"/>
      <c r="H42" s="231"/>
      <c r="I42" s="87"/>
      <c r="J42" s="87"/>
      <c r="K42" s="87"/>
      <c r="L42" s="87"/>
      <c r="M42" s="87"/>
      <c r="N42" s="305" t="s">
        <v>375</v>
      </c>
      <c r="O42" s="87"/>
    </row>
    <row r="43" spans="1:15" ht="15" hidden="1">
      <c r="A43" s="87" t="s">
        <v>237</v>
      </c>
      <c r="B43" s="87"/>
      <c r="C43" s="87"/>
      <c r="D43" s="87"/>
      <c r="E43" s="229"/>
      <c r="F43" s="87"/>
      <c r="G43" s="229"/>
      <c r="H43" s="231"/>
      <c r="I43" s="229"/>
      <c r="J43" s="87"/>
      <c r="K43" s="229"/>
      <c r="L43" s="87"/>
      <c r="M43" s="87"/>
      <c r="N43" s="305" t="s">
        <v>375</v>
      </c>
      <c r="O43" s="87"/>
    </row>
    <row r="44" spans="1:15" ht="15">
      <c r="A44" s="87" t="s">
        <v>325</v>
      </c>
      <c r="B44" s="87"/>
      <c r="C44" s="87"/>
      <c r="D44" s="87"/>
      <c r="E44" s="227">
        <f>SUM(E31:E43)</f>
        <v>1928</v>
      </c>
      <c r="F44" s="87"/>
      <c r="G44" s="227">
        <f>SUM(G31:G43)</f>
        <v>576</v>
      </c>
      <c r="H44" s="231"/>
      <c r="I44" s="227">
        <f>SUM(I31:I43)</f>
        <v>0</v>
      </c>
      <c r="J44" s="87"/>
      <c r="K44" s="227">
        <f>SUM(K31:K43)</f>
        <v>0</v>
      </c>
      <c r="L44" s="87"/>
      <c r="M44" s="87"/>
      <c r="N44" s="305" t="s">
        <v>375</v>
      </c>
      <c r="O44" s="87"/>
    </row>
    <row r="45" spans="1:15" ht="15">
      <c r="A45" s="87"/>
      <c r="B45" s="87"/>
      <c r="C45" s="87"/>
      <c r="D45" s="87"/>
      <c r="E45" s="87"/>
      <c r="F45" s="87"/>
      <c r="G45" s="87"/>
      <c r="H45" s="87"/>
      <c r="I45" s="87"/>
      <c r="J45" s="87"/>
      <c r="K45" s="87"/>
      <c r="L45" s="87"/>
      <c r="M45" s="87"/>
      <c r="N45" s="305" t="s">
        <v>375</v>
      </c>
      <c r="O45" s="87"/>
    </row>
    <row r="46" spans="1:15" s="525" customFormat="1" ht="38.25" customHeight="1" hidden="1">
      <c r="A46" s="852" t="s">
        <v>381</v>
      </c>
      <c r="B46" s="853"/>
      <c r="C46" s="853"/>
      <c r="D46" s="853"/>
      <c r="E46" s="853"/>
      <c r="F46" s="853"/>
      <c r="G46" s="853"/>
      <c r="H46" s="853"/>
      <c r="I46" s="853"/>
      <c r="J46" s="853"/>
      <c r="K46" s="853"/>
      <c r="L46" s="860"/>
      <c r="M46" s="526"/>
      <c r="N46" s="523" t="s">
        <v>375</v>
      </c>
      <c r="O46" s="526"/>
    </row>
    <row r="47" spans="1:15" ht="15" hidden="1">
      <c r="A47" s="233"/>
      <c r="B47" s="225"/>
      <c r="C47" s="225"/>
      <c r="D47" s="225"/>
      <c r="E47" s="322"/>
      <c r="F47" s="322"/>
      <c r="G47" s="322"/>
      <c r="H47" s="225"/>
      <c r="I47" s="225"/>
      <c r="J47" s="225"/>
      <c r="K47" s="225"/>
      <c r="L47" s="226"/>
      <c r="M47" s="87"/>
      <c r="O47" s="87"/>
    </row>
    <row r="48" spans="1:15" ht="15" hidden="1">
      <c r="A48" s="87"/>
      <c r="B48" s="87"/>
      <c r="C48" s="87"/>
      <c r="D48" s="87"/>
      <c r="E48" s="293"/>
      <c r="F48" s="293"/>
      <c r="G48" s="293"/>
      <c r="J48" s="87"/>
      <c r="K48" s="87"/>
      <c r="L48" s="87"/>
      <c r="M48" s="87"/>
      <c r="N48" s="305" t="s">
        <v>375</v>
      </c>
      <c r="O48" s="87"/>
    </row>
    <row r="49" spans="1:15" ht="30.75" customHeight="1" hidden="1">
      <c r="A49" s="847" t="s">
        <v>382</v>
      </c>
      <c r="B49" s="861"/>
      <c r="C49" s="861"/>
      <c r="D49" s="861"/>
      <c r="E49" s="861"/>
      <c r="F49" s="861"/>
      <c r="G49" s="861"/>
      <c r="H49" s="861"/>
      <c r="I49" s="861"/>
      <c r="J49" s="861"/>
      <c r="K49" s="861"/>
      <c r="L49" s="862"/>
      <c r="M49" s="87"/>
      <c r="N49" s="305" t="s">
        <v>375</v>
      </c>
      <c r="O49" s="87"/>
    </row>
    <row r="50" spans="1:15" ht="15" hidden="1">
      <c r="A50" s="87"/>
      <c r="B50" s="87"/>
      <c r="C50" s="87"/>
      <c r="D50" s="87"/>
      <c r="E50" s="87"/>
      <c r="F50" s="87"/>
      <c r="G50" s="87"/>
      <c r="H50" s="87"/>
      <c r="I50" s="87"/>
      <c r="J50" s="87"/>
      <c r="K50" s="87"/>
      <c r="L50" s="87"/>
      <c r="M50" s="87"/>
      <c r="N50" s="305" t="s">
        <v>375</v>
      </c>
      <c r="O50" s="87"/>
    </row>
    <row r="51" spans="1:15" ht="25.5" customHeight="1" hidden="1">
      <c r="A51" s="847" t="s">
        <v>39</v>
      </c>
      <c r="B51" s="848"/>
      <c r="C51" s="848"/>
      <c r="D51" s="848"/>
      <c r="E51" s="848"/>
      <c r="F51" s="848"/>
      <c r="G51" s="848"/>
      <c r="H51" s="848"/>
      <c r="I51" s="848"/>
      <c r="J51" s="848"/>
      <c r="K51" s="848"/>
      <c r="L51" s="848"/>
      <c r="M51" s="849"/>
      <c r="N51" s="305" t="s">
        <v>375</v>
      </c>
      <c r="O51" s="87"/>
    </row>
    <row r="52" spans="1:15" ht="12" customHeight="1" hidden="1">
      <c r="A52" s="233"/>
      <c r="B52" s="225"/>
      <c r="C52" s="225"/>
      <c r="D52" s="225"/>
      <c r="E52" s="225"/>
      <c r="F52" s="225"/>
      <c r="G52" s="225"/>
      <c r="H52" s="225"/>
      <c r="I52" s="225"/>
      <c r="J52" s="225"/>
      <c r="K52" s="225"/>
      <c r="L52" s="225"/>
      <c r="M52" s="226"/>
      <c r="N52" s="305" t="s">
        <v>375</v>
      </c>
      <c r="O52" s="87"/>
    </row>
    <row r="53" spans="1:15" ht="12" customHeight="1">
      <c r="A53" s="233"/>
      <c r="B53" s="225"/>
      <c r="C53" s="225"/>
      <c r="D53" s="225"/>
      <c r="E53" s="225"/>
      <c r="F53" s="225"/>
      <c r="G53" s="225"/>
      <c r="H53" s="225"/>
      <c r="I53" s="225"/>
      <c r="J53" s="225"/>
      <c r="K53" s="225"/>
      <c r="L53" s="225"/>
      <c r="M53" s="226"/>
      <c r="O53" s="87"/>
    </row>
    <row r="54" spans="1:15" ht="12" customHeight="1">
      <c r="A54" s="233"/>
      <c r="B54" s="225"/>
      <c r="C54" s="225"/>
      <c r="D54" s="225"/>
      <c r="E54" s="225"/>
      <c r="F54" s="225"/>
      <c r="G54" s="225"/>
      <c r="H54" s="225"/>
      <c r="I54" s="225"/>
      <c r="J54" s="225"/>
      <c r="K54" s="225"/>
      <c r="L54" s="225"/>
      <c r="M54" s="226"/>
      <c r="O54" s="87"/>
    </row>
    <row r="55" spans="1:15" ht="64.5" customHeight="1">
      <c r="A55" s="842" t="s">
        <v>45</v>
      </c>
      <c r="B55" s="858"/>
      <c r="C55" s="858"/>
      <c r="D55" s="858"/>
      <c r="E55" s="858"/>
      <c r="F55" s="858"/>
      <c r="G55" s="858"/>
      <c r="H55" s="858"/>
      <c r="I55" s="858"/>
      <c r="J55" s="858"/>
      <c r="K55" s="858"/>
      <c r="L55" s="858"/>
      <c r="M55" s="859"/>
      <c r="N55" s="305" t="s">
        <v>375</v>
      </c>
      <c r="O55" s="87"/>
    </row>
    <row r="56" spans="1:15" ht="13.5" customHeight="1">
      <c r="A56" s="233"/>
      <c r="B56" s="225"/>
      <c r="C56" s="225"/>
      <c r="D56" s="225"/>
      <c r="E56" s="225"/>
      <c r="F56" s="225"/>
      <c r="G56" s="225"/>
      <c r="H56" s="225"/>
      <c r="I56" s="225"/>
      <c r="J56" s="225"/>
      <c r="K56" s="225"/>
      <c r="L56" s="225"/>
      <c r="M56" s="226"/>
      <c r="N56" s="305" t="s">
        <v>375</v>
      </c>
      <c r="O56" s="87"/>
    </row>
    <row r="57" spans="1:15" ht="49.5" customHeight="1">
      <c r="A57" s="842" t="s">
        <v>299</v>
      </c>
      <c r="B57" s="845"/>
      <c r="C57" s="845"/>
      <c r="D57" s="845"/>
      <c r="E57" s="845"/>
      <c r="F57" s="845"/>
      <c r="G57" s="845"/>
      <c r="H57" s="845"/>
      <c r="I57" s="845"/>
      <c r="J57" s="845"/>
      <c r="K57" s="845"/>
      <c r="L57" s="845"/>
      <c r="M57" s="846"/>
      <c r="N57" s="305" t="s">
        <v>375</v>
      </c>
      <c r="O57" s="87"/>
    </row>
    <row r="58" spans="1:15" ht="12.75" customHeight="1">
      <c r="A58" s="233"/>
      <c r="B58" s="225"/>
      <c r="C58" s="225"/>
      <c r="D58" s="225"/>
      <c r="E58" s="225"/>
      <c r="F58" s="225"/>
      <c r="G58" s="225"/>
      <c r="H58" s="225"/>
      <c r="I58" s="225"/>
      <c r="J58" s="225"/>
      <c r="K58" s="225"/>
      <c r="L58" s="225"/>
      <c r="M58" s="226"/>
      <c r="N58" s="305" t="s">
        <v>375</v>
      </c>
      <c r="O58" s="87"/>
    </row>
    <row r="59" spans="1:15" ht="23.25" customHeight="1" hidden="1">
      <c r="A59" s="847" t="s">
        <v>293</v>
      </c>
      <c r="B59" s="856"/>
      <c r="C59" s="856"/>
      <c r="D59" s="856"/>
      <c r="E59" s="856"/>
      <c r="F59" s="856"/>
      <c r="G59" s="856"/>
      <c r="H59" s="856"/>
      <c r="I59" s="856"/>
      <c r="J59" s="856"/>
      <c r="K59" s="856"/>
      <c r="L59" s="856"/>
      <c r="M59" s="857"/>
      <c r="N59" s="305" t="s">
        <v>375</v>
      </c>
      <c r="O59" s="87"/>
    </row>
    <row r="60" spans="1:15" ht="13.5" customHeight="1" hidden="1">
      <c r="A60" s="233"/>
      <c r="B60" s="223"/>
      <c r="C60" s="223"/>
      <c r="D60" s="223"/>
      <c r="E60" s="223"/>
      <c r="F60" s="223"/>
      <c r="G60" s="223"/>
      <c r="H60" s="223"/>
      <c r="I60" s="223"/>
      <c r="J60" s="223"/>
      <c r="K60" s="223"/>
      <c r="L60" s="223"/>
      <c r="M60" s="224"/>
      <c r="N60" s="305" t="s">
        <v>375</v>
      </c>
      <c r="O60" s="87"/>
    </row>
    <row r="61" spans="1:15" ht="30.75" customHeight="1">
      <c r="A61" s="842" t="s">
        <v>108</v>
      </c>
      <c r="B61" s="843"/>
      <c r="C61" s="843"/>
      <c r="D61" s="843"/>
      <c r="E61" s="843"/>
      <c r="F61" s="843"/>
      <c r="G61" s="843"/>
      <c r="H61" s="843"/>
      <c r="I61" s="843"/>
      <c r="J61" s="843"/>
      <c r="K61" s="843"/>
      <c r="L61" s="843"/>
      <c r="M61" s="844"/>
      <c r="N61" s="305" t="s">
        <v>375</v>
      </c>
      <c r="O61" s="87"/>
    </row>
    <row r="62" spans="1:15" ht="13.5" customHeight="1">
      <c r="A62" s="233"/>
      <c r="B62" s="223"/>
      <c r="C62" s="223"/>
      <c r="D62" s="223"/>
      <c r="E62" s="223"/>
      <c r="F62" s="223"/>
      <c r="G62" s="223"/>
      <c r="H62" s="223"/>
      <c r="I62" s="223"/>
      <c r="J62" s="223"/>
      <c r="K62" s="223"/>
      <c r="L62" s="223"/>
      <c r="M62" s="224"/>
      <c r="N62" s="305" t="s">
        <v>375</v>
      </c>
      <c r="O62" s="87"/>
    </row>
    <row r="63" spans="1:15" ht="30" customHeight="1">
      <c r="A63" s="842" t="s">
        <v>300</v>
      </c>
      <c r="B63" s="845"/>
      <c r="C63" s="845"/>
      <c r="D63" s="845"/>
      <c r="E63" s="845"/>
      <c r="F63" s="845"/>
      <c r="G63" s="845"/>
      <c r="H63" s="845"/>
      <c r="I63" s="845"/>
      <c r="J63" s="845"/>
      <c r="K63" s="845"/>
      <c r="L63" s="845"/>
      <c r="M63" s="846"/>
      <c r="N63" s="305" t="s">
        <v>375</v>
      </c>
      <c r="O63" s="87"/>
    </row>
    <row r="64" spans="1:15" ht="13.5" customHeight="1">
      <c r="A64" s="233"/>
      <c r="B64" s="223"/>
      <c r="C64" s="223"/>
      <c r="D64" s="223"/>
      <c r="E64" s="223"/>
      <c r="F64" s="223"/>
      <c r="G64" s="223"/>
      <c r="H64" s="223"/>
      <c r="I64" s="223"/>
      <c r="J64" s="223"/>
      <c r="K64" s="223"/>
      <c r="L64" s="223"/>
      <c r="M64" s="224"/>
      <c r="N64" s="305" t="s">
        <v>375</v>
      </c>
      <c r="O64" s="87"/>
    </row>
    <row r="65" spans="1:15" ht="24.75" customHeight="1">
      <c r="A65" s="847" t="s">
        <v>109</v>
      </c>
      <c r="B65" s="848"/>
      <c r="C65" s="848"/>
      <c r="D65" s="848"/>
      <c r="E65" s="848"/>
      <c r="F65" s="848"/>
      <c r="G65" s="848"/>
      <c r="H65" s="848"/>
      <c r="I65" s="848"/>
      <c r="J65" s="848"/>
      <c r="K65" s="848"/>
      <c r="L65" s="848"/>
      <c r="M65" s="849"/>
      <c r="N65" s="305" t="s">
        <v>375</v>
      </c>
      <c r="O65" s="87"/>
    </row>
    <row r="66" spans="1:15" ht="13.5" customHeight="1">
      <c r="A66" s="233"/>
      <c r="B66" s="223"/>
      <c r="C66" s="223"/>
      <c r="D66" s="223"/>
      <c r="E66" s="223"/>
      <c r="F66" s="223"/>
      <c r="G66" s="223"/>
      <c r="H66" s="223"/>
      <c r="I66" s="223"/>
      <c r="J66" s="223"/>
      <c r="K66" s="223"/>
      <c r="L66" s="223"/>
      <c r="M66" s="224"/>
      <c r="N66" s="305" t="s">
        <v>375</v>
      </c>
      <c r="O66" s="87"/>
    </row>
    <row r="67" spans="1:15" ht="57.75" customHeight="1">
      <c r="A67" s="863" t="s">
        <v>301</v>
      </c>
      <c r="B67" s="864"/>
      <c r="C67" s="864"/>
      <c r="D67" s="864"/>
      <c r="E67" s="864"/>
      <c r="F67" s="864"/>
      <c r="G67" s="864"/>
      <c r="H67" s="864"/>
      <c r="I67" s="864"/>
      <c r="J67" s="864"/>
      <c r="K67" s="864"/>
      <c r="L67" s="864"/>
      <c r="M67" s="865"/>
      <c r="N67" s="305" t="s">
        <v>375</v>
      </c>
      <c r="O67" s="87"/>
    </row>
    <row r="68" spans="1:15" ht="11.25" customHeight="1">
      <c r="A68" s="233"/>
      <c r="B68" s="225"/>
      <c r="C68" s="225"/>
      <c r="D68" s="225"/>
      <c r="E68" s="225"/>
      <c r="F68" s="225"/>
      <c r="G68" s="225"/>
      <c r="H68" s="225"/>
      <c r="I68" s="225"/>
      <c r="J68" s="225"/>
      <c r="K68" s="225"/>
      <c r="L68" s="225"/>
      <c r="M68" s="226"/>
      <c r="N68" s="305" t="s">
        <v>375</v>
      </c>
      <c r="O68" s="87"/>
    </row>
    <row r="69" spans="1:15" ht="23.25" customHeight="1" hidden="1">
      <c r="A69" s="842" t="s">
        <v>303</v>
      </c>
      <c r="B69" s="848"/>
      <c r="C69" s="848"/>
      <c r="D69" s="848"/>
      <c r="E69" s="848"/>
      <c r="F69" s="848"/>
      <c r="G69" s="848"/>
      <c r="H69" s="848"/>
      <c r="I69" s="848"/>
      <c r="J69" s="848"/>
      <c r="K69" s="848"/>
      <c r="L69" s="848"/>
      <c r="M69" s="849"/>
      <c r="N69" s="305" t="s">
        <v>375</v>
      </c>
      <c r="O69" s="87"/>
    </row>
    <row r="70" spans="1:15" ht="14.25" customHeight="1" hidden="1">
      <c r="A70" s="233"/>
      <c r="B70" s="225"/>
      <c r="C70" s="225"/>
      <c r="D70" s="225"/>
      <c r="E70" s="225"/>
      <c r="F70" s="225"/>
      <c r="G70" s="225"/>
      <c r="H70" s="225"/>
      <c r="I70" s="225"/>
      <c r="J70" s="225"/>
      <c r="K70" s="225"/>
      <c r="L70" s="225"/>
      <c r="M70" s="226"/>
      <c r="N70" s="305" t="s">
        <v>375</v>
      </c>
      <c r="O70" s="87"/>
    </row>
    <row r="71" spans="1:15" ht="60" customHeight="1" hidden="1">
      <c r="A71" s="842" t="s">
        <v>304</v>
      </c>
      <c r="B71" s="858"/>
      <c r="C71" s="858"/>
      <c r="D71" s="858"/>
      <c r="E71" s="858"/>
      <c r="F71" s="858"/>
      <c r="G71" s="858"/>
      <c r="H71" s="858"/>
      <c r="I71" s="858"/>
      <c r="J71" s="858"/>
      <c r="K71" s="858"/>
      <c r="L71" s="858"/>
      <c r="M71" s="859"/>
      <c r="N71" s="305" t="s">
        <v>375</v>
      </c>
      <c r="O71" s="87"/>
    </row>
    <row r="72" spans="1:15" ht="11.25" customHeight="1" hidden="1">
      <c r="A72" s="233"/>
      <c r="B72" s="223"/>
      <c r="C72" s="223"/>
      <c r="D72" s="223"/>
      <c r="E72" s="223"/>
      <c r="F72" s="223"/>
      <c r="G72" s="223"/>
      <c r="H72" s="223"/>
      <c r="I72" s="223"/>
      <c r="J72" s="223"/>
      <c r="K72" s="223"/>
      <c r="L72" s="223"/>
      <c r="M72" s="224"/>
      <c r="N72" s="305" t="s">
        <v>375</v>
      </c>
      <c r="O72" s="87"/>
    </row>
    <row r="73" spans="1:15" ht="39" customHeight="1" hidden="1">
      <c r="A73" s="847" t="s">
        <v>383</v>
      </c>
      <c r="B73" s="848"/>
      <c r="C73" s="848"/>
      <c r="D73" s="848"/>
      <c r="E73" s="848"/>
      <c r="F73" s="848"/>
      <c r="G73" s="848"/>
      <c r="H73" s="848"/>
      <c r="I73" s="848"/>
      <c r="J73" s="848"/>
      <c r="K73" s="848"/>
      <c r="L73" s="848"/>
      <c r="M73" s="849"/>
      <c r="N73" s="305" t="s">
        <v>375</v>
      </c>
      <c r="O73" s="87"/>
    </row>
    <row r="74" spans="1:15" ht="15.75" customHeight="1" hidden="1">
      <c r="A74" s="233"/>
      <c r="B74" s="225"/>
      <c r="C74" s="225"/>
      <c r="D74" s="225"/>
      <c r="E74" s="225"/>
      <c r="F74" s="225"/>
      <c r="G74" s="225"/>
      <c r="H74" s="225"/>
      <c r="I74" s="225"/>
      <c r="J74" s="225"/>
      <c r="K74" s="225"/>
      <c r="L74" s="225"/>
      <c r="M74" s="226"/>
      <c r="N74" s="305" t="s">
        <v>375</v>
      </c>
      <c r="O74" s="87"/>
    </row>
    <row r="75" spans="1:15" ht="38.25" customHeight="1" hidden="1">
      <c r="A75" s="847" t="s">
        <v>308</v>
      </c>
      <c r="B75" s="866"/>
      <c r="C75" s="866"/>
      <c r="D75" s="866"/>
      <c r="E75" s="866"/>
      <c r="F75" s="866"/>
      <c r="G75" s="866"/>
      <c r="H75" s="866"/>
      <c r="I75" s="866"/>
      <c r="J75" s="866"/>
      <c r="K75" s="866"/>
      <c r="L75" s="866"/>
      <c r="M75" s="867"/>
      <c r="N75" s="305" t="s">
        <v>375</v>
      </c>
      <c r="O75" s="87"/>
    </row>
    <row r="76" spans="1:15" ht="15.75" customHeight="1" hidden="1">
      <c r="A76" s="233"/>
      <c r="B76" s="225"/>
      <c r="C76" s="225"/>
      <c r="D76" s="225"/>
      <c r="E76" s="225"/>
      <c r="F76" s="225"/>
      <c r="G76" s="225"/>
      <c r="H76" s="225"/>
      <c r="I76" s="225"/>
      <c r="J76" s="225"/>
      <c r="K76" s="225"/>
      <c r="L76" s="225"/>
      <c r="M76" s="226"/>
      <c r="N76" s="305" t="s">
        <v>375</v>
      </c>
      <c r="O76" s="87"/>
    </row>
    <row r="77" spans="1:15" ht="51" customHeight="1" hidden="1">
      <c r="A77" s="847" t="s">
        <v>305</v>
      </c>
      <c r="B77" s="866"/>
      <c r="C77" s="866"/>
      <c r="D77" s="866"/>
      <c r="E77" s="866"/>
      <c r="F77" s="866"/>
      <c r="G77" s="866"/>
      <c r="H77" s="866"/>
      <c r="I77" s="866"/>
      <c r="J77" s="866"/>
      <c r="K77" s="866"/>
      <c r="L77" s="866"/>
      <c r="M77" s="867"/>
      <c r="N77" s="305" t="s">
        <v>375</v>
      </c>
      <c r="O77" s="87"/>
    </row>
    <row r="78" spans="1:15" ht="15.75" customHeight="1" hidden="1">
      <c r="A78" s="233"/>
      <c r="B78" s="225"/>
      <c r="C78" s="225"/>
      <c r="D78" s="225"/>
      <c r="E78" s="225"/>
      <c r="F78" s="225"/>
      <c r="G78" s="225"/>
      <c r="H78" s="225"/>
      <c r="I78" s="225"/>
      <c r="J78" s="225"/>
      <c r="K78" s="225"/>
      <c r="L78" s="225"/>
      <c r="M78" s="226"/>
      <c r="N78" s="305" t="s">
        <v>375</v>
      </c>
      <c r="O78" s="87"/>
    </row>
    <row r="79" spans="1:15" ht="36.75" customHeight="1" hidden="1">
      <c r="A79" s="847" t="s">
        <v>306</v>
      </c>
      <c r="B79" s="866"/>
      <c r="C79" s="866"/>
      <c r="D79" s="866"/>
      <c r="E79" s="866"/>
      <c r="F79" s="866"/>
      <c r="G79" s="866"/>
      <c r="H79" s="866"/>
      <c r="I79" s="866"/>
      <c r="J79" s="866"/>
      <c r="K79" s="866"/>
      <c r="L79" s="866"/>
      <c r="M79" s="867"/>
      <c r="N79" s="305" t="s">
        <v>375</v>
      </c>
      <c r="O79" s="87"/>
    </row>
    <row r="80" spans="1:15" ht="15.75" customHeight="1" hidden="1">
      <c r="A80" s="233"/>
      <c r="B80" s="225"/>
      <c r="C80" s="225"/>
      <c r="D80" s="225"/>
      <c r="E80" s="225"/>
      <c r="F80" s="225"/>
      <c r="G80" s="225"/>
      <c r="H80" s="225"/>
      <c r="I80" s="225"/>
      <c r="J80" s="225"/>
      <c r="K80" s="225"/>
      <c r="L80" s="225"/>
      <c r="M80" s="226"/>
      <c r="N80" s="305" t="s">
        <v>375</v>
      </c>
      <c r="O80" s="87"/>
    </row>
    <row r="81" spans="1:15" ht="27" customHeight="1" hidden="1">
      <c r="A81" s="847" t="s">
        <v>309</v>
      </c>
      <c r="B81" s="866"/>
      <c r="C81" s="866"/>
      <c r="D81" s="866"/>
      <c r="E81" s="866"/>
      <c r="F81" s="866"/>
      <c r="G81" s="866"/>
      <c r="H81" s="866"/>
      <c r="I81" s="866"/>
      <c r="J81" s="866"/>
      <c r="K81" s="866"/>
      <c r="L81" s="866"/>
      <c r="M81" s="867"/>
      <c r="N81" s="305" t="s">
        <v>375</v>
      </c>
      <c r="O81" s="87"/>
    </row>
    <row r="82" spans="1:15" ht="15.75" customHeight="1" hidden="1">
      <c r="A82" s="233"/>
      <c r="B82" s="225"/>
      <c r="C82" s="225"/>
      <c r="D82" s="225"/>
      <c r="E82" s="225"/>
      <c r="F82" s="225"/>
      <c r="G82" s="225"/>
      <c r="H82" s="225"/>
      <c r="I82" s="225"/>
      <c r="J82" s="225"/>
      <c r="K82" s="225"/>
      <c r="L82" s="225"/>
      <c r="M82" s="226"/>
      <c r="N82" s="305" t="s">
        <v>375</v>
      </c>
      <c r="O82" s="87"/>
    </row>
    <row r="83" spans="1:15" ht="24.75" customHeight="1" hidden="1">
      <c r="A83" s="847" t="s">
        <v>307</v>
      </c>
      <c r="B83" s="866"/>
      <c r="C83" s="866"/>
      <c r="D83" s="866"/>
      <c r="E83" s="866"/>
      <c r="F83" s="866"/>
      <c r="G83" s="866"/>
      <c r="H83" s="866"/>
      <c r="I83" s="866"/>
      <c r="J83" s="866"/>
      <c r="K83" s="866"/>
      <c r="L83" s="866"/>
      <c r="M83" s="867"/>
      <c r="N83" s="305" t="s">
        <v>375</v>
      </c>
      <c r="O83" s="87"/>
    </row>
    <row r="84" spans="1:15" ht="0.75" customHeight="1">
      <c r="A84" s="233"/>
      <c r="B84" s="223"/>
      <c r="C84" s="223"/>
      <c r="D84" s="223"/>
      <c r="E84" s="223"/>
      <c r="F84" s="223"/>
      <c r="G84" s="223"/>
      <c r="H84" s="223"/>
      <c r="I84" s="223"/>
      <c r="J84" s="223"/>
      <c r="K84" s="223"/>
      <c r="L84" s="223"/>
      <c r="M84" s="224"/>
      <c r="N84" s="305" t="s">
        <v>375</v>
      </c>
      <c r="O84" s="87"/>
    </row>
    <row r="85" spans="1:15" ht="0.75" customHeight="1">
      <c r="A85" s="233"/>
      <c r="B85" s="223"/>
      <c r="C85" s="223"/>
      <c r="D85" s="223"/>
      <c r="E85" s="223"/>
      <c r="F85" s="223"/>
      <c r="G85" s="223"/>
      <c r="H85" s="223"/>
      <c r="I85" s="223"/>
      <c r="J85" s="223"/>
      <c r="K85" s="223"/>
      <c r="L85" s="223"/>
      <c r="M85" s="224"/>
      <c r="N85" s="305" t="s">
        <v>375</v>
      </c>
      <c r="O85" s="87"/>
    </row>
    <row r="86" spans="1:15" ht="0.75" customHeight="1">
      <c r="A86" s="233"/>
      <c r="B86" s="223"/>
      <c r="C86" s="223"/>
      <c r="D86" s="223"/>
      <c r="E86" s="223"/>
      <c r="F86" s="223"/>
      <c r="G86" s="223"/>
      <c r="H86" s="223"/>
      <c r="I86" s="223"/>
      <c r="J86" s="223"/>
      <c r="K86" s="223"/>
      <c r="L86" s="223"/>
      <c r="M86" s="224"/>
      <c r="N86" s="305" t="s">
        <v>375</v>
      </c>
      <c r="O86" s="87"/>
    </row>
    <row r="87" spans="1:15" ht="0.75" customHeight="1">
      <c r="A87" s="233"/>
      <c r="B87" s="223"/>
      <c r="C87" s="223"/>
      <c r="D87" s="223"/>
      <c r="E87" s="223"/>
      <c r="F87" s="223"/>
      <c r="G87" s="223"/>
      <c r="H87" s="223"/>
      <c r="I87" s="223"/>
      <c r="J87" s="223"/>
      <c r="K87" s="223"/>
      <c r="L87" s="223"/>
      <c r="M87" s="224"/>
      <c r="N87" s="305" t="s">
        <v>375</v>
      </c>
      <c r="O87" s="87"/>
    </row>
    <row r="88" spans="1:15" ht="0.75" customHeight="1">
      <c r="A88" s="233"/>
      <c r="B88" s="223"/>
      <c r="C88" s="223"/>
      <c r="D88" s="223"/>
      <c r="E88" s="223"/>
      <c r="F88" s="223"/>
      <c r="G88" s="223"/>
      <c r="H88" s="223"/>
      <c r="I88" s="223"/>
      <c r="J88" s="223"/>
      <c r="K88" s="223"/>
      <c r="L88" s="223"/>
      <c r="M88" s="224"/>
      <c r="N88" s="305" t="s">
        <v>375</v>
      </c>
      <c r="O88" s="87"/>
    </row>
    <row r="89" spans="1:15" ht="0.75" customHeight="1">
      <c r="A89" s="233"/>
      <c r="B89" s="223"/>
      <c r="C89" s="223"/>
      <c r="D89" s="223"/>
      <c r="E89" s="223"/>
      <c r="F89" s="223"/>
      <c r="G89" s="223"/>
      <c r="H89" s="223"/>
      <c r="I89" s="223"/>
      <c r="J89" s="223"/>
      <c r="K89" s="223"/>
      <c r="L89" s="223"/>
      <c r="M89" s="224"/>
      <c r="N89" s="305" t="s">
        <v>375</v>
      </c>
      <c r="O89" s="87"/>
    </row>
    <row r="90" spans="1:15" ht="0.75" customHeight="1">
      <c r="A90" s="233"/>
      <c r="B90" s="223"/>
      <c r="C90" s="223"/>
      <c r="D90" s="223"/>
      <c r="E90" s="223"/>
      <c r="F90" s="223"/>
      <c r="G90" s="223"/>
      <c r="H90" s="223"/>
      <c r="I90" s="223"/>
      <c r="J90" s="223"/>
      <c r="K90" s="223"/>
      <c r="L90" s="223"/>
      <c r="M90" s="224"/>
      <c r="N90" s="305" t="s">
        <v>375</v>
      </c>
      <c r="O90" s="87"/>
    </row>
    <row r="91" spans="1:15" ht="0.75" customHeight="1">
      <c r="A91" s="233"/>
      <c r="B91" s="223"/>
      <c r="C91" s="223"/>
      <c r="D91" s="223"/>
      <c r="E91" s="223"/>
      <c r="F91" s="223"/>
      <c r="G91" s="223"/>
      <c r="H91" s="223"/>
      <c r="I91" s="223"/>
      <c r="J91" s="223"/>
      <c r="K91" s="223"/>
      <c r="L91" s="223"/>
      <c r="M91" s="224"/>
      <c r="N91" s="305" t="s">
        <v>375</v>
      </c>
      <c r="O91" s="87"/>
    </row>
    <row r="92" spans="1:15" ht="0.75" customHeight="1">
      <c r="A92" s="233"/>
      <c r="B92" s="223"/>
      <c r="C92" s="223"/>
      <c r="D92" s="223"/>
      <c r="E92" s="223"/>
      <c r="F92" s="223"/>
      <c r="G92" s="223"/>
      <c r="H92" s="223"/>
      <c r="I92" s="223"/>
      <c r="J92" s="223"/>
      <c r="K92" s="223"/>
      <c r="L92" s="223"/>
      <c r="M92" s="224"/>
      <c r="N92" s="305" t="s">
        <v>375</v>
      </c>
      <c r="O92" s="87"/>
    </row>
    <row r="93" spans="1:15" ht="0.75" customHeight="1">
      <c r="A93" s="233"/>
      <c r="B93" s="223"/>
      <c r="C93" s="223"/>
      <c r="D93" s="223"/>
      <c r="E93" s="223"/>
      <c r="F93" s="223"/>
      <c r="G93" s="223"/>
      <c r="H93" s="223"/>
      <c r="I93" s="223"/>
      <c r="J93" s="223"/>
      <c r="K93" s="223"/>
      <c r="L93" s="223"/>
      <c r="M93" s="224"/>
      <c r="N93" s="305" t="s">
        <v>375</v>
      </c>
      <c r="O93" s="87"/>
    </row>
    <row r="94" spans="1:15" ht="0.75" customHeight="1">
      <c r="A94" s="233"/>
      <c r="B94" s="223"/>
      <c r="C94" s="223"/>
      <c r="D94" s="223"/>
      <c r="E94" s="223"/>
      <c r="F94" s="223"/>
      <c r="G94" s="223"/>
      <c r="H94" s="223"/>
      <c r="I94" s="223"/>
      <c r="J94" s="223"/>
      <c r="K94" s="223"/>
      <c r="L94" s="223"/>
      <c r="M94" s="224"/>
      <c r="N94" s="305" t="s">
        <v>375</v>
      </c>
      <c r="O94" s="87"/>
    </row>
    <row r="95" spans="1:15" ht="0.75" customHeight="1">
      <c r="A95" s="233"/>
      <c r="B95" s="223"/>
      <c r="C95" s="223"/>
      <c r="D95" s="223"/>
      <c r="E95" s="223"/>
      <c r="F95" s="223"/>
      <c r="G95" s="223"/>
      <c r="H95" s="223"/>
      <c r="I95" s="223"/>
      <c r="J95" s="223"/>
      <c r="K95" s="223"/>
      <c r="L95" s="223"/>
      <c r="M95" s="224"/>
      <c r="N95" s="305" t="s">
        <v>375</v>
      </c>
      <c r="O95" s="87"/>
    </row>
    <row r="96" spans="1:15" ht="0.75" customHeight="1">
      <c r="A96" s="233"/>
      <c r="B96" s="223"/>
      <c r="C96" s="223"/>
      <c r="D96" s="223"/>
      <c r="E96" s="223"/>
      <c r="F96" s="223"/>
      <c r="G96" s="223"/>
      <c r="H96" s="223"/>
      <c r="I96" s="223"/>
      <c r="J96" s="223"/>
      <c r="K96" s="223"/>
      <c r="L96" s="223"/>
      <c r="M96" s="224"/>
      <c r="N96" s="305" t="s">
        <v>375</v>
      </c>
      <c r="O96" s="87"/>
    </row>
    <row r="97" spans="1:15" ht="0.75" customHeight="1">
      <c r="A97" s="233"/>
      <c r="B97" s="223"/>
      <c r="C97" s="223"/>
      <c r="D97" s="223"/>
      <c r="E97" s="223"/>
      <c r="F97" s="223"/>
      <c r="G97" s="223"/>
      <c r="H97" s="223"/>
      <c r="I97" s="223"/>
      <c r="J97" s="223"/>
      <c r="K97" s="223"/>
      <c r="L97" s="223"/>
      <c r="M97" s="224"/>
      <c r="N97" s="305" t="s">
        <v>375</v>
      </c>
      <c r="O97" s="87"/>
    </row>
    <row r="98" spans="1:15" ht="15">
      <c r="A98" s="869" t="s">
        <v>326</v>
      </c>
      <c r="B98" s="870"/>
      <c r="C98" s="870"/>
      <c r="D98" s="870"/>
      <c r="E98" s="870"/>
      <c r="F98" s="870"/>
      <c r="G98" s="870"/>
      <c r="H98" s="870"/>
      <c r="I98" s="870"/>
      <c r="J98" s="870"/>
      <c r="K98" s="870"/>
      <c r="L98" s="870"/>
      <c r="M98" s="877"/>
      <c r="N98" s="305" t="s">
        <v>375</v>
      </c>
      <c r="O98" s="87"/>
    </row>
    <row r="99" spans="1:15" ht="45" customHeight="1">
      <c r="A99" s="842" t="s">
        <v>285</v>
      </c>
      <c r="B99" s="858"/>
      <c r="C99" s="858"/>
      <c r="D99" s="858"/>
      <c r="E99" s="858"/>
      <c r="F99" s="858"/>
      <c r="G99" s="858"/>
      <c r="H99" s="858"/>
      <c r="I99" s="858"/>
      <c r="J99" s="858"/>
      <c r="K99" s="858"/>
      <c r="L99" s="859"/>
      <c r="M99" s="323"/>
      <c r="N99" s="305" t="s">
        <v>375</v>
      </c>
      <c r="O99" s="87"/>
    </row>
    <row r="100" spans="1:15" ht="15" customHeight="1">
      <c r="A100" s="516"/>
      <c r="B100" s="517"/>
      <c r="C100" s="517"/>
      <c r="D100" s="517"/>
      <c r="E100" s="517"/>
      <c r="F100" s="517"/>
      <c r="G100" s="517"/>
      <c r="H100" s="517"/>
      <c r="I100" s="517"/>
      <c r="J100" s="517"/>
      <c r="K100" s="517"/>
      <c r="L100" s="517"/>
      <c r="M100" s="518"/>
      <c r="N100" s="305" t="s">
        <v>375</v>
      </c>
      <c r="O100" s="87"/>
    </row>
    <row r="101" spans="1:15" ht="24.75" customHeight="1">
      <c r="A101" s="847" t="s">
        <v>44</v>
      </c>
      <c r="B101" s="848"/>
      <c r="C101" s="848"/>
      <c r="D101" s="848"/>
      <c r="E101" s="848"/>
      <c r="F101" s="848"/>
      <c r="G101" s="848"/>
      <c r="H101" s="848"/>
      <c r="I101" s="848"/>
      <c r="J101" s="848"/>
      <c r="K101" s="848"/>
      <c r="L101" s="848"/>
      <c r="M101" s="849"/>
      <c r="N101" s="305" t="s">
        <v>375</v>
      </c>
      <c r="O101" s="87"/>
    </row>
    <row r="102" spans="1:15" ht="12.75" customHeight="1">
      <c r="A102" s="87"/>
      <c r="B102" s="87"/>
      <c r="C102" s="87"/>
      <c r="D102" s="87"/>
      <c r="E102" s="87"/>
      <c r="F102" s="87"/>
      <c r="G102" s="87"/>
      <c r="H102" s="87"/>
      <c r="I102" s="87"/>
      <c r="J102" s="87"/>
      <c r="K102" s="87"/>
      <c r="L102" s="87"/>
      <c r="M102" s="87"/>
      <c r="N102" s="305" t="s">
        <v>375</v>
      </c>
      <c r="O102" s="87"/>
    </row>
    <row r="103" spans="1:15" ht="24" customHeight="1">
      <c r="A103" s="847" t="s">
        <v>284</v>
      </c>
      <c r="B103" s="848"/>
      <c r="C103" s="848"/>
      <c r="D103" s="848"/>
      <c r="E103" s="848"/>
      <c r="F103" s="848"/>
      <c r="G103" s="848"/>
      <c r="H103" s="848"/>
      <c r="I103" s="848"/>
      <c r="J103" s="848"/>
      <c r="K103" s="848"/>
      <c r="L103" s="849"/>
      <c r="M103" s="87"/>
      <c r="N103" s="305" t="s">
        <v>55</v>
      </c>
      <c r="O103" s="87"/>
    </row>
    <row r="104" spans="1:15" ht="14.25" customHeight="1">
      <c r="A104" s="847"/>
      <c r="B104" s="848"/>
      <c r="C104" s="848"/>
      <c r="D104" s="848"/>
      <c r="E104" s="848"/>
      <c r="F104" s="848"/>
      <c r="G104" s="848"/>
      <c r="H104" s="848"/>
      <c r="I104" s="848"/>
      <c r="J104" s="848"/>
      <c r="K104" s="848"/>
      <c r="L104" s="848"/>
      <c r="M104" s="849"/>
      <c r="N104" s="317"/>
      <c r="O104" s="87"/>
    </row>
    <row r="105" spans="1:13" ht="15">
      <c r="A105" s="874"/>
      <c r="B105" s="875"/>
      <c r="C105" s="875"/>
      <c r="D105" s="875"/>
      <c r="E105" s="875"/>
      <c r="F105" s="875"/>
      <c r="G105" s="875"/>
      <c r="H105" s="875"/>
      <c r="I105" s="875"/>
      <c r="J105" s="875"/>
      <c r="K105" s="875"/>
      <c r="L105" s="875"/>
      <c r="M105" s="876"/>
    </row>
    <row r="106" spans="1:15" ht="46.5" customHeight="1">
      <c r="A106" s="871"/>
      <c r="B106" s="872"/>
      <c r="C106" s="872"/>
      <c r="D106" s="872"/>
      <c r="E106" s="872"/>
      <c r="F106" s="872"/>
      <c r="G106" s="872"/>
      <c r="H106" s="872"/>
      <c r="I106" s="872"/>
      <c r="J106" s="872"/>
      <c r="K106" s="872"/>
      <c r="L106" s="872"/>
      <c r="M106" s="873"/>
      <c r="N106" s="317"/>
      <c r="O106" s="87"/>
    </row>
  </sheetData>
  <mergeCells count="39">
    <mergeCell ref="A106:M106"/>
    <mergeCell ref="A105:M105"/>
    <mergeCell ref="A81:M81"/>
    <mergeCell ref="A83:M83"/>
    <mergeCell ref="A98:M98"/>
    <mergeCell ref="A99:L99"/>
    <mergeCell ref="A103:L103"/>
    <mergeCell ref="A101:M101"/>
    <mergeCell ref="A104:M104"/>
    <mergeCell ref="E24:G24"/>
    <mergeCell ref="A3:M3"/>
    <mergeCell ref="A4:M4"/>
    <mergeCell ref="A10:M10"/>
    <mergeCell ref="A17:M17"/>
    <mergeCell ref="A69:M69"/>
    <mergeCell ref="A67:M67"/>
    <mergeCell ref="A77:M77"/>
    <mergeCell ref="A79:M79"/>
    <mergeCell ref="A75:M75"/>
    <mergeCell ref="A71:M71"/>
    <mergeCell ref="A73:M73"/>
    <mergeCell ref="A51:M51"/>
    <mergeCell ref="E27:E28"/>
    <mergeCell ref="G27:G28"/>
    <mergeCell ref="A59:M59"/>
    <mergeCell ref="A55:M55"/>
    <mergeCell ref="A57:M57"/>
    <mergeCell ref="A46:L46"/>
    <mergeCell ref="A49:L49"/>
    <mergeCell ref="A1:M1"/>
    <mergeCell ref="A61:M61"/>
    <mergeCell ref="A63:M63"/>
    <mergeCell ref="A65:M65"/>
    <mergeCell ref="A19:M19"/>
    <mergeCell ref="I27:I28"/>
    <mergeCell ref="K27:K28"/>
    <mergeCell ref="A21:M21"/>
    <mergeCell ref="A25:M25"/>
    <mergeCell ref="A23:M23"/>
  </mergeCells>
  <printOptions/>
  <pageMargins left="0.75" right="0.75" top="1" bottom="1" header="0.5" footer="0.5"/>
  <pageSetup horizontalDpi="600" verticalDpi="600" orientation="landscape" r:id="rId1"/>
  <headerFooter alignWithMargins="0">
    <oddFooter>&amp;C&amp;"Times New Roman,Regular"&amp;11Exhibit E - Justification for Base Adjustments</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codeName="Sheet11">
    <pageSetUpPr fitToPage="1"/>
  </sheetPr>
  <dimension ref="A1:AH46"/>
  <sheetViews>
    <sheetView showGridLines="0" showOutlineSymbols="0" zoomScale="75" zoomScaleNormal="75" workbookViewId="0" topLeftCell="A1">
      <selection activeCell="W47" sqref="W47"/>
    </sheetView>
  </sheetViews>
  <sheetFormatPr defaultColWidth="8.88671875" defaultRowHeight="15"/>
  <cols>
    <col min="1" max="1" width="3.77734375" style="16" customWidth="1"/>
    <col min="2" max="2" width="34.21484375" style="16" customWidth="1"/>
    <col min="3" max="3" width="5.6640625" style="16" customWidth="1"/>
    <col min="4" max="4" width="6.77734375" style="16" customWidth="1"/>
    <col min="5" max="5" width="8.99609375" style="16" customWidth="1"/>
    <col min="6" max="6" width="5.77734375" style="16" customWidth="1"/>
    <col min="7" max="7" width="5.6640625" style="16" customWidth="1"/>
    <col min="8" max="8" width="7.77734375" style="16" customWidth="1"/>
    <col min="9" max="10" width="5.6640625" style="16" hidden="1" customWidth="1"/>
    <col min="11" max="11" width="7.77734375" style="16" hidden="1" customWidth="1"/>
    <col min="12" max="12" width="5.5546875" style="16" customWidth="1"/>
    <col min="13" max="13" width="5.6640625" style="16" customWidth="1"/>
    <col min="14" max="14" width="7.77734375" style="16" customWidth="1"/>
    <col min="15" max="16" width="5.6640625" style="16" customWidth="1"/>
    <col min="17" max="17" width="8.77734375" style="16" customWidth="1"/>
    <col min="18" max="18" width="5.6640625" style="16" customWidth="1"/>
    <col min="19" max="19" width="6.77734375" style="16" customWidth="1"/>
    <col min="20" max="20" width="9.4453125" style="16" customWidth="1"/>
    <col min="21" max="21" width="0.9921875" style="316" customWidth="1"/>
    <col min="22" max="16384" width="9.6640625" style="16" customWidth="1"/>
  </cols>
  <sheetData>
    <row r="1" spans="1:21" ht="20.25">
      <c r="A1" s="715" t="s">
        <v>121</v>
      </c>
      <c r="B1" s="716"/>
      <c r="C1" s="716"/>
      <c r="D1" s="716"/>
      <c r="E1" s="716"/>
      <c r="F1" s="716"/>
      <c r="G1" s="716"/>
      <c r="H1" s="716"/>
      <c r="I1" s="716"/>
      <c r="J1" s="716"/>
      <c r="K1" s="716"/>
      <c r="L1" s="716"/>
      <c r="M1" s="716"/>
      <c r="N1" s="716"/>
      <c r="O1" s="716"/>
      <c r="P1" s="716"/>
      <c r="Q1" s="716"/>
      <c r="R1" s="716"/>
      <c r="S1" s="716"/>
      <c r="T1" s="716"/>
      <c r="U1" s="315" t="s">
        <v>375</v>
      </c>
    </row>
    <row r="2" spans="1:21" ht="15.75">
      <c r="A2" s="1"/>
      <c r="B2" s="1"/>
      <c r="C2" s="1"/>
      <c r="D2" s="1"/>
      <c r="E2" s="1"/>
      <c r="F2" s="1"/>
      <c r="G2" s="1"/>
      <c r="H2" s="1"/>
      <c r="I2" s="1"/>
      <c r="J2" s="1"/>
      <c r="K2" s="1"/>
      <c r="L2" s="1"/>
      <c r="M2" s="1"/>
      <c r="N2" s="1"/>
      <c r="O2" s="1"/>
      <c r="P2" s="1"/>
      <c r="Q2" s="1"/>
      <c r="R2" s="1"/>
      <c r="S2" s="1"/>
      <c r="T2" s="1"/>
      <c r="U2" s="315" t="s">
        <v>375</v>
      </c>
    </row>
    <row r="3" spans="1:21" ht="18.75">
      <c r="A3" s="880" t="s">
        <v>122</v>
      </c>
      <c r="B3" s="725"/>
      <c r="C3" s="725"/>
      <c r="D3" s="725"/>
      <c r="E3" s="725"/>
      <c r="F3" s="725"/>
      <c r="G3" s="725"/>
      <c r="H3" s="725"/>
      <c r="I3" s="725"/>
      <c r="J3" s="725"/>
      <c r="K3" s="725"/>
      <c r="L3" s="725"/>
      <c r="M3" s="725"/>
      <c r="N3" s="725"/>
      <c r="O3" s="725"/>
      <c r="P3" s="725"/>
      <c r="Q3" s="725"/>
      <c r="R3" s="725"/>
      <c r="S3" s="725"/>
      <c r="T3" s="725"/>
      <c r="U3" s="315" t="s">
        <v>375</v>
      </c>
    </row>
    <row r="4" spans="1:21" ht="16.5">
      <c r="A4" s="881" t="str">
        <f>+'B. Summary of Requirements '!A3</f>
        <v>Office of Justice Programs </v>
      </c>
      <c r="B4" s="722"/>
      <c r="C4" s="722"/>
      <c r="D4" s="722"/>
      <c r="E4" s="722"/>
      <c r="F4" s="722"/>
      <c r="G4" s="722"/>
      <c r="H4" s="722"/>
      <c r="I4" s="722"/>
      <c r="J4" s="722"/>
      <c r="K4" s="722"/>
      <c r="L4" s="722"/>
      <c r="M4" s="722"/>
      <c r="N4" s="722"/>
      <c r="O4" s="722"/>
      <c r="P4" s="722"/>
      <c r="Q4" s="722"/>
      <c r="R4" s="722"/>
      <c r="S4" s="722"/>
      <c r="T4" s="722"/>
      <c r="U4" s="315" t="s">
        <v>375</v>
      </c>
    </row>
    <row r="5" spans="1:21" ht="16.5">
      <c r="A5" s="881" t="str">
        <f>+'B. Summary of Requirements '!A4</f>
        <v>Justice Assistance</v>
      </c>
      <c r="B5" s="725"/>
      <c r="C5" s="725"/>
      <c r="D5" s="725"/>
      <c r="E5" s="725"/>
      <c r="F5" s="725"/>
      <c r="G5" s="725"/>
      <c r="H5" s="725"/>
      <c r="I5" s="725"/>
      <c r="J5" s="725"/>
      <c r="K5" s="725"/>
      <c r="L5" s="725"/>
      <c r="M5" s="725"/>
      <c r="N5" s="725"/>
      <c r="O5" s="725"/>
      <c r="P5" s="725"/>
      <c r="Q5" s="725"/>
      <c r="R5" s="725"/>
      <c r="S5" s="725"/>
      <c r="T5" s="725"/>
      <c r="U5" s="315" t="s">
        <v>375</v>
      </c>
    </row>
    <row r="6" spans="1:21" ht="15.75">
      <c r="A6" s="878" t="s">
        <v>332</v>
      </c>
      <c r="B6" s="722"/>
      <c r="C6" s="722"/>
      <c r="D6" s="722"/>
      <c r="E6" s="722"/>
      <c r="F6" s="722"/>
      <c r="G6" s="722"/>
      <c r="H6" s="722"/>
      <c r="I6" s="722"/>
      <c r="J6" s="722"/>
      <c r="K6" s="722"/>
      <c r="L6" s="722"/>
      <c r="M6" s="722"/>
      <c r="N6" s="722"/>
      <c r="O6" s="722"/>
      <c r="P6" s="722"/>
      <c r="Q6" s="722"/>
      <c r="R6" s="722"/>
      <c r="S6" s="722"/>
      <c r="T6" s="722"/>
      <c r="U6" s="315" t="s">
        <v>375</v>
      </c>
    </row>
    <row r="7" spans="1:21" ht="15.75">
      <c r="A7" s="1"/>
      <c r="B7" s="1"/>
      <c r="C7" s="1"/>
      <c r="D7" s="1"/>
      <c r="E7" s="1"/>
      <c r="F7" s="18"/>
      <c r="G7" s="18"/>
      <c r="H7" s="18"/>
      <c r="I7" s="18"/>
      <c r="J7" s="18"/>
      <c r="K7" s="18"/>
      <c r="L7" s="18"/>
      <c r="M7" s="18"/>
      <c r="N7" s="18"/>
      <c r="O7" s="1"/>
      <c r="P7" s="1"/>
      <c r="Q7" s="1"/>
      <c r="R7" s="1"/>
      <c r="S7" s="1"/>
      <c r="T7" s="1"/>
      <c r="U7" s="315" t="s">
        <v>375</v>
      </c>
    </row>
    <row r="8" spans="1:21" ht="15.75">
      <c r="A8" s="1"/>
      <c r="B8" s="1"/>
      <c r="C8" s="18"/>
      <c r="D8" s="18"/>
      <c r="E8" s="18"/>
      <c r="F8" s="18"/>
      <c r="G8" s="18"/>
      <c r="H8" s="18"/>
      <c r="I8" s="18"/>
      <c r="J8" s="18"/>
      <c r="K8" s="18"/>
      <c r="L8" s="18"/>
      <c r="M8" s="18"/>
      <c r="N8" s="18"/>
      <c r="O8" s="1"/>
      <c r="P8" s="1"/>
      <c r="Q8" s="1"/>
      <c r="R8" s="20"/>
      <c r="S8" s="18"/>
      <c r="T8" s="18"/>
      <c r="U8" s="315" t="s">
        <v>375</v>
      </c>
    </row>
    <row r="9" spans="1:21" ht="15.75">
      <c r="A9" s="99"/>
      <c r="B9" s="100"/>
      <c r="C9" s="895" t="s">
        <v>52</v>
      </c>
      <c r="D9" s="896"/>
      <c r="E9" s="897"/>
      <c r="F9" s="886" t="s">
        <v>347</v>
      </c>
      <c r="G9" s="779"/>
      <c r="H9" s="780"/>
      <c r="I9" s="886" t="s">
        <v>348</v>
      </c>
      <c r="J9" s="779"/>
      <c r="K9" s="780"/>
      <c r="L9" s="895" t="s">
        <v>53</v>
      </c>
      <c r="M9" s="896"/>
      <c r="N9" s="897"/>
      <c r="O9" s="895" t="s">
        <v>54</v>
      </c>
      <c r="P9" s="896"/>
      <c r="Q9" s="897"/>
      <c r="R9" s="895" t="s">
        <v>123</v>
      </c>
      <c r="S9" s="896"/>
      <c r="T9" s="897"/>
      <c r="U9" s="315" t="s">
        <v>375</v>
      </c>
    </row>
    <row r="10" spans="1:21" ht="15.75">
      <c r="A10" s="96"/>
      <c r="B10" s="2"/>
      <c r="C10" s="898"/>
      <c r="D10" s="899"/>
      <c r="E10" s="900"/>
      <c r="F10" s="781"/>
      <c r="G10" s="782"/>
      <c r="H10" s="783"/>
      <c r="I10" s="781"/>
      <c r="J10" s="782"/>
      <c r="K10" s="783"/>
      <c r="L10" s="898"/>
      <c r="M10" s="899"/>
      <c r="N10" s="900"/>
      <c r="O10" s="898"/>
      <c r="P10" s="899"/>
      <c r="Q10" s="900"/>
      <c r="R10" s="898"/>
      <c r="S10" s="899"/>
      <c r="T10" s="900"/>
      <c r="U10" s="315" t="s">
        <v>375</v>
      </c>
    </row>
    <row r="11" spans="1:21" ht="3" customHeight="1">
      <c r="A11" s="96"/>
      <c r="B11" s="1"/>
      <c r="C11" s="96"/>
      <c r="D11" s="1"/>
      <c r="E11" s="1"/>
      <c r="F11" s="96"/>
      <c r="G11" s="1"/>
      <c r="H11" s="1"/>
      <c r="I11" s="96"/>
      <c r="J11" s="1"/>
      <c r="K11" s="1"/>
      <c r="L11" s="96"/>
      <c r="M11" s="1"/>
      <c r="N11" s="1"/>
      <c r="O11" s="96"/>
      <c r="P11" s="1"/>
      <c r="Q11" s="1"/>
      <c r="R11" s="96"/>
      <c r="S11" s="1"/>
      <c r="T11" s="90"/>
      <c r="U11" s="315" t="s">
        <v>375</v>
      </c>
    </row>
    <row r="12" spans="1:21" ht="16.5" thickBot="1">
      <c r="A12" s="102" t="s">
        <v>170</v>
      </c>
      <c r="B12" s="168"/>
      <c r="C12" s="142" t="s">
        <v>355</v>
      </c>
      <c r="D12" s="101" t="s">
        <v>174</v>
      </c>
      <c r="E12" s="101" t="s">
        <v>357</v>
      </c>
      <c r="F12" s="142" t="s">
        <v>355</v>
      </c>
      <c r="G12" s="101" t="s">
        <v>174</v>
      </c>
      <c r="H12" s="101" t="s">
        <v>357</v>
      </c>
      <c r="I12" s="142" t="s">
        <v>355</v>
      </c>
      <c r="J12" s="101" t="s">
        <v>174</v>
      </c>
      <c r="K12" s="101" t="s">
        <v>357</v>
      </c>
      <c r="L12" s="142" t="s">
        <v>355</v>
      </c>
      <c r="M12" s="101" t="s">
        <v>174</v>
      </c>
      <c r="N12" s="101" t="s">
        <v>357</v>
      </c>
      <c r="O12" s="142" t="s">
        <v>355</v>
      </c>
      <c r="P12" s="101" t="s">
        <v>174</v>
      </c>
      <c r="Q12" s="101" t="s">
        <v>357</v>
      </c>
      <c r="R12" s="142" t="s">
        <v>355</v>
      </c>
      <c r="S12" s="101" t="s">
        <v>174</v>
      </c>
      <c r="T12" s="143" t="s">
        <v>357</v>
      </c>
      <c r="U12" s="315" t="s">
        <v>375</v>
      </c>
    </row>
    <row r="13" spans="1:21" ht="16.5" customHeight="1">
      <c r="A13" s="105" t="s">
        <v>21</v>
      </c>
      <c r="B13" s="105"/>
      <c r="C13" s="105">
        <v>0</v>
      </c>
      <c r="D13" s="106">
        <v>0</v>
      </c>
      <c r="E13" s="371">
        <v>54298</v>
      </c>
      <c r="F13" s="105">
        <v>0</v>
      </c>
      <c r="G13" s="106">
        <v>0</v>
      </c>
      <c r="H13" s="371">
        <f>-500-702</f>
        <v>-1202</v>
      </c>
      <c r="I13" s="105">
        <v>0</v>
      </c>
      <c r="J13" s="106">
        <v>0</v>
      </c>
      <c r="K13" s="106">
        <v>0</v>
      </c>
      <c r="L13" s="105">
        <v>0</v>
      </c>
      <c r="M13" s="106">
        <v>0</v>
      </c>
      <c r="N13" s="106">
        <v>0</v>
      </c>
      <c r="O13" s="105">
        <v>0</v>
      </c>
      <c r="P13" s="106">
        <v>0</v>
      </c>
      <c r="Q13" s="371">
        <f>2516+1059</f>
        <v>3575</v>
      </c>
      <c r="R13" s="105">
        <f aca="true" t="shared" si="0" ref="R13:T26">C13+F13+I13+L13+O13</f>
        <v>0</v>
      </c>
      <c r="S13" s="106">
        <f t="shared" si="0"/>
        <v>0</v>
      </c>
      <c r="T13" s="372">
        <f t="shared" si="0"/>
        <v>56671</v>
      </c>
      <c r="U13" s="315" t="s">
        <v>375</v>
      </c>
    </row>
    <row r="14" spans="1:21" ht="16.5" customHeight="1">
      <c r="A14" s="105" t="s">
        <v>22</v>
      </c>
      <c r="B14" s="105"/>
      <c r="C14" s="105">
        <v>0</v>
      </c>
      <c r="D14" s="106">
        <v>0</v>
      </c>
      <c r="E14" s="371">
        <v>34553</v>
      </c>
      <c r="F14" s="105">
        <v>0</v>
      </c>
      <c r="G14" s="106">
        <v>0</v>
      </c>
      <c r="H14" s="371">
        <f>-500-447</f>
        <v>-947</v>
      </c>
      <c r="I14" s="105">
        <v>0</v>
      </c>
      <c r="J14" s="106">
        <v>0</v>
      </c>
      <c r="K14" s="106">
        <v>0</v>
      </c>
      <c r="L14" s="105">
        <v>0</v>
      </c>
      <c r="M14" s="106">
        <v>0</v>
      </c>
      <c r="N14" s="106">
        <v>0</v>
      </c>
      <c r="O14" s="105">
        <v>0</v>
      </c>
      <c r="P14" s="106">
        <v>0</v>
      </c>
      <c r="Q14" s="371">
        <f>412+1165</f>
        <v>1577</v>
      </c>
      <c r="R14" s="105">
        <f t="shared" si="0"/>
        <v>0</v>
      </c>
      <c r="S14" s="106">
        <f t="shared" si="0"/>
        <v>0</v>
      </c>
      <c r="T14" s="372">
        <f t="shared" si="0"/>
        <v>35183</v>
      </c>
      <c r="U14" s="315"/>
    </row>
    <row r="15" spans="1:21" ht="16.5" customHeight="1">
      <c r="A15" s="105" t="s">
        <v>23</v>
      </c>
      <c r="B15" s="105"/>
      <c r="C15" s="105">
        <v>0</v>
      </c>
      <c r="D15" s="106">
        <v>0</v>
      </c>
      <c r="E15" s="371">
        <v>47387</v>
      </c>
      <c r="F15" s="105">
        <v>0</v>
      </c>
      <c r="G15" s="106">
        <v>0</v>
      </c>
      <c r="H15" s="371">
        <f>-163-613</f>
        <v>-776</v>
      </c>
      <c r="I15" s="105">
        <v>0</v>
      </c>
      <c r="J15" s="106">
        <v>0</v>
      </c>
      <c r="K15" s="106">
        <v>0</v>
      </c>
      <c r="L15" s="105">
        <v>0</v>
      </c>
      <c r="M15" s="106">
        <v>0</v>
      </c>
      <c r="N15" s="106">
        <v>0</v>
      </c>
      <c r="O15" s="105">
        <v>0</v>
      </c>
      <c r="P15" s="106">
        <v>0</v>
      </c>
      <c r="Q15" s="371">
        <f>92+190</f>
        <v>282</v>
      </c>
      <c r="R15" s="105">
        <f t="shared" si="0"/>
        <v>0</v>
      </c>
      <c r="S15" s="106">
        <f t="shared" si="0"/>
        <v>0</v>
      </c>
      <c r="T15" s="372">
        <f t="shared" si="0"/>
        <v>46893</v>
      </c>
      <c r="U15" s="315"/>
    </row>
    <row r="16" spans="1:21" ht="16.5" customHeight="1">
      <c r="A16" s="105" t="s">
        <v>24</v>
      </c>
      <c r="B16" s="105"/>
      <c r="C16" s="105">
        <v>0</v>
      </c>
      <c r="D16" s="106">
        <v>0</v>
      </c>
      <c r="E16" s="371">
        <v>39719</v>
      </c>
      <c r="F16" s="105">
        <v>0</v>
      </c>
      <c r="G16" s="106">
        <v>0</v>
      </c>
      <c r="H16" s="106">
        <v>-514</v>
      </c>
      <c r="I16" s="105">
        <v>0</v>
      </c>
      <c r="J16" s="106">
        <v>0</v>
      </c>
      <c r="K16" s="106">
        <v>0</v>
      </c>
      <c r="L16" s="105">
        <v>0</v>
      </c>
      <c r="M16" s="106">
        <v>0</v>
      </c>
      <c r="N16" s="106">
        <v>0</v>
      </c>
      <c r="O16" s="105">
        <v>0</v>
      </c>
      <c r="P16" s="106">
        <v>0</v>
      </c>
      <c r="Q16" s="371">
        <v>2</v>
      </c>
      <c r="R16" s="105">
        <f t="shared" si="0"/>
        <v>0</v>
      </c>
      <c r="S16" s="106">
        <f t="shared" si="0"/>
        <v>0</v>
      </c>
      <c r="T16" s="372">
        <f t="shared" si="0"/>
        <v>39207</v>
      </c>
      <c r="U16" s="315"/>
    </row>
    <row r="17" spans="1:21" ht="16.5" customHeight="1">
      <c r="A17" s="105" t="s">
        <v>25</v>
      </c>
      <c r="B17" s="105"/>
      <c r="C17" s="105">
        <v>0</v>
      </c>
      <c r="D17" s="106">
        <v>0</v>
      </c>
      <c r="E17" s="371">
        <v>8885</v>
      </c>
      <c r="F17" s="105">
        <v>0</v>
      </c>
      <c r="G17" s="106">
        <v>0</v>
      </c>
      <c r="H17" s="106">
        <v>-115</v>
      </c>
      <c r="I17" s="105">
        <v>0</v>
      </c>
      <c r="J17" s="106">
        <v>0</v>
      </c>
      <c r="K17" s="106">
        <v>0</v>
      </c>
      <c r="L17" s="105">
        <v>0</v>
      </c>
      <c r="M17" s="106">
        <v>0</v>
      </c>
      <c r="N17" s="106">
        <v>0</v>
      </c>
      <c r="O17" s="105">
        <v>0</v>
      </c>
      <c r="P17" s="106">
        <v>0</v>
      </c>
      <c r="Q17" s="371">
        <v>3733</v>
      </c>
      <c r="R17" s="105">
        <f t="shared" si="0"/>
        <v>0</v>
      </c>
      <c r="S17" s="106">
        <f t="shared" si="0"/>
        <v>0</v>
      </c>
      <c r="T17" s="372">
        <f t="shared" si="0"/>
        <v>12503</v>
      </c>
      <c r="U17" s="315"/>
    </row>
    <row r="18" spans="1:21" ht="16.5" customHeight="1">
      <c r="A18" s="105" t="s">
        <v>31</v>
      </c>
      <c r="B18" s="105"/>
      <c r="C18" s="105">
        <v>0</v>
      </c>
      <c r="D18" s="106">
        <v>0</v>
      </c>
      <c r="E18" s="106">
        <v>0</v>
      </c>
      <c r="F18" s="105">
        <v>0</v>
      </c>
      <c r="G18" s="106">
        <v>0</v>
      </c>
      <c r="H18" s="106">
        <v>-12</v>
      </c>
      <c r="I18" s="105">
        <v>0</v>
      </c>
      <c r="J18" s="106">
        <v>0</v>
      </c>
      <c r="K18" s="106">
        <v>0</v>
      </c>
      <c r="L18" s="105">
        <v>0</v>
      </c>
      <c r="M18" s="106">
        <v>0</v>
      </c>
      <c r="N18" s="106">
        <v>0</v>
      </c>
      <c r="O18" s="105">
        <v>0</v>
      </c>
      <c r="P18" s="106">
        <v>0</v>
      </c>
      <c r="Q18" s="371">
        <v>12</v>
      </c>
      <c r="R18" s="105">
        <f t="shared" si="0"/>
        <v>0</v>
      </c>
      <c r="S18" s="106">
        <f t="shared" si="0"/>
        <v>0</v>
      </c>
      <c r="T18" s="423">
        <f t="shared" si="0"/>
        <v>0</v>
      </c>
      <c r="U18" s="315"/>
    </row>
    <row r="19" spans="1:21" ht="16.5" customHeight="1">
      <c r="A19" s="105" t="s">
        <v>26</v>
      </c>
      <c r="B19" s="105"/>
      <c r="C19" s="105">
        <v>0</v>
      </c>
      <c r="D19" s="106">
        <v>0</v>
      </c>
      <c r="E19" s="371">
        <v>1974</v>
      </c>
      <c r="F19" s="105">
        <v>0</v>
      </c>
      <c r="G19" s="106">
        <v>0</v>
      </c>
      <c r="H19" s="106">
        <v>-26</v>
      </c>
      <c r="I19" s="105">
        <v>0</v>
      </c>
      <c r="J19" s="106">
        <v>0</v>
      </c>
      <c r="K19" s="106">
        <v>0</v>
      </c>
      <c r="L19" s="105">
        <v>0</v>
      </c>
      <c r="M19" s="106">
        <v>0</v>
      </c>
      <c r="N19" s="106">
        <v>0</v>
      </c>
      <c r="O19" s="105">
        <v>0</v>
      </c>
      <c r="P19" s="106">
        <v>0</v>
      </c>
      <c r="Q19" s="106">
        <v>0</v>
      </c>
      <c r="R19" s="105">
        <f t="shared" si="0"/>
        <v>0</v>
      </c>
      <c r="S19" s="106">
        <f t="shared" si="0"/>
        <v>0</v>
      </c>
      <c r="T19" s="372">
        <f t="shared" si="0"/>
        <v>1948</v>
      </c>
      <c r="U19" s="315"/>
    </row>
    <row r="20" spans="1:21" ht="16.5" customHeight="1">
      <c r="A20" s="105" t="s">
        <v>32</v>
      </c>
      <c r="B20" s="105"/>
      <c r="C20" s="105">
        <v>0</v>
      </c>
      <c r="D20" s="106">
        <v>0</v>
      </c>
      <c r="E20" s="106">
        <v>0</v>
      </c>
      <c r="F20" s="105">
        <v>0</v>
      </c>
      <c r="G20" s="106">
        <v>0</v>
      </c>
      <c r="H20" s="106">
        <v>-144</v>
      </c>
      <c r="I20" s="105">
        <v>0</v>
      </c>
      <c r="J20" s="106">
        <v>0</v>
      </c>
      <c r="K20" s="106">
        <v>0</v>
      </c>
      <c r="L20" s="105">
        <v>0</v>
      </c>
      <c r="M20" s="106">
        <v>0</v>
      </c>
      <c r="N20" s="106">
        <v>0</v>
      </c>
      <c r="O20" s="105">
        <v>0</v>
      </c>
      <c r="P20" s="106">
        <v>0</v>
      </c>
      <c r="Q20" s="371">
        <v>155</v>
      </c>
      <c r="R20" s="105">
        <f t="shared" si="0"/>
        <v>0</v>
      </c>
      <c r="S20" s="106">
        <f t="shared" si="0"/>
        <v>0</v>
      </c>
      <c r="T20" s="372">
        <f t="shared" si="0"/>
        <v>11</v>
      </c>
      <c r="U20" s="315"/>
    </row>
    <row r="21" spans="1:21" ht="16.5" customHeight="1">
      <c r="A21" s="105" t="s">
        <v>27</v>
      </c>
      <c r="B21" s="105"/>
      <c r="C21" s="105">
        <v>0</v>
      </c>
      <c r="D21" s="106">
        <v>0</v>
      </c>
      <c r="E21" s="106">
        <v>0</v>
      </c>
      <c r="F21" s="105">
        <v>0</v>
      </c>
      <c r="G21" s="106">
        <v>0</v>
      </c>
      <c r="H21" s="106">
        <v>-602</v>
      </c>
      <c r="I21" s="105">
        <v>0</v>
      </c>
      <c r="J21" s="106">
        <v>0</v>
      </c>
      <c r="K21" s="106">
        <v>0</v>
      </c>
      <c r="L21" s="105">
        <v>0</v>
      </c>
      <c r="M21" s="106">
        <v>0</v>
      </c>
      <c r="N21" s="106">
        <v>0</v>
      </c>
      <c r="O21" s="105">
        <v>0</v>
      </c>
      <c r="P21" s="106">
        <v>0</v>
      </c>
      <c r="Q21" s="371">
        <f>602+61</f>
        <v>663</v>
      </c>
      <c r="R21" s="105">
        <f t="shared" si="0"/>
        <v>0</v>
      </c>
      <c r="S21" s="106">
        <f t="shared" si="0"/>
        <v>0</v>
      </c>
      <c r="T21" s="372">
        <f t="shared" si="0"/>
        <v>61</v>
      </c>
      <c r="U21" s="315"/>
    </row>
    <row r="22" spans="1:21" ht="16.5" customHeight="1">
      <c r="A22" s="105" t="s">
        <v>33</v>
      </c>
      <c r="B22" s="105"/>
      <c r="C22" s="105">
        <v>0</v>
      </c>
      <c r="D22" s="106">
        <v>0</v>
      </c>
      <c r="E22" s="106">
        <v>0</v>
      </c>
      <c r="F22" s="105">
        <v>0</v>
      </c>
      <c r="G22" s="106">
        <v>0</v>
      </c>
      <c r="H22" s="106">
        <v>-78</v>
      </c>
      <c r="I22" s="105">
        <v>0</v>
      </c>
      <c r="J22" s="106">
        <v>0</v>
      </c>
      <c r="K22" s="106">
        <v>0</v>
      </c>
      <c r="L22" s="105">
        <v>0</v>
      </c>
      <c r="M22" s="106">
        <v>0</v>
      </c>
      <c r="N22" s="106">
        <v>0</v>
      </c>
      <c r="O22" s="105">
        <v>0</v>
      </c>
      <c r="P22" s="106">
        <v>0</v>
      </c>
      <c r="Q22" s="371">
        <v>78</v>
      </c>
      <c r="R22" s="105">
        <f t="shared" si="0"/>
        <v>0</v>
      </c>
      <c r="S22" s="106">
        <f t="shared" si="0"/>
        <v>0</v>
      </c>
      <c r="T22" s="423">
        <f t="shared" si="0"/>
        <v>0</v>
      </c>
      <c r="U22" s="315"/>
    </row>
    <row r="23" spans="1:21" ht="16.5" customHeight="1">
      <c r="A23" s="105" t="s">
        <v>34</v>
      </c>
      <c r="B23" s="105"/>
      <c r="C23" s="105">
        <v>0</v>
      </c>
      <c r="D23" s="106">
        <v>0</v>
      </c>
      <c r="E23" s="106">
        <v>0</v>
      </c>
      <c r="F23" s="105">
        <v>0</v>
      </c>
      <c r="G23" s="106">
        <v>0</v>
      </c>
      <c r="H23" s="106">
        <v>-1</v>
      </c>
      <c r="I23" s="105">
        <v>0</v>
      </c>
      <c r="J23" s="106">
        <v>0</v>
      </c>
      <c r="K23" s="106">
        <v>0</v>
      </c>
      <c r="L23" s="105">
        <v>0</v>
      </c>
      <c r="M23" s="106">
        <v>0</v>
      </c>
      <c r="N23" s="106">
        <v>0</v>
      </c>
      <c r="O23" s="105">
        <v>0</v>
      </c>
      <c r="P23" s="106">
        <v>0</v>
      </c>
      <c r="Q23" s="371">
        <v>1</v>
      </c>
      <c r="R23" s="105">
        <f t="shared" si="0"/>
        <v>0</v>
      </c>
      <c r="S23" s="106">
        <f t="shared" si="0"/>
        <v>0</v>
      </c>
      <c r="T23" s="423">
        <f t="shared" si="0"/>
        <v>0</v>
      </c>
      <c r="U23" s="315"/>
    </row>
    <row r="24" spans="1:21" ht="15.75">
      <c r="A24" s="105" t="s">
        <v>28</v>
      </c>
      <c r="B24" s="105"/>
      <c r="C24" s="105">
        <v>0</v>
      </c>
      <c r="D24" s="106">
        <v>0</v>
      </c>
      <c r="E24" s="371">
        <v>8885</v>
      </c>
      <c r="F24" s="105">
        <v>0</v>
      </c>
      <c r="G24" s="106">
        <v>0</v>
      </c>
      <c r="H24" s="106">
        <v>-115</v>
      </c>
      <c r="I24" s="105">
        <v>0</v>
      </c>
      <c r="J24" s="106">
        <v>0</v>
      </c>
      <c r="K24" s="106">
        <v>0</v>
      </c>
      <c r="L24" s="105">
        <v>0</v>
      </c>
      <c r="M24" s="106">
        <v>0</v>
      </c>
      <c r="N24" s="106">
        <v>0</v>
      </c>
      <c r="O24" s="105">
        <v>0</v>
      </c>
      <c r="P24" s="106">
        <v>0</v>
      </c>
      <c r="Q24" s="106">
        <v>0</v>
      </c>
      <c r="R24" s="105">
        <f t="shared" si="0"/>
        <v>0</v>
      </c>
      <c r="S24" s="106">
        <f t="shared" si="0"/>
        <v>0</v>
      </c>
      <c r="T24" s="372">
        <f t="shared" si="0"/>
        <v>8770</v>
      </c>
      <c r="U24" s="315" t="s">
        <v>375</v>
      </c>
    </row>
    <row r="25" spans="1:21" ht="15.75">
      <c r="A25" s="105" t="s">
        <v>29</v>
      </c>
      <c r="B25" s="105"/>
      <c r="C25" s="105">
        <v>0</v>
      </c>
      <c r="D25" s="106">
        <v>0</v>
      </c>
      <c r="E25" s="106">
        <v>0</v>
      </c>
      <c r="F25" s="105">
        <v>0</v>
      </c>
      <c r="G25" s="106">
        <v>0</v>
      </c>
      <c r="H25" s="106">
        <v>0</v>
      </c>
      <c r="I25" s="105">
        <v>0</v>
      </c>
      <c r="J25" s="106">
        <v>0</v>
      </c>
      <c r="K25" s="106">
        <v>0</v>
      </c>
      <c r="L25" s="105">
        <v>0</v>
      </c>
      <c r="M25" s="106">
        <v>0</v>
      </c>
      <c r="N25" s="106">
        <v>0</v>
      </c>
      <c r="O25" s="105">
        <v>0</v>
      </c>
      <c r="P25" s="106">
        <v>0</v>
      </c>
      <c r="Q25" s="106">
        <v>0</v>
      </c>
      <c r="R25" s="105">
        <f t="shared" si="0"/>
        <v>0</v>
      </c>
      <c r="S25" s="106">
        <f t="shared" si="0"/>
        <v>0</v>
      </c>
      <c r="T25" s="423">
        <f t="shared" si="0"/>
        <v>0</v>
      </c>
      <c r="U25" s="315" t="s">
        <v>375</v>
      </c>
    </row>
    <row r="26" spans="1:21" ht="15.75">
      <c r="A26" s="108" t="s">
        <v>30</v>
      </c>
      <c r="B26" s="108"/>
      <c r="C26" s="104">
        <v>672</v>
      </c>
      <c r="D26" s="424">
        <v>660</v>
      </c>
      <c r="E26" s="373">
        <v>42639</v>
      </c>
      <c r="F26" s="104">
        <v>0</v>
      </c>
      <c r="G26" s="424">
        <v>0</v>
      </c>
      <c r="H26" s="373">
        <f>-4000-447</f>
        <v>-4447</v>
      </c>
      <c r="I26" s="104">
        <v>0</v>
      </c>
      <c r="J26" s="424">
        <v>0</v>
      </c>
      <c r="K26" s="374">
        <v>0</v>
      </c>
      <c r="L26" s="104">
        <v>0</v>
      </c>
      <c r="M26" s="424">
        <v>0</v>
      </c>
      <c r="N26" s="373">
        <v>66077</v>
      </c>
      <c r="O26" s="104">
        <v>0</v>
      </c>
      <c r="P26" s="424">
        <v>0</v>
      </c>
      <c r="Q26" s="424">
        <f>7011+7788</f>
        <v>14799</v>
      </c>
      <c r="R26" s="104">
        <f t="shared" si="0"/>
        <v>672</v>
      </c>
      <c r="S26" s="424">
        <f t="shared" si="0"/>
        <v>660</v>
      </c>
      <c r="T26" s="431">
        <f t="shared" si="0"/>
        <v>119068</v>
      </c>
      <c r="U26" s="315" t="s">
        <v>375</v>
      </c>
    </row>
    <row r="27" spans="1:21" ht="9" customHeight="1" hidden="1">
      <c r="A27" s="96"/>
      <c r="B27" s="1" t="s">
        <v>356</v>
      </c>
      <c r="C27" s="96"/>
      <c r="D27" s="2"/>
      <c r="E27" s="2"/>
      <c r="F27" s="96"/>
      <c r="G27" s="2"/>
      <c r="H27" s="2"/>
      <c r="I27" s="96"/>
      <c r="J27" s="2"/>
      <c r="K27" s="2"/>
      <c r="L27" s="96"/>
      <c r="M27" s="2"/>
      <c r="N27" s="2"/>
      <c r="O27" s="96"/>
      <c r="P27" s="2"/>
      <c r="Q27" s="2"/>
      <c r="R27" s="96"/>
      <c r="S27" s="2"/>
      <c r="T27" s="90"/>
      <c r="U27" s="315" t="s">
        <v>375</v>
      </c>
    </row>
    <row r="28" spans="1:21" ht="15.75">
      <c r="A28" s="901" t="s">
        <v>368</v>
      </c>
      <c r="B28" s="902"/>
      <c r="C28" s="94">
        <f aca="true" t="shared" si="1" ref="C28:T28">SUM(C13:C26)</f>
        <v>672</v>
      </c>
      <c r="D28" s="94">
        <f t="shared" si="1"/>
        <v>660</v>
      </c>
      <c r="E28" s="94">
        <f>SUM(E13:E26)</f>
        <v>238340</v>
      </c>
      <c r="F28" s="425">
        <f t="shared" si="1"/>
        <v>0</v>
      </c>
      <c r="G28" s="426">
        <f t="shared" si="1"/>
        <v>0</v>
      </c>
      <c r="H28" s="284">
        <f>SUM(H13:H26)</f>
        <v>-8979</v>
      </c>
      <c r="I28" s="425">
        <f t="shared" si="1"/>
        <v>0</v>
      </c>
      <c r="J28" s="426">
        <f>SUM(J13:J26)</f>
        <v>0</v>
      </c>
      <c r="K28" s="426">
        <f>SUM(K13:K26)</f>
        <v>0</v>
      </c>
      <c r="L28" s="425">
        <f>SUM(L13:L26)</f>
        <v>0</v>
      </c>
      <c r="M28" s="426">
        <f t="shared" si="1"/>
        <v>0</v>
      </c>
      <c r="N28" s="94">
        <f t="shared" si="1"/>
        <v>66077</v>
      </c>
      <c r="O28" s="425">
        <f t="shared" si="1"/>
        <v>0</v>
      </c>
      <c r="P28" s="426">
        <f t="shared" si="1"/>
        <v>0</v>
      </c>
      <c r="Q28" s="94">
        <f t="shared" si="1"/>
        <v>24877</v>
      </c>
      <c r="R28" s="375">
        <f t="shared" si="1"/>
        <v>672</v>
      </c>
      <c r="S28" s="376">
        <f t="shared" si="1"/>
        <v>660</v>
      </c>
      <c r="T28" s="95">
        <f t="shared" si="1"/>
        <v>320315</v>
      </c>
      <c r="U28" s="315" t="s">
        <v>375</v>
      </c>
    </row>
    <row r="29" spans="1:34" ht="15.75">
      <c r="A29" s="882" t="s">
        <v>339</v>
      </c>
      <c r="B29" s="883"/>
      <c r="C29" s="377" t="s">
        <v>356</v>
      </c>
      <c r="D29" s="378">
        <v>12</v>
      </c>
      <c r="E29" s="378"/>
      <c r="F29" s="377"/>
      <c r="G29" s="378"/>
      <c r="H29" s="378"/>
      <c r="I29" s="377"/>
      <c r="J29" s="378"/>
      <c r="K29" s="378"/>
      <c r="L29" s="377"/>
      <c r="M29" s="378"/>
      <c r="N29" s="378"/>
      <c r="O29" s="377"/>
      <c r="P29" s="378"/>
      <c r="Q29" s="378"/>
      <c r="R29" s="377"/>
      <c r="S29" s="378">
        <f>D29+G29+J29+M29+P29</f>
        <v>12</v>
      </c>
      <c r="T29" s="379"/>
      <c r="U29" s="315" t="s">
        <v>375</v>
      </c>
      <c r="V29" s="22"/>
      <c r="W29" s="22"/>
      <c r="X29" s="22"/>
      <c r="Y29" s="22"/>
      <c r="Z29" s="22"/>
      <c r="AA29" s="22"/>
      <c r="AB29" s="22"/>
      <c r="AC29" s="22"/>
      <c r="AD29" s="22"/>
      <c r="AE29" s="22"/>
      <c r="AF29" s="22"/>
      <c r="AG29" s="22"/>
      <c r="AH29" s="22"/>
    </row>
    <row r="30" spans="1:21" ht="15.75">
      <c r="A30" s="882" t="s">
        <v>338</v>
      </c>
      <c r="B30" s="883"/>
      <c r="C30" s="381">
        <f>SUM(C28:C29)</f>
        <v>672</v>
      </c>
      <c r="D30" s="381">
        <f>SUM(D28:D29)</f>
        <v>672</v>
      </c>
      <c r="E30" s="381"/>
      <c r="F30" s="380"/>
      <c r="G30" s="430">
        <v>0</v>
      </c>
      <c r="H30" s="381"/>
      <c r="I30" s="380"/>
      <c r="J30" s="381">
        <f>+J28+J29</f>
        <v>0</v>
      </c>
      <c r="K30" s="381"/>
      <c r="L30" s="380"/>
      <c r="M30" s="430">
        <f>+M28+M29</f>
        <v>0</v>
      </c>
      <c r="N30" s="381"/>
      <c r="O30" s="380"/>
      <c r="P30" s="430">
        <f>+P28+P29</f>
        <v>0</v>
      </c>
      <c r="Q30" s="381"/>
      <c r="R30" s="380"/>
      <c r="S30" s="381">
        <f>SUM(S28:S29)</f>
        <v>672</v>
      </c>
      <c r="T30" s="382"/>
      <c r="U30" s="315" t="s">
        <v>375</v>
      </c>
    </row>
    <row r="31" spans="1:21" ht="15.75">
      <c r="A31" s="884" t="s">
        <v>340</v>
      </c>
      <c r="B31" s="885"/>
      <c r="C31" s="370"/>
      <c r="D31" s="371"/>
      <c r="E31" s="371"/>
      <c r="F31" s="370"/>
      <c r="G31" s="371"/>
      <c r="H31" s="371"/>
      <c r="I31" s="370"/>
      <c r="J31" s="371"/>
      <c r="K31" s="371"/>
      <c r="L31" s="370"/>
      <c r="M31" s="371"/>
      <c r="N31" s="371"/>
      <c r="O31" s="370"/>
      <c r="P31" s="371"/>
      <c r="Q31" s="371"/>
      <c r="R31" s="370"/>
      <c r="S31" s="371"/>
      <c r="T31" s="372"/>
      <c r="U31" s="315" t="s">
        <v>375</v>
      </c>
    </row>
    <row r="32" spans="1:21" ht="15.75">
      <c r="A32" s="887" t="s">
        <v>183</v>
      </c>
      <c r="B32" s="888"/>
      <c r="C32" s="106">
        <v>0</v>
      </c>
      <c r="D32" s="106">
        <v>0</v>
      </c>
      <c r="E32" s="371"/>
      <c r="F32" s="427">
        <v>0</v>
      </c>
      <c r="G32" s="106">
        <v>0</v>
      </c>
      <c r="H32" s="106"/>
      <c r="I32" s="370"/>
      <c r="J32" s="371"/>
      <c r="K32" s="371"/>
      <c r="L32" s="370"/>
      <c r="M32" s="371"/>
      <c r="N32" s="371"/>
      <c r="O32" s="370"/>
      <c r="P32" s="371"/>
      <c r="Q32" s="371"/>
      <c r="R32" s="370"/>
      <c r="S32" s="371">
        <f>D32+G32+J32+M32+P32</f>
        <v>0</v>
      </c>
      <c r="T32" s="372"/>
      <c r="U32" s="315" t="s">
        <v>375</v>
      </c>
    </row>
    <row r="33" spans="1:21" ht="15.75">
      <c r="A33" s="891" t="s">
        <v>248</v>
      </c>
      <c r="B33" s="892"/>
      <c r="C33" s="106">
        <v>0</v>
      </c>
      <c r="D33" s="106">
        <v>0</v>
      </c>
      <c r="E33" s="378"/>
      <c r="F33" s="428">
        <v>0</v>
      </c>
      <c r="G33" s="429">
        <v>0</v>
      </c>
      <c r="H33" s="378"/>
      <c r="I33" s="377"/>
      <c r="J33" s="378"/>
      <c r="K33" s="378"/>
      <c r="L33" s="377"/>
      <c r="M33" s="378"/>
      <c r="N33" s="378"/>
      <c r="O33" s="377"/>
      <c r="P33" s="378"/>
      <c r="Q33" s="378"/>
      <c r="R33" s="377"/>
      <c r="S33" s="378">
        <f>D33+G33+J33+M33+P33</f>
        <v>0</v>
      </c>
      <c r="T33" s="379"/>
      <c r="U33" s="315" t="s">
        <v>375</v>
      </c>
    </row>
    <row r="34" spans="1:21" ht="15.75">
      <c r="A34" s="893" t="s">
        <v>341</v>
      </c>
      <c r="B34" s="894"/>
      <c r="C34" s="381">
        <f>C33+C32+C30</f>
        <v>672</v>
      </c>
      <c r="D34" s="381">
        <f>D33+D32+D30</f>
        <v>672</v>
      </c>
      <c r="E34" s="383"/>
      <c r="F34" s="377"/>
      <c r="G34" s="378">
        <f>G33+G32+G30</f>
        <v>0</v>
      </c>
      <c r="H34" s="383"/>
      <c r="I34" s="377"/>
      <c r="J34" s="378">
        <f>J33+J32+J30</f>
        <v>0</v>
      </c>
      <c r="K34" s="383"/>
      <c r="L34" s="377"/>
      <c r="M34" s="378">
        <f>M33+M32+M30</f>
        <v>0</v>
      </c>
      <c r="N34" s="383"/>
      <c r="O34" s="377"/>
      <c r="P34" s="378">
        <f>P33+P32+P30</f>
        <v>0</v>
      </c>
      <c r="Q34" s="383"/>
      <c r="R34" s="377"/>
      <c r="S34" s="378">
        <f>S33+S32+S30</f>
        <v>672</v>
      </c>
      <c r="T34" s="384"/>
      <c r="U34" s="315" t="s">
        <v>375</v>
      </c>
    </row>
    <row r="35" spans="2:21" ht="15.75">
      <c r="B35" s="1"/>
      <c r="C35" s="1"/>
      <c r="D35" s="1"/>
      <c r="E35" s="1"/>
      <c r="F35" s="1"/>
      <c r="G35" s="1"/>
      <c r="H35" s="1"/>
      <c r="I35" s="1"/>
      <c r="J35" s="1"/>
      <c r="K35" s="1"/>
      <c r="L35" s="1"/>
      <c r="M35" s="1"/>
      <c r="N35" s="1"/>
      <c r="O35" s="1"/>
      <c r="P35" s="1"/>
      <c r="Q35" s="1"/>
      <c r="R35" s="1"/>
      <c r="S35" s="1"/>
      <c r="T35" s="1"/>
      <c r="U35" s="315" t="s">
        <v>375</v>
      </c>
    </row>
    <row r="36" spans="1:21" ht="15.75">
      <c r="A36" s="1"/>
      <c r="B36" s="1"/>
      <c r="C36" s="1"/>
      <c r="D36" s="1"/>
      <c r="E36" s="1"/>
      <c r="F36" s="1"/>
      <c r="G36" s="1"/>
      <c r="H36" s="1"/>
      <c r="I36" s="1"/>
      <c r="J36" s="1"/>
      <c r="K36" s="1"/>
      <c r="L36" s="1"/>
      <c r="M36" s="1"/>
      <c r="N36" s="1"/>
      <c r="O36" s="1"/>
      <c r="P36" s="1"/>
      <c r="Q36" s="1"/>
      <c r="R36" s="1"/>
      <c r="S36" s="1"/>
      <c r="T36" s="1"/>
      <c r="U36" s="315" t="s">
        <v>375</v>
      </c>
    </row>
    <row r="37" spans="1:21" ht="15.75">
      <c r="A37" s="1" t="s">
        <v>124</v>
      </c>
      <c r="C37" s="1"/>
      <c r="D37" s="1"/>
      <c r="E37" s="1"/>
      <c r="F37" s="1"/>
      <c r="G37" s="1"/>
      <c r="H37" s="1"/>
      <c r="I37" s="1"/>
      <c r="J37" s="1"/>
      <c r="K37" s="1"/>
      <c r="L37" s="1"/>
      <c r="M37" s="1"/>
      <c r="N37" s="1"/>
      <c r="O37" s="1"/>
      <c r="P37" s="1"/>
      <c r="Q37" s="1"/>
      <c r="R37" s="1"/>
      <c r="S37" s="1"/>
      <c r="T37" s="1"/>
      <c r="U37" s="315" t="s">
        <v>375</v>
      </c>
    </row>
    <row r="38" spans="1:21" ht="15.75">
      <c r="A38" s="1"/>
      <c r="C38" s="1"/>
      <c r="D38" s="1"/>
      <c r="E38" s="1"/>
      <c r="F38" s="1"/>
      <c r="G38" s="1"/>
      <c r="H38" s="1"/>
      <c r="I38" s="1"/>
      <c r="J38" s="1"/>
      <c r="K38" s="1"/>
      <c r="L38" s="1"/>
      <c r="M38" s="1"/>
      <c r="N38" s="1"/>
      <c r="O38" s="1"/>
      <c r="P38" s="1"/>
      <c r="Q38" s="1"/>
      <c r="R38" s="1"/>
      <c r="S38" s="1"/>
      <c r="T38" s="1"/>
      <c r="U38" s="315" t="s">
        <v>375</v>
      </c>
    </row>
    <row r="39" spans="1:21" ht="15.75">
      <c r="A39" s="1"/>
      <c r="B39" s="1"/>
      <c r="C39" s="1"/>
      <c r="D39" s="1"/>
      <c r="E39" s="1"/>
      <c r="F39" s="1"/>
      <c r="G39" s="1"/>
      <c r="H39" s="1"/>
      <c r="I39" s="1"/>
      <c r="J39" s="1"/>
      <c r="K39" s="1"/>
      <c r="L39" s="1"/>
      <c r="M39" s="1"/>
      <c r="N39" s="1"/>
      <c r="O39" s="1"/>
      <c r="P39" s="1"/>
      <c r="Q39" s="1"/>
      <c r="R39" s="1"/>
      <c r="S39" s="1"/>
      <c r="T39" s="1"/>
      <c r="U39" s="315" t="s">
        <v>375</v>
      </c>
    </row>
    <row r="40" spans="1:21" ht="39.75" customHeight="1">
      <c r="A40" s="889" t="s">
        <v>35</v>
      </c>
      <c r="B40" s="890"/>
      <c r="C40" s="890"/>
      <c r="D40" s="890"/>
      <c r="E40" s="890"/>
      <c r="F40" s="890"/>
      <c r="G40" s="890"/>
      <c r="H40" s="890"/>
      <c r="I40" s="890"/>
      <c r="J40" s="890"/>
      <c r="K40" s="890"/>
      <c r="L40" s="890"/>
      <c r="M40" s="890"/>
      <c r="N40" s="890"/>
      <c r="O40" s="890"/>
      <c r="P40" s="890"/>
      <c r="Q40" s="890"/>
      <c r="R40" s="1"/>
      <c r="S40" s="1"/>
      <c r="T40" s="1"/>
      <c r="U40" s="315" t="s">
        <v>375</v>
      </c>
    </row>
    <row r="41" spans="1:21" ht="14.25" customHeight="1">
      <c r="A41" s="88"/>
      <c r="B41" s="78"/>
      <c r="C41" s="78"/>
      <c r="D41" s="78"/>
      <c r="E41" s="78"/>
      <c r="F41" s="78"/>
      <c r="G41" s="78"/>
      <c r="H41" s="78"/>
      <c r="I41" s="78"/>
      <c r="J41" s="78"/>
      <c r="K41" s="78"/>
      <c r="L41" s="78"/>
      <c r="M41" s="78"/>
      <c r="N41" s="78"/>
      <c r="O41" s="78"/>
      <c r="P41" s="78"/>
      <c r="Q41" s="78"/>
      <c r="R41" s="1"/>
      <c r="S41" s="1"/>
      <c r="T41" s="1"/>
      <c r="U41" s="315" t="s">
        <v>375</v>
      </c>
    </row>
    <row r="42" spans="1:21" ht="15.75">
      <c r="A42" s="1" t="s">
        <v>36</v>
      </c>
      <c r="B42" s="1"/>
      <c r="C42" s="1"/>
      <c r="D42" s="1"/>
      <c r="E42" s="1"/>
      <c r="F42" s="1"/>
      <c r="G42" s="1"/>
      <c r="H42" s="1"/>
      <c r="I42" s="1"/>
      <c r="J42" s="1"/>
      <c r="K42" s="1"/>
      <c r="L42" s="1"/>
      <c r="M42" s="1"/>
      <c r="N42" s="1"/>
      <c r="O42" s="1"/>
      <c r="P42" s="1"/>
      <c r="Q42" s="1"/>
      <c r="R42" s="1"/>
      <c r="S42" s="1"/>
      <c r="T42" s="1"/>
      <c r="U42" s="315" t="s">
        <v>55</v>
      </c>
    </row>
    <row r="43" spans="1:21" ht="15.75">
      <c r="A43" s="879"/>
      <c r="B43" s="879"/>
      <c r="C43" s="879"/>
      <c r="D43" s="879"/>
      <c r="E43" s="879"/>
      <c r="F43" s="879"/>
      <c r="G43" s="879"/>
      <c r="H43" s="879"/>
      <c r="I43" s="879"/>
      <c r="J43" s="879"/>
      <c r="K43" s="879"/>
      <c r="L43" s="879"/>
      <c r="M43" s="879"/>
      <c r="N43" s="879"/>
      <c r="O43" s="879"/>
      <c r="P43" s="879"/>
      <c r="Q43" s="879"/>
      <c r="R43" s="879"/>
      <c r="S43" s="879"/>
      <c r="T43" s="879"/>
      <c r="U43" s="315"/>
    </row>
    <row r="44" spans="1:20" ht="15.75">
      <c r="A44" s="1"/>
      <c r="B44" s="1"/>
      <c r="C44" s="1"/>
      <c r="D44" s="1"/>
      <c r="E44" s="1"/>
      <c r="F44" s="1"/>
      <c r="G44" s="1"/>
      <c r="H44" s="1"/>
      <c r="I44" s="1"/>
      <c r="J44" s="1"/>
      <c r="K44" s="1"/>
      <c r="L44" s="1"/>
      <c r="M44" s="1"/>
      <c r="N44" s="1"/>
      <c r="O44" s="1"/>
      <c r="P44" s="1"/>
      <c r="Q44" s="1"/>
      <c r="R44" s="1"/>
      <c r="S44" s="1"/>
      <c r="T44" s="1"/>
    </row>
    <row r="45" spans="1:20" ht="15.75">
      <c r="A45" s="89"/>
      <c r="B45" s="89"/>
      <c r="C45" s="89"/>
      <c r="D45" s="89"/>
      <c r="E45" s="89"/>
      <c r="F45" s="89"/>
      <c r="G45" s="89"/>
      <c r="H45" s="89"/>
      <c r="I45" s="89"/>
      <c r="J45" s="89"/>
      <c r="K45" s="89"/>
      <c r="L45" s="1"/>
      <c r="M45" s="1"/>
      <c r="N45" s="1"/>
      <c r="O45" s="1"/>
      <c r="P45" s="1"/>
      <c r="Q45" s="1"/>
      <c r="R45" s="1"/>
      <c r="S45" s="1"/>
      <c r="T45" s="1"/>
    </row>
    <row r="46" spans="1:20" ht="15.75">
      <c r="A46" s="89"/>
      <c r="B46" s="89"/>
      <c r="C46" s="89"/>
      <c r="D46" s="89"/>
      <c r="E46" s="89"/>
      <c r="F46" s="89"/>
      <c r="G46" s="89"/>
      <c r="H46" s="89"/>
      <c r="I46" s="89"/>
      <c r="J46" s="89"/>
      <c r="K46" s="89"/>
      <c r="L46" s="1"/>
      <c r="M46" s="1"/>
      <c r="N46" s="1"/>
      <c r="O46" s="1"/>
      <c r="P46" s="1"/>
      <c r="Q46" s="1"/>
      <c r="R46" s="1"/>
      <c r="S46" s="1"/>
      <c r="T46" s="1"/>
    </row>
  </sheetData>
  <mergeCells count="20">
    <mergeCell ref="I9:K10"/>
    <mergeCell ref="L9:N10"/>
    <mergeCell ref="O9:Q10"/>
    <mergeCell ref="R9:T10"/>
    <mergeCell ref="A33:B33"/>
    <mergeCell ref="A34:B34"/>
    <mergeCell ref="C9:E10"/>
    <mergeCell ref="A29:B29"/>
    <mergeCell ref="A28:B28"/>
    <mergeCell ref="A40:Q40"/>
    <mergeCell ref="A6:T6"/>
    <mergeCell ref="A43:T43"/>
    <mergeCell ref="A1:T1"/>
    <mergeCell ref="A3:T3"/>
    <mergeCell ref="A4:T4"/>
    <mergeCell ref="A5:T5"/>
    <mergeCell ref="A30:B30"/>
    <mergeCell ref="A31:B31"/>
    <mergeCell ref="F9:H10"/>
    <mergeCell ref="A32:B32"/>
  </mergeCells>
  <printOptions horizontalCentered="1"/>
  <pageMargins left="0.5" right="0.5" top="0.5" bottom="0.55" header="0" footer="0"/>
  <pageSetup firstPageNumber="2" useFirstPageNumber="1" fitToHeight="1" fitToWidth="1" horizontalDpi="300" verticalDpi="300" orientation="landscape" scale="75" r:id="rId1"/>
  <headerFooter alignWithMargins="0">
    <oddFooter>&amp;C&amp;"Times New Roman,Regular"Exhibit F - Crosswalk of 2007 Availability&amp;RJustice Assistance</oddFooter>
  </headerFooter>
</worksheet>
</file>

<file path=xl/worksheets/sheet6.xml><?xml version="1.0" encoding="utf-8"?>
<worksheet xmlns="http://schemas.openxmlformats.org/spreadsheetml/2006/main" xmlns:r="http://schemas.openxmlformats.org/officeDocument/2006/relationships">
  <sheetPr codeName="Sheet12">
    <pageSetUpPr fitToPage="1"/>
  </sheetPr>
  <dimension ref="A1:AE41"/>
  <sheetViews>
    <sheetView zoomScale="75" zoomScaleNormal="75" workbookViewId="0" topLeftCell="A1">
      <pane xSplit="2" ySplit="12" topLeftCell="C13" activePane="bottomRight" state="frozen"/>
      <selection pane="topLeft" activeCell="W47" sqref="W47"/>
      <selection pane="topRight" activeCell="W47" sqref="W47"/>
      <selection pane="bottomLeft" activeCell="W47" sqref="W47"/>
      <selection pane="bottomRight" activeCell="W47" sqref="W47"/>
    </sheetView>
  </sheetViews>
  <sheetFormatPr defaultColWidth="8.88671875" defaultRowHeight="15"/>
  <cols>
    <col min="2" max="2" width="30.99609375" style="0" customWidth="1"/>
    <col min="3" max="3" width="8.99609375" style="0" bestFit="1" customWidth="1"/>
    <col min="4" max="4" width="8.77734375" style="0" customWidth="1"/>
    <col min="5" max="5" width="10.3359375" style="285" customWidth="1"/>
    <col min="6" max="10" width="8.99609375" style="0" bestFit="1" customWidth="1"/>
    <col min="11" max="11" width="9.21484375" style="0" bestFit="1" customWidth="1"/>
    <col min="12" max="16" width="8.99609375" style="0" bestFit="1" customWidth="1"/>
    <col min="17" max="17" width="10.3359375" style="0" bestFit="1" customWidth="1"/>
  </cols>
  <sheetData>
    <row r="1" spans="1:18" ht="20.25">
      <c r="A1" s="903" t="s">
        <v>125</v>
      </c>
      <c r="B1" s="904"/>
      <c r="C1" s="904"/>
      <c r="D1" s="905"/>
      <c r="E1" s="276"/>
      <c r="F1" s="276"/>
      <c r="G1" s="276"/>
      <c r="H1" s="276"/>
      <c r="I1" s="276"/>
      <c r="J1" s="276"/>
      <c r="K1" s="276"/>
      <c r="L1" s="276"/>
      <c r="M1" s="276"/>
      <c r="N1" s="276"/>
      <c r="O1" s="276"/>
      <c r="P1" s="276"/>
      <c r="Q1" s="406"/>
      <c r="R1" s="317" t="s">
        <v>375</v>
      </c>
    </row>
    <row r="2" spans="1:18" ht="15.75">
      <c r="A2" s="276"/>
      <c r="B2" s="276"/>
      <c r="C2" s="276"/>
      <c r="D2" s="276"/>
      <c r="E2" s="276"/>
      <c r="F2" s="276"/>
      <c r="G2" s="276"/>
      <c r="H2" s="276"/>
      <c r="I2" s="276"/>
      <c r="J2" s="276"/>
      <c r="K2" s="276"/>
      <c r="L2" s="276"/>
      <c r="M2" s="276"/>
      <c r="N2" s="276"/>
      <c r="O2" s="276"/>
      <c r="P2" s="276"/>
      <c r="Q2" s="406"/>
      <c r="R2" s="317" t="s">
        <v>375</v>
      </c>
    </row>
    <row r="3" spans="1:18" s="16" customFormat="1" ht="18.75">
      <c r="A3" s="906" t="s">
        <v>385</v>
      </c>
      <c r="B3" s="907"/>
      <c r="C3" s="907"/>
      <c r="D3" s="907"/>
      <c r="E3" s="907"/>
      <c r="F3" s="907"/>
      <c r="G3" s="907"/>
      <c r="H3" s="907"/>
      <c r="I3" s="907"/>
      <c r="J3" s="907"/>
      <c r="K3" s="907"/>
      <c r="L3" s="907"/>
      <c r="M3" s="907"/>
      <c r="N3" s="907"/>
      <c r="O3" s="907"/>
      <c r="P3" s="907"/>
      <c r="Q3" s="907"/>
      <c r="R3" s="315" t="s">
        <v>375</v>
      </c>
    </row>
    <row r="4" spans="1:18" s="16" customFormat="1" ht="15.75">
      <c r="A4" s="908" t="str">
        <f>+'B. Summary of Requirements '!A3</f>
        <v>Office of Justice Programs </v>
      </c>
      <c r="B4" s="909"/>
      <c r="C4" s="909"/>
      <c r="D4" s="909"/>
      <c r="E4" s="909"/>
      <c r="F4" s="909"/>
      <c r="G4" s="909"/>
      <c r="H4" s="909"/>
      <c r="I4" s="909"/>
      <c r="J4" s="909"/>
      <c r="K4" s="909"/>
      <c r="L4" s="909"/>
      <c r="M4" s="909"/>
      <c r="N4" s="909"/>
      <c r="O4" s="909"/>
      <c r="P4" s="909"/>
      <c r="Q4" s="909"/>
      <c r="R4" s="315" t="s">
        <v>375</v>
      </c>
    </row>
    <row r="5" spans="1:18" s="16" customFormat="1" ht="15.75">
      <c r="A5" s="908" t="str">
        <f>+'B. Summary of Requirements '!A4</f>
        <v>Justice Assistance</v>
      </c>
      <c r="B5" s="910"/>
      <c r="C5" s="910"/>
      <c r="D5" s="910"/>
      <c r="E5" s="910"/>
      <c r="F5" s="910"/>
      <c r="G5" s="910"/>
      <c r="H5" s="910"/>
      <c r="I5" s="910"/>
      <c r="J5" s="910"/>
      <c r="K5" s="910"/>
      <c r="L5" s="910"/>
      <c r="M5" s="910"/>
      <c r="N5" s="910"/>
      <c r="O5" s="910"/>
      <c r="P5" s="910"/>
      <c r="Q5" s="910"/>
      <c r="R5" s="315" t="s">
        <v>375</v>
      </c>
    </row>
    <row r="6" spans="1:18" s="16" customFormat="1" ht="15.75">
      <c r="A6" s="911" t="s">
        <v>332</v>
      </c>
      <c r="B6" s="912"/>
      <c r="C6" s="912"/>
      <c r="D6" s="912"/>
      <c r="E6" s="912"/>
      <c r="F6" s="912"/>
      <c r="G6" s="912"/>
      <c r="H6" s="912"/>
      <c r="I6" s="912"/>
      <c r="J6" s="912"/>
      <c r="K6" s="912"/>
      <c r="L6" s="912"/>
      <c r="M6" s="912"/>
      <c r="N6" s="912"/>
      <c r="O6" s="912"/>
      <c r="P6" s="912"/>
      <c r="Q6" s="912"/>
      <c r="R6" s="315" t="s">
        <v>375</v>
      </c>
    </row>
    <row r="7" spans="1:18" s="16" customFormat="1" ht="15.75">
      <c r="A7" s="10"/>
      <c r="B7" s="10"/>
      <c r="C7" s="10"/>
      <c r="D7" s="10"/>
      <c r="E7" s="10"/>
      <c r="F7" s="12"/>
      <c r="G7" s="12"/>
      <c r="H7" s="12"/>
      <c r="I7" s="12"/>
      <c r="J7" s="12"/>
      <c r="K7" s="12"/>
      <c r="L7" s="10"/>
      <c r="M7" s="10"/>
      <c r="N7" s="10"/>
      <c r="O7" s="10"/>
      <c r="P7" s="10"/>
      <c r="Q7" s="10"/>
      <c r="R7" s="315" t="s">
        <v>375</v>
      </c>
    </row>
    <row r="8" spans="1:18" s="16" customFormat="1" ht="15.75">
      <c r="A8" s="10"/>
      <c r="B8" s="10"/>
      <c r="C8" s="12"/>
      <c r="D8" s="12"/>
      <c r="E8" s="12"/>
      <c r="F8" s="12"/>
      <c r="G8" s="12"/>
      <c r="H8" s="12"/>
      <c r="I8" s="12"/>
      <c r="J8" s="12"/>
      <c r="K8" s="12"/>
      <c r="L8" s="10"/>
      <c r="M8" s="10"/>
      <c r="N8" s="10"/>
      <c r="O8" s="10"/>
      <c r="P8" s="12"/>
      <c r="Q8" s="12"/>
      <c r="R8" s="315" t="s">
        <v>375</v>
      </c>
    </row>
    <row r="9" spans="1:18" s="325" customFormat="1" ht="16.5" customHeight="1">
      <c r="A9" s="407"/>
      <c r="B9" s="408"/>
      <c r="C9" s="913" t="s">
        <v>310</v>
      </c>
      <c r="D9" s="914"/>
      <c r="E9" s="915"/>
      <c r="F9" s="919" t="s">
        <v>347</v>
      </c>
      <c r="G9" s="920"/>
      <c r="H9" s="921"/>
      <c r="I9" s="913" t="s">
        <v>53</v>
      </c>
      <c r="J9" s="914"/>
      <c r="K9" s="915"/>
      <c r="L9" s="913" t="s">
        <v>54</v>
      </c>
      <c r="M9" s="914"/>
      <c r="N9" s="915"/>
      <c r="O9" s="913" t="s">
        <v>386</v>
      </c>
      <c r="P9" s="914"/>
      <c r="Q9" s="915"/>
      <c r="R9" s="324" t="s">
        <v>375</v>
      </c>
    </row>
    <row r="10" spans="1:18" s="325" customFormat="1" ht="15.75">
      <c r="A10" s="409"/>
      <c r="B10" s="410"/>
      <c r="C10" s="916"/>
      <c r="D10" s="917"/>
      <c r="E10" s="918"/>
      <c r="F10" s="922"/>
      <c r="G10" s="923"/>
      <c r="H10" s="924"/>
      <c r="I10" s="916"/>
      <c r="J10" s="917"/>
      <c r="K10" s="918"/>
      <c r="L10" s="916"/>
      <c r="M10" s="917"/>
      <c r="N10" s="918"/>
      <c r="O10" s="916"/>
      <c r="P10" s="917"/>
      <c r="Q10" s="918"/>
      <c r="R10" s="324" t="s">
        <v>375</v>
      </c>
    </row>
    <row r="11" spans="1:18" s="325" customFormat="1" ht="15" customHeight="1">
      <c r="A11" s="409"/>
      <c r="C11" s="409"/>
      <c r="F11" s="409"/>
      <c r="I11" s="409"/>
      <c r="L11" s="409"/>
      <c r="O11" s="409"/>
      <c r="Q11" s="266"/>
      <c r="R11" s="324" t="s">
        <v>375</v>
      </c>
    </row>
    <row r="12" spans="1:18" s="325" customFormat="1" ht="16.5" thickBot="1">
      <c r="A12" s="411" t="s">
        <v>170</v>
      </c>
      <c r="B12" s="412"/>
      <c r="C12" s="413" t="s">
        <v>355</v>
      </c>
      <c r="D12" s="414" t="s">
        <v>174</v>
      </c>
      <c r="E12" s="414" t="s">
        <v>357</v>
      </c>
      <c r="F12" s="413" t="s">
        <v>355</v>
      </c>
      <c r="G12" s="414" t="s">
        <v>174</v>
      </c>
      <c r="H12" s="414" t="s">
        <v>357</v>
      </c>
      <c r="I12" s="413" t="s">
        <v>355</v>
      </c>
      <c r="J12" s="414" t="s">
        <v>174</v>
      </c>
      <c r="K12" s="414" t="s">
        <v>357</v>
      </c>
      <c r="L12" s="413" t="s">
        <v>355</v>
      </c>
      <c r="M12" s="414" t="s">
        <v>174</v>
      </c>
      <c r="N12" s="414" t="s">
        <v>357</v>
      </c>
      <c r="O12" s="413" t="s">
        <v>355</v>
      </c>
      <c r="P12" s="414" t="s">
        <v>174</v>
      </c>
      <c r="Q12" s="125" t="s">
        <v>357</v>
      </c>
      <c r="R12" s="324" t="s">
        <v>375</v>
      </c>
    </row>
    <row r="13" spans="1:18" s="16" customFormat="1" ht="15.75">
      <c r="A13" s="925" t="s">
        <v>21</v>
      </c>
      <c r="B13" s="926"/>
      <c r="C13" s="105">
        <v>0</v>
      </c>
      <c r="D13" s="106">
        <v>0</v>
      </c>
      <c r="E13" s="117">
        <v>37000</v>
      </c>
      <c r="F13" s="105">
        <v>0</v>
      </c>
      <c r="G13" s="106">
        <v>0</v>
      </c>
      <c r="H13" s="106">
        <v>0</v>
      </c>
      <c r="I13" s="105">
        <v>0</v>
      </c>
      <c r="J13" s="106">
        <v>0</v>
      </c>
      <c r="K13" s="106">
        <v>0</v>
      </c>
      <c r="L13" s="105">
        <v>0</v>
      </c>
      <c r="M13" s="106">
        <v>0</v>
      </c>
      <c r="N13" s="117">
        <f>1995+3000</f>
        <v>4995</v>
      </c>
      <c r="O13" s="105">
        <f>C13+F13+I13+L13</f>
        <v>0</v>
      </c>
      <c r="P13" s="106">
        <f>D13+G13+J13+M13</f>
        <v>0</v>
      </c>
      <c r="Q13" s="626">
        <f>E13+H13+K13+N13</f>
        <v>41995</v>
      </c>
      <c r="R13" s="315" t="s">
        <v>375</v>
      </c>
    </row>
    <row r="14" spans="1:18" s="16" customFormat="1" ht="15.75">
      <c r="A14" s="927" t="s">
        <v>22</v>
      </c>
      <c r="B14" s="928"/>
      <c r="C14" s="105">
        <v>0</v>
      </c>
      <c r="D14" s="106">
        <v>0</v>
      </c>
      <c r="E14" s="117">
        <v>34780</v>
      </c>
      <c r="F14" s="105">
        <v>0</v>
      </c>
      <c r="G14" s="106">
        <v>0</v>
      </c>
      <c r="H14" s="106">
        <v>0</v>
      </c>
      <c r="I14" s="105">
        <v>0</v>
      </c>
      <c r="J14" s="106">
        <v>0</v>
      </c>
      <c r="K14" s="106">
        <v>0</v>
      </c>
      <c r="L14" s="105">
        <v>0</v>
      </c>
      <c r="M14" s="106">
        <v>0</v>
      </c>
      <c r="N14" s="117">
        <f>1180+1000</f>
        <v>2180</v>
      </c>
      <c r="O14" s="105">
        <f aca="true" t="shared" si="0" ref="O14:O22">C14+F14+I14+L14</f>
        <v>0</v>
      </c>
      <c r="P14" s="106">
        <f aca="true" t="shared" si="1" ref="P14:P22">D14+G14+J14+M14</f>
        <v>0</v>
      </c>
      <c r="Q14" s="625">
        <f aca="true" t="shared" si="2" ref="Q14:Q22">E14+H14+K14+N14</f>
        <v>36960</v>
      </c>
      <c r="R14" s="315" t="s">
        <v>375</v>
      </c>
    </row>
    <row r="15" spans="1:18" s="16" customFormat="1" ht="15.75">
      <c r="A15" s="105" t="s">
        <v>25</v>
      </c>
      <c r="B15" s="419"/>
      <c r="C15" s="105">
        <v>0</v>
      </c>
      <c r="D15" s="106">
        <v>0</v>
      </c>
      <c r="E15" s="117">
        <v>9400</v>
      </c>
      <c r="F15" s="105">
        <v>0</v>
      </c>
      <c r="G15" s="106">
        <v>0</v>
      </c>
      <c r="H15" s="106">
        <v>0</v>
      </c>
      <c r="I15" s="105">
        <v>0</v>
      </c>
      <c r="J15" s="106">
        <v>0</v>
      </c>
      <c r="K15" s="106">
        <v>0</v>
      </c>
      <c r="L15" s="105">
        <v>0</v>
      </c>
      <c r="M15" s="106">
        <v>0</v>
      </c>
      <c r="N15" s="117">
        <v>60</v>
      </c>
      <c r="O15" s="105">
        <f t="shared" si="0"/>
        <v>0</v>
      </c>
      <c r="P15" s="106">
        <f t="shared" si="1"/>
        <v>0</v>
      </c>
      <c r="Q15" s="627">
        <f t="shared" si="2"/>
        <v>9460</v>
      </c>
      <c r="R15" s="315"/>
    </row>
    <row r="16" spans="1:18" s="16" customFormat="1" ht="15.75">
      <c r="A16" s="105" t="s">
        <v>37</v>
      </c>
      <c r="B16" s="419"/>
      <c r="C16" s="105">
        <v>0</v>
      </c>
      <c r="D16" s="106">
        <v>0</v>
      </c>
      <c r="E16" s="117">
        <v>2820</v>
      </c>
      <c r="F16" s="105">
        <v>0</v>
      </c>
      <c r="G16" s="106">
        <v>0</v>
      </c>
      <c r="H16" s="106">
        <v>0</v>
      </c>
      <c r="I16" s="105">
        <v>0</v>
      </c>
      <c r="J16" s="106">
        <v>0</v>
      </c>
      <c r="K16" s="106">
        <v>0</v>
      </c>
      <c r="L16" s="105">
        <v>0</v>
      </c>
      <c r="M16" s="106">
        <v>0</v>
      </c>
      <c r="N16" s="106">
        <v>0</v>
      </c>
      <c r="O16" s="105">
        <f t="shared" si="0"/>
        <v>0</v>
      </c>
      <c r="P16" s="106">
        <f t="shared" si="1"/>
        <v>0</v>
      </c>
      <c r="Q16" s="627">
        <f t="shared" si="2"/>
        <v>2820</v>
      </c>
      <c r="R16" s="315"/>
    </row>
    <row r="17" spans="1:18" s="16" customFormat="1" ht="15.75">
      <c r="A17" s="105" t="s">
        <v>27</v>
      </c>
      <c r="B17" s="419"/>
      <c r="C17" s="105">
        <v>0</v>
      </c>
      <c r="D17" s="106">
        <v>0</v>
      </c>
      <c r="E17" s="106">
        <v>0</v>
      </c>
      <c r="F17" s="105">
        <v>0</v>
      </c>
      <c r="G17" s="106">
        <v>0</v>
      </c>
      <c r="H17" s="106">
        <v>0</v>
      </c>
      <c r="I17" s="105">
        <v>0</v>
      </c>
      <c r="J17" s="106">
        <v>0</v>
      </c>
      <c r="K17" s="106">
        <v>0</v>
      </c>
      <c r="L17" s="105">
        <v>0</v>
      </c>
      <c r="M17" s="106">
        <v>0</v>
      </c>
      <c r="N17" s="117">
        <v>61</v>
      </c>
      <c r="O17" s="105">
        <f t="shared" si="0"/>
        <v>0</v>
      </c>
      <c r="P17" s="106">
        <f t="shared" si="1"/>
        <v>0</v>
      </c>
      <c r="Q17" s="628">
        <f t="shared" si="2"/>
        <v>61</v>
      </c>
      <c r="R17" s="315"/>
    </row>
    <row r="18" spans="1:18" s="16" customFormat="1" ht="15.75">
      <c r="A18" s="105" t="s">
        <v>24</v>
      </c>
      <c r="B18" s="419"/>
      <c r="C18" s="105">
        <v>0</v>
      </c>
      <c r="D18" s="106">
        <v>0</v>
      </c>
      <c r="E18" s="117">
        <v>40000</v>
      </c>
      <c r="F18" s="105">
        <v>0</v>
      </c>
      <c r="G18" s="106">
        <v>0</v>
      </c>
      <c r="H18" s="106">
        <v>0</v>
      </c>
      <c r="I18" s="105">
        <v>0</v>
      </c>
      <c r="J18" s="106">
        <v>0</v>
      </c>
      <c r="K18" s="106">
        <v>0</v>
      </c>
      <c r="L18" s="105">
        <v>0</v>
      </c>
      <c r="M18" s="106">
        <v>0</v>
      </c>
      <c r="N18" s="117">
        <v>22</v>
      </c>
      <c r="O18" s="105">
        <f t="shared" si="0"/>
        <v>0</v>
      </c>
      <c r="P18" s="106">
        <f t="shared" si="1"/>
        <v>0</v>
      </c>
      <c r="Q18" s="625">
        <f t="shared" si="2"/>
        <v>40022</v>
      </c>
      <c r="R18" s="315"/>
    </row>
    <row r="19" spans="1:18" s="16" customFormat="1" ht="15.75">
      <c r="A19" s="105" t="s">
        <v>38</v>
      </c>
      <c r="B19" s="419"/>
      <c r="C19" s="105">
        <v>0</v>
      </c>
      <c r="D19" s="106">
        <v>0</v>
      </c>
      <c r="E19" s="117">
        <v>11280</v>
      </c>
      <c r="F19" s="105">
        <v>0</v>
      </c>
      <c r="G19" s="106">
        <v>0</v>
      </c>
      <c r="H19" s="106">
        <v>0</v>
      </c>
      <c r="I19" s="105">
        <v>0</v>
      </c>
      <c r="J19" s="106">
        <v>0</v>
      </c>
      <c r="K19" s="106">
        <v>0</v>
      </c>
      <c r="L19" s="105">
        <v>0</v>
      </c>
      <c r="M19" s="106">
        <v>0</v>
      </c>
      <c r="N19" s="106">
        <v>0</v>
      </c>
      <c r="O19" s="105">
        <f t="shared" si="0"/>
        <v>0</v>
      </c>
      <c r="P19" s="106">
        <f t="shared" si="1"/>
        <v>0</v>
      </c>
      <c r="Q19" s="628">
        <f t="shared" si="2"/>
        <v>11280</v>
      </c>
      <c r="R19" s="315"/>
    </row>
    <row r="20" spans="1:18" s="16" customFormat="1" ht="15.75">
      <c r="A20" s="927" t="s">
        <v>23</v>
      </c>
      <c r="B20" s="928"/>
      <c r="C20" s="105">
        <v>0</v>
      </c>
      <c r="D20" s="106">
        <v>0</v>
      </c>
      <c r="E20" s="117">
        <v>50000</v>
      </c>
      <c r="F20" s="105">
        <v>0</v>
      </c>
      <c r="G20" s="106">
        <v>0</v>
      </c>
      <c r="H20" s="106">
        <v>0</v>
      </c>
      <c r="I20" s="105">
        <v>0</v>
      </c>
      <c r="J20" s="106">
        <v>0</v>
      </c>
      <c r="K20" s="106">
        <v>0</v>
      </c>
      <c r="L20" s="105">
        <v>0</v>
      </c>
      <c r="M20" s="106">
        <v>0</v>
      </c>
      <c r="N20" s="117">
        <f>1619+2000</f>
        <v>3619</v>
      </c>
      <c r="O20" s="105">
        <f t="shared" si="0"/>
        <v>0</v>
      </c>
      <c r="P20" s="106">
        <f t="shared" si="1"/>
        <v>0</v>
      </c>
      <c r="Q20" s="625">
        <f t="shared" si="2"/>
        <v>53619</v>
      </c>
      <c r="R20" s="315" t="s">
        <v>375</v>
      </c>
    </row>
    <row r="21" spans="1:18" s="16" customFormat="1" ht="15.75">
      <c r="A21" s="105" t="s">
        <v>32</v>
      </c>
      <c r="B21" s="419"/>
      <c r="C21" s="105">
        <v>0</v>
      </c>
      <c r="D21" s="106">
        <v>0</v>
      </c>
      <c r="E21" s="106">
        <v>0</v>
      </c>
      <c r="F21" s="105">
        <v>0</v>
      </c>
      <c r="G21" s="106">
        <v>0</v>
      </c>
      <c r="H21" s="106">
        <v>0</v>
      </c>
      <c r="I21" s="105">
        <v>0</v>
      </c>
      <c r="J21" s="106">
        <v>0</v>
      </c>
      <c r="K21" s="106">
        <v>0</v>
      </c>
      <c r="L21" s="105">
        <v>0</v>
      </c>
      <c r="M21" s="106">
        <v>0</v>
      </c>
      <c r="N21" s="628">
        <v>11</v>
      </c>
      <c r="O21" s="105">
        <f t="shared" si="0"/>
        <v>0</v>
      </c>
      <c r="P21" s="106">
        <f t="shared" si="1"/>
        <v>0</v>
      </c>
      <c r="Q21" s="628">
        <f t="shared" si="2"/>
        <v>11</v>
      </c>
      <c r="R21" s="315"/>
    </row>
    <row r="22" spans="1:18" s="16" customFormat="1" ht="15.75">
      <c r="A22" s="415" t="s">
        <v>30</v>
      </c>
      <c r="B22" s="416"/>
      <c r="C22" s="104">
        <v>697</v>
      </c>
      <c r="D22" s="424">
        <v>621</v>
      </c>
      <c r="E22" s="417">
        <v>10904</v>
      </c>
      <c r="F22" s="104">
        <v>0</v>
      </c>
      <c r="G22" s="424">
        <v>0</v>
      </c>
      <c r="H22" s="432">
        <v>0</v>
      </c>
      <c r="I22" s="104">
        <v>0</v>
      </c>
      <c r="J22" s="424">
        <v>0</v>
      </c>
      <c r="K22" s="432">
        <f>39087+15057+12540</f>
        <v>66684</v>
      </c>
      <c r="L22" s="104">
        <v>0</v>
      </c>
      <c r="M22" s="424">
        <v>0</v>
      </c>
      <c r="N22" s="417">
        <f>12664+4000+2</f>
        <v>16666</v>
      </c>
      <c r="O22" s="428">
        <f t="shared" si="0"/>
        <v>697</v>
      </c>
      <c r="P22" s="2">
        <f t="shared" si="1"/>
        <v>621</v>
      </c>
      <c r="Q22" s="625">
        <f t="shared" si="2"/>
        <v>94254</v>
      </c>
      <c r="R22" s="315" t="s">
        <v>375</v>
      </c>
    </row>
    <row r="23" spans="1:18" s="16" customFormat="1" ht="18" customHeight="1">
      <c r="A23" s="418"/>
      <c r="B23" s="10" t="s">
        <v>356</v>
      </c>
      <c r="C23" s="418"/>
      <c r="D23" s="267"/>
      <c r="E23" s="267"/>
      <c r="F23" s="418"/>
      <c r="G23" s="267"/>
      <c r="H23" s="267"/>
      <c r="I23" s="418"/>
      <c r="J23" s="267"/>
      <c r="K23" s="267"/>
      <c r="L23" s="418"/>
      <c r="M23" s="267"/>
      <c r="N23" s="267"/>
      <c r="O23" s="418"/>
      <c r="P23" s="112"/>
      <c r="Q23" s="113"/>
      <c r="R23" s="315" t="s">
        <v>375</v>
      </c>
    </row>
    <row r="24" spans="1:18" s="325" customFormat="1" ht="15.75">
      <c r="A24" s="929" t="s">
        <v>368</v>
      </c>
      <c r="B24" s="930"/>
      <c r="C24" s="435">
        <f aca="true" t="shared" si="3" ref="C24:Q24">SUM(C13:C22)</f>
        <v>697</v>
      </c>
      <c r="D24" s="436">
        <f t="shared" si="3"/>
        <v>621</v>
      </c>
      <c r="E24" s="436">
        <f t="shared" si="3"/>
        <v>196184</v>
      </c>
      <c r="F24" s="435">
        <f t="shared" si="3"/>
        <v>0</v>
      </c>
      <c r="G24" s="436">
        <f t="shared" si="3"/>
        <v>0</v>
      </c>
      <c r="H24" s="135">
        <f t="shared" si="3"/>
        <v>0</v>
      </c>
      <c r="I24" s="435">
        <f t="shared" si="3"/>
        <v>0</v>
      </c>
      <c r="J24" s="436">
        <f t="shared" si="3"/>
        <v>0</v>
      </c>
      <c r="K24" s="436">
        <f t="shared" si="3"/>
        <v>66684</v>
      </c>
      <c r="L24" s="435">
        <f t="shared" si="3"/>
        <v>0</v>
      </c>
      <c r="M24" s="436">
        <f t="shared" si="3"/>
        <v>0</v>
      </c>
      <c r="N24" s="436">
        <f t="shared" si="3"/>
        <v>27614</v>
      </c>
      <c r="O24" s="435">
        <f t="shared" si="3"/>
        <v>697</v>
      </c>
      <c r="P24" s="436">
        <f t="shared" si="3"/>
        <v>621</v>
      </c>
      <c r="Q24" s="135">
        <f t="shared" si="3"/>
        <v>290482</v>
      </c>
      <c r="R24" s="324" t="s">
        <v>375</v>
      </c>
    </row>
    <row r="25" spans="1:31" s="16" customFormat="1" ht="15.75">
      <c r="A25" s="931" t="s">
        <v>339</v>
      </c>
      <c r="B25" s="932"/>
      <c r="C25" s="415">
        <v>0</v>
      </c>
      <c r="D25" s="416">
        <v>12</v>
      </c>
      <c r="E25" s="416">
        <v>0</v>
      </c>
      <c r="F25" s="415">
        <v>0</v>
      </c>
      <c r="G25" s="416">
        <v>0</v>
      </c>
      <c r="H25" s="416">
        <v>0</v>
      </c>
      <c r="I25" s="415">
        <v>0</v>
      </c>
      <c r="J25" s="416"/>
      <c r="K25" s="416"/>
      <c r="L25" s="415"/>
      <c r="M25" s="416"/>
      <c r="N25" s="416"/>
      <c r="O25" s="415"/>
      <c r="P25" s="416">
        <v>12</v>
      </c>
      <c r="Q25" s="111"/>
      <c r="R25" s="315" t="s">
        <v>375</v>
      </c>
      <c r="S25" s="22"/>
      <c r="T25" s="22"/>
      <c r="U25" s="22"/>
      <c r="V25" s="22"/>
      <c r="W25" s="22"/>
      <c r="X25" s="22"/>
      <c r="Y25" s="22"/>
      <c r="Z25" s="22"/>
      <c r="AA25" s="22"/>
      <c r="AB25" s="22"/>
      <c r="AC25" s="22"/>
      <c r="AD25" s="22"/>
      <c r="AE25" s="22"/>
    </row>
    <row r="26" spans="1:18" s="16" customFormat="1" ht="15.75">
      <c r="A26" s="931" t="s">
        <v>338</v>
      </c>
      <c r="B26" s="932"/>
      <c r="C26" s="433">
        <f>SUM(C24:C25)</f>
        <v>697</v>
      </c>
      <c r="D26" s="433">
        <f>SUM(D24:D25)</f>
        <v>633</v>
      </c>
      <c r="E26" s="433">
        <f>SUM(E24:E25)</f>
        <v>196184</v>
      </c>
      <c r="F26" s="420">
        <f>+F24+F25</f>
        <v>0</v>
      </c>
      <c r="G26" s="433">
        <f>+G24+G25</f>
        <v>0</v>
      </c>
      <c r="H26" s="433">
        <f>+H24+H25</f>
        <v>0</v>
      </c>
      <c r="I26" s="420">
        <f>+I24+I25</f>
        <v>0</v>
      </c>
      <c r="J26" s="433">
        <f>+J24+J25</f>
        <v>0</v>
      </c>
      <c r="K26" s="433">
        <v>0</v>
      </c>
      <c r="L26" s="420"/>
      <c r="M26" s="433">
        <f>+M24+M25</f>
        <v>0</v>
      </c>
      <c r="N26" s="433"/>
      <c r="O26" s="420"/>
      <c r="P26" s="433">
        <f>SUM(P24:P25)</f>
        <v>633</v>
      </c>
      <c r="Q26" s="437"/>
      <c r="R26" s="315" t="s">
        <v>375</v>
      </c>
    </row>
    <row r="27" spans="1:18" s="16" customFormat="1" ht="15.75">
      <c r="A27" s="933" t="s">
        <v>340</v>
      </c>
      <c r="B27" s="934"/>
      <c r="C27" s="434"/>
      <c r="D27" s="119"/>
      <c r="E27" s="119"/>
      <c r="F27" s="434"/>
      <c r="G27" s="119"/>
      <c r="H27" s="119"/>
      <c r="I27" s="434"/>
      <c r="J27" s="119"/>
      <c r="K27" s="119"/>
      <c r="L27" s="434"/>
      <c r="M27" s="119"/>
      <c r="N27" s="119"/>
      <c r="O27" s="434"/>
      <c r="P27" s="119">
        <v>0</v>
      </c>
      <c r="Q27" s="120"/>
      <c r="R27" s="315" t="s">
        <v>375</v>
      </c>
    </row>
    <row r="28" spans="1:18" s="16" customFormat="1" ht="15.75">
      <c r="A28" s="935" t="s">
        <v>183</v>
      </c>
      <c r="B28" s="936"/>
      <c r="C28" s="434">
        <v>0</v>
      </c>
      <c r="D28" s="119">
        <v>0</v>
      </c>
      <c r="E28" s="119">
        <v>0</v>
      </c>
      <c r="F28" s="434">
        <v>0</v>
      </c>
      <c r="G28" s="119">
        <v>0</v>
      </c>
      <c r="H28" s="119">
        <v>0</v>
      </c>
      <c r="I28" s="434">
        <v>0</v>
      </c>
      <c r="J28" s="119">
        <v>0</v>
      </c>
      <c r="K28" s="119">
        <v>0</v>
      </c>
      <c r="L28" s="434"/>
      <c r="M28" s="119"/>
      <c r="N28" s="119"/>
      <c r="O28" s="434"/>
      <c r="P28" s="119">
        <v>0</v>
      </c>
      <c r="Q28" s="120"/>
      <c r="R28" s="315" t="s">
        <v>375</v>
      </c>
    </row>
    <row r="29" spans="1:18" s="16" customFormat="1" ht="15.75">
      <c r="A29" s="937" t="s">
        <v>248</v>
      </c>
      <c r="B29" s="938"/>
      <c r="C29" s="415">
        <v>0</v>
      </c>
      <c r="D29" s="416">
        <v>0</v>
      </c>
      <c r="E29" s="416">
        <v>0</v>
      </c>
      <c r="F29" s="415">
        <v>0</v>
      </c>
      <c r="G29" s="416">
        <v>0</v>
      </c>
      <c r="H29" s="416">
        <v>0</v>
      </c>
      <c r="I29" s="415">
        <v>0</v>
      </c>
      <c r="J29" s="416">
        <v>0</v>
      </c>
      <c r="K29" s="416">
        <v>0</v>
      </c>
      <c r="L29" s="415"/>
      <c r="M29" s="416"/>
      <c r="N29" s="416"/>
      <c r="O29" s="415"/>
      <c r="P29" s="416">
        <v>0</v>
      </c>
      <c r="Q29" s="111"/>
      <c r="R29" s="315" t="s">
        <v>375</v>
      </c>
    </row>
    <row r="30" spans="1:18" s="16" customFormat="1" ht="15.75">
      <c r="A30" s="931" t="s">
        <v>341</v>
      </c>
      <c r="B30" s="932"/>
      <c r="C30" s="416">
        <f aca="true" t="shared" si="4" ref="C30:K30">C29+C28+C26</f>
        <v>697</v>
      </c>
      <c r="D30" s="416">
        <f t="shared" si="4"/>
        <v>633</v>
      </c>
      <c r="E30" s="416">
        <f t="shared" si="4"/>
        <v>196184</v>
      </c>
      <c r="F30" s="420">
        <f t="shared" si="4"/>
        <v>0</v>
      </c>
      <c r="G30" s="416">
        <f t="shared" si="4"/>
        <v>0</v>
      </c>
      <c r="H30" s="416">
        <f t="shared" si="4"/>
        <v>0</v>
      </c>
      <c r="I30" s="415">
        <f t="shared" si="4"/>
        <v>0</v>
      </c>
      <c r="J30" s="416">
        <f t="shared" si="4"/>
        <v>0</v>
      </c>
      <c r="K30" s="416">
        <f t="shared" si="4"/>
        <v>0</v>
      </c>
      <c r="L30" s="415"/>
      <c r="M30" s="416">
        <f>M29+M28+M26</f>
        <v>0</v>
      </c>
      <c r="N30" s="416"/>
      <c r="O30" s="415"/>
      <c r="P30" s="416">
        <f>P29+P28+P26</f>
        <v>633</v>
      </c>
      <c r="Q30" s="111"/>
      <c r="R30" s="315" t="s">
        <v>375</v>
      </c>
    </row>
    <row r="31" spans="1:18" s="16" customFormat="1" ht="15.75">
      <c r="A31" s="10"/>
      <c r="B31" s="10"/>
      <c r="C31" s="10"/>
      <c r="D31" s="10"/>
      <c r="E31" s="10"/>
      <c r="F31" s="10"/>
      <c r="G31" s="10"/>
      <c r="H31" s="10"/>
      <c r="I31" s="10"/>
      <c r="J31" s="10"/>
      <c r="K31" s="10"/>
      <c r="L31" s="10"/>
      <c r="M31" s="10"/>
      <c r="N31" s="10"/>
      <c r="O31" s="10"/>
      <c r="P31" s="10"/>
      <c r="Q31" s="10"/>
      <c r="R31" s="315" t="s">
        <v>375</v>
      </c>
    </row>
    <row r="32" spans="1:18" s="16" customFormat="1" ht="15.75">
      <c r="A32" s="10"/>
      <c r="B32" s="10"/>
      <c r="C32" s="10"/>
      <c r="D32" s="10"/>
      <c r="E32" s="10"/>
      <c r="F32" s="10"/>
      <c r="G32" s="10"/>
      <c r="H32" s="10"/>
      <c r="I32" s="10"/>
      <c r="J32" s="10"/>
      <c r="K32" s="10"/>
      <c r="L32" s="10"/>
      <c r="M32" s="10"/>
      <c r="N32" s="10"/>
      <c r="O32" s="10"/>
      <c r="P32" s="10"/>
      <c r="Q32" s="10"/>
      <c r="R32" s="315" t="s">
        <v>375</v>
      </c>
    </row>
    <row r="33" spans="1:18" s="16" customFormat="1" ht="15.75">
      <c r="A33" s="10"/>
      <c r="B33" s="10"/>
      <c r="C33" s="10"/>
      <c r="D33" s="10"/>
      <c r="E33" s="10"/>
      <c r="F33" s="10"/>
      <c r="G33" s="10"/>
      <c r="H33" s="10"/>
      <c r="I33" s="10"/>
      <c r="J33" s="10"/>
      <c r="K33" s="10"/>
      <c r="L33" s="10"/>
      <c r="M33" s="10"/>
      <c r="N33" s="10"/>
      <c r="O33" s="10"/>
      <c r="P33" s="10"/>
      <c r="Q33" s="10"/>
      <c r="R33" s="315" t="s">
        <v>375</v>
      </c>
    </row>
    <row r="34" spans="1:18" s="16" customFormat="1" ht="15.75">
      <c r="A34" s="10"/>
      <c r="B34" s="10"/>
      <c r="C34" s="10"/>
      <c r="D34" s="10"/>
      <c r="E34" s="10"/>
      <c r="F34" s="10"/>
      <c r="G34" s="10"/>
      <c r="H34" s="10"/>
      <c r="I34" s="10"/>
      <c r="J34" s="10"/>
      <c r="K34" s="10"/>
      <c r="L34" s="10"/>
      <c r="M34" s="10"/>
      <c r="N34" s="10"/>
      <c r="O34" s="10"/>
      <c r="P34" s="10"/>
      <c r="Q34" s="10"/>
      <c r="R34" s="315" t="s">
        <v>375</v>
      </c>
    </row>
    <row r="35" spans="1:18" s="16" customFormat="1" ht="15.75">
      <c r="A35" s="10"/>
      <c r="B35" s="10"/>
      <c r="C35" s="10"/>
      <c r="D35" s="10"/>
      <c r="E35" s="10"/>
      <c r="F35" s="10"/>
      <c r="G35" s="10"/>
      <c r="H35" s="10"/>
      <c r="I35" s="10"/>
      <c r="J35" s="10"/>
      <c r="K35" s="10"/>
      <c r="L35" s="10"/>
      <c r="M35" s="10"/>
      <c r="N35" s="10"/>
      <c r="O35" s="10"/>
      <c r="P35" s="10"/>
      <c r="Q35" s="10"/>
      <c r="R35" s="315" t="s">
        <v>375</v>
      </c>
    </row>
    <row r="36" spans="1:18" s="16" customFormat="1" ht="39.75" customHeight="1">
      <c r="A36" s="889" t="s">
        <v>81</v>
      </c>
      <c r="B36" s="890"/>
      <c r="C36" s="890"/>
      <c r="D36" s="890"/>
      <c r="E36" s="890"/>
      <c r="F36" s="890"/>
      <c r="G36" s="890"/>
      <c r="H36" s="890"/>
      <c r="I36" s="890"/>
      <c r="J36" s="890"/>
      <c r="K36" s="890"/>
      <c r="L36" s="890"/>
      <c r="M36" s="890"/>
      <c r="N36" s="890"/>
      <c r="O36" s="10"/>
      <c r="P36" s="10"/>
      <c r="Q36" s="10"/>
      <c r="R36" s="315" t="s">
        <v>375</v>
      </c>
    </row>
    <row r="37" spans="1:18" s="16" customFormat="1" ht="14.25" customHeight="1">
      <c r="A37" s="88"/>
      <c r="B37" s="88"/>
      <c r="C37" s="88"/>
      <c r="D37" s="88"/>
      <c r="E37" s="88"/>
      <c r="F37" s="88"/>
      <c r="G37" s="88"/>
      <c r="H37" s="88"/>
      <c r="I37" s="88"/>
      <c r="J37" s="88"/>
      <c r="K37" s="88"/>
      <c r="L37" s="88"/>
      <c r="M37" s="88"/>
      <c r="N37" s="88"/>
      <c r="O37" s="10"/>
      <c r="P37" s="10"/>
      <c r="Q37" s="10"/>
      <c r="R37" s="315" t="s">
        <v>375</v>
      </c>
    </row>
    <row r="38" spans="1:18" s="16" customFormat="1" ht="15.75">
      <c r="A38" s="1" t="s">
        <v>82</v>
      </c>
      <c r="B38" s="10"/>
      <c r="C38" s="10"/>
      <c r="D38" s="10"/>
      <c r="E38" s="10"/>
      <c r="F38" s="10"/>
      <c r="G38" s="10"/>
      <c r="H38" s="10"/>
      <c r="I38" s="10"/>
      <c r="J38" s="10"/>
      <c r="K38" s="10"/>
      <c r="L38" s="10"/>
      <c r="M38" s="10"/>
      <c r="N38" s="10"/>
      <c r="O38" s="10"/>
      <c r="P38" s="10"/>
      <c r="Q38" s="10"/>
      <c r="R38" s="315" t="s">
        <v>55</v>
      </c>
    </row>
    <row r="39" spans="1:18" s="16" customFormat="1" ht="15.75">
      <c r="A39" s="908"/>
      <c r="B39" s="908"/>
      <c r="C39" s="908"/>
      <c r="D39" s="908"/>
      <c r="E39" s="908"/>
      <c r="F39" s="908"/>
      <c r="G39" s="908"/>
      <c r="H39" s="908"/>
      <c r="I39" s="908"/>
      <c r="J39" s="908"/>
      <c r="K39" s="908"/>
      <c r="L39" s="908"/>
      <c r="M39" s="908"/>
      <c r="N39" s="908"/>
      <c r="O39" s="908"/>
      <c r="P39" s="908"/>
      <c r="Q39" s="908"/>
      <c r="R39" s="315"/>
    </row>
    <row r="40" spans="1:18" s="16" customFormat="1" ht="15.75">
      <c r="A40" s="10"/>
      <c r="B40" s="10"/>
      <c r="C40" s="10"/>
      <c r="D40" s="10"/>
      <c r="E40" s="10"/>
      <c r="F40" s="10"/>
      <c r="G40" s="10"/>
      <c r="H40" s="10"/>
      <c r="I40" s="10"/>
      <c r="J40" s="10"/>
      <c r="K40" s="10"/>
      <c r="L40" s="10"/>
      <c r="M40" s="10"/>
      <c r="N40" s="10"/>
      <c r="O40" s="10"/>
      <c r="P40" s="10"/>
      <c r="Q40" s="10"/>
      <c r="R40" s="316"/>
    </row>
    <row r="41" spans="1:18" s="16" customFormat="1" ht="15.75">
      <c r="A41" s="326"/>
      <c r="B41" s="326"/>
      <c r="C41" s="326"/>
      <c r="D41" s="326"/>
      <c r="E41" s="326"/>
      <c r="F41" s="326"/>
      <c r="G41" s="326"/>
      <c r="H41" s="326"/>
      <c r="I41" s="9"/>
      <c r="J41" s="9"/>
      <c r="K41" s="9"/>
      <c r="L41" s="9"/>
      <c r="M41" s="9"/>
      <c r="N41" s="9"/>
      <c r="O41" s="9"/>
      <c r="P41" s="9"/>
      <c r="Q41" s="9"/>
      <c r="R41" s="316"/>
    </row>
  </sheetData>
  <mergeCells count="22">
    <mergeCell ref="A29:B29"/>
    <mergeCell ref="A30:B30"/>
    <mergeCell ref="A36:N36"/>
    <mergeCell ref="A39:Q39"/>
    <mergeCell ref="A25:B25"/>
    <mergeCell ref="A26:B26"/>
    <mergeCell ref="A27:B27"/>
    <mergeCell ref="A28:B28"/>
    <mergeCell ref="A13:B13"/>
    <mergeCell ref="A14:B14"/>
    <mergeCell ref="A20:B20"/>
    <mergeCell ref="A24:B24"/>
    <mergeCell ref="A6:Q6"/>
    <mergeCell ref="C9:E10"/>
    <mergeCell ref="F9:H10"/>
    <mergeCell ref="I9:K10"/>
    <mergeCell ref="L9:N10"/>
    <mergeCell ref="O9:Q10"/>
    <mergeCell ref="A1:D1"/>
    <mergeCell ref="A3:Q3"/>
    <mergeCell ref="A4:Q4"/>
    <mergeCell ref="A5:Q5"/>
  </mergeCells>
  <printOptions horizontalCentered="1"/>
  <pageMargins left="0.75" right="0.75" top="1" bottom="1" header="0.5" footer="0.5"/>
  <pageSetup fitToHeight="1" fitToWidth="1" horizontalDpi="600" verticalDpi="600" orientation="landscape" scale="57" r:id="rId1"/>
  <headerFooter alignWithMargins="0">
    <oddFooter>&amp;C&amp;"Times New Roman,Regular"Exhibit G:  Crosswalk of 2008 Availability&amp;RJustice Assistance</oddFooter>
  </headerFooter>
</worksheet>
</file>

<file path=xl/worksheets/sheet7.xml><?xml version="1.0" encoding="utf-8"?>
<worksheet xmlns="http://schemas.openxmlformats.org/spreadsheetml/2006/main" xmlns:r="http://schemas.openxmlformats.org/officeDocument/2006/relationships">
  <sheetPr codeName="Sheet13">
    <pageSetUpPr fitToPage="1"/>
  </sheetPr>
  <dimension ref="A1:AG19"/>
  <sheetViews>
    <sheetView showGridLines="0" showOutlineSymbols="0" zoomScale="75" zoomScaleNormal="75" workbookViewId="0" topLeftCell="A1">
      <selection activeCell="W47" sqref="W47"/>
    </sheetView>
  </sheetViews>
  <sheetFormatPr defaultColWidth="8.88671875" defaultRowHeight="15"/>
  <cols>
    <col min="1" max="1" width="4.4453125" style="41" customWidth="1"/>
    <col min="2" max="2" width="29.21484375" style="41" customWidth="1"/>
    <col min="3" max="3" width="24.21484375" style="41" customWidth="1"/>
    <col min="4" max="5" width="5.6640625" style="41" customWidth="1"/>
    <col min="6" max="6" width="9.5546875" style="41" customWidth="1"/>
    <col min="7" max="8" width="5.6640625" style="41" customWidth="1"/>
    <col min="9" max="9" width="10.4453125" style="41" bestFit="1" customWidth="1"/>
    <col min="10" max="11" width="5.6640625" style="41" customWidth="1"/>
    <col min="12" max="12" width="10.4453125" style="41" bestFit="1" customWidth="1"/>
    <col min="13" max="14" width="5.6640625" style="41" customWidth="1"/>
    <col min="15" max="15" width="10.4453125" style="41" bestFit="1" customWidth="1"/>
    <col min="16" max="16" width="1.2265625" style="309" customWidth="1"/>
    <col min="17" max="17" width="27.5546875" style="41" customWidth="1"/>
    <col min="18" max="21" width="7.6640625" style="41" customWidth="1"/>
    <col min="22" max="22" width="3.6640625" style="41" customWidth="1"/>
    <col min="23" max="25" width="7.6640625" style="41" customWidth="1"/>
    <col min="26" max="26" width="3.6640625" style="41" customWidth="1"/>
    <col min="27" max="29" width="7.6640625" style="41" customWidth="1"/>
    <col min="30" max="30" width="3.6640625" style="41" customWidth="1"/>
    <col min="31" max="33" width="7.6640625" style="41" customWidth="1"/>
    <col min="34" max="16384" width="9.6640625" style="41" customWidth="1"/>
  </cols>
  <sheetData>
    <row r="1" spans="1:22" ht="20.25">
      <c r="A1" s="715" t="s">
        <v>63</v>
      </c>
      <c r="B1" s="940"/>
      <c r="C1" s="940"/>
      <c r="D1" s="940"/>
      <c r="E1" s="940"/>
      <c r="F1" s="940"/>
      <c r="G1" s="940"/>
      <c r="H1" s="940"/>
      <c r="I1" s="940"/>
      <c r="J1" s="940"/>
      <c r="K1" s="940"/>
      <c r="L1" s="940"/>
      <c r="M1" s="940"/>
      <c r="N1" s="940"/>
      <c r="O1" s="940"/>
      <c r="P1" s="308" t="s">
        <v>375</v>
      </c>
      <c r="Q1" s="1"/>
      <c r="R1" s="1"/>
      <c r="S1" s="1"/>
      <c r="T1" s="1"/>
      <c r="U1" s="1"/>
      <c r="V1" s="1"/>
    </row>
    <row r="2" spans="1:22" ht="13.5" customHeight="1">
      <c r="A2" s="40"/>
      <c r="B2" s="1"/>
      <c r="C2" s="1"/>
      <c r="D2" s="1"/>
      <c r="E2" s="1"/>
      <c r="F2" s="1"/>
      <c r="G2" s="1"/>
      <c r="H2" s="1"/>
      <c r="I2" s="1"/>
      <c r="J2" s="1"/>
      <c r="K2" s="1"/>
      <c r="L2" s="1"/>
      <c r="M2" s="1"/>
      <c r="N2" s="1"/>
      <c r="O2" s="1"/>
      <c r="P2" s="308" t="s">
        <v>375</v>
      </c>
      <c r="Q2" s="1"/>
      <c r="R2" s="1"/>
      <c r="S2" s="1"/>
      <c r="T2" s="1"/>
      <c r="U2" s="1"/>
      <c r="V2" s="1"/>
    </row>
    <row r="3" spans="1:22" ht="18.75">
      <c r="A3" s="880" t="s">
        <v>246</v>
      </c>
      <c r="B3" s="725"/>
      <c r="C3" s="725"/>
      <c r="D3" s="725"/>
      <c r="E3" s="725"/>
      <c r="F3" s="725"/>
      <c r="G3" s="725"/>
      <c r="H3" s="725"/>
      <c r="I3" s="725"/>
      <c r="J3" s="725"/>
      <c r="K3" s="725"/>
      <c r="L3" s="725"/>
      <c r="M3" s="725"/>
      <c r="N3" s="725"/>
      <c r="O3" s="725"/>
      <c r="P3" s="308" t="s">
        <v>375</v>
      </c>
      <c r="Q3" s="1"/>
      <c r="R3" s="1"/>
      <c r="S3" s="1"/>
      <c r="T3" s="1"/>
      <c r="U3" s="1"/>
      <c r="V3" s="1"/>
    </row>
    <row r="4" spans="1:22" ht="16.5">
      <c r="A4" s="881" t="str">
        <f>+'B. Summary of Requirements '!A3</f>
        <v>Office of Justice Programs </v>
      </c>
      <c r="B4" s="722"/>
      <c r="C4" s="722"/>
      <c r="D4" s="722"/>
      <c r="E4" s="722"/>
      <c r="F4" s="722"/>
      <c r="G4" s="722"/>
      <c r="H4" s="722"/>
      <c r="I4" s="722"/>
      <c r="J4" s="722"/>
      <c r="K4" s="722"/>
      <c r="L4" s="722"/>
      <c r="M4" s="722"/>
      <c r="N4" s="722"/>
      <c r="O4" s="722"/>
      <c r="P4" s="308" t="s">
        <v>375</v>
      </c>
      <c r="Q4" s="1"/>
      <c r="R4" s="1"/>
      <c r="S4" s="1"/>
      <c r="T4" s="1"/>
      <c r="U4" s="1"/>
      <c r="V4" s="1"/>
    </row>
    <row r="5" spans="1:22" ht="16.5">
      <c r="A5" s="881" t="str">
        <f>+'B. Summary of Requirements '!A4</f>
        <v>Justice Assistance</v>
      </c>
      <c r="B5" s="725"/>
      <c r="C5" s="725"/>
      <c r="D5" s="725"/>
      <c r="E5" s="725"/>
      <c r="F5" s="725"/>
      <c r="G5" s="725"/>
      <c r="H5" s="725"/>
      <c r="I5" s="725"/>
      <c r="J5" s="725"/>
      <c r="K5" s="725"/>
      <c r="L5" s="725"/>
      <c r="M5" s="725"/>
      <c r="N5" s="725"/>
      <c r="O5" s="725"/>
      <c r="P5" s="308" t="s">
        <v>375</v>
      </c>
      <c r="Q5" s="1"/>
      <c r="R5" s="1"/>
      <c r="S5" s="1"/>
      <c r="T5" s="1"/>
      <c r="U5" s="1"/>
      <c r="V5" s="1"/>
    </row>
    <row r="6" spans="1:22" ht="15.75">
      <c r="A6" s="911" t="s">
        <v>332</v>
      </c>
      <c r="B6" s="722"/>
      <c r="C6" s="722"/>
      <c r="D6" s="722"/>
      <c r="E6" s="722"/>
      <c r="F6" s="722"/>
      <c r="G6" s="722"/>
      <c r="H6" s="722"/>
      <c r="I6" s="722"/>
      <c r="J6" s="722"/>
      <c r="K6" s="722"/>
      <c r="L6" s="722"/>
      <c r="M6" s="722"/>
      <c r="N6" s="722"/>
      <c r="O6" s="722"/>
      <c r="P6" s="308" t="s">
        <v>375</v>
      </c>
      <c r="Q6" s="1"/>
      <c r="R6" s="1"/>
      <c r="S6" s="1"/>
      <c r="T6" s="1"/>
      <c r="U6" s="1"/>
      <c r="V6" s="1"/>
    </row>
    <row r="7" spans="1:22" ht="15.75">
      <c r="A7" s="1"/>
      <c r="B7" s="1"/>
      <c r="C7" s="1"/>
      <c r="D7" s="1"/>
      <c r="E7" s="1"/>
      <c r="F7" s="1"/>
      <c r="G7" s="18"/>
      <c r="H7" s="18"/>
      <c r="I7" s="18"/>
      <c r="J7" s="1"/>
      <c r="K7" s="1"/>
      <c r="L7" s="1"/>
      <c r="M7" s="1"/>
      <c r="N7" s="1"/>
      <c r="O7" s="1"/>
      <c r="P7" s="308" t="s">
        <v>375</v>
      </c>
      <c r="Q7" s="1"/>
      <c r="R7" s="1"/>
      <c r="S7" s="1"/>
      <c r="T7" s="1"/>
      <c r="U7" s="1"/>
      <c r="V7" s="1"/>
    </row>
    <row r="8" spans="1:22" ht="15.75">
      <c r="A8" s="941" t="s">
        <v>352</v>
      </c>
      <c r="B8" s="779"/>
      <c r="C8" s="780"/>
      <c r="D8" s="942" t="s">
        <v>384</v>
      </c>
      <c r="E8" s="943"/>
      <c r="F8" s="837"/>
      <c r="G8" s="942" t="s">
        <v>126</v>
      </c>
      <c r="H8" s="943"/>
      <c r="I8" s="837"/>
      <c r="J8" s="942" t="s">
        <v>127</v>
      </c>
      <c r="K8" s="943"/>
      <c r="L8" s="837"/>
      <c r="M8" s="942" t="s">
        <v>169</v>
      </c>
      <c r="N8" s="943"/>
      <c r="O8" s="837"/>
      <c r="P8" s="308" t="s">
        <v>375</v>
      </c>
      <c r="Q8" s="1"/>
      <c r="R8" s="1"/>
      <c r="S8" s="1"/>
      <c r="T8" s="1"/>
      <c r="U8" s="1"/>
      <c r="V8" s="1"/>
    </row>
    <row r="9" spans="1:22" ht="16.5" thickBot="1">
      <c r="A9" s="784"/>
      <c r="B9" s="785"/>
      <c r="C9" s="786"/>
      <c r="D9" s="101" t="s">
        <v>355</v>
      </c>
      <c r="E9" s="101" t="s">
        <v>174</v>
      </c>
      <c r="F9" s="101" t="s">
        <v>357</v>
      </c>
      <c r="G9" s="142" t="s">
        <v>355</v>
      </c>
      <c r="H9" s="101" t="s">
        <v>174</v>
      </c>
      <c r="I9" s="101" t="s">
        <v>357</v>
      </c>
      <c r="J9" s="142" t="s">
        <v>355</v>
      </c>
      <c r="K9" s="101" t="s">
        <v>174</v>
      </c>
      <c r="L9" s="101" t="s">
        <v>357</v>
      </c>
      <c r="M9" s="142" t="s">
        <v>355</v>
      </c>
      <c r="N9" s="101" t="s">
        <v>174</v>
      </c>
      <c r="O9" s="143" t="s">
        <v>357</v>
      </c>
      <c r="P9" s="308" t="s">
        <v>375</v>
      </c>
      <c r="Q9" s="1"/>
      <c r="R9" s="1"/>
      <c r="S9" s="1"/>
      <c r="T9" s="1"/>
      <c r="U9" s="1"/>
      <c r="V9" s="1"/>
    </row>
    <row r="10" spans="1:22" ht="15.75">
      <c r="A10" s="105" t="s">
        <v>85</v>
      </c>
      <c r="B10" s="106"/>
      <c r="C10" s="107"/>
      <c r="D10" s="106">
        <v>0</v>
      </c>
      <c r="E10" s="106">
        <v>0</v>
      </c>
      <c r="F10" s="629">
        <v>1679</v>
      </c>
      <c r="G10" s="105">
        <v>0</v>
      </c>
      <c r="H10" s="106">
        <v>0</v>
      </c>
      <c r="I10" s="630">
        <v>600</v>
      </c>
      <c r="J10" s="105">
        <v>0</v>
      </c>
      <c r="K10" s="106">
        <v>0</v>
      </c>
      <c r="L10" s="630">
        <v>600</v>
      </c>
      <c r="M10" s="105">
        <f>J10-G10</f>
        <v>0</v>
      </c>
      <c r="N10" s="106">
        <f>K10-H10</f>
        <v>0</v>
      </c>
      <c r="O10" s="631">
        <f>L10-I10</f>
        <v>0</v>
      </c>
      <c r="P10" s="308" t="s">
        <v>375</v>
      </c>
      <c r="Q10" s="1"/>
      <c r="R10" s="1"/>
      <c r="S10" s="1"/>
      <c r="T10" s="1"/>
      <c r="U10" s="1"/>
      <c r="V10" s="1"/>
    </row>
    <row r="11" spans="1:22" ht="15.75">
      <c r="A11" s="427" t="s">
        <v>86</v>
      </c>
      <c r="B11" s="106"/>
      <c r="C11" s="107"/>
      <c r="D11" s="106">
        <v>0</v>
      </c>
      <c r="E11" s="106">
        <v>0</v>
      </c>
      <c r="F11" s="371">
        <v>1582</v>
      </c>
      <c r="G11" s="105">
        <v>0</v>
      </c>
      <c r="H11" s="106">
        <v>0</v>
      </c>
      <c r="I11" s="106">
        <v>1500</v>
      </c>
      <c r="J11" s="105">
        <v>0</v>
      </c>
      <c r="K11" s="106">
        <v>0</v>
      </c>
      <c r="L11" s="632">
        <v>1500</v>
      </c>
      <c r="M11" s="105">
        <v>0</v>
      </c>
      <c r="N11" s="106">
        <v>0</v>
      </c>
      <c r="O11" s="632">
        <v>0</v>
      </c>
      <c r="P11" s="565"/>
      <c r="Q11" s="1"/>
      <c r="R11" s="1"/>
      <c r="S11" s="1"/>
      <c r="T11" s="1"/>
      <c r="U11" s="1"/>
      <c r="V11" s="1"/>
    </row>
    <row r="12" spans="1:22" ht="15.75">
      <c r="A12" s="427" t="s">
        <v>84</v>
      </c>
      <c r="B12" s="106"/>
      <c r="C12" s="107"/>
      <c r="D12" s="106">
        <v>0</v>
      </c>
      <c r="E12" s="106">
        <v>0</v>
      </c>
      <c r="F12" s="371">
        <v>250</v>
      </c>
      <c r="G12" s="105">
        <v>0</v>
      </c>
      <c r="H12" s="106">
        <v>0</v>
      </c>
      <c r="I12" s="632">
        <v>0</v>
      </c>
      <c r="J12" s="105">
        <v>0</v>
      </c>
      <c r="K12" s="106">
        <v>0</v>
      </c>
      <c r="L12" s="632">
        <v>0</v>
      </c>
      <c r="M12" s="105">
        <v>0</v>
      </c>
      <c r="N12" s="106">
        <v>0</v>
      </c>
      <c r="O12" s="632">
        <v>0</v>
      </c>
      <c r="P12" s="565"/>
      <c r="Q12" s="1"/>
      <c r="R12" s="1"/>
      <c r="S12" s="1"/>
      <c r="T12" s="1"/>
      <c r="U12" s="1"/>
      <c r="V12" s="1"/>
    </row>
    <row r="13" spans="1:22" ht="15.75">
      <c r="A13" s="427" t="s">
        <v>87</v>
      </c>
      <c r="B13" s="106"/>
      <c r="C13" s="107"/>
      <c r="D13" s="106">
        <v>0</v>
      </c>
      <c r="E13" s="106">
        <v>0</v>
      </c>
      <c r="F13" s="371">
        <v>12</v>
      </c>
      <c r="G13" s="105">
        <v>0</v>
      </c>
      <c r="H13" s="106">
        <v>0</v>
      </c>
      <c r="I13" s="632">
        <v>0</v>
      </c>
      <c r="J13" s="105">
        <v>0</v>
      </c>
      <c r="K13" s="106">
        <v>0</v>
      </c>
      <c r="L13" s="632">
        <v>0</v>
      </c>
      <c r="M13" s="105">
        <v>0</v>
      </c>
      <c r="N13" s="106">
        <v>0</v>
      </c>
      <c r="O13" s="632">
        <v>0</v>
      </c>
      <c r="P13" s="565"/>
      <c r="Q13" s="1"/>
      <c r="R13" s="1"/>
      <c r="S13" s="1"/>
      <c r="T13" s="1"/>
      <c r="U13" s="1"/>
      <c r="V13" s="1"/>
    </row>
    <row r="14" spans="1:22" ht="15.75">
      <c r="A14" s="96" t="s">
        <v>88</v>
      </c>
      <c r="B14" s="106"/>
      <c r="C14" s="107"/>
      <c r="D14" s="106">
        <v>0</v>
      </c>
      <c r="E14" s="106">
        <v>0</v>
      </c>
      <c r="F14" s="371">
        <v>100</v>
      </c>
      <c r="G14" s="105">
        <v>0</v>
      </c>
      <c r="H14" s="106">
        <v>0</v>
      </c>
      <c r="I14" s="632">
        <v>0</v>
      </c>
      <c r="J14" s="105">
        <v>0</v>
      </c>
      <c r="K14" s="106">
        <v>0</v>
      </c>
      <c r="L14" s="632">
        <v>0</v>
      </c>
      <c r="M14" s="105">
        <v>0</v>
      </c>
      <c r="N14" s="106">
        <v>0</v>
      </c>
      <c r="O14" s="632">
        <v>0</v>
      </c>
      <c r="P14" s="565"/>
      <c r="Q14" s="1"/>
      <c r="R14" s="1"/>
      <c r="S14" s="1"/>
      <c r="T14" s="1"/>
      <c r="U14" s="1"/>
      <c r="V14" s="1"/>
    </row>
    <row r="15" spans="1:22" ht="15.75">
      <c r="A15" s="633" t="s">
        <v>83</v>
      </c>
      <c r="B15" s="33"/>
      <c r="C15" s="91"/>
      <c r="D15" s="424">
        <v>0</v>
      </c>
      <c r="E15" s="424">
        <v>12</v>
      </c>
      <c r="F15" s="373">
        <f>129021-112-250-1582-1679</f>
        <v>125398</v>
      </c>
      <c r="G15" s="104">
        <v>0</v>
      </c>
      <c r="H15" s="424">
        <v>12</v>
      </c>
      <c r="I15" s="424">
        <f>47705-2100+17000</f>
        <v>62605</v>
      </c>
      <c r="J15" s="104">
        <v>0</v>
      </c>
      <c r="K15" s="424">
        <v>0</v>
      </c>
      <c r="L15" s="424">
        <f>75000-2100</f>
        <v>72900</v>
      </c>
      <c r="M15" s="104">
        <f>J15-G15</f>
        <v>0</v>
      </c>
      <c r="N15" s="424">
        <f>K15-H15</f>
        <v>-12</v>
      </c>
      <c r="O15" s="424">
        <f>L15-I15</f>
        <v>10295</v>
      </c>
      <c r="P15" s="565" t="s">
        <v>375</v>
      </c>
      <c r="Q15" s="21"/>
      <c r="R15" s="21"/>
      <c r="S15" s="1"/>
      <c r="T15" s="1"/>
      <c r="U15" s="1"/>
      <c r="V15" s="1"/>
    </row>
    <row r="16" spans="1:22" ht="15.75">
      <c r="A16" s="96"/>
      <c r="B16" s="2"/>
      <c r="C16" s="90"/>
      <c r="D16" s="21"/>
      <c r="E16" s="21"/>
      <c r="F16" s="21"/>
      <c r="G16" s="97"/>
      <c r="H16" s="21"/>
      <c r="I16" s="21"/>
      <c r="J16" s="97"/>
      <c r="K16" s="21"/>
      <c r="L16" s="21"/>
      <c r="M16" s="97"/>
      <c r="N16" s="21"/>
      <c r="O16" s="92"/>
      <c r="P16" s="308" t="s">
        <v>375</v>
      </c>
      <c r="Q16" s="1"/>
      <c r="R16" s="1"/>
      <c r="S16" s="1"/>
      <c r="T16" s="1"/>
      <c r="U16" s="1"/>
      <c r="V16" s="1"/>
    </row>
    <row r="17" spans="1:22" ht="15.75">
      <c r="A17" s="98"/>
      <c r="B17" s="93" t="s">
        <v>353</v>
      </c>
      <c r="C17" s="103"/>
      <c r="D17" s="426">
        <f>SUM(D10:D16)</f>
        <v>0</v>
      </c>
      <c r="E17" s="426">
        <f>SUM(E10:E16)</f>
        <v>12</v>
      </c>
      <c r="F17" s="94">
        <f>SUM(F10:F16)</f>
        <v>129021</v>
      </c>
      <c r="G17" s="425">
        <f>SUM(G10:G16)</f>
        <v>0</v>
      </c>
      <c r="H17" s="426">
        <f>SUM(H10:H16)</f>
        <v>12</v>
      </c>
      <c r="I17" s="426">
        <f>SUM(I10:I16)</f>
        <v>64705</v>
      </c>
      <c r="J17" s="425">
        <f aca="true" t="shared" si="0" ref="J17:O17">SUM(J10:J16)</f>
        <v>0</v>
      </c>
      <c r="K17" s="426">
        <f t="shared" si="0"/>
        <v>0</v>
      </c>
      <c r="L17" s="426">
        <f t="shared" si="0"/>
        <v>75000</v>
      </c>
      <c r="M17" s="425">
        <f t="shared" si="0"/>
        <v>0</v>
      </c>
      <c r="N17" s="426">
        <f t="shared" si="0"/>
        <v>-12</v>
      </c>
      <c r="O17" s="103">
        <f t="shared" si="0"/>
        <v>10295</v>
      </c>
      <c r="P17" s="308" t="s">
        <v>55</v>
      </c>
      <c r="Q17" s="1"/>
      <c r="R17" s="1"/>
      <c r="S17" s="1"/>
      <c r="T17" s="1"/>
      <c r="U17" s="1"/>
      <c r="V17" s="1"/>
    </row>
    <row r="18" spans="1:22" ht="15.75">
      <c r="A18" s="1"/>
      <c r="B18" s="1"/>
      <c r="C18" s="1"/>
      <c r="D18" s="1"/>
      <c r="E18" s="1"/>
      <c r="F18" s="1"/>
      <c r="G18" s="1"/>
      <c r="H18" s="1"/>
      <c r="I18" s="1"/>
      <c r="J18" s="1"/>
      <c r="K18" s="1"/>
      <c r="L18" s="1"/>
      <c r="M18" s="1"/>
      <c r="N18" s="1"/>
      <c r="O18" s="1"/>
      <c r="P18" s="308"/>
      <c r="Q18" s="1"/>
      <c r="R18" s="1"/>
      <c r="S18" s="1"/>
      <c r="T18" s="1"/>
      <c r="U18" s="1"/>
      <c r="V18" s="1"/>
    </row>
    <row r="19" spans="1:33" ht="15.75">
      <c r="A19" s="879"/>
      <c r="B19" s="828"/>
      <c r="C19" s="828"/>
      <c r="D19" s="828"/>
      <c r="E19" s="828"/>
      <c r="F19" s="828"/>
      <c r="G19" s="828"/>
      <c r="H19" s="828"/>
      <c r="I19" s="828"/>
      <c r="J19" s="828"/>
      <c r="K19" s="828"/>
      <c r="L19" s="828"/>
      <c r="M19" s="828"/>
      <c r="N19" s="828"/>
      <c r="O19" s="939"/>
      <c r="P19" s="308"/>
      <c r="Q19" s="42"/>
      <c r="R19" s="42"/>
      <c r="S19" s="42"/>
      <c r="T19" s="42"/>
      <c r="U19" s="42"/>
      <c r="V19" s="42"/>
      <c r="W19" s="42"/>
      <c r="X19" s="42"/>
      <c r="Y19" s="42"/>
      <c r="Z19" s="42"/>
      <c r="AA19" s="42"/>
      <c r="AB19" s="42"/>
      <c r="AC19" s="42"/>
      <c r="AD19" s="42"/>
      <c r="AE19" s="42"/>
      <c r="AF19" s="42"/>
      <c r="AG19" s="42"/>
    </row>
  </sheetData>
  <mergeCells count="11">
    <mergeCell ref="D8:F8"/>
    <mergeCell ref="A6:O6"/>
    <mergeCell ref="A19:O19"/>
    <mergeCell ref="A1:O1"/>
    <mergeCell ref="A3:O3"/>
    <mergeCell ref="A4:O4"/>
    <mergeCell ref="A5:O5"/>
    <mergeCell ref="A8:C9"/>
    <mergeCell ref="M8:O8"/>
    <mergeCell ref="J8:L8"/>
    <mergeCell ref="G8:I8"/>
  </mergeCells>
  <printOptions horizontalCentered="1"/>
  <pageMargins left="1" right="1" top="0.5" bottom="0.55" header="0" footer="0"/>
  <pageSetup fitToHeight="1" fitToWidth="1" horizontalDpi="300" verticalDpi="300" orientation="landscape" scale="66" r:id="rId1"/>
  <headerFooter alignWithMargins="0">
    <oddFooter>&amp;C&amp;"Times New Roman,Regular"Exhibit H - Summary of Reimbursable Resources&amp;RJustice Assistance</oddFooter>
  </headerFooter>
</worksheet>
</file>

<file path=xl/worksheets/sheet8.xml><?xml version="1.0" encoding="utf-8"?>
<worksheet xmlns="http://schemas.openxmlformats.org/spreadsheetml/2006/main" xmlns:r="http://schemas.openxmlformats.org/officeDocument/2006/relationships">
  <sheetPr codeName="Sheet14">
    <pageSetUpPr fitToPage="1"/>
  </sheetPr>
  <dimension ref="A1:N35"/>
  <sheetViews>
    <sheetView zoomScale="75" zoomScaleNormal="75" workbookViewId="0" topLeftCell="A1">
      <pane xSplit="2" ySplit="11" topLeftCell="C12" activePane="bottomRight" state="frozen"/>
      <selection pane="topLeft" activeCell="W47" sqref="W47"/>
      <selection pane="topRight" activeCell="W47" sqref="W47"/>
      <selection pane="bottomLeft" activeCell="W47" sqref="W47"/>
      <selection pane="bottomRight" activeCell="W47" sqref="W47"/>
    </sheetView>
  </sheetViews>
  <sheetFormatPr defaultColWidth="8.88671875" defaultRowHeight="15"/>
  <cols>
    <col min="1" max="1" width="21.6640625" style="23" customWidth="1"/>
    <col min="2" max="2" width="15.21484375" style="23" customWidth="1"/>
    <col min="3" max="3" width="10.77734375" style="23" customWidth="1"/>
    <col min="4" max="4" width="12.6640625" style="23" customWidth="1"/>
    <col min="5" max="5" width="10.88671875" style="23" customWidth="1"/>
    <col min="6" max="6" width="12.5546875" style="23" customWidth="1"/>
    <col min="7" max="7" width="9.77734375" style="23" customWidth="1"/>
    <col min="8" max="8" width="11.99609375" style="23" customWidth="1"/>
    <col min="9" max="9" width="9.77734375" style="23" hidden="1" customWidth="1"/>
    <col min="10" max="11" width="9.77734375" style="23" customWidth="1"/>
    <col min="12" max="12" width="10.3359375" style="23" customWidth="1"/>
    <col min="13" max="13" width="12.99609375" style="23" customWidth="1"/>
    <col min="14" max="14" width="1.1171875" style="313" customWidth="1"/>
    <col min="15" max="16384" width="8.88671875" style="23" customWidth="1"/>
  </cols>
  <sheetData>
    <row r="1" spans="1:14" ht="15.75">
      <c r="A1" s="944" t="s">
        <v>62</v>
      </c>
      <c r="B1" s="945"/>
      <c r="C1" s="945"/>
      <c r="D1" s="945"/>
      <c r="E1" s="945"/>
      <c r="F1" s="945"/>
      <c r="G1" s="945"/>
      <c r="H1" s="945"/>
      <c r="I1" s="945"/>
      <c r="J1" s="945"/>
      <c r="K1" s="945"/>
      <c r="L1" s="945"/>
      <c r="M1" s="946"/>
      <c r="N1" s="313" t="s">
        <v>375</v>
      </c>
    </row>
    <row r="2" spans="1:14" ht="20.25">
      <c r="A2" s="40"/>
      <c r="N2" s="313" t="s">
        <v>375</v>
      </c>
    </row>
    <row r="3" spans="1:14" ht="12" customHeight="1">
      <c r="A3" s="40"/>
      <c r="N3" s="313" t="s">
        <v>375</v>
      </c>
    </row>
    <row r="4" spans="1:14" ht="18.75">
      <c r="A4" s="880" t="s">
        <v>175</v>
      </c>
      <c r="B4" s="722"/>
      <c r="C4" s="722"/>
      <c r="D4" s="722"/>
      <c r="E4" s="722"/>
      <c r="F4" s="722"/>
      <c r="G4" s="722"/>
      <c r="H4" s="722"/>
      <c r="I4" s="722"/>
      <c r="J4" s="722"/>
      <c r="K4" s="722"/>
      <c r="L4" s="722"/>
      <c r="M4" s="817"/>
      <c r="N4" s="313" t="s">
        <v>375</v>
      </c>
    </row>
    <row r="5" spans="1:14" ht="16.5">
      <c r="A5" s="881" t="str">
        <f>+'B. Summary of Requirements '!A3</f>
        <v>Office of Justice Programs </v>
      </c>
      <c r="B5" s="722"/>
      <c r="C5" s="722"/>
      <c r="D5" s="722"/>
      <c r="E5" s="722"/>
      <c r="F5" s="722"/>
      <c r="G5" s="722"/>
      <c r="H5" s="722"/>
      <c r="I5" s="722"/>
      <c r="J5" s="722"/>
      <c r="K5" s="722"/>
      <c r="L5" s="722"/>
      <c r="M5" s="817"/>
      <c r="N5" s="313" t="s">
        <v>375</v>
      </c>
    </row>
    <row r="6" spans="1:14" ht="16.5">
      <c r="A6" s="947" t="str">
        <f>+'B. Summary of Requirements '!A4</f>
        <v>Justice Assistance</v>
      </c>
      <c r="B6" s="948"/>
      <c r="C6" s="948"/>
      <c r="D6" s="948"/>
      <c r="E6" s="948"/>
      <c r="F6" s="948"/>
      <c r="G6" s="948"/>
      <c r="H6" s="948"/>
      <c r="I6" s="948"/>
      <c r="J6" s="948"/>
      <c r="K6" s="948"/>
      <c r="L6" s="948"/>
      <c r="M6" s="949"/>
      <c r="N6" s="313" t="s">
        <v>375</v>
      </c>
    </row>
    <row r="7" ht="15">
      <c r="N7" s="313" t="s">
        <v>375</v>
      </c>
    </row>
    <row r="8" spans="1:14" ht="15">
      <c r="A8" s="24"/>
      <c r="B8" s="24"/>
      <c r="C8" s="24"/>
      <c r="D8" s="24"/>
      <c r="E8" s="24"/>
      <c r="F8" s="24"/>
      <c r="G8" s="24"/>
      <c r="H8" s="24"/>
      <c r="I8" s="24"/>
      <c r="J8" s="24"/>
      <c r="K8" s="24"/>
      <c r="L8" s="24"/>
      <c r="M8" s="24"/>
      <c r="N8" s="313" t="s">
        <v>375</v>
      </c>
    </row>
    <row r="9" spans="1:14" ht="40.5" customHeight="1">
      <c r="A9" s="975" t="s">
        <v>176</v>
      </c>
      <c r="B9" s="976"/>
      <c r="C9" s="981" t="s">
        <v>350</v>
      </c>
      <c r="D9" s="982"/>
      <c r="E9" s="981" t="s">
        <v>297</v>
      </c>
      <c r="F9" s="982"/>
      <c r="G9" s="970" t="s">
        <v>127</v>
      </c>
      <c r="H9" s="971"/>
      <c r="I9" s="971"/>
      <c r="J9" s="971"/>
      <c r="K9" s="971"/>
      <c r="L9" s="971"/>
      <c r="M9" s="972"/>
      <c r="N9" s="405" t="s">
        <v>375</v>
      </c>
    </row>
    <row r="10" spans="1:14" ht="15.75">
      <c r="A10" s="977"/>
      <c r="B10" s="978"/>
      <c r="C10" s="968" t="s">
        <v>58</v>
      </c>
      <c r="D10" s="973" t="s">
        <v>59</v>
      </c>
      <c r="E10" s="968" t="s">
        <v>58</v>
      </c>
      <c r="F10" s="973" t="s">
        <v>59</v>
      </c>
      <c r="G10" s="559"/>
      <c r="H10" s="966" t="s">
        <v>294</v>
      </c>
      <c r="I10" s="560" t="s">
        <v>177</v>
      </c>
      <c r="J10" s="966" t="s">
        <v>56</v>
      </c>
      <c r="K10" s="966" t="s">
        <v>57</v>
      </c>
      <c r="L10" s="958" t="s">
        <v>58</v>
      </c>
      <c r="M10" s="956" t="s">
        <v>59</v>
      </c>
      <c r="N10" s="313" t="s">
        <v>375</v>
      </c>
    </row>
    <row r="11" spans="1:14" ht="27" customHeight="1">
      <c r="A11" s="979"/>
      <c r="B11" s="980"/>
      <c r="C11" s="969"/>
      <c r="D11" s="974"/>
      <c r="E11" s="969"/>
      <c r="F11" s="974"/>
      <c r="G11" s="561" t="s">
        <v>18</v>
      </c>
      <c r="H11" s="967"/>
      <c r="I11" s="562" t="s">
        <v>367</v>
      </c>
      <c r="J11" s="967"/>
      <c r="K11" s="967"/>
      <c r="L11" s="959"/>
      <c r="M11" s="957"/>
      <c r="N11" s="313" t="s">
        <v>375</v>
      </c>
    </row>
    <row r="12" spans="1:14" ht="15.75">
      <c r="A12" s="538" t="s">
        <v>362</v>
      </c>
      <c r="B12" s="539"/>
      <c r="C12" s="540">
        <v>24</v>
      </c>
      <c r="D12" s="540">
        <v>0</v>
      </c>
      <c r="E12" s="540">
        <v>24</v>
      </c>
      <c r="F12" s="540">
        <v>0</v>
      </c>
      <c r="G12" s="540">
        <v>0</v>
      </c>
      <c r="H12" s="540">
        <v>0</v>
      </c>
      <c r="I12" s="540"/>
      <c r="J12" s="540">
        <v>0</v>
      </c>
      <c r="K12" s="540">
        <f aca="true" t="shared" si="0" ref="K12:K27">H12+J12</f>
        <v>0</v>
      </c>
      <c r="L12" s="540">
        <f aca="true" t="shared" si="1" ref="L12:L24">E12+G12+K12</f>
        <v>24</v>
      </c>
      <c r="M12" s="545">
        <v>0</v>
      </c>
      <c r="N12" s="313" t="s">
        <v>375</v>
      </c>
    </row>
    <row r="13" spans="1:14" ht="15.75">
      <c r="A13" s="538" t="s">
        <v>363</v>
      </c>
      <c r="B13" s="539"/>
      <c r="C13" s="540">
        <f>308-70-10</f>
        <v>228</v>
      </c>
      <c r="D13" s="540">
        <v>0</v>
      </c>
      <c r="E13" s="540">
        <v>238</v>
      </c>
      <c r="F13" s="540">
        <v>0</v>
      </c>
      <c r="G13" s="540">
        <v>0</v>
      </c>
      <c r="H13" s="540">
        <v>114</v>
      </c>
      <c r="I13" s="540"/>
      <c r="J13" s="540">
        <v>0</v>
      </c>
      <c r="K13" s="540">
        <f t="shared" si="0"/>
        <v>114</v>
      </c>
      <c r="L13" s="540">
        <f t="shared" si="1"/>
        <v>352</v>
      </c>
      <c r="M13" s="545">
        <v>0</v>
      </c>
      <c r="N13" s="313" t="s">
        <v>375</v>
      </c>
    </row>
    <row r="14" spans="1:14" ht="15.75">
      <c r="A14" s="538" t="s">
        <v>364</v>
      </c>
      <c r="B14" s="539"/>
      <c r="C14" s="540">
        <v>110</v>
      </c>
      <c r="D14" s="540">
        <v>10</v>
      </c>
      <c r="E14" s="540">
        <v>113</v>
      </c>
      <c r="F14" s="540">
        <v>10</v>
      </c>
      <c r="G14" s="540">
        <v>10</v>
      </c>
      <c r="H14" s="540">
        <v>19</v>
      </c>
      <c r="I14" s="540"/>
      <c r="J14" s="540">
        <v>0</v>
      </c>
      <c r="K14" s="540">
        <f t="shared" si="0"/>
        <v>19</v>
      </c>
      <c r="L14" s="540">
        <f t="shared" si="1"/>
        <v>142</v>
      </c>
      <c r="M14" s="545">
        <v>0</v>
      </c>
      <c r="N14" s="313" t="s">
        <v>375</v>
      </c>
    </row>
    <row r="15" spans="1:14" ht="15.75">
      <c r="A15" s="538" t="s">
        <v>254</v>
      </c>
      <c r="B15" s="539"/>
      <c r="C15" s="540">
        <v>29</v>
      </c>
      <c r="D15" s="540">
        <v>0</v>
      </c>
      <c r="E15" s="540">
        <v>29</v>
      </c>
      <c r="F15" s="540">
        <v>0</v>
      </c>
      <c r="G15" s="540">
        <v>0</v>
      </c>
      <c r="H15" s="540">
        <v>11</v>
      </c>
      <c r="I15" s="540"/>
      <c r="J15" s="540">
        <v>0</v>
      </c>
      <c r="K15" s="540">
        <f t="shared" si="0"/>
        <v>11</v>
      </c>
      <c r="L15" s="540">
        <f t="shared" si="1"/>
        <v>40</v>
      </c>
      <c r="M15" s="545">
        <v>0</v>
      </c>
      <c r="N15" s="313" t="s">
        <v>375</v>
      </c>
    </row>
    <row r="16" spans="1:14" ht="15.75">
      <c r="A16" s="541" t="s">
        <v>255</v>
      </c>
      <c r="B16" s="539"/>
      <c r="C16" s="540">
        <v>7</v>
      </c>
      <c r="D16" s="540">
        <v>0</v>
      </c>
      <c r="E16" s="540">
        <v>7</v>
      </c>
      <c r="F16" s="540">
        <v>0</v>
      </c>
      <c r="G16" s="540">
        <v>0</v>
      </c>
      <c r="H16" s="540">
        <v>0</v>
      </c>
      <c r="I16" s="540"/>
      <c r="J16" s="540">
        <v>0</v>
      </c>
      <c r="K16" s="540">
        <f t="shared" si="0"/>
        <v>0</v>
      </c>
      <c r="L16" s="540">
        <f t="shared" si="1"/>
        <v>7</v>
      </c>
      <c r="M16" s="545">
        <v>0</v>
      </c>
      <c r="N16" s="313" t="s">
        <v>375</v>
      </c>
    </row>
    <row r="17" spans="1:14" ht="15.75">
      <c r="A17" s="538" t="s">
        <v>256</v>
      </c>
      <c r="B17" s="539"/>
      <c r="C17" s="540">
        <v>30</v>
      </c>
      <c r="D17" s="540">
        <v>0</v>
      </c>
      <c r="E17" s="540">
        <v>30</v>
      </c>
      <c r="F17" s="540">
        <v>0</v>
      </c>
      <c r="G17" s="540">
        <v>0</v>
      </c>
      <c r="H17" s="540">
        <v>4</v>
      </c>
      <c r="I17" s="540"/>
      <c r="J17" s="540">
        <v>0</v>
      </c>
      <c r="K17" s="540">
        <f t="shared" si="0"/>
        <v>4</v>
      </c>
      <c r="L17" s="540">
        <f t="shared" si="1"/>
        <v>34</v>
      </c>
      <c r="M17" s="545">
        <v>0</v>
      </c>
      <c r="N17" s="313" t="s">
        <v>375</v>
      </c>
    </row>
    <row r="18" spans="1:14" ht="15.75">
      <c r="A18" s="538" t="s">
        <v>257</v>
      </c>
      <c r="B18" s="539"/>
      <c r="C18" s="540">
        <f>96-10</f>
        <v>86</v>
      </c>
      <c r="D18" s="540">
        <v>0</v>
      </c>
      <c r="E18" s="540">
        <v>98</v>
      </c>
      <c r="F18" s="540">
        <v>0</v>
      </c>
      <c r="G18" s="540">
        <v>0</v>
      </c>
      <c r="H18" s="540">
        <v>0</v>
      </c>
      <c r="I18" s="540"/>
      <c r="J18" s="540">
        <v>0</v>
      </c>
      <c r="K18" s="540">
        <f t="shared" si="0"/>
        <v>0</v>
      </c>
      <c r="L18" s="540">
        <f t="shared" si="1"/>
        <v>98</v>
      </c>
      <c r="M18" s="545">
        <v>0</v>
      </c>
      <c r="N18" s="313" t="s">
        <v>375</v>
      </c>
    </row>
    <row r="19" spans="1:14" ht="15.75">
      <c r="A19" s="538" t="s">
        <v>258</v>
      </c>
      <c r="B19" s="539"/>
      <c r="C19" s="540">
        <v>1</v>
      </c>
      <c r="D19" s="540">
        <v>0</v>
      </c>
      <c r="E19" s="540">
        <v>1</v>
      </c>
      <c r="F19" s="540">
        <v>0</v>
      </c>
      <c r="G19" s="540">
        <v>0</v>
      </c>
      <c r="H19" s="540">
        <v>0</v>
      </c>
      <c r="I19" s="540"/>
      <c r="J19" s="540">
        <v>0</v>
      </c>
      <c r="K19" s="540">
        <f t="shared" si="0"/>
        <v>0</v>
      </c>
      <c r="L19" s="540">
        <f t="shared" si="1"/>
        <v>1</v>
      </c>
      <c r="M19" s="545">
        <v>0</v>
      </c>
      <c r="N19" s="313" t="s">
        <v>375</v>
      </c>
    </row>
    <row r="20" spans="1:14" ht="15.75">
      <c r="A20" s="538" t="s">
        <v>259</v>
      </c>
      <c r="B20" s="539"/>
      <c r="C20" s="540">
        <v>1</v>
      </c>
      <c r="D20" s="540">
        <v>0</v>
      </c>
      <c r="E20" s="540">
        <v>1</v>
      </c>
      <c r="F20" s="540">
        <v>0</v>
      </c>
      <c r="G20" s="540">
        <v>0</v>
      </c>
      <c r="H20" s="540">
        <v>0</v>
      </c>
      <c r="I20" s="540"/>
      <c r="J20" s="540">
        <v>0</v>
      </c>
      <c r="K20" s="540">
        <f t="shared" si="0"/>
        <v>0</v>
      </c>
      <c r="L20" s="540">
        <f t="shared" si="1"/>
        <v>1</v>
      </c>
      <c r="M20" s="545">
        <v>0</v>
      </c>
      <c r="N20" s="313" t="s">
        <v>375</v>
      </c>
    </row>
    <row r="21" spans="1:14" ht="15.75">
      <c r="A21" s="542" t="s">
        <v>286</v>
      </c>
      <c r="B21" s="539"/>
      <c r="C21" s="540">
        <v>38</v>
      </c>
      <c r="D21" s="540">
        <v>0</v>
      </c>
      <c r="E21" s="540">
        <v>38</v>
      </c>
      <c r="F21" s="540">
        <v>0</v>
      </c>
      <c r="G21" s="540">
        <v>0</v>
      </c>
      <c r="H21" s="540">
        <v>0</v>
      </c>
      <c r="I21" s="540"/>
      <c r="J21" s="540">
        <v>0</v>
      </c>
      <c r="K21" s="540">
        <f t="shared" si="0"/>
        <v>0</v>
      </c>
      <c r="L21" s="540">
        <f t="shared" si="1"/>
        <v>38</v>
      </c>
      <c r="M21" s="545">
        <v>0</v>
      </c>
      <c r="N21" s="313" t="s">
        <v>375</v>
      </c>
    </row>
    <row r="22" spans="1:14" ht="15.75">
      <c r="A22" s="538" t="s">
        <v>287</v>
      </c>
      <c r="B22" s="539"/>
      <c r="C22" s="540">
        <v>5</v>
      </c>
      <c r="D22" s="540">
        <v>0</v>
      </c>
      <c r="E22" s="540">
        <v>5</v>
      </c>
      <c r="F22" s="540">
        <v>0</v>
      </c>
      <c r="G22" s="540">
        <v>0</v>
      </c>
      <c r="H22" s="540">
        <v>0</v>
      </c>
      <c r="I22" s="540"/>
      <c r="J22" s="540">
        <v>0</v>
      </c>
      <c r="K22" s="540">
        <f t="shared" si="0"/>
        <v>0</v>
      </c>
      <c r="L22" s="540">
        <f t="shared" si="1"/>
        <v>5</v>
      </c>
      <c r="M22" s="545">
        <v>0</v>
      </c>
      <c r="N22" s="313" t="s">
        <v>375</v>
      </c>
    </row>
    <row r="23" spans="1:14" ht="15.75">
      <c r="A23" s="538" t="s">
        <v>260</v>
      </c>
      <c r="B23" s="539"/>
      <c r="C23" s="540">
        <v>3</v>
      </c>
      <c r="D23" s="540">
        <v>0</v>
      </c>
      <c r="E23" s="540">
        <v>3</v>
      </c>
      <c r="F23" s="540">
        <v>0</v>
      </c>
      <c r="G23" s="540">
        <v>0</v>
      </c>
      <c r="H23" s="540">
        <v>0</v>
      </c>
      <c r="I23" s="540"/>
      <c r="J23" s="540">
        <v>0</v>
      </c>
      <c r="K23" s="540">
        <f t="shared" si="0"/>
        <v>0</v>
      </c>
      <c r="L23" s="540">
        <f t="shared" si="1"/>
        <v>3</v>
      </c>
      <c r="M23" s="545">
        <v>0</v>
      </c>
      <c r="N23" s="313" t="s">
        <v>375</v>
      </c>
    </row>
    <row r="24" spans="1:14" ht="15.75">
      <c r="A24" s="538" t="s">
        <v>288</v>
      </c>
      <c r="B24" s="539"/>
      <c r="C24" s="540">
        <f>65-3</f>
        <v>62</v>
      </c>
      <c r="D24" s="540">
        <v>0</v>
      </c>
      <c r="E24" s="540">
        <f>65-3</f>
        <v>62</v>
      </c>
      <c r="F24" s="540">
        <v>0</v>
      </c>
      <c r="G24" s="540">
        <v>0</v>
      </c>
      <c r="H24" s="540">
        <v>14</v>
      </c>
      <c r="I24" s="540"/>
      <c r="J24" s="540">
        <v>0</v>
      </c>
      <c r="K24" s="540">
        <f t="shared" si="0"/>
        <v>14</v>
      </c>
      <c r="L24" s="540">
        <f t="shared" si="1"/>
        <v>76</v>
      </c>
      <c r="M24" s="545">
        <v>0</v>
      </c>
      <c r="N24" s="313" t="s">
        <v>375</v>
      </c>
    </row>
    <row r="25" spans="1:14" ht="15.75">
      <c r="A25" s="538" t="s">
        <v>265</v>
      </c>
      <c r="B25" s="539"/>
      <c r="C25" s="540">
        <v>32</v>
      </c>
      <c r="D25" s="540">
        <v>2</v>
      </c>
      <c r="E25" s="540">
        <v>32</v>
      </c>
      <c r="F25" s="540">
        <v>2</v>
      </c>
      <c r="G25" s="540">
        <v>2</v>
      </c>
      <c r="H25" s="540">
        <v>4</v>
      </c>
      <c r="I25" s="540"/>
      <c r="J25" s="540">
        <v>0</v>
      </c>
      <c r="K25" s="540">
        <f t="shared" si="0"/>
        <v>4</v>
      </c>
      <c r="L25" s="540">
        <f>E25+G25+K25</f>
        <v>38</v>
      </c>
      <c r="M25" s="545">
        <v>0</v>
      </c>
      <c r="N25" s="313" t="s">
        <v>375</v>
      </c>
    </row>
    <row r="26" spans="1:13" ht="15.75">
      <c r="A26" s="538" t="s">
        <v>289</v>
      </c>
      <c r="B26" s="539"/>
      <c r="C26" s="540">
        <v>3</v>
      </c>
      <c r="D26" s="543">
        <v>0</v>
      </c>
      <c r="E26" s="540">
        <v>3</v>
      </c>
      <c r="F26" s="543">
        <v>0</v>
      </c>
      <c r="G26" s="543">
        <v>0</v>
      </c>
      <c r="H26" s="543">
        <v>0</v>
      </c>
      <c r="I26" s="543"/>
      <c r="J26" s="543">
        <v>0</v>
      </c>
      <c r="K26" s="543">
        <f t="shared" si="0"/>
        <v>0</v>
      </c>
      <c r="L26" s="540">
        <f>E26+G26+K26</f>
        <v>3</v>
      </c>
      <c r="M26" s="546">
        <v>0</v>
      </c>
    </row>
    <row r="27" spans="1:13" ht="15.75">
      <c r="A27" s="538" t="s">
        <v>261</v>
      </c>
      <c r="B27" s="539"/>
      <c r="C27" s="540">
        <v>1</v>
      </c>
      <c r="D27" s="543">
        <v>0</v>
      </c>
      <c r="E27" s="540">
        <v>1</v>
      </c>
      <c r="F27" s="543">
        <v>0</v>
      </c>
      <c r="G27" s="543">
        <v>0</v>
      </c>
      <c r="H27" s="543">
        <v>0</v>
      </c>
      <c r="I27" s="543"/>
      <c r="J27" s="543">
        <v>0</v>
      </c>
      <c r="K27" s="543">
        <f t="shared" si="0"/>
        <v>0</v>
      </c>
      <c r="L27" s="540">
        <f>E27+G27+K27</f>
        <v>1</v>
      </c>
      <c r="M27" s="546">
        <v>0</v>
      </c>
    </row>
    <row r="28" spans="1:14" ht="16.5" thickBot="1">
      <c r="A28" s="962" t="s">
        <v>171</v>
      </c>
      <c r="B28" s="963"/>
      <c r="C28" s="499">
        <f aca="true" t="shared" si="2" ref="C28:H28">SUM(C12:C27)</f>
        <v>660</v>
      </c>
      <c r="D28" s="544">
        <f t="shared" si="2"/>
        <v>12</v>
      </c>
      <c r="E28" s="547">
        <f t="shared" si="2"/>
        <v>685</v>
      </c>
      <c r="F28" s="544">
        <f t="shared" si="2"/>
        <v>12</v>
      </c>
      <c r="G28" s="547">
        <f t="shared" si="2"/>
        <v>12</v>
      </c>
      <c r="H28" s="544">
        <f t="shared" si="2"/>
        <v>166</v>
      </c>
      <c r="I28" s="544">
        <f>SUM(I24:I27)</f>
        <v>0</v>
      </c>
      <c r="J28" s="544">
        <f>SUM(J12:J27)</f>
        <v>0</v>
      </c>
      <c r="K28" s="544">
        <f>SUM(K12:K27)</f>
        <v>166</v>
      </c>
      <c r="L28" s="548">
        <f>SUM(L12:L27)</f>
        <v>863</v>
      </c>
      <c r="M28" s="547">
        <v>0</v>
      </c>
      <c r="N28" s="313" t="s">
        <v>375</v>
      </c>
    </row>
    <row r="29" spans="1:14" ht="18.75">
      <c r="A29" s="960" t="s">
        <v>342</v>
      </c>
      <c r="B29" s="961"/>
      <c r="C29" s="551">
        <v>660</v>
      </c>
      <c r="D29" s="551">
        <v>12</v>
      </c>
      <c r="E29" s="552">
        <v>685</v>
      </c>
      <c r="F29" s="551">
        <v>12</v>
      </c>
      <c r="G29" s="552">
        <v>12</v>
      </c>
      <c r="H29" s="551">
        <v>166</v>
      </c>
      <c r="I29" s="551"/>
      <c r="J29" s="553">
        <v>0</v>
      </c>
      <c r="K29" s="554">
        <v>166</v>
      </c>
      <c r="L29" s="555">
        <f>E29+G29+K29</f>
        <v>863</v>
      </c>
      <c r="M29" s="549">
        <v>0</v>
      </c>
      <c r="N29" s="313" t="s">
        <v>375</v>
      </c>
    </row>
    <row r="30" spans="1:14" ht="18.75">
      <c r="A30" s="952" t="s">
        <v>365</v>
      </c>
      <c r="B30" s="953"/>
      <c r="C30" s="553">
        <v>0</v>
      </c>
      <c r="D30" s="553">
        <v>0</v>
      </c>
      <c r="E30" s="556">
        <v>0</v>
      </c>
      <c r="F30" s="553">
        <v>0</v>
      </c>
      <c r="G30" s="556">
        <v>0</v>
      </c>
      <c r="H30" s="553">
        <v>0</v>
      </c>
      <c r="I30" s="553"/>
      <c r="J30" s="553">
        <v>0</v>
      </c>
      <c r="K30" s="554">
        <f>H30+J30</f>
        <v>0</v>
      </c>
      <c r="L30" s="555">
        <f>E30+G30+K30</f>
        <v>0</v>
      </c>
      <c r="M30" s="549">
        <v>0</v>
      </c>
      <c r="N30" s="313" t="s">
        <v>375</v>
      </c>
    </row>
    <row r="31" spans="1:14" ht="18.75">
      <c r="A31" s="950" t="s">
        <v>366</v>
      </c>
      <c r="B31" s="951"/>
      <c r="C31" s="553">
        <v>0</v>
      </c>
      <c r="D31" s="553">
        <v>0</v>
      </c>
      <c r="E31" s="556">
        <v>0</v>
      </c>
      <c r="F31" s="553">
        <v>0</v>
      </c>
      <c r="G31" s="556">
        <v>0</v>
      </c>
      <c r="H31" s="553">
        <v>0</v>
      </c>
      <c r="I31" s="553"/>
      <c r="J31" s="553">
        <v>0</v>
      </c>
      <c r="K31" s="554">
        <f>H31+J31</f>
        <v>0</v>
      </c>
      <c r="L31" s="555">
        <f>E31+G31+K31</f>
        <v>0</v>
      </c>
      <c r="M31" s="549">
        <v>0</v>
      </c>
      <c r="N31" s="313" t="s">
        <v>375</v>
      </c>
    </row>
    <row r="32" spans="1:14" s="25" customFormat="1" ht="18.75">
      <c r="A32" s="964" t="s">
        <v>171</v>
      </c>
      <c r="B32" s="965"/>
      <c r="C32" s="557">
        <f>SUM(C29:C31)</f>
        <v>660</v>
      </c>
      <c r="D32" s="557">
        <f aca="true" t="shared" si="3" ref="D32:L32">SUM(D29:D31)</f>
        <v>12</v>
      </c>
      <c r="E32" s="557">
        <f t="shared" si="3"/>
        <v>685</v>
      </c>
      <c r="F32" s="557">
        <f t="shared" si="3"/>
        <v>12</v>
      </c>
      <c r="G32" s="557">
        <f t="shared" si="3"/>
        <v>12</v>
      </c>
      <c r="H32" s="557">
        <f t="shared" si="3"/>
        <v>166</v>
      </c>
      <c r="I32" s="557">
        <f t="shared" si="3"/>
        <v>0</v>
      </c>
      <c r="J32" s="557">
        <v>0</v>
      </c>
      <c r="K32" s="557">
        <f>SUM(K29:K31)</f>
        <v>166</v>
      </c>
      <c r="L32" s="558">
        <f t="shared" si="3"/>
        <v>863</v>
      </c>
      <c r="M32" s="550">
        <f>SUM(M29:M31)</f>
        <v>0</v>
      </c>
      <c r="N32" s="313" t="s">
        <v>55</v>
      </c>
    </row>
    <row r="33" spans="1:14" s="26" customFormat="1" ht="15">
      <c r="A33" s="954"/>
      <c r="B33" s="954"/>
      <c r="C33" s="954"/>
      <c r="D33" s="954"/>
      <c r="E33" s="954"/>
      <c r="F33" s="954"/>
      <c r="G33" s="954"/>
      <c r="H33" s="954"/>
      <c r="I33" s="954"/>
      <c r="J33" s="954"/>
      <c r="K33" s="954"/>
      <c r="L33" s="954"/>
      <c r="M33" s="955"/>
      <c r="N33" s="313"/>
    </row>
    <row r="34" s="26" customFormat="1" ht="15">
      <c r="N34" s="314"/>
    </row>
    <row r="35" ht="15">
      <c r="M35" s="294"/>
    </row>
  </sheetData>
  <mergeCells count="23">
    <mergeCell ref="G9:M9"/>
    <mergeCell ref="K10:K11"/>
    <mergeCell ref="F10:F11"/>
    <mergeCell ref="A9:B11"/>
    <mergeCell ref="E9:F9"/>
    <mergeCell ref="C9:D9"/>
    <mergeCell ref="J10:J11"/>
    <mergeCell ref="D10:D11"/>
    <mergeCell ref="E10:E11"/>
    <mergeCell ref="A31:B31"/>
    <mergeCell ref="A30:B30"/>
    <mergeCell ref="A33:M33"/>
    <mergeCell ref="M10:M11"/>
    <mergeCell ref="L10:L11"/>
    <mergeCell ref="A29:B29"/>
    <mergeCell ref="A28:B28"/>
    <mergeCell ref="A32:B32"/>
    <mergeCell ref="H10:H11"/>
    <mergeCell ref="C10:C11"/>
    <mergeCell ref="A1:M1"/>
    <mergeCell ref="A4:M4"/>
    <mergeCell ref="A5:M5"/>
    <mergeCell ref="A6:M6"/>
  </mergeCells>
  <printOptions horizontalCentered="1"/>
  <pageMargins left="0.75" right="0.75" top="1" bottom="1" header="0.5" footer="0.5"/>
  <pageSetup fitToHeight="1" fitToWidth="1" horizontalDpi="600" verticalDpi="600" orientation="landscape" scale="67" r:id="rId1"/>
  <headerFooter alignWithMargins="0">
    <oddFooter>&amp;C&amp;"Times New Roman,Regular"Exhibit I - Detail of Permanent Positions by Category&amp;RJustice Assistance</oddFooter>
  </headerFooter>
</worksheet>
</file>

<file path=xl/worksheets/sheet9.xml><?xml version="1.0" encoding="utf-8"?>
<worksheet xmlns="http://schemas.openxmlformats.org/spreadsheetml/2006/main" xmlns:r="http://schemas.openxmlformats.org/officeDocument/2006/relationships">
  <sheetPr codeName="Sheet15">
    <pageSetUpPr fitToPage="1"/>
  </sheetPr>
  <dimension ref="A1:AM37"/>
  <sheetViews>
    <sheetView zoomScale="75" zoomScaleNormal="75" zoomScaleSheetLayoutView="50" workbookViewId="0" topLeftCell="A1">
      <selection activeCell="W47" sqref="W47"/>
    </sheetView>
  </sheetViews>
  <sheetFormatPr defaultColWidth="8.88671875" defaultRowHeight="15"/>
  <cols>
    <col min="1" max="1" width="1.4375" style="0" customWidth="1"/>
    <col min="2" max="2" width="60.88671875" style="0" customWidth="1"/>
    <col min="3" max="3" width="6.21484375" style="0" customWidth="1"/>
    <col min="4" max="4" width="10.5546875" style="0" bestFit="1" customWidth="1"/>
    <col min="5" max="5" width="5.5546875" style="0" customWidth="1"/>
    <col min="6" max="6" width="8.99609375" style="0" customWidth="1"/>
    <col min="7" max="7" width="5.21484375" style="0" customWidth="1"/>
    <col min="8" max="8" width="10.10546875" style="0" bestFit="1" customWidth="1"/>
    <col min="9" max="9" width="8.99609375" style="0" bestFit="1" customWidth="1"/>
    <col min="10" max="10" width="10.5546875" style="0" bestFit="1" customWidth="1"/>
    <col min="11" max="11" width="6.77734375" style="0" customWidth="1"/>
    <col min="12" max="12" width="10.5546875" style="0" bestFit="1" customWidth="1"/>
    <col min="13" max="13" width="6.21484375" style="0" customWidth="1"/>
    <col min="14" max="14" width="10.3359375" style="0" bestFit="1" customWidth="1"/>
    <col min="15" max="15" width="8.99609375" style="0" bestFit="1" customWidth="1"/>
    <col min="16" max="16" width="11.6640625" style="0" bestFit="1" customWidth="1"/>
    <col min="17" max="17" width="7.77734375" style="0" customWidth="1"/>
    <col min="18" max="18" width="10.99609375" style="0" bestFit="1" customWidth="1"/>
    <col min="19" max="19" width="6.21484375" style="0" customWidth="1"/>
    <col min="20" max="20" width="10.5546875" style="0" bestFit="1" customWidth="1"/>
    <col min="21" max="21" width="7.77734375" style="0" customWidth="1"/>
    <col min="22" max="22" width="11.4453125" style="0" bestFit="1" customWidth="1"/>
    <col min="23" max="23" width="6.99609375" style="0" customWidth="1"/>
    <col min="24" max="24" width="10.21484375" style="0" customWidth="1"/>
    <col min="25" max="25" width="0.671875" style="312" customWidth="1"/>
  </cols>
  <sheetData>
    <row r="1" spans="1:25" ht="30">
      <c r="A1" s="234" t="s">
        <v>61</v>
      </c>
      <c r="B1" s="235"/>
      <c r="C1" s="35"/>
      <c r="D1" s="35"/>
      <c r="E1" s="35"/>
      <c r="F1" s="35"/>
      <c r="G1" s="35"/>
      <c r="H1" s="35"/>
      <c r="I1" s="35"/>
      <c r="J1" s="35"/>
      <c r="K1" s="35"/>
      <c r="L1" s="35"/>
      <c r="M1" s="35"/>
      <c r="N1" s="35"/>
      <c r="O1" s="35"/>
      <c r="P1" s="35"/>
      <c r="Q1" s="35"/>
      <c r="R1" s="35"/>
      <c r="S1" s="35"/>
      <c r="T1" s="35"/>
      <c r="U1" s="35"/>
      <c r="V1" s="35"/>
      <c r="W1" s="35"/>
      <c r="X1" s="38"/>
      <c r="Y1" s="310" t="s">
        <v>375</v>
      </c>
    </row>
    <row r="2" spans="1:25" ht="12.75" customHeight="1">
      <c r="A2" s="40"/>
      <c r="B2" s="35"/>
      <c r="C2" s="35"/>
      <c r="D2" s="35"/>
      <c r="E2" s="35"/>
      <c r="F2" s="35"/>
      <c r="G2" s="35"/>
      <c r="H2" s="35"/>
      <c r="I2" s="35"/>
      <c r="J2" s="35"/>
      <c r="K2" s="35"/>
      <c r="L2" s="35"/>
      <c r="M2" s="35"/>
      <c r="N2" s="35"/>
      <c r="O2" s="35"/>
      <c r="P2" s="35"/>
      <c r="Q2" s="35"/>
      <c r="R2" s="35"/>
      <c r="S2" s="35"/>
      <c r="T2" s="35"/>
      <c r="U2" s="35"/>
      <c r="V2" s="35"/>
      <c r="W2" s="35"/>
      <c r="X2" s="38"/>
      <c r="Y2" s="310" t="s">
        <v>375</v>
      </c>
    </row>
    <row r="3" spans="1:25" ht="18.75">
      <c r="A3" s="34"/>
      <c r="B3" s="17" t="s">
        <v>387</v>
      </c>
      <c r="C3" s="36"/>
      <c r="D3" s="36"/>
      <c r="E3" s="36"/>
      <c r="F3" s="36"/>
      <c r="G3" s="36"/>
      <c r="H3" s="36"/>
      <c r="I3" s="36"/>
      <c r="J3" s="36"/>
      <c r="K3" s="36"/>
      <c r="L3" s="36"/>
      <c r="M3" s="36"/>
      <c r="N3" s="36"/>
      <c r="O3" s="36"/>
      <c r="P3" s="36"/>
      <c r="Q3" s="36"/>
      <c r="R3" s="36"/>
      <c r="S3" s="36"/>
      <c r="T3" s="36"/>
      <c r="U3" s="36"/>
      <c r="V3" s="36"/>
      <c r="W3" s="36"/>
      <c r="X3" s="236"/>
      <c r="Y3" s="310" t="s">
        <v>375</v>
      </c>
    </row>
    <row r="4" spans="1:25" ht="16.5">
      <c r="A4" s="85"/>
      <c r="B4" s="19" t="str">
        <f>+'B. Summary of Requirements '!A3</f>
        <v>Office of Justice Programs </v>
      </c>
      <c r="C4" s="36"/>
      <c r="D4" s="36"/>
      <c r="E4" s="36"/>
      <c r="F4" s="36"/>
      <c r="G4" s="36"/>
      <c r="H4" s="36"/>
      <c r="I4" s="36"/>
      <c r="J4" s="36"/>
      <c r="K4" s="36"/>
      <c r="L4" s="36"/>
      <c r="M4" s="36"/>
      <c r="N4" s="36"/>
      <c r="O4" s="36"/>
      <c r="P4" s="36"/>
      <c r="Q4" s="36"/>
      <c r="R4" s="36"/>
      <c r="S4" s="36"/>
      <c r="T4" s="36"/>
      <c r="U4" s="36"/>
      <c r="V4" s="36"/>
      <c r="W4" s="36"/>
      <c r="X4" s="236"/>
      <c r="Y4" s="310" t="s">
        <v>375</v>
      </c>
    </row>
    <row r="5" spans="1:25" ht="16.5">
      <c r="A5" s="34"/>
      <c r="B5" s="19" t="str">
        <f>+'B. Summary of Requirements '!A4</f>
        <v>Justice Assistance</v>
      </c>
      <c r="C5" s="36"/>
      <c r="D5" s="36"/>
      <c r="E5" s="36"/>
      <c r="F5" s="36"/>
      <c r="G5" s="36"/>
      <c r="H5" s="36"/>
      <c r="I5" s="36"/>
      <c r="J5" s="36"/>
      <c r="K5" s="36"/>
      <c r="L5" s="36"/>
      <c r="M5" s="36"/>
      <c r="N5" s="36"/>
      <c r="O5" s="36"/>
      <c r="P5" s="36"/>
      <c r="Q5" s="36"/>
      <c r="R5" s="36"/>
      <c r="S5" s="36"/>
      <c r="T5" s="36"/>
      <c r="U5" s="36"/>
      <c r="V5" s="36"/>
      <c r="W5" s="36"/>
      <c r="X5" s="236"/>
      <c r="Y5" s="310" t="s">
        <v>375</v>
      </c>
    </row>
    <row r="6" spans="1:25" ht="15.75">
      <c r="A6" s="34"/>
      <c r="B6" s="77" t="s">
        <v>332</v>
      </c>
      <c r="C6" s="36"/>
      <c r="D6" s="36"/>
      <c r="E6" s="36"/>
      <c r="F6" s="36"/>
      <c r="G6" s="36"/>
      <c r="H6" s="36"/>
      <c r="I6" s="36"/>
      <c r="J6" s="36"/>
      <c r="K6" s="36"/>
      <c r="L6" s="36"/>
      <c r="M6" s="36"/>
      <c r="N6" s="36"/>
      <c r="O6" s="36"/>
      <c r="P6" s="36"/>
      <c r="Q6" s="36"/>
      <c r="R6" s="36"/>
      <c r="S6" s="36"/>
      <c r="T6" s="36"/>
      <c r="U6" s="36"/>
      <c r="V6" s="36"/>
      <c r="W6" s="36"/>
      <c r="X6" s="236"/>
      <c r="Y6" s="310" t="s">
        <v>375</v>
      </c>
    </row>
    <row r="7" spans="1:25" ht="15.75">
      <c r="A7" s="34"/>
      <c r="B7" s="36"/>
      <c r="C7" s="237"/>
      <c r="D7" s="236"/>
      <c r="E7" s="236"/>
      <c r="F7" s="236"/>
      <c r="G7" s="236"/>
      <c r="H7" s="236"/>
      <c r="I7" s="236"/>
      <c r="J7" s="236"/>
      <c r="K7" s="236"/>
      <c r="L7" s="236"/>
      <c r="M7" s="237"/>
      <c r="N7" s="236"/>
      <c r="O7" s="236"/>
      <c r="P7" s="236"/>
      <c r="Q7" s="236"/>
      <c r="R7" s="236"/>
      <c r="S7" s="237"/>
      <c r="T7" s="236"/>
      <c r="U7" s="236"/>
      <c r="V7" s="236"/>
      <c r="W7" s="36"/>
      <c r="X7" s="238"/>
      <c r="Y7" s="310" t="s">
        <v>375</v>
      </c>
    </row>
    <row r="8" spans="1:25" ht="15.75" customHeight="1">
      <c r="A8" s="34"/>
      <c r="B8" s="983" t="s">
        <v>330</v>
      </c>
      <c r="C8" s="987"/>
      <c r="D8" s="988"/>
      <c r="E8" s="988"/>
      <c r="F8" s="988"/>
      <c r="G8" s="988"/>
      <c r="H8" s="988"/>
      <c r="I8" s="988"/>
      <c r="J8" s="988"/>
      <c r="K8" s="988"/>
      <c r="L8" s="988"/>
      <c r="M8" s="989"/>
      <c r="N8" s="990"/>
      <c r="O8" s="990"/>
      <c r="P8" s="990"/>
      <c r="Q8" s="990"/>
      <c r="R8" s="990"/>
      <c r="S8" s="989"/>
      <c r="T8" s="990"/>
      <c r="U8" s="990"/>
      <c r="V8" s="990"/>
      <c r="W8" s="1000" t="s">
        <v>249</v>
      </c>
      <c r="X8" s="1001"/>
      <c r="Y8" s="310" t="s">
        <v>375</v>
      </c>
    </row>
    <row r="9" spans="1:25" ht="15.75" customHeight="1">
      <c r="A9" s="34"/>
      <c r="B9" s="984"/>
      <c r="C9" s="640" t="s">
        <v>93</v>
      </c>
      <c r="D9" s="639"/>
      <c r="E9" s="640" t="s">
        <v>93</v>
      </c>
      <c r="F9" s="672"/>
      <c r="G9" s="672" t="s">
        <v>93</v>
      </c>
      <c r="H9" s="639"/>
      <c r="I9" s="638" t="s">
        <v>388</v>
      </c>
      <c r="J9" s="639"/>
      <c r="K9" s="638" t="s">
        <v>388</v>
      </c>
      <c r="L9" s="639"/>
      <c r="M9" s="638" t="s">
        <v>388</v>
      </c>
      <c r="N9" s="639"/>
      <c r="O9" s="638" t="s">
        <v>388</v>
      </c>
      <c r="P9" s="639"/>
      <c r="Q9" s="638" t="s">
        <v>388</v>
      </c>
      <c r="R9" s="639"/>
      <c r="S9" s="638" t="s">
        <v>388</v>
      </c>
      <c r="T9" s="639"/>
      <c r="U9" s="638" t="s">
        <v>388</v>
      </c>
      <c r="V9" s="639"/>
      <c r="W9" s="1002"/>
      <c r="X9" s="1003"/>
      <c r="Y9" s="310"/>
    </row>
    <row r="10" spans="1:25" ht="65.25" customHeight="1">
      <c r="A10" s="34"/>
      <c r="B10" s="985"/>
      <c r="C10" s="642" t="s">
        <v>279</v>
      </c>
      <c r="D10" s="643"/>
      <c r="E10" s="995" t="s">
        <v>392</v>
      </c>
      <c r="F10" s="996"/>
      <c r="G10" s="995" t="s">
        <v>391</v>
      </c>
      <c r="H10" s="996"/>
      <c r="I10" s="642" t="s">
        <v>90</v>
      </c>
      <c r="J10" s="644"/>
      <c r="K10" s="991" t="s">
        <v>25</v>
      </c>
      <c r="L10" s="992"/>
      <c r="M10" s="993" t="s">
        <v>277</v>
      </c>
      <c r="N10" s="994"/>
      <c r="O10" s="991" t="s">
        <v>197</v>
      </c>
      <c r="P10" s="992"/>
      <c r="Q10" s="991" t="s">
        <v>38</v>
      </c>
      <c r="R10" s="992"/>
      <c r="S10" s="991" t="s">
        <v>92</v>
      </c>
      <c r="T10" s="999"/>
      <c r="U10" s="991" t="s">
        <v>30</v>
      </c>
      <c r="V10" s="992"/>
      <c r="W10" s="1004"/>
      <c r="X10" s="1005"/>
      <c r="Y10" s="310" t="s">
        <v>375</v>
      </c>
    </row>
    <row r="11" spans="1:25" ht="16.5" thickBot="1">
      <c r="A11" s="34"/>
      <c r="B11" s="986"/>
      <c r="C11" s="637" t="s">
        <v>355</v>
      </c>
      <c r="D11" s="636" t="s">
        <v>329</v>
      </c>
      <c r="E11" s="637" t="s">
        <v>355</v>
      </c>
      <c r="F11" s="636" t="s">
        <v>357</v>
      </c>
      <c r="G11" s="673" t="s">
        <v>355</v>
      </c>
      <c r="H11" s="636" t="s">
        <v>329</v>
      </c>
      <c r="I11" s="635" t="s">
        <v>355</v>
      </c>
      <c r="J11" s="636" t="s">
        <v>329</v>
      </c>
      <c r="K11" s="637" t="s">
        <v>355</v>
      </c>
      <c r="L11" s="636" t="s">
        <v>329</v>
      </c>
      <c r="M11" s="635" t="s">
        <v>355</v>
      </c>
      <c r="N11" s="636" t="s">
        <v>329</v>
      </c>
      <c r="O11" s="637" t="s">
        <v>355</v>
      </c>
      <c r="P11" s="636" t="s">
        <v>329</v>
      </c>
      <c r="Q11" s="637" t="s">
        <v>355</v>
      </c>
      <c r="R11" s="636" t="s">
        <v>329</v>
      </c>
      <c r="S11" s="635" t="s">
        <v>355</v>
      </c>
      <c r="T11" s="636" t="s">
        <v>329</v>
      </c>
      <c r="U11" s="637" t="s">
        <v>355</v>
      </c>
      <c r="V11" s="636" t="s">
        <v>329</v>
      </c>
      <c r="W11" s="158" t="s">
        <v>355</v>
      </c>
      <c r="X11" s="242" t="s">
        <v>329</v>
      </c>
      <c r="Y11" s="310" t="s">
        <v>375</v>
      </c>
    </row>
    <row r="12" spans="1:25" ht="15.75">
      <c r="A12" s="34"/>
      <c r="B12" s="155" t="s">
        <v>227</v>
      </c>
      <c r="C12" s="473"/>
      <c r="D12" s="474"/>
      <c r="E12" s="475">
        <v>1</v>
      </c>
      <c r="F12" s="475"/>
      <c r="G12" s="645"/>
      <c r="H12" s="476"/>
      <c r="I12" s="475"/>
      <c r="J12" s="475"/>
      <c r="K12" s="645"/>
      <c r="L12" s="475"/>
      <c r="M12" s="473"/>
      <c r="N12" s="474"/>
      <c r="O12" s="475"/>
      <c r="P12" s="476"/>
      <c r="Q12" s="475"/>
      <c r="R12" s="475"/>
      <c r="S12" s="473"/>
      <c r="T12" s="474"/>
      <c r="U12" s="475"/>
      <c r="V12" s="475"/>
      <c r="W12" s="477">
        <f aca="true" t="shared" si="0" ref="W12:W21">SUM(U12,S12,Q12,O12,M12,K12,E12,C12)</f>
        <v>1</v>
      </c>
      <c r="X12" s="478">
        <f aca="true" t="shared" si="1" ref="X12:X21">SUM(V12,T12,R12,P12,N12,L12,H12,D12)</f>
        <v>0</v>
      </c>
      <c r="Y12" s="310" t="s">
        <v>375</v>
      </c>
    </row>
    <row r="13" spans="1:25" ht="15.75">
      <c r="A13" s="34"/>
      <c r="B13" s="155" t="s">
        <v>228</v>
      </c>
      <c r="C13" s="473"/>
      <c r="D13" s="474"/>
      <c r="E13" s="475">
        <v>18</v>
      </c>
      <c r="F13" s="475"/>
      <c r="G13" s="477"/>
      <c r="H13" s="476"/>
      <c r="I13" s="475"/>
      <c r="J13" s="475"/>
      <c r="K13" s="477"/>
      <c r="L13" s="475"/>
      <c r="M13" s="473"/>
      <c r="N13" s="474"/>
      <c r="O13" s="475"/>
      <c r="P13" s="476"/>
      <c r="Q13" s="475"/>
      <c r="R13" s="475"/>
      <c r="S13" s="473"/>
      <c r="T13" s="474"/>
      <c r="U13" s="475"/>
      <c r="V13" s="475"/>
      <c r="W13" s="477">
        <f t="shared" si="0"/>
        <v>18</v>
      </c>
      <c r="X13" s="478">
        <f t="shared" si="1"/>
        <v>0</v>
      </c>
      <c r="Y13" s="310" t="s">
        <v>375</v>
      </c>
    </row>
    <row r="14" spans="1:25" ht="15.75">
      <c r="A14" s="34"/>
      <c r="B14" s="155" t="s">
        <v>229</v>
      </c>
      <c r="C14" s="473"/>
      <c r="D14" s="474"/>
      <c r="E14" s="475">
        <v>25</v>
      </c>
      <c r="F14" s="475"/>
      <c r="G14" s="477"/>
      <c r="H14" s="476"/>
      <c r="I14" s="475"/>
      <c r="J14" s="475"/>
      <c r="K14" s="477"/>
      <c r="L14" s="475"/>
      <c r="M14" s="473"/>
      <c r="N14" s="474"/>
      <c r="O14" s="475"/>
      <c r="P14" s="476"/>
      <c r="Q14" s="475"/>
      <c r="R14" s="475"/>
      <c r="S14" s="473"/>
      <c r="T14" s="474"/>
      <c r="U14" s="475"/>
      <c r="V14" s="475"/>
      <c r="W14" s="477">
        <f t="shared" si="0"/>
        <v>25</v>
      </c>
      <c r="X14" s="478">
        <f t="shared" si="1"/>
        <v>0</v>
      </c>
      <c r="Y14" s="310" t="s">
        <v>375</v>
      </c>
    </row>
    <row r="15" spans="1:25" ht="15.75">
      <c r="A15" s="34"/>
      <c r="B15" s="155" t="s">
        <v>230</v>
      </c>
      <c r="C15" s="473"/>
      <c r="D15" s="634"/>
      <c r="E15" s="475">
        <v>32</v>
      </c>
      <c r="F15" s="475"/>
      <c r="G15" s="477"/>
      <c r="H15" s="476"/>
      <c r="I15" s="475"/>
      <c r="J15" s="475"/>
      <c r="K15" s="477"/>
      <c r="L15" s="475"/>
      <c r="M15" s="473"/>
      <c r="N15" s="474"/>
      <c r="O15" s="475"/>
      <c r="P15" s="476"/>
      <c r="Q15" s="475"/>
      <c r="R15" s="475"/>
      <c r="S15" s="473"/>
      <c r="T15" s="474"/>
      <c r="U15" s="475"/>
      <c r="V15" s="475"/>
      <c r="W15" s="477">
        <f t="shared" si="0"/>
        <v>32</v>
      </c>
      <c r="X15" s="478">
        <f t="shared" si="1"/>
        <v>0</v>
      </c>
      <c r="Y15" s="310" t="s">
        <v>375</v>
      </c>
    </row>
    <row r="16" spans="1:25" ht="15.75">
      <c r="A16" s="34"/>
      <c r="B16" s="155" t="s">
        <v>231</v>
      </c>
      <c r="C16" s="473"/>
      <c r="D16" s="474"/>
      <c r="E16" s="475">
        <v>42</v>
      </c>
      <c r="F16" s="475"/>
      <c r="G16" s="477"/>
      <c r="H16" s="476"/>
      <c r="I16" s="475"/>
      <c r="J16" s="475"/>
      <c r="K16" s="477"/>
      <c r="L16" s="475"/>
      <c r="M16" s="473"/>
      <c r="N16" s="474"/>
      <c r="O16" s="475"/>
      <c r="P16" s="476"/>
      <c r="Q16" s="475"/>
      <c r="R16" s="475"/>
      <c r="S16" s="473"/>
      <c r="T16" s="474"/>
      <c r="U16" s="475"/>
      <c r="V16" s="475"/>
      <c r="W16" s="477">
        <f t="shared" si="0"/>
        <v>42</v>
      </c>
      <c r="X16" s="478">
        <f t="shared" si="1"/>
        <v>0</v>
      </c>
      <c r="Y16" s="310" t="s">
        <v>375</v>
      </c>
    </row>
    <row r="17" spans="1:25" ht="15.75">
      <c r="A17" s="34"/>
      <c r="B17" s="155" t="s">
        <v>232</v>
      </c>
      <c r="C17" s="473"/>
      <c r="D17" s="474"/>
      <c r="E17" s="475">
        <v>0</v>
      </c>
      <c r="F17" s="475"/>
      <c r="G17" s="477"/>
      <c r="H17" s="476"/>
      <c r="I17" s="475"/>
      <c r="J17" s="475"/>
      <c r="K17" s="477"/>
      <c r="L17" s="475"/>
      <c r="M17" s="473"/>
      <c r="N17" s="474"/>
      <c r="O17" s="475"/>
      <c r="P17" s="476"/>
      <c r="Q17" s="475"/>
      <c r="R17" s="475"/>
      <c r="S17" s="473"/>
      <c r="T17" s="474"/>
      <c r="U17" s="475"/>
      <c r="V17" s="475"/>
      <c r="W17" s="477">
        <f t="shared" si="0"/>
        <v>0</v>
      </c>
      <c r="X17" s="478">
        <f t="shared" si="1"/>
        <v>0</v>
      </c>
      <c r="Y17" s="310" t="s">
        <v>375</v>
      </c>
    </row>
    <row r="18" spans="1:25" ht="15.75">
      <c r="A18" s="34"/>
      <c r="B18" s="155" t="s">
        <v>233</v>
      </c>
      <c r="C18" s="473"/>
      <c r="D18" s="474"/>
      <c r="E18" s="475">
        <v>0</v>
      </c>
      <c r="F18" s="475"/>
      <c r="G18" s="477"/>
      <c r="H18" s="476"/>
      <c r="I18" s="475"/>
      <c r="J18" s="475"/>
      <c r="K18" s="477"/>
      <c r="L18" s="475"/>
      <c r="M18" s="473"/>
      <c r="N18" s="474"/>
      <c r="O18" s="475"/>
      <c r="P18" s="476"/>
      <c r="Q18" s="475"/>
      <c r="R18" s="475"/>
      <c r="S18" s="473"/>
      <c r="T18" s="474"/>
      <c r="U18" s="475"/>
      <c r="V18" s="475"/>
      <c r="W18" s="477">
        <f t="shared" si="0"/>
        <v>0</v>
      </c>
      <c r="X18" s="478">
        <f t="shared" si="1"/>
        <v>0</v>
      </c>
      <c r="Y18" s="310" t="s">
        <v>375</v>
      </c>
    </row>
    <row r="19" spans="1:25" ht="15.75">
      <c r="A19" s="34"/>
      <c r="B19" s="155" t="s">
        <v>234</v>
      </c>
      <c r="C19" s="473"/>
      <c r="D19" s="474"/>
      <c r="E19" s="475">
        <v>13</v>
      </c>
      <c r="F19" s="475"/>
      <c r="G19" s="477"/>
      <c r="H19" s="476"/>
      <c r="I19" s="475"/>
      <c r="J19" s="475"/>
      <c r="K19" s="477"/>
      <c r="L19" s="475"/>
      <c r="M19" s="473"/>
      <c r="N19" s="474"/>
      <c r="O19" s="475"/>
      <c r="P19" s="476"/>
      <c r="Q19" s="475"/>
      <c r="R19" s="475"/>
      <c r="S19" s="473"/>
      <c r="T19" s="474"/>
      <c r="U19" s="475"/>
      <c r="V19" s="475"/>
      <c r="W19" s="477">
        <f t="shared" si="0"/>
        <v>13</v>
      </c>
      <c r="X19" s="478">
        <f t="shared" si="1"/>
        <v>0</v>
      </c>
      <c r="Y19" s="310" t="s">
        <v>375</v>
      </c>
    </row>
    <row r="20" spans="1:25" ht="15.75">
      <c r="A20" s="34"/>
      <c r="B20" s="155" t="s">
        <v>235</v>
      </c>
      <c r="C20" s="473"/>
      <c r="D20" s="474"/>
      <c r="E20" s="475">
        <v>5</v>
      </c>
      <c r="F20" s="475"/>
      <c r="G20" s="477"/>
      <c r="H20" s="476"/>
      <c r="I20" s="475"/>
      <c r="J20" s="475"/>
      <c r="K20" s="477"/>
      <c r="L20" s="475"/>
      <c r="M20" s="473"/>
      <c r="N20" s="474"/>
      <c r="O20" s="475"/>
      <c r="P20" s="476"/>
      <c r="Q20" s="475"/>
      <c r="R20" s="475"/>
      <c r="S20" s="473"/>
      <c r="T20" s="474"/>
      <c r="U20" s="475"/>
      <c r="V20" s="475"/>
      <c r="W20" s="477">
        <f t="shared" si="0"/>
        <v>5</v>
      </c>
      <c r="X20" s="478">
        <f t="shared" si="1"/>
        <v>0</v>
      </c>
      <c r="Y20" s="310" t="s">
        <v>375</v>
      </c>
    </row>
    <row r="21" spans="1:25" ht="15.75">
      <c r="A21" s="34"/>
      <c r="B21" s="155" t="s">
        <v>236</v>
      </c>
      <c r="C21" s="473"/>
      <c r="D21" s="474"/>
      <c r="E21" s="475">
        <v>30</v>
      </c>
      <c r="F21" s="475"/>
      <c r="G21" s="477"/>
      <c r="H21" s="476"/>
      <c r="I21" s="475"/>
      <c r="J21" s="475"/>
      <c r="K21" s="477"/>
      <c r="L21" s="475"/>
      <c r="M21" s="473"/>
      <c r="N21" s="474"/>
      <c r="O21" s="475"/>
      <c r="P21" s="476"/>
      <c r="Q21" s="475"/>
      <c r="R21" s="475"/>
      <c r="S21" s="473"/>
      <c r="T21" s="474"/>
      <c r="U21" s="475"/>
      <c r="V21" s="475"/>
      <c r="W21" s="477">
        <f t="shared" si="0"/>
        <v>30</v>
      </c>
      <c r="X21" s="478">
        <f t="shared" si="1"/>
        <v>0</v>
      </c>
      <c r="Y21" s="310" t="s">
        <v>375</v>
      </c>
    </row>
    <row r="22" spans="1:25" ht="15.75">
      <c r="A22" s="34"/>
      <c r="B22" s="86"/>
      <c r="C22" s="481"/>
      <c r="D22" s="482"/>
      <c r="E22" s="483"/>
      <c r="F22" s="483"/>
      <c r="G22" s="646"/>
      <c r="H22" s="482"/>
      <c r="I22" s="641"/>
      <c r="J22" s="641"/>
      <c r="K22" s="646"/>
      <c r="L22" s="483"/>
      <c r="M22" s="481"/>
      <c r="N22" s="482"/>
      <c r="O22" s="483"/>
      <c r="P22" s="482"/>
      <c r="Q22" s="483"/>
      <c r="R22" s="483"/>
      <c r="S22" s="481"/>
      <c r="T22" s="482"/>
      <c r="U22" s="483"/>
      <c r="V22" s="483"/>
      <c r="W22" s="481"/>
      <c r="X22" s="484"/>
      <c r="Y22" s="310" t="s">
        <v>375</v>
      </c>
    </row>
    <row r="23" spans="1:25" ht="15.75">
      <c r="A23" s="34"/>
      <c r="B23" s="155" t="s">
        <v>389</v>
      </c>
      <c r="C23" s="473">
        <f>SUM(C12:C21)</f>
        <v>0</v>
      </c>
      <c r="D23" s="474">
        <f>SUM(D12:D21)</f>
        <v>0</v>
      </c>
      <c r="E23" s="473">
        <f>SUM(E12:E21)</f>
        <v>166</v>
      </c>
      <c r="F23" s="475">
        <f>SUM(F12:F21)</f>
        <v>0</v>
      </c>
      <c r="G23" s="477"/>
      <c r="H23" s="474">
        <f>SUM(H12:H21)</f>
        <v>0</v>
      </c>
      <c r="I23" s="475"/>
      <c r="J23" s="475">
        <v>0</v>
      </c>
      <c r="K23" s="473">
        <f aca="true" t="shared" si="2" ref="K23:P23">SUM(K12:K21)</f>
        <v>0</v>
      </c>
      <c r="L23" s="474">
        <f t="shared" si="2"/>
        <v>0</v>
      </c>
      <c r="M23" s="473">
        <f t="shared" si="2"/>
        <v>0</v>
      </c>
      <c r="N23" s="474">
        <f t="shared" si="2"/>
        <v>0</v>
      </c>
      <c r="O23" s="473">
        <f t="shared" si="2"/>
        <v>0</v>
      </c>
      <c r="P23" s="474">
        <f t="shared" si="2"/>
        <v>0</v>
      </c>
      <c r="Q23" s="473">
        <f>SUM(Q12:Q21)</f>
        <v>0</v>
      </c>
      <c r="R23" s="474">
        <f aca="true" t="shared" si="3" ref="R23:X23">SUM(R12:R21)</f>
        <v>0</v>
      </c>
      <c r="S23" s="473">
        <f t="shared" si="3"/>
        <v>0</v>
      </c>
      <c r="T23" s="474">
        <f t="shared" si="3"/>
        <v>0</v>
      </c>
      <c r="U23" s="473">
        <f t="shared" si="3"/>
        <v>0</v>
      </c>
      <c r="V23" s="474">
        <f t="shared" si="3"/>
        <v>0</v>
      </c>
      <c r="W23" s="473">
        <f t="shared" si="3"/>
        <v>166</v>
      </c>
      <c r="X23" s="478">
        <f t="shared" si="3"/>
        <v>0</v>
      </c>
      <c r="Y23" s="310" t="s">
        <v>375</v>
      </c>
    </row>
    <row r="24" spans="1:25" ht="15.75">
      <c r="A24" s="34"/>
      <c r="B24" s="156" t="s">
        <v>390</v>
      </c>
      <c r="C24" s="473">
        <f>+C23/-2</f>
        <v>0</v>
      </c>
      <c r="D24" s="474">
        <f aca="true" t="shared" si="4" ref="D24:V24">+D23/-2</f>
        <v>0</v>
      </c>
      <c r="E24" s="473">
        <v>-24</v>
      </c>
      <c r="F24" s="475">
        <f t="shared" si="4"/>
        <v>0</v>
      </c>
      <c r="G24" s="477"/>
      <c r="H24" s="474">
        <f t="shared" si="4"/>
        <v>0</v>
      </c>
      <c r="I24" s="475"/>
      <c r="J24" s="475">
        <v>0</v>
      </c>
      <c r="K24" s="473">
        <f t="shared" si="4"/>
        <v>0</v>
      </c>
      <c r="L24" s="474">
        <f t="shared" si="4"/>
        <v>0</v>
      </c>
      <c r="M24" s="473">
        <f t="shared" si="4"/>
        <v>0</v>
      </c>
      <c r="N24" s="474">
        <f t="shared" si="4"/>
        <v>0</v>
      </c>
      <c r="O24" s="473">
        <f t="shared" si="4"/>
        <v>0</v>
      </c>
      <c r="P24" s="474">
        <f t="shared" si="4"/>
        <v>0</v>
      </c>
      <c r="Q24" s="473">
        <f t="shared" si="4"/>
        <v>0</v>
      </c>
      <c r="R24" s="474">
        <f t="shared" si="4"/>
        <v>0</v>
      </c>
      <c r="S24" s="473">
        <f t="shared" si="4"/>
        <v>0</v>
      </c>
      <c r="T24" s="474">
        <f t="shared" si="4"/>
        <v>0</v>
      </c>
      <c r="U24" s="473">
        <f t="shared" si="4"/>
        <v>0</v>
      </c>
      <c r="V24" s="474">
        <f t="shared" si="4"/>
        <v>0</v>
      </c>
      <c r="W24" s="475">
        <v>-24</v>
      </c>
      <c r="X24" s="652">
        <v>0</v>
      </c>
      <c r="Y24" s="310" t="s">
        <v>375</v>
      </c>
    </row>
    <row r="25" spans="1:25" ht="15.75">
      <c r="A25" s="34"/>
      <c r="B25" s="157" t="s">
        <v>393</v>
      </c>
      <c r="C25" s="485"/>
      <c r="D25" s="480"/>
      <c r="E25" s="485"/>
      <c r="F25" s="674"/>
      <c r="G25" s="675"/>
      <c r="H25" s="647"/>
      <c r="I25" s="485"/>
      <c r="J25" s="647"/>
      <c r="K25" s="485"/>
      <c r="L25" s="480"/>
      <c r="M25" s="485"/>
      <c r="N25" s="480"/>
      <c r="O25" s="485"/>
      <c r="P25" s="480"/>
      <c r="Q25" s="485"/>
      <c r="R25" s="480"/>
      <c r="S25" s="485"/>
      <c r="T25" s="480"/>
      <c r="U25" s="485"/>
      <c r="V25" s="480"/>
      <c r="W25" s="485">
        <f>SUM(C25:V25,U25,S25,Q25,O25,M25,K25,E25)</f>
        <v>0</v>
      </c>
      <c r="X25" s="486">
        <f>SUM(D25:V25,V25,T25,R25,P25,N25,L25,H25)</f>
        <v>0</v>
      </c>
      <c r="Y25" s="310" t="s">
        <v>375</v>
      </c>
    </row>
    <row r="26" spans="1:25" ht="15.75">
      <c r="A26" s="34"/>
      <c r="B26" s="669"/>
      <c r="C26" s="487"/>
      <c r="D26" s="482"/>
      <c r="E26" s="487"/>
      <c r="F26" s="487"/>
      <c r="G26" s="144"/>
      <c r="H26" s="489"/>
      <c r="I26" s="487"/>
      <c r="J26" s="487"/>
      <c r="K26" s="146"/>
      <c r="L26" s="482"/>
      <c r="M26" s="487"/>
      <c r="N26" s="482"/>
      <c r="O26" s="487"/>
      <c r="P26" s="482"/>
      <c r="Q26" s="487"/>
      <c r="R26" s="482"/>
      <c r="S26" s="487"/>
      <c r="T26" s="482"/>
      <c r="U26" s="487"/>
      <c r="V26" s="482"/>
      <c r="W26" s="487"/>
      <c r="X26" s="488"/>
      <c r="Y26" s="310" t="s">
        <v>375</v>
      </c>
    </row>
    <row r="27" spans="1:25" ht="15.75">
      <c r="A27" s="34"/>
      <c r="B27" s="668"/>
      <c r="C27" s="487"/>
      <c r="D27" s="489"/>
      <c r="E27" s="487"/>
      <c r="F27" s="487"/>
      <c r="G27" s="144"/>
      <c r="H27" s="489"/>
      <c r="I27" s="487"/>
      <c r="J27" s="487"/>
      <c r="K27" s="144"/>
      <c r="L27" s="489"/>
      <c r="M27" s="487"/>
      <c r="N27" s="489"/>
      <c r="O27" s="487"/>
      <c r="P27" s="489"/>
      <c r="Q27" s="487"/>
      <c r="R27" s="489"/>
      <c r="S27" s="487"/>
      <c r="T27" s="489"/>
      <c r="U27" s="487"/>
      <c r="V27" s="489"/>
      <c r="W27" s="487"/>
      <c r="X27" s="490"/>
      <c r="Y27" s="310" t="s">
        <v>375</v>
      </c>
    </row>
    <row r="28" spans="1:25" ht="15.75">
      <c r="A28" s="34"/>
      <c r="B28" s="239" t="s">
        <v>394</v>
      </c>
      <c r="C28" s="491">
        <f>SUM(C23:C25)</f>
        <v>0</v>
      </c>
      <c r="D28" s="492">
        <f aca="true" t="shared" si="5" ref="D28:V28">SUM(D23:D25)</f>
        <v>0</v>
      </c>
      <c r="E28" s="491">
        <f t="shared" si="5"/>
        <v>142</v>
      </c>
      <c r="F28" s="442">
        <v>0</v>
      </c>
      <c r="G28" s="145"/>
      <c r="H28" s="492">
        <f t="shared" si="5"/>
        <v>0</v>
      </c>
      <c r="I28" s="442"/>
      <c r="J28" s="442">
        <v>0</v>
      </c>
      <c r="K28" s="491">
        <f t="shared" si="5"/>
        <v>0</v>
      </c>
      <c r="L28" s="492">
        <f t="shared" si="5"/>
        <v>0</v>
      </c>
      <c r="M28" s="491">
        <f t="shared" si="5"/>
        <v>0</v>
      </c>
      <c r="N28" s="492">
        <f t="shared" si="5"/>
        <v>0</v>
      </c>
      <c r="O28" s="491">
        <f t="shared" si="5"/>
        <v>0</v>
      </c>
      <c r="P28" s="492">
        <f t="shared" si="5"/>
        <v>0</v>
      </c>
      <c r="Q28" s="491">
        <f t="shared" si="5"/>
        <v>0</v>
      </c>
      <c r="R28" s="492">
        <f t="shared" si="5"/>
        <v>0</v>
      </c>
      <c r="S28" s="491">
        <f t="shared" si="5"/>
        <v>0</v>
      </c>
      <c r="T28" s="492">
        <f t="shared" si="5"/>
        <v>0</v>
      </c>
      <c r="U28" s="491">
        <f t="shared" si="5"/>
        <v>0</v>
      </c>
      <c r="V28" s="492">
        <f t="shared" si="5"/>
        <v>0</v>
      </c>
      <c r="W28" s="491">
        <f>SUM(W23:W25)</f>
        <v>142</v>
      </c>
      <c r="X28" s="493">
        <f>SUM(X23:X25)</f>
        <v>0</v>
      </c>
      <c r="Y28" s="310" t="s">
        <v>375</v>
      </c>
    </row>
    <row r="29" spans="1:25" ht="15.75">
      <c r="A29" s="34"/>
      <c r="B29" s="86"/>
      <c r="C29" s="479"/>
      <c r="D29" s="494"/>
      <c r="E29" s="83"/>
      <c r="F29" s="83"/>
      <c r="G29" s="144"/>
      <c r="H29" s="489"/>
      <c r="I29" s="487"/>
      <c r="J29" s="487"/>
      <c r="K29" s="146"/>
      <c r="L29" s="83"/>
      <c r="M29" s="479"/>
      <c r="N29" s="489"/>
      <c r="O29" s="83"/>
      <c r="P29" s="489"/>
      <c r="Q29" s="83"/>
      <c r="R29" s="83"/>
      <c r="S29" s="479"/>
      <c r="T29" s="489"/>
      <c r="U29" s="83"/>
      <c r="V29" s="83"/>
      <c r="W29" s="146"/>
      <c r="X29" s="651"/>
      <c r="Y29" s="310" t="s">
        <v>375</v>
      </c>
    </row>
    <row r="30" spans="1:25" ht="15.75">
      <c r="A30" s="34"/>
      <c r="B30" s="155" t="s">
        <v>239</v>
      </c>
      <c r="C30" s="473"/>
      <c r="D30" s="474">
        <v>5000</v>
      </c>
      <c r="E30" s="475"/>
      <c r="F30" s="475">
        <v>0</v>
      </c>
      <c r="G30" s="477"/>
      <c r="H30" s="476">
        <v>12747</v>
      </c>
      <c r="I30" s="475"/>
      <c r="J30" s="475">
        <v>0</v>
      </c>
      <c r="K30" s="477"/>
      <c r="L30" s="475">
        <v>0</v>
      </c>
      <c r="M30" s="473"/>
      <c r="N30" s="474">
        <v>0</v>
      </c>
      <c r="O30" s="475"/>
      <c r="P30" s="476">
        <v>0</v>
      </c>
      <c r="Q30" s="475"/>
      <c r="R30" s="475">
        <v>0</v>
      </c>
      <c r="S30" s="473"/>
      <c r="T30" s="474">
        <v>0</v>
      </c>
      <c r="U30" s="475"/>
      <c r="V30" s="475">
        <f>-10904-5140</f>
        <v>-16044</v>
      </c>
      <c r="W30" s="477"/>
      <c r="X30" s="650">
        <f>SUM(C30:V30)</f>
        <v>1703</v>
      </c>
      <c r="Y30" s="310" t="s">
        <v>375</v>
      </c>
    </row>
    <row r="31" spans="1:25" ht="15.75">
      <c r="A31" s="34"/>
      <c r="B31" s="155" t="s">
        <v>238</v>
      </c>
      <c r="C31" s="473"/>
      <c r="D31" s="474">
        <v>5000</v>
      </c>
      <c r="E31" s="475"/>
      <c r="F31" s="475">
        <v>0</v>
      </c>
      <c r="G31" s="477"/>
      <c r="H31" s="476">
        <v>0</v>
      </c>
      <c r="I31" s="475"/>
      <c r="J31" s="475">
        <v>0</v>
      </c>
      <c r="K31" s="477"/>
      <c r="L31" s="475">
        <v>0</v>
      </c>
      <c r="M31" s="473"/>
      <c r="N31" s="474">
        <v>0</v>
      </c>
      <c r="O31" s="475"/>
      <c r="P31" s="476">
        <v>0</v>
      </c>
      <c r="Q31" s="475"/>
      <c r="R31" s="475">
        <v>0</v>
      </c>
      <c r="S31" s="473"/>
      <c r="T31" s="474">
        <v>0</v>
      </c>
      <c r="U31" s="475"/>
      <c r="V31" s="475">
        <v>0</v>
      </c>
      <c r="W31" s="477"/>
      <c r="X31" s="650">
        <f>SUM(C31:V31)</f>
        <v>5000</v>
      </c>
      <c r="Y31" s="310" t="s">
        <v>375</v>
      </c>
    </row>
    <row r="32" spans="1:25" ht="15.75">
      <c r="A32" s="34"/>
      <c r="B32" s="157" t="s">
        <v>94</v>
      </c>
      <c r="C32" s="485"/>
      <c r="D32" s="647">
        <v>8220</v>
      </c>
      <c r="E32" s="442"/>
      <c r="F32" s="442">
        <v>0</v>
      </c>
      <c r="G32" s="145"/>
      <c r="H32" s="443">
        <v>0</v>
      </c>
      <c r="I32" s="442"/>
      <c r="J32" s="442">
        <v>-2300</v>
      </c>
      <c r="K32" s="145"/>
      <c r="L32" s="442">
        <v>-9400</v>
      </c>
      <c r="M32" s="491"/>
      <c r="N32" s="647">
        <v>-5800</v>
      </c>
      <c r="O32" s="442"/>
      <c r="P32" s="443">
        <v>-50000</v>
      </c>
      <c r="Q32" s="442"/>
      <c r="R32" s="442">
        <v>-11280</v>
      </c>
      <c r="S32" s="491"/>
      <c r="T32" s="647">
        <v>-2820</v>
      </c>
      <c r="U32" s="442"/>
      <c r="V32" s="442">
        <v>0</v>
      </c>
      <c r="W32" s="145"/>
      <c r="X32" s="650">
        <f>SUM(C32:V32)</f>
        <v>-73380</v>
      </c>
      <c r="Y32" s="310" t="s">
        <v>375</v>
      </c>
    </row>
    <row r="33" spans="1:25" ht="16.5" thickBot="1">
      <c r="A33" s="34"/>
      <c r="B33" s="241" t="s">
        <v>128</v>
      </c>
      <c r="C33" s="495">
        <f>SUM(C28:C32)</f>
        <v>0</v>
      </c>
      <c r="D33" s="496">
        <f>SUM(D28:D32)</f>
        <v>18220</v>
      </c>
      <c r="E33" s="497">
        <f>SUM(E28:E32)</f>
        <v>142</v>
      </c>
      <c r="F33" s="497">
        <v>0</v>
      </c>
      <c r="G33" s="648"/>
      <c r="H33" s="496">
        <f>SUM(H28:H32)</f>
        <v>12747</v>
      </c>
      <c r="I33" s="497">
        <v>0</v>
      </c>
      <c r="J33" s="497">
        <f>SUM(J30:J32)</f>
        <v>-2300</v>
      </c>
      <c r="K33" s="648">
        <f aca="true" t="shared" si="6" ref="K33:V33">SUM(K28:K32)</f>
        <v>0</v>
      </c>
      <c r="L33" s="497">
        <f t="shared" si="6"/>
        <v>-9400</v>
      </c>
      <c r="M33" s="495">
        <f t="shared" si="6"/>
        <v>0</v>
      </c>
      <c r="N33" s="496">
        <f t="shared" si="6"/>
        <v>-5800</v>
      </c>
      <c r="O33" s="497">
        <f t="shared" si="6"/>
        <v>0</v>
      </c>
      <c r="P33" s="496">
        <f t="shared" si="6"/>
        <v>-50000</v>
      </c>
      <c r="Q33" s="497">
        <f t="shared" si="6"/>
        <v>0</v>
      </c>
      <c r="R33" s="497">
        <f t="shared" si="6"/>
        <v>-11280</v>
      </c>
      <c r="S33" s="495">
        <f t="shared" si="6"/>
        <v>0</v>
      </c>
      <c r="T33" s="496">
        <f t="shared" si="6"/>
        <v>-2820</v>
      </c>
      <c r="U33" s="497">
        <f t="shared" si="6"/>
        <v>0</v>
      </c>
      <c r="V33" s="497">
        <f t="shared" si="6"/>
        <v>-16044</v>
      </c>
      <c r="W33" s="495">
        <f>SUM(W28:W32)</f>
        <v>142</v>
      </c>
      <c r="X33" s="498">
        <f>SUM(X28:X32)</f>
        <v>-66677</v>
      </c>
      <c r="Y33" s="310" t="s">
        <v>55</v>
      </c>
    </row>
    <row r="34" spans="1:39" ht="15.75">
      <c r="A34" s="34"/>
      <c r="B34" s="997" t="s">
        <v>55</v>
      </c>
      <c r="C34" s="998"/>
      <c r="D34" s="998"/>
      <c r="E34" s="998"/>
      <c r="F34" s="998"/>
      <c r="G34" s="998"/>
      <c r="H34" s="998"/>
      <c r="I34" s="998"/>
      <c r="J34" s="998"/>
      <c r="K34" s="998"/>
      <c r="L34" s="998"/>
      <c r="M34" s="998"/>
      <c r="N34" s="998"/>
      <c r="O34" s="998"/>
      <c r="P34" s="998"/>
      <c r="Q34" s="998"/>
      <c r="R34" s="998"/>
      <c r="S34" s="998"/>
      <c r="T34" s="998"/>
      <c r="U34" s="998"/>
      <c r="V34" s="998"/>
      <c r="W34" s="998"/>
      <c r="X34" s="998"/>
      <c r="Y34" s="311"/>
      <c r="Z34" s="676"/>
      <c r="AA34" s="37"/>
      <c r="AB34" s="37"/>
      <c r="AC34" s="37"/>
      <c r="AD34" s="37"/>
      <c r="AE34" s="37"/>
      <c r="AF34" s="37"/>
      <c r="AG34" s="37"/>
      <c r="AH34" s="37"/>
      <c r="AI34" s="37"/>
      <c r="AJ34" s="37"/>
      <c r="AK34" s="37"/>
      <c r="AL34" s="37"/>
      <c r="AM34" s="37"/>
    </row>
    <row r="35" spans="1:39" ht="15.75">
      <c r="A35" s="34"/>
      <c r="B35" s="38"/>
      <c r="C35" s="38"/>
      <c r="D35" s="38"/>
      <c r="E35" s="38"/>
      <c r="F35" s="38"/>
      <c r="G35" s="38"/>
      <c r="H35" s="38"/>
      <c r="I35" s="38"/>
      <c r="J35" s="38"/>
      <c r="K35" s="38"/>
      <c r="L35" s="38"/>
      <c r="M35" s="38"/>
      <c r="N35" s="38"/>
      <c r="O35" s="38"/>
      <c r="P35" s="38"/>
      <c r="Q35" s="38"/>
      <c r="R35" s="38"/>
      <c r="S35" s="38"/>
      <c r="T35" s="38"/>
      <c r="U35" s="38"/>
      <c r="V35" s="38"/>
      <c r="W35" s="38"/>
      <c r="X35" s="38"/>
      <c r="Y35" s="311"/>
      <c r="Z35" s="39"/>
      <c r="AA35" s="39"/>
      <c r="AB35" s="39"/>
      <c r="AC35" s="39"/>
      <c r="AD35" s="39"/>
      <c r="AE35" s="39"/>
      <c r="AF35" s="39"/>
      <c r="AG35" s="39"/>
      <c r="AH35" s="39"/>
      <c r="AI35" s="39"/>
      <c r="AJ35" s="39"/>
      <c r="AK35" s="39"/>
      <c r="AL35" s="39"/>
      <c r="AM35" s="39"/>
    </row>
    <row r="37" ht="15">
      <c r="X37" s="295"/>
    </row>
  </sheetData>
  <mergeCells count="14">
    <mergeCell ref="B34:X34"/>
    <mergeCell ref="S8:V8"/>
    <mergeCell ref="S10:T10"/>
    <mergeCell ref="W8:X10"/>
    <mergeCell ref="U10:V10"/>
    <mergeCell ref="B8:B11"/>
    <mergeCell ref="C8:L8"/>
    <mergeCell ref="M8:R8"/>
    <mergeCell ref="Q10:R10"/>
    <mergeCell ref="O10:P10"/>
    <mergeCell ref="M10:N10"/>
    <mergeCell ref="K10:L10"/>
    <mergeCell ref="G10:H10"/>
    <mergeCell ref="E10:F10"/>
  </mergeCells>
  <printOptions horizontalCentered="1"/>
  <pageMargins left="0.75" right="0.75" top="0.5" bottom="0.5" header="0.5" footer="0.5"/>
  <pageSetup fitToHeight="0" fitToWidth="1" horizontalDpi="600" verticalDpi="600" orientation="landscape" scale="39" r:id="rId1"/>
  <headerFooter alignWithMargins="0">
    <oddFooter>&amp;C&amp;"Times New Roman,Regular"&amp;14Exhibit J - Financial Analysis of Program Changes&amp;12
&amp;RJustice Assistance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