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60" tabRatio="885" firstSheet="7" activeTab="7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  <sheet name="Rate Base Reconciliation" sheetId="11" r:id="rId11"/>
    <sheet name="Expense Reconciliation" sheetId="12" r:id="rId12"/>
    <sheet name="Taxes and Other Reconciliations" sheetId="13" r:id="rId13"/>
    <sheet name="Common Plant" sheetId="14" r:id="rId14"/>
    <sheet name="Intangible Plant" sheetId="15" r:id="rId15"/>
    <sheet name="Regulatory Assets" sheetId="16" r:id="rId16"/>
    <sheet name="Regulatory Liabilities" sheetId="17" r:id="rId17"/>
    <sheet name="Regulatory Debits" sheetId="18" r:id="rId18"/>
    <sheet name="PP &amp; OSS Reconciliation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DIST">'Sch 1- Rate Base '!$Q$1:$Q$3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Return'!$A$1:$H$129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</definedNames>
  <calcPr fullCalcOnLoad="1"/>
</workbook>
</file>

<file path=xl/sharedStrings.xml><?xml version="1.0" encoding="utf-8"?>
<sst xmlns="http://schemas.openxmlformats.org/spreadsheetml/2006/main" count="1431" uniqueCount="611">
  <si>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</si>
  <si>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</si>
  <si>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</si>
  <si>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</si>
  <si>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</si>
  <si>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</si>
  <si>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</si>
  <si>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</si>
  <si>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</si>
  <si>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</si>
  <si>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</si>
  <si>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</si>
  <si>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</si>
  <si>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</si>
  <si>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</si>
  <si>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</si>
  <si>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</si>
  <si>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</si>
  <si>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</si>
  <si>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</si>
  <si>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</si>
  <si>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</si>
  <si>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</si>
  <si>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</si>
  <si>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</si>
  <si>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</si>
  <si>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</si>
  <si>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</si>
  <si>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</si>
  <si>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</si>
  <si>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</si>
  <si>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</si>
  <si>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</si>
  <si>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</si>
  <si>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</si>
  <si>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</si>
  <si>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</si>
  <si>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</si>
  <si>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</si>
  <si>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</si>
  <si>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</si>
  <si>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</si>
  <si>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</si>
  <si>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</si>
  <si>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</si>
  <si>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</si>
  <si>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</si>
  <si>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</si>
  <si>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</si>
  <si>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</si>
  <si>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</si>
  <si>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</si>
  <si>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</si>
  <si>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</si>
  <si>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</si>
  <si>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</si>
  <si>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</si>
  <si>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</si>
  <si>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</si>
  <si>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</si>
  <si>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</si>
  <si>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</si>
  <si>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</si>
  <si>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</si>
  <si>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</si>
  <si>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</si>
  <si>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</si>
  <si>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</si>
  <si>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</si>
  <si>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</si>
  <si>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</si>
  <si>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</si>
  <si>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</si>
  <si>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</si>
  <si>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</si>
  <si>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</si>
  <si>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</si>
  <si>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</si>
  <si>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</si>
  <si>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</si>
  <si>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</si>
  <si>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</si>
  <si>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</si>
  <si>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</si>
  <si>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</si>
  <si>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</si>
  <si>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</si>
  <si>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</si>
  <si>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</si>
  <si>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</si>
  <si>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</si>
  <si>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</si>
  <si>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</si>
  <si>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</si>
  <si>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</si>
  <si>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</si>
  <si>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</si>
  <si>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</si>
  <si>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</si>
  <si>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</si>
  <si>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</si>
  <si>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</si>
  <si>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</si>
  <si>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</si>
  <si>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</si>
  <si>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</si>
  <si>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</si>
  <si>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</si>
  <si>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</si>
  <si>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</si>
  <si>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</si>
  <si>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</si>
  <si>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</si>
  <si>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</si>
  <si>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</si>
  <si>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</si>
  <si>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</si>
  <si>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</si>
  <si>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</si>
  <si>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</si>
  <si>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</si>
  <si>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</si>
  <si>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</si>
  <si>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</si>
  <si>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</si>
  <si>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</si>
  <si>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</si>
  <si>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</si>
  <si>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</si>
  <si>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</si>
  <si>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</si>
  <si>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</si>
  <si>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</si>
  <si>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</si>
  <si>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</si>
  <si>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</si>
  <si>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</si>
  <si>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</si>
  <si>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</si>
  <si>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</si>
  <si>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</si>
  <si>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</si>
  <si>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</si>
  <si>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</si>
  <si>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</si>
  <si>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</si>
  <si>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</si>
  <si>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</si>
  <si>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</si>
  <si>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</si>
  <si>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</si>
  <si>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</si>
  <si>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</si>
  <si>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</si>
  <si>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</si>
  <si>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</si>
  <si>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</si>
  <si>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</si>
  <si>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</si>
  <si>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</si>
  <si>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</si>
  <si>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</si>
  <si>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</si>
  <si>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</si>
  <si>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</si>
  <si>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</si>
  <si>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</si>
  <si>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</si>
  <si>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</si>
  <si>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</si>
  <si>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</si>
  <si>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</si>
  <si>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</si>
  <si>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</si>
  <si>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</si>
  <si>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</si>
  <si>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</si>
  <si>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</si>
  <si>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</si>
  <si>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</si>
  <si>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</si>
  <si>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</si>
  <si>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</si>
  <si>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</si>
  <si>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</si>
  <si>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</si>
  <si>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</si>
  <si>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</si>
  <si>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</si>
  <si>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</si>
  <si>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</si>
  <si>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</si>
  <si>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</si>
  <si>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</si>
  <si>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</si>
  <si>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</si>
  <si>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</si>
  <si>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</si>
  <si>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</si>
  <si>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</si>
  <si>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</si>
  <si>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</si>
  <si>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</si>
  <si>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</si>
  <si>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</si>
  <si>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</si>
  <si>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</si>
  <si>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</si>
  <si>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</si>
  <si>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</si>
  <si>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</si>
  <si>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</si>
  <si>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</si>
  <si>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</si>
  <si>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</si>
  <si>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</si>
  <si>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</si>
  <si>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</si>
  <si>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</si>
  <si>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</si>
  <si>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</si>
  <si>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</si>
  <si>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</si>
  <si>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</si>
  <si>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</si>
  <si>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</si>
  <si>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</si>
  <si>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</si>
  <si>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</si>
  <si>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</si>
  <si>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</si>
  <si>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</si>
  <si>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</si>
  <si>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</si>
  <si>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</si>
  <si>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</si>
  <si>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</si>
  <si>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</si>
  <si>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</si>
  <si>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</si>
  <si>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</si>
  <si>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</si>
  <si>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</si>
  <si>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</si>
  <si>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</si>
  <si>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</si>
  <si>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</si>
  <si>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</si>
  <si>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</si>
  <si>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</si>
  <si>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</si>
  <si>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</si>
  <si>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</si>
  <si>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</si>
  <si>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</si>
  <si>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</si>
  <si>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</si>
  <si>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</si>
  <si>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</si>
  <si>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</si>
  <si>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</si>
  <si>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</si>
  <si>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</si>
  <si>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</si>
  <si>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</si>
  <si>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</si>
  <si>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</si>
  <si>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</si>
  <si>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</si>
  <si>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</si>
  <si>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</si>
  <si>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</si>
  <si>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</si>
  <si>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</si>
  <si>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</si>
  <si>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</si>
  <si>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</si>
  <si>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</si>
  <si>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</si>
  <si>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</si>
  <si>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</si>
  <si>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</si>
  <si>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</si>
  <si>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</si>
  <si>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</si>
  <si>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</si>
  <si>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</si>
  <si>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</si>
  <si>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</si>
  <si>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</si>
  <si>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</si>
  <si>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</si>
  <si>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</si>
  <si>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</si>
  <si>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</si>
  <si>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</si>
  <si>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</si>
  <si>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</si>
  <si>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</si>
  <si>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</si>
  <si>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</si>
  <si>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</si>
  <si>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</si>
  <si>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</si>
  <si>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</si>
  <si>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</si>
  <si>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</si>
  <si>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</si>
  <si>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</si>
  <si>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</si>
  <si>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</si>
  <si>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</si>
  <si>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</si>
  <si>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</si>
  <si>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</si>
  <si>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</si>
  <si>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</si>
  <si>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</si>
  <si>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</si>
  <si>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</si>
  <si>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</si>
  <si>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</si>
  <si>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</si>
  <si>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</si>
  <si>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</si>
  <si>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</si>
  <si>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</si>
  <si>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</si>
  <si>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</si>
  <si>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</si>
  <si>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</si>
  <si>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</si>
  <si>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</si>
  <si>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</si>
  <si>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</si>
  <si>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</si>
  <si>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</si>
  <si>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</si>
  <si>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</si>
  <si>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</si>
  <si>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</si>
  <si>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</si>
  <si>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</si>
  <si>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</si>
  <si>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</si>
  <si>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</si>
  <si>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</si>
  <si>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</si>
  <si>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</si>
  <si>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</si>
  <si>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</si>
  <si>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</si>
  <si>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</si>
  <si>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</si>
  <si>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</si>
  <si>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</si>
  <si>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</si>
  <si>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</si>
  <si>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</si>
  <si>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</si>
  <si>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</si>
  <si>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</si>
  <si>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</si>
  <si>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</si>
  <si>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</si>
  <si>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</si>
  <si>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</si>
  <si>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</si>
  <si>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</si>
  <si>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</si>
  <si>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</si>
  <si>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</si>
  <si>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</si>
  <si>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</si>
  <si>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</si>
  <si>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</si>
  <si>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</si>
  <si>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</si>
  <si>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</si>
  <si>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</si>
  <si>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</si>
  <si>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</si>
  <si>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</si>
  <si>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</si>
  <si>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</si>
  <si>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</si>
  <si>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</si>
  <si>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</si>
  <si>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</si>
  <si>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</si>
  <si>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</si>
  <si>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</si>
  <si>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</si>
  <si>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</si>
  <si>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</si>
  <si>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</si>
  <si>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</si>
  <si>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</si>
  <si>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</si>
  <si>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</si>
  <si>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</si>
  <si>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</si>
  <si>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</si>
  <si>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</si>
  <si>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</si>
  <si>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</si>
  <si>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</si>
  <si>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</si>
  <si>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</si>
  <si>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</si>
  <si>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</si>
  <si>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</si>
  <si>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Purchased Power &amp; Off-System Sales</t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</si>
  <si>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</si>
  <si>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</si>
  <si>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</si>
  <si>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</si>
  <si>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</si>
  <si>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</si>
  <si>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</si>
  <si>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</si>
  <si>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</si>
  <si>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</si>
  <si>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</si>
  <si>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</si>
  <si>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</si>
  <si>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</si>
  <si>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</si>
  <si>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</si>
  <si>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</si>
  <si>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</si>
  <si>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</si>
  <si>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</si>
  <si>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</si>
  <si>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</si>
  <si>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</si>
  <si>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</si>
  <si>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</si>
  <si>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</si>
  <si>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</si>
  <si>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</si>
  <si>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</si>
  <si>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</si>
  <si>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</si>
  <si>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</si>
  <si>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</si>
  <si>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</si>
  <si>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</si>
  <si>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</si>
  <si>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</si>
  <si>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</si>
  <si>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</si>
  <si>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</si>
  <si>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</si>
  <si>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</si>
  <si>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</si>
  <si>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</si>
  <si>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</si>
  <si>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</si>
  <si>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</si>
  <si>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</si>
  <si>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</si>
  <si>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</si>
  <si>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</si>
  <si>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</si>
  <si>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</si>
  <si>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</si>
  <si>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</si>
  <si>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</si>
  <si>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</si>
  <si>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</si>
  <si>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</si>
  <si>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NorthWestern Energy</t>
  </si>
  <si>
    <t>NorthWestern Energy - Montana</t>
  </si>
  <si>
    <t>Reconciliation of Amounts included in BPA Filing</t>
  </si>
  <si>
    <t>2006 FERC</t>
  </si>
  <si>
    <t>South Dakota</t>
  </si>
  <si>
    <t>Colstrip 4</t>
  </si>
  <si>
    <t>Natural Gas</t>
  </si>
  <si>
    <t>BPA</t>
  </si>
  <si>
    <t>Operations</t>
  </si>
  <si>
    <t>and Other</t>
  </si>
  <si>
    <t>Filing</t>
  </si>
  <si>
    <t>Plant</t>
  </si>
  <si>
    <t>Net Electric Plant Per Form 1 page 200 ln15</t>
  </si>
  <si>
    <t>Montana Electric portion of Common Net Plant</t>
  </si>
  <si>
    <t>Net Plant per Sch 1</t>
  </si>
  <si>
    <t>CWIP</t>
  </si>
  <si>
    <t>Electric Plant Acquisition Adjustment</t>
  </si>
  <si>
    <t>Working Capital</t>
  </si>
  <si>
    <t>Utility Plant Held for Future Use</t>
  </si>
  <si>
    <t>Other Investments</t>
  </si>
  <si>
    <t>Fuel Stock per Form 1 page 110 ln 45</t>
  </si>
  <si>
    <t>Materials and Supplies page 110 ln 48</t>
  </si>
  <si>
    <t>Prepayments</t>
  </si>
  <si>
    <t>Unamortized Debt Expense page 111 ln 69</t>
  </si>
  <si>
    <t>Regulatory Assets</t>
  </si>
  <si>
    <t>Clearing Accounts</t>
  </si>
  <si>
    <t>Temporary Facilities</t>
  </si>
  <si>
    <t>Miscellaneous Deferred Debits</t>
  </si>
  <si>
    <t>Accumulated Deferred Tax Assets page 111 ln 82</t>
  </si>
  <si>
    <t>Unamortized Loss on Reacquired Debt page 111 ln 81</t>
  </si>
  <si>
    <t>Long Term Derivative</t>
  </si>
  <si>
    <t>Customer Advances for Construction page 113 ln 56</t>
  </si>
  <si>
    <t>Other Deferred Credits page 113 ln 59</t>
  </si>
  <si>
    <t>Other Regulatory Liabilities page 113 ln 60</t>
  </si>
  <si>
    <t>Accumulated Deferred Tax Liab - Property page 113 ln 63</t>
  </si>
  <si>
    <t>Accumulated Deferred Tax Liab - Other page 113 ln 64</t>
  </si>
  <si>
    <t>Colstrip 4 Operations</t>
  </si>
  <si>
    <t>Expenses</t>
  </si>
  <si>
    <t>Operation Expense</t>
  </si>
  <si>
    <t>Maintenance Expense</t>
  </si>
  <si>
    <t>Depreciation Expense</t>
  </si>
  <si>
    <t>Amortization of Utility Plant</t>
  </si>
  <si>
    <t>Amortization of Plant Acq Adj</t>
  </si>
  <si>
    <t>Taxes</t>
  </si>
  <si>
    <t>Regulatory Amortizations</t>
  </si>
  <si>
    <t>Debits</t>
  </si>
  <si>
    <t>Credits</t>
  </si>
  <si>
    <t>Revenues</t>
  </si>
  <si>
    <t xml:space="preserve">Total </t>
  </si>
  <si>
    <t>Less Rate Schedule</t>
  </si>
  <si>
    <t>Total Other Items</t>
  </si>
  <si>
    <t>December 31, 2006</t>
  </si>
  <si>
    <t>Original Cost</t>
  </si>
  <si>
    <t>Depreciation Reserve</t>
  </si>
  <si>
    <t>Book Value</t>
  </si>
  <si>
    <t>2006 Depreciation</t>
  </si>
  <si>
    <t>Account No. 303.1</t>
  </si>
  <si>
    <t>Account No. 303.2</t>
  </si>
  <si>
    <t>Account No. 389</t>
  </si>
  <si>
    <t>Account No. 389.6</t>
  </si>
  <si>
    <t>Account No. 390</t>
  </si>
  <si>
    <t>Account No. 390.6</t>
  </si>
  <si>
    <t>Account No. 391</t>
  </si>
  <si>
    <t>Account No. 391.1</t>
  </si>
  <si>
    <t>Account No. 391.2</t>
  </si>
  <si>
    <t>Account No. 397.1</t>
  </si>
  <si>
    <t>Account No. 397.3</t>
  </si>
  <si>
    <t>Account No. 398</t>
  </si>
  <si>
    <t>Electric Portion based</t>
  </si>
  <si>
    <t>on allocation of individual sites</t>
  </si>
  <si>
    <t xml:space="preserve">These are land buildings and </t>
  </si>
  <si>
    <t>communication equipment similar</t>
  </si>
  <si>
    <t>to the electric general plant</t>
  </si>
  <si>
    <t xml:space="preserve">Functionalization is based on the </t>
  </si>
  <si>
    <t>same PTD allocators</t>
  </si>
  <si>
    <t xml:space="preserve">  Production</t>
  </si>
  <si>
    <t xml:space="preserve">  Transmission</t>
  </si>
  <si>
    <t xml:space="preserve">  Distribution</t>
  </si>
  <si>
    <t>Electric Intangible Plant Account No. 303</t>
  </si>
  <si>
    <t>Software</t>
  </si>
  <si>
    <t xml:space="preserve">  Transmission Only</t>
  </si>
  <si>
    <t xml:space="preserve">    Oil Spill Contingency Plan</t>
  </si>
  <si>
    <t xml:space="preserve">    ATR/RAS Engineering Development</t>
  </si>
  <si>
    <t xml:space="preserve">    EMS Upgrade</t>
  </si>
  <si>
    <t xml:space="preserve">    Relay Data Base </t>
  </si>
  <si>
    <t xml:space="preserve">  Common To Transmission and Distribution</t>
  </si>
  <si>
    <t xml:space="preserve">    DNP3 Test Set Software</t>
  </si>
  <si>
    <t xml:space="preserve">    OAG ICCP Software</t>
  </si>
  <si>
    <t xml:space="preserve">    SOCC OATI Server Implementation</t>
  </si>
  <si>
    <t xml:space="preserve">    2006 Backup Control Facility</t>
  </si>
  <si>
    <t>Total Software</t>
  </si>
  <si>
    <t xml:space="preserve">    Transmission Allocation Percentage</t>
  </si>
  <si>
    <t xml:space="preserve">        (Based on Gross Plant)</t>
  </si>
  <si>
    <t xml:space="preserve">    Distribution Allocation Percentage </t>
  </si>
  <si>
    <t>Total Transmission Software</t>
  </si>
  <si>
    <t>Rattlesnake Substation Additions Paid for</t>
  </si>
  <si>
    <t>by the Utility , Ownership Transferred to BPA</t>
  </si>
  <si>
    <t>Total Transmission Intangible</t>
  </si>
  <si>
    <t>Distribution Software</t>
  </si>
  <si>
    <t>Total Distribution Intangible</t>
  </si>
  <si>
    <t>Regulatory Debits</t>
  </si>
  <si>
    <t>Year Ended December 31, 2006</t>
  </si>
  <si>
    <t>Pension Differential</t>
  </si>
  <si>
    <t>Allocated based on labor</t>
  </si>
  <si>
    <t>Competitive Transition Costs</t>
  </si>
  <si>
    <t>Directly Assigned</t>
  </si>
  <si>
    <t>Property Tax Tracker</t>
  </si>
  <si>
    <t>Assigned based on Plant PTDG</t>
  </si>
  <si>
    <t>Compensated Absences</t>
  </si>
  <si>
    <t>BPA Residential Purchase and Sales Agreement</t>
  </si>
  <si>
    <t>Software Development</t>
  </si>
  <si>
    <t>NorthWestern Energy'</t>
  </si>
  <si>
    <t>Quips Preferred</t>
  </si>
  <si>
    <t>2006 Amortization</t>
  </si>
  <si>
    <t>Electric Portion of Common</t>
  </si>
  <si>
    <t>FF1 Purchased Power</t>
  </si>
  <si>
    <t>Less Colstrip #4</t>
  </si>
  <si>
    <t>Add Colstrip #4 Default Supply Purchases</t>
  </si>
  <si>
    <t>Montana Regulated Purchased Power</t>
  </si>
  <si>
    <t>Add: South Dakota</t>
  </si>
  <si>
    <t>Less: Exchange mwh</t>
  </si>
  <si>
    <t>Total (ties to FF1)</t>
  </si>
  <si>
    <t>FF1 Sales for Resale</t>
  </si>
  <si>
    <t>Add Colstrip #4 Default Supply Sales</t>
  </si>
  <si>
    <t>Montana Regulated Sales for Resale</t>
  </si>
  <si>
    <t>December 2006</t>
  </si>
  <si>
    <t>Offset by Deferred Taxes which are functionalized to Distribuiton</t>
  </si>
  <si>
    <t>Allocated based on Transmission and Distribution plant that it relates to</t>
  </si>
  <si>
    <t>Relates to energy purchased from Qualifying Facilities</t>
  </si>
  <si>
    <t>Relates to energy purchased from Basin</t>
  </si>
  <si>
    <t>GL software allocated based on labor</t>
  </si>
  <si>
    <t>BPA treats these as distribution</t>
  </si>
  <si>
    <t>Vacation accruals allocated based on labor</t>
  </si>
  <si>
    <t>Employee benefits allocated based on labor</t>
  </si>
  <si>
    <t>Offsets</t>
  </si>
  <si>
    <t>Other Deferred Credits - Electric Portion</t>
  </si>
  <si>
    <t xml:space="preserve">  Pension Plan Requirement</t>
  </si>
  <si>
    <t xml:space="preserve">  FAS 106 Transitional Obligation</t>
  </si>
  <si>
    <t xml:space="preserve">  Deferred Revenue - Long Term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</si>
</sst>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</numFmts>
  <fonts count="78">
    <font>
      <sz val="12"/>
      <name val="Times New Roman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  <font>
      <sz val="10"/>
      <color indexed="12"/>
      <name val="Garamond"/>
      <family val="1"/>
    </font>
    <font>
      <sz val="10"/>
      <color indexed="48"/>
      <name val="Arial"/>
      <family val="2"/>
    </font>
    <font>
      <sz val="12"/>
      <color indexed="12"/>
      <name val="Garamond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ck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60" applyFont="1" applyBorder="1" applyAlignment="1" applyProtection="1">
      <alignment horizontal="centerContinuous"/>
      <protection/>
    </xf>
    <xf numFmtId="0" fontId="6" fillId="0" borderId="0" xfId="60" applyFont="1" applyFill="1" applyBorder="1" applyAlignment="1" applyProtection="1">
      <alignment horizontal="centerContinuous"/>
      <protection/>
    </xf>
    <xf numFmtId="0" fontId="7" fillId="0" borderId="0" xfId="60" applyFont="1" applyFill="1" applyBorder="1" applyAlignment="1" applyProtection="1">
      <alignment horizontal="centerContinuous"/>
      <protection/>
    </xf>
    <xf numFmtId="38" fontId="8" fillId="0" borderId="0" xfId="60" applyNumberFormat="1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 applyProtection="1">
      <alignment horizontal="centerContinuous"/>
      <protection/>
    </xf>
    <xf numFmtId="0" fontId="11" fillId="0" borderId="0" xfId="60" applyFont="1" applyFill="1" applyBorder="1" applyAlignment="1" applyProtection="1">
      <alignment horizontal="centerContinuous"/>
      <protection/>
    </xf>
    <xf numFmtId="38" fontId="5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60" applyFont="1" applyFill="1" applyBorder="1" applyAlignment="1" applyProtection="1">
      <alignment horizontal="center"/>
      <protection/>
    </xf>
    <xf numFmtId="38" fontId="12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60" applyFont="1" applyFill="1" applyBorder="1" applyProtection="1">
      <alignment/>
      <protection locked="0"/>
    </xf>
    <xf numFmtId="0" fontId="5" fillId="0" borderId="0" xfId="60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60" applyFont="1" applyFill="1" applyBorder="1" applyAlignment="1" applyProtection="1">
      <alignment horizontal="right"/>
      <protection/>
    </xf>
    <xf numFmtId="0" fontId="15" fillId="0" borderId="0" xfId="6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38" fontId="6" fillId="0" borderId="0" xfId="60" applyNumberFormat="1" applyFont="1" applyBorder="1" applyAlignment="1">
      <alignment horizontal="centerContinuous"/>
      <protection/>
    </xf>
    <xf numFmtId="38" fontId="7" fillId="0" borderId="0" xfId="60" applyNumberFormat="1" applyFont="1" applyFill="1" applyBorder="1" applyAlignment="1" applyProtection="1">
      <alignment horizontal="centerContinuous"/>
      <protection/>
    </xf>
    <xf numFmtId="38" fontId="5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Fill="1" applyBorder="1" applyAlignment="1" applyProtection="1">
      <alignment horizontal="centerContinuous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 horizontal="center"/>
      <protection/>
    </xf>
    <xf numFmtId="38" fontId="16" fillId="0" borderId="0" xfId="60" applyNumberFormat="1" applyFont="1" applyFill="1" applyBorder="1" applyAlignment="1" applyProtection="1">
      <alignment horizontal="center"/>
      <protection/>
    </xf>
    <xf numFmtId="38" fontId="16" fillId="0" borderId="0" xfId="60" applyNumberFormat="1" applyFont="1" applyBorder="1" applyAlignment="1" applyProtection="1">
      <alignment horizontal="center"/>
      <protection/>
    </xf>
    <xf numFmtId="0" fontId="16" fillId="0" borderId="0" xfId="60" applyFont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38" fontId="10" fillId="0" borderId="0" xfId="60" applyNumberFormat="1" applyFont="1" applyFill="1" applyBorder="1" applyProtection="1">
      <alignment/>
      <protection/>
    </xf>
    <xf numFmtId="38" fontId="10" fillId="0" borderId="0" xfId="60" applyNumberFormat="1" applyFont="1" applyBorder="1" applyProtection="1">
      <alignment/>
      <protection/>
    </xf>
    <xf numFmtId="164" fontId="16" fillId="0" borderId="0" xfId="60" applyNumberFormat="1" applyFont="1" applyFill="1" applyBorder="1" applyAlignment="1" applyProtection="1">
      <alignment horizontal="right"/>
      <protection/>
    </xf>
    <xf numFmtId="164" fontId="16" fillId="0" borderId="0" xfId="60" applyNumberFormat="1" applyFont="1" applyFill="1" applyBorder="1" applyAlignment="1" applyProtection="1">
      <alignment horizontal="left"/>
      <protection/>
    </xf>
    <xf numFmtId="0" fontId="5" fillId="0" borderId="0" xfId="60" applyFont="1" applyFill="1" applyBorder="1" applyProtection="1">
      <alignment/>
      <protection/>
    </xf>
    <xf numFmtId="164" fontId="16" fillId="0" borderId="0" xfId="60" applyNumberFormat="1" applyFont="1" applyBorder="1" applyAlignment="1" applyProtection="1">
      <alignment horizontal="right"/>
      <protection/>
    </xf>
    <xf numFmtId="164" fontId="16" fillId="0" borderId="0" xfId="60" applyNumberFormat="1" applyFont="1" applyBorder="1" applyAlignment="1" applyProtection="1">
      <alignment horizontal="left"/>
      <protection/>
    </xf>
    <xf numFmtId="0" fontId="5" fillId="0" borderId="0" xfId="60" applyFont="1" applyFill="1" applyBorder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10" fillId="0" borderId="0" xfId="60" applyFont="1" applyBorder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center"/>
      <protection/>
    </xf>
    <xf numFmtId="38" fontId="10" fillId="0" borderId="0" xfId="0" applyNumberFormat="1" applyFont="1" applyBorder="1" applyAlignment="1">
      <alignment/>
    </xf>
    <xf numFmtId="0" fontId="10" fillId="0" borderId="0" xfId="60" applyFont="1" applyFill="1" applyBorder="1" applyAlignment="1" applyProtection="1">
      <alignment horizontal="left"/>
      <protection/>
    </xf>
    <xf numFmtId="0" fontId="10" fillId="0" borderId="0" xfId="60" applyFont="1" applyBorder="1">
      <alignment/>
      <protection/>
    </xf>
    <xf numFmtId="38" fontId="16" fillId="0" borderId="0" xfId="60" applyNumberFormat="1" applyFont="1" applyBorder="1" applyAlignment="1" applyProtection="1">
      <alignment horizontal="right"/>
      <protection/>
    </xf>
    <xf numFmtId="0" fontId="12" fillId="0" borderId="0" xfId="60" applyFont="1" applyBorder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11" fillId="0" borderId="0" xfId="60" applyFont="1" applyFill="1" applyBorder="1" applyProtection="1">
      <alignment/>
      <protection/>
    </xf>
    <xf numFmtId="0" fontId="12" fillId="0" borderId="0" xfId="60" applyFont="1" applyFill="1" applyBorder="1" applyAlignment="1" applyProtection="1">
      <alignment horizontal="center"/>
      <protection locked="0"/>
    </xf>
    <xf numFmtId="38" fontId="12" fillId="0" borderId="0" xfId="60" applyNumberFormat="1" applyFont="1" applyBorder="1" applyProtection="1">
      <alignment/>
      <protection locked="0"/>
    </xf>
    <xf numFmtId="38" fontId="12" fillId="0" borderId="0" xfId="60" applyNumberFormat="1" applyFont="1" applyBorder="1">
      <alignment/>
      <protection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10" fillId="0" borderId="0" xfId="60" applyNumberFormat="1" applyFont="1" applyFill="1" applyBorder="1" applyAlignment="1" applyProtection="1">
      <alignment horizontal="right"/>
      <protection/>
    </xf>
    <xf numFmtId="38" fontId="12" fillId="0" borderId="0" xfId="60" applyNumberFormat="1" applyFont="1" applyFill="1" applyBorder="1" applyProtection="1">
      <alignment/>
      <protection/>
    </xf>
    <xf numFmtId="3" fontId="19" fillId="0" borderId="0" xfId="60" applyNumberFormat="1" applyFont="1" applyBorder="1" applyProtection="1">
      <alignment/>
      <protection/>
    </xf>
    <xf numFmtId="3" fontId="19" fillId="0" borderId="0" xfId="60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65" applyFont="1" applyFill="1" applyBorder="1" applyAlignment="1" applyProtection="1">
      <alignment horizontal="right"/>
      <protection/>
    </xf>
    <xf numFmtId="10" fontId="16" fillId="0" borderId="0" xfId="65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10" fillId="0" borderId="0" xfId="60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10" fillId="0" borderId="0" xfId="60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6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0" applyFont="1" applyBorder="1" applyProtection="1">
      <alignment/>
      <protection locked="0"/>
    </xf>
    <xf numFmtId="0" fontId="11" fillId="0" borderId="0" xfId="60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center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Fill="1" applyBorder="1" applyAlignment="1" applyProtection="1">
      <alignment horizontal="center"/>
      <protection/>
    </xf>
    <xf numFmtId="38" fontId="20" fillId="0" borderId="0" xfId="6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60" applyFont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center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20" fillId="0" borderId="0" xfId="60" applyNumberFormat="1" applyFont="1" applyBorder="1" applyAlignment="1" applyProtection="1">
      <alignment horizontal="left"/>
      <protection/>
    </xf>
    <xf numFmtId="38" fontId="20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62" applyFont="1" applyFill="1" applyBorder="1">
      <alignment/>
      <protection/>
    </xf>
    <xf numFmtId="0" fontId="12" fillId="0" borderId="0" xfId="60" applyFont="1" applyFill="1" applyBorder="1" applyProtection="1">
      <alignment/>
      <protection locked="0"/>
    </xf>
    <xf numFmtId="0" fontId="12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3" fillId="0" borderId="0" xfId="60" applyFont="1" applyFill="1" applyBorder="1" applyProtection="1">
      <alignment/>
      <protection/>
    </xf>
    <xf numFmtId="0" fontId="22" fillId="0" borderId="0" xfId="59" applyFont="1">
      <alignment/>
      <protection/>
    </xf>
    <xf numFmtId="177" fontId="22" fillId="0" borderId="0" xfId="45" applyNumberFormat="1" applyFont="1" applyAlignment="1">
      <alignment/>
    </xf>
    <xf numFmtId="38" fontId="11" fillId="0" borderId="0" xfId="6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38" fontId="25" fillId="0" borderId="0" xfId="60" applyNumberFormat="1" applyFont="1" applyFill="1" applyBorder="1" applyAlignment="1" applyProtection="1">
      <alignment horizontal="centerContinuous"/>
      <protection/>
    </xf>
    <xf numFmtId="0" fontId="26" fillId="0" borderId="0" xfId="59" applyFont="1">
      <alignment/>
      <protection/>
    </xf>
    <xf numFmtId="43" fontId="5" fillId="0" borderId="0" xfId="42" applyFont="1" applyAlignment="1">
      <alignment/>
    </xf>
    <xf numFmtId="38" fontId="11" fillId="0" borderId="0" xfId="60" applyNumberFormat="1" applyFont="1" applyBorder="1" applyAlignment="1" applyProtection="1">
      <alignment horizontal="center"/>
      <protection/>
    </xf>
    <xf numFmtId="0" fontId="29" fillId="0" borderId="0" xfId="60" applyFont="1" applyBorder="1" applyAlignment="1" applyProtection="1">
      <alignment horizontal="center"/>
      <protection/>
    </xf>
    <xf numFmtId="0" fontId="29" fillId="0" borderId="0" xfId="60" applyFont="1" applyBorder="1" applyAlignment="1" applyProtection="1">
      <alignment horizontal="center"/>
      <protection locked="0"/>
    </xf>
    <xf numFmtId="0" fontId="29" fillId="0" borderId="0" xfId="6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center"/>
      <protection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164" fontId="12" fillId="0" borderId="0" xfId="60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60" applyNumberFormat="1" applyFont="1" applyFill="1" applyBorder="1" applyAlignment="1" applyProtection="1">
      <alignment horizontal="center"/>
      <protection locked="0"/>
    </xf>
    <xf numFmtId="0" fontId="29" fillId="0" borderId="0" xfId="6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6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60" applyFont="1" applyBorder="1" applyAlignment="1" applyProtection="1">
      <alignment horizontal="centerContinuous"/>
      <protection/>
    </xf>
    <xf numFmtId="0" fontId="33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6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6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7" fillId="0" borderId="0" xfId="62" applyNumberFormat="1" applyFont="1" applyBorder="1" applyAlignment="1">
      <alignment horizontal="center"/>
      <protection/>
    </xf>
    <xf numFmtId="0" fontId="11" fillId="0" borderId="0" xfId="6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7" fillId="0" borderId="0" xfId="60" applyNumberFormat="1" applyFont="1" applyFill="1" applyBorder="1" applyAlignment="1" applyProtection="1">
      <alignment horizontal="center"/>
      <protection/>
    </xf>
    <xf numFmtId="38" fontId="7" fillId="0" borderId="0" xfId="60" applyNumberFormat="1" applyFont="1" applyBorder="1" applyAlignment="1" applyProtection="1">
      <alignment horizontal="center"/>
      <protection/>
    </xf>
    <xf numFmtId="0" fontId="38" fillId="0" borderId="0" xfId="60" applyFont="1" applyBorder="1" applyAlignment="1">
      <alignment horizontal="center"/>
      <protection/>
    </xf>
    <xf numFmtId="0" fontId="38" fillId="0" borderId="0" xfId="6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3" fontId="5" fillId="0" borderId="0" xfId="42" applyFont="1" applyBorder="1" applyAlignment="1">
      <alignment horizontal="centerContinuous"/>
    </xf>
    <xf numFmtId="38" fontId="11" fillId="0" borderId="11" xfId="60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4" fillId="0" borderId="12" xfId="0" applyFont="1" applyBorder="1" applyAlignment="1">
      <alignment horizontal="centerContinuous"/>
    </xf>
    <xf numFmtId="0" fontId="34" fillId="0" borderId="13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43" fontId="5" fillId="0" borderId="13" xfId="42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4" xfId="60" applyFont="1" applyBorder="1" applyAlignment="1" applyProtection="1">
      <alignment horizontal="centerContinuous"/>
      <protection/>
    </xf>
    <xf numFmtId="166" fontId="5" fillId="0" borderId="0" xfId="42" applyNumberFormat="1" applyFont="1" applyFill="1" applyBorder="1" applyAlignment="1">
      <alignment/>
    </xf>
    <xf numFmtId="0" fontId="7" fillId="0" borderId="14" xfId="59" applyFont="1" applyBorder="1">
      <alignment/>
      <protection/>
    </xf>
    <xf numFmtId="0" fontId="13" fillId="0" borderId="0" xfId="5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59" applyFont="1" applyFill="1" applyBorder="1">
      <alignment/>
      <protection/>
    </xf>
    <xf numFmtId="0" fontId="7" fillId="0" borderId="0" xfId="59" applyFont="1" applyBorder="1">
      <alignment/>
      <protection/>
    </xf>
    <xf numFmtId="0" fontId="7" fillId="0" borderId="16" xfId="59" applyFont="1" applyBorder="1">
      <alignment/>
      <protection/>
    </xf>
    <xf numFmtId="0" fontId="13" fillId="0" borderId="17" xfId="5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2" fillId="0" borderId="13" xfId="45" applyNumberFormat="1" applyFont="1" applyBorder="1" applyAlignment="1">
      <alignment horizontal="centerContinuous"/>
    </xf>
    <xf numFmtId="177" fontId="22" fillId="0" borderId="19" xfId="45" applyNumberFormat="1" applyFont="1" applyBorder="1" applyAlignment="1">
      <alignment horizontal="centerContinuous"/>
    </xf>
    <xf numFmtId="177" fontId="22" fillId="0" borderId="0" xfId="45" applyNumberFormat="1" applyFont="1" applyBorder="1" applyAlignment="1">
      <alignment horizontal="centerContinuous"/>
    </xf>
    <xf numFmtId="177" fontId="22" fillId="0" borderId="15" xfId="45" applyNumberFormat="1" applyFont="1" applyBorder="1" applyAlignment="1">
      <alignment horizontal="centerContinuous"/>
    </xf>
    <xf numFmtId="0" fontId="34" fillId="0" borderId="14" xfId="59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13" fillId="0" borderId="20" xfId="5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59" applyFont="1" applyBorder="1">
      <alignment/>
      <protection/>
    </xf>
    <xf numFmtId="0" fontId="7" fillId="0" borderId="22" xfId="5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7" fillId="0" borderId="0" xfId="65" applyFont="1" applyFill="1" applyBorder="1" applyAlignment="1">
      <alignment/>
    </xf>
    <xf numFmtId="9" fontId="7" fillId="0" borderId="15" xfId="65" applyFont="1" applyFill="1" applyBorder="1" applyAlignment="1">
      <alignment/>
    </xf>
    <xf numFmtId="0" fontId="27" fillId="0" borderId="23" xfId="0" applyFont="1" applyBorder="1" applyAlignment="1">
      <alignment horizontal="centerContinuous"/>
    </xf>
    <xf numFmtId="0" fontId="27" fillId="0" borderId="24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43" fontId="5" fillId="0" borderId="24" xfId="42" applyFont="1" applyBorder="1" applyAlignment="1">
      <alignment horizontal="centerContinuous"/>
    </xf>
    <xf numFmtId="177" fontId="22" fillId="0" borderId="24" xfId="45" applyNumberFormat="1" applyFont="1" applyBorder="1" applyAlignment="1">
      <alignment horizontal="centerContinuous"/>
    </xf>
    <xf numFmtId="177" fontId="22" fillId="0" borderId="25" xfId="45" applyNumberFormat="1" applyFont="1" applyBorder="1" applyAlignment="1">
      <alignment horizontal="centerContinuous"/>
    </xf>
    <xf numFmtId="0" fontId="13" fillId="0" borderId="26" xfId="59" applyFont="1" applyBorder="1">
      <alignment/>
      <protection/>
    </xf>
    <xf numFmtId="177" fontId="13" fillId="0" borderId="27" xfId="45" applyNumberFormat="1" applyFont="1" applyBorder="1" applyAlignment="1">
      <alignment/>
    </xf>
    <xf numFmtId="177" fontId="13" fillId="0" borderId="28" xfId="45" applyNumberFormat="1" applyFont="1" applyBorder="1" applyAlignment="1">
      <alignment/>
    </xf>
    <xf numFmtId="38" fontId="36" fillId="0" borderId="0" xfId="60" applyNumberFormat="1" applyFont="1" applyFill="1" applyBorder="1" applyAlignment="1" applyProtection="1">
      <alignment horizontal="centerContinuous"/>
      <protection/>
    </xf>
    <xf numFmtId="38" fontId="7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Border="1">
      <alignment/>
      <protection/>
    </xf>
    <xf numFmtId="38" fontId="11" fillId="0" borderId="0" xfId="60" applyNumberFormat="1" applyFont="1" applyBorder="1" applyProtection="1">
      <alignment/>
      <protection/>
    </xf>
    <xf numFmtId="0" fontId="39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6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6" fillId="0" borderId="0" xfId="60" applyFont="1" applyFill="1" applyBorder="1" applyAlignment="1" applyProtection="1">
      <alignment horizontal="centerContinuous"/>
      <protection/>
    </xf>
    <xf numFmtId="0" fontId="13" fillId="0" borderId="0" xfId="60" applyFont="1" applyFill="1" applyBorder="1" applyAlignment="1" applyProtection="1">
      <alignment horizontal="centerContinuous"/>
      <protection/>
    </xf>
    <xf numFmtId="0" fontId="12" fillId="0" borderId="0" xfId="60" applyFont="1" applyFill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36" fillId="0" borderId="0" xfId="60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1" fillId="0" borderId="0" xfId="62" applyFont="1" applyBorder="1" applyAlignment="1" quotePrefix="1">
      <alignment horizontal="center"/>
      <protection/>
    </xf>
    <xf numFmtId="0" fontId="13" fillId="0" borderId="0" xfId="62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62" applyFont="1" applyBorder="1" applyAlignment="1">
      <alignment horizontal="center"/>
      <protection/>
    </xf>
    <xf numFmtId="169" fontId="13" fillId="0" borderId="0" xfId="65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62" applyFont="1" applyBorder="1" applyAlignment="1" quotePrefix="1">
      <alignment horizontal="center" wrapText="1"/>
      <protection/>
    </xf>
    <xf numFmtId="0" fontId="41" fillId="0" borderId="0" xfId="0" applyFont="1" applyBorder="1" applyAlignment="1">
      <alignment/>
    </xf>
    <xf numFmtId="0" fontId="7" fillId="0" borderId="0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>
      <alignment horizontal="center"/>
      <protection/>
    </xf>
    <xf numFmtId="0" fontId="34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24" fillId="0" borderId="30" xfId="0" applyFont="1" applyBorder="1" applyAlignment="1">
      <alignment horizontal="centerContinuous"/>
    </xf>
    <xf numFmtId="0" fontId="14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7" fillId="0" borderId="32" xfId="60" applyFont="1" applyBorder="1" applyAlignment="1" applyProtection="1">
      <alignment horizontal="centerContinuous"/>
      <protection/>
    </xf>
    <xf numFmtId="38" fontId="7" fillId="0" borderId="33" xfId="60" applyNumberFormat="1" applyFont="1" applyFill="1" applyBorder="1" applyAlignment="1" applyProtection="1">
      <alignment horizontal="centerContinuous"/>
      <protection/>
    </xf>
    <xf numFmtId="0" fontId="7" fillId="0" borderId="32" xfId="60" applyFont="1" applyBorder="1" applyProtection="1">
      <alignment/>
      <protection/>
    </xf>
    <xf numFmtId="0" fontId="11" fillId="0" borderId="32" xfId="60" applyFont="1" applyBorder="1" applyAlignment="1" applyProtection="1">
      <alignment horizontal="center"/>
      <protection/>
    </xf>
    <xf numFmtId="0" fontId="12" fillId="0" borderId="32" xfId="60" applyFont="1" applyBorder="1" applyAlignment="1" applyProtection="1">
      <alignment horizontal="center"/>
      <protection/>
    </xf>
    <xf numFmtId="0" fontId="12" fillId="0" borderId="32" xfId="60" applyFont="1" applyFill="1" applyBorder="1" applyAlignment="1" applyProtection="1">
      <alignment horizontal="center"/>
      <protection/>
    </xf>
    <xf numFmtId="0" fontId="30" fillId="0" borderId="32" xfId="60" applyFont="1" applyFill="1" applyBorder="1">
      <alignment/>
      <protection/>
    </xf>
    <xf numFmtId="0" fontId="11" fillId="0" borderId="32" xfId="60" applyFont="1" applyFill="1" applyBorder="1">
      <alignment/>
      <protection/>
    </xf>
    <xf numFmtId="0" fontId="7" fillId="0" borderId="32" xfId="60" applyFont="1" applyFill="1" applyBorder="1">
      <alignment/>
      <protection/>
    </xf>
    <xf numFmtId="0" fontId="12" fillId="0" borderId="32" xfId="60" applyFont="1" applyFill="1" applyBorder="1">
      <alignment/>
      <protection/>
    </xf>
    <xf numFmtId="0" fontId="21" fillId="0" borderId="32" xfId="60" applyFont="1" applyFill="1" applyBorder="1">
      <alignment/>
      <protection/>
    </xf>
    <xf numFmtId="0" fontId="33" fillId="0" borderId="32" xfId="6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left" vertical="center" wrapText="1"/>
    </xf>
    <xf numFmtId="0" fontId="31" fillId="0" borderId="32" xfId="60" applyFont="1" applyFill="1" applyBorder="1">
      <alignment/>
      <protection/>
    </xf>
    <xf numFmtId="0" fontId="13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0" fillId="0" borderId="32" xfId="60" applyFont="1" applyFill="1" applyBorder="1" applyProtection="1">
      <alignment/>
      <protection/>
    </xf>
    <xf numFmtId="0" fontId="33" fillId="0" borderId="34" xfId="60" applyFont="1" applyFill="1" applyBorder="1" applyProtection="1">
      <alignment/>
      <protection/>
    </xf>
    <xf numFmtId="0" fontId="12" fillId="0" borderId="3" xfId="60" applyFont="1" applyFill="1" applyBorder="1" applyProtection="1">
      <alignment/>
      <protection/>
    </xf>
    <xf numFmtId="0" fontId="12" fillId="0" borderId="3" xfId="60" applyFont="1" applyFill="1" applyBorder="1" applyAlignment="1" applyProtection="1">
      <alignment horizontal="center"/>
      <protection/>
    </xf>
    <xf numFmtId="38" fontId="23" fillId="0" borderId="3" xfId="60" applyNumberFormat="1" applyFont="1" applyFill="1" applyBorder="1" applyAlignment="1" applyProtection="1">
      <alignment horizontal="right"/>
      <protection/>
    </xf>
    <xf numFmtId="38" fontId="12" fillId="0" borderId="3" xfId="60" applyNumberFormat="1" applyFont="1" applyFill="1" applyBorder="1" applyAlignment="1" applyProtection="1">
      <alignment horizontal="right"/>
      <protection/>
    </xf>
    <xf numFmtId="38" fontId="12" fillId="0" borderId="35" xfId="60" applyNumberFormat="1" applyFont="1" applyFill="1" applyBorder="1" applyAlignment="1" applyProtection="1">
      <alignment horizontal="right"/>
      <protection/>
    </xf>
    <xf numFmtId="0" fontId="27" fillId="0" borderId="32" xfId="60" applyFont="1" applyBorder="1" applyAlignment="1" applyProtection="1">
      <alignment horizontal="centerContinuous"/>
      <protection/>
    </xf>
    <xf numFmtId="38" fontId="23" fillId="0" borderId="0" xfId="60" applyNumberFormat="1" applyFont="1" applyBorder="1" applyProtection="1">
      <alignment/>
      <protection/>
    </xf>
    <xf numFmtId="38" fontId="10" fillId="0" borderId="33" xfId="60" applyNumberFormat="1" applyFont="1" applyBorder="1" applyProtection="1">
      <alignment/>
      <protection/>
    </xf>
    <xf numFmtId="0" fontId="7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/>
    </xf>
    <xf numFmtId="0" fontId="11" fillId="0" borderId="36" xfId="60" applyFont="1" applyBorder="1" applyAlignment="1" applyProtection="1">
      <alignment horizontal="center"/>
      <protection/>
    </xf>
    <xf numFmtId="177" fontId="11" fillId="22" borderId="36" xfId="45" applyNumberFormat="1" applyFont="1" applyFill="1" applyBorder="1" applyAlignment="1">
      <alignment/>
    </xf>
    <xf numFmtId="177" fontId="11" fillId="22" borderId="37" xfId="45" applyNumberFormat="1" applyFont="1" applyFill="1" applyBorder="1" applyAlignment="1">
      <alignment/>
    </xf>
    <xf numFmtId="0" fontId="11" fillId="0" borderId="36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 locked="0"/>
    </xf>
    <xf numFmtId="38" fontId="12" fillId="0" borderId="33" xfId="60" applyNumberFormat="1" applyFont="1" applyFill="1" applyBorder="1" applyAlignment="1" applyProtection="1">
      <alignment horizontal="right"/>
      <protection/>
    </xf>
    <xf numFmtId="0" fontId="12" fillId="0" borderId="0" xfId="60" applyFont="1" applyFill="1" applyBorder="1" applyAlignment="1">
      <alignment horizontal="center"/>
      <protection/>
    </xf>
    <xf numFmtId="0" fontId="11" fillId="0" borderId="36" xfId="60" applyNumberFormat="1" applyFont="1" applyBorder="1" applyAlignment="1" applyProtection="1">
      <alignment horizontal="center"/>
      <protection/>
    </xf>
    <xf numFmtId="1" fontId="11" fillId="0" borderId="36" xfId="60" applyNumberFormat="1" applyFont="1" applyBorder="1" applyAlignment="1" applyProtection="1">
      <alignment horizontal="center"/>
      <protection/>
    </xf>
    <xf numFmtId="0" fontId="12" fillId="0" borderId="34" xfId="60" applyFont="1" applyFill="1" applyBorder="1">
      <alignment/>
      <protection/>
    </xf>
    <xf numFmtId="0" fontId="11" fillId="0" borderId="3" xfId="60" applyFont="1" applyFill="1" applyBorder="1" applyProtection="1">
      <alignment/>
      <protection locked="0"/>
    </xf>
    <xf numFmtId="0" fontId="11" fillId="0" borderId="3" xfId="60" applyFont="1" applyFill="1" applyBorder="1" applyAlignment="1">
      <alignment horizontal="center"/>
      <protection/>
    </xf>
    <xf numFmtId="0" fontId="11" fillId="0" borderId="3" xfId="60" applyFont="1" applyFill="1" applyBorder="1" applyAlignment="1" applyProtection="1">
      <alignment horizontal="center"/>
      <protection/>
    </xf>
    <xf numFmtId="0" fontId="11" fillId="0" borderId="3" xfId="60" applyFont="1" applyFill="1" applyBorder="1" applyProtection="1">
      <alignment/>
      <protection/>
    </xf>
    <xf numFmtId="0" fontId="13" fillId="0" borderId="34" xfId="0" applyFont="1" applyFill="1" applyBorder="1" applyAlignment="1">
      <alignment/>
    </xf>
    <xf numFmtId="0" fontId="12" fillId="0" borderId="3" xfId="60" applyFont="1" applyFill="1" applyBorder="1" applyProtection="1">
      <alignment/>
      <protection locked="0"/>
    </xf>
    <xf numFmtId="0" fontId="12" fillId="0" borderId="3" xfId="6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62" applyFont="1" applyBorder="1" applyAlignment="1" quotePrefix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 locked="0"/>
    </xf>
    <xf numFmtId="38" fontId="13" fillId="0" borderId="0" xfId="62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 quotePrefix="1">
      <alignment horizontal="center"/>
      <protection/>
    </xf>
    <xf numFmtId="0" fontId="7" fillId="0" borderId="32" xfId="60" applyFont="1" applyBorder="1" applyAlignment="1">
      <alignment horizontal="left"/>
      <protection/>
    </xf>
    <xf numFmtId="38" fontId="13" fillId="0" borderId="33" xfId="0" applyNumberFormat="1" applyFont="1" applyBorder="1" applyAlignment="1" applyProtection="1">
      <alignment horizontal="right"/>
      <protection/>
    </xf>
    <xf numFmtId="0" fontId="7" fillId="0" borderId="32" xfId="62" applyFont="1" applyFill="1" applyBorder="1">
      <alignment/>
      <protection/>
    </xf>
    <xf numFmtId="0" fontId="7" fillId="0" borderId="32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62" applyFont="1" applyFill="1" applyBorder="1">
      <alignment/>
      <protection/>
    </xf>
    <xf numFmtId="0" fontId="13" fillId="0" borderId="3" xfId="62" applyFont="1" applyBorder="1" applyAlignment="1">
      <alignment horizontal="center"/>
      <protection/>
    </xf>
    <xf numFmtId="0" fontId="11" fillId="0" borderId="32" xfId="0" applyFont="1" applyBorder="1" applyAlignment="1">
      <alignment/>
    </xf>
    <xf numFmtId="0" fontId="7" fillId="0" borderId="0" xfId="60" applyFont="1" applyBorder="1" applyAlignment="1" applyProtection="1">
      <alignment horizontal="center"/>
      <protection/>
    </xf>
    <xf numFmtId="38" fontId="7" fillId="0" borderId="33" xfId="60" applyNumberFormat="1" applyFont="1" applyBorder="1" applyAlignment="1" applyProtection="1">
      <alignment horizontal="center"/>
      <protection/>
    </xf>
    <xf numFmtId="0" fontId="34" fillId="0" borderId="30" xfId="0" applyFont="1" applyBorder="1" applyAlignment="1">
      <alignment horizontal="centerContinuous"/>
    </xf>
    <xf numFmtId="0" fontId="7" fillId="0" borderId="32" xfId="60" applyFont="1" applyBorder="1" applyAlignment="1" applyProtection="1">
      <alignment horizontal="left"/>
      <protection/>
    </xf>
    <xf numFmtId="0" fontId="30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Alignment="1" applyProtection="1">
      <alignment horizontal="left"/>
      <protection/>
    </xf>
    <xf numFmtId="0" fontId="7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Protection="1">
      <alignment/>
      <protection/>
    </xf>
    <xf numFmtId="0" fontId="7" fillId="0" borderId="32" xfId="60" applyFont="1" applyFill="1" applyBorder="1" applyProtection="1">
      <alignment/>
      <protection/>
    </xf>
    <xf numFmtId="0" fontId="18" fillId="0" borderId="32" xfId="60" applyFont="1" applyFill="1" applyBorder="1" applyAlignment="1" applyProtection="1">
      <alignment horizontal="left"/>
      <protection/>
    </xf>
    <xf numFmtId="0" fontId="32" fillId="0" borderId="32" xfId="60" applyFont="1" applyFill="1" applyBorder="1" applyProtection="1">
      <alignment/>
      <protection/>
    </xf>
    <xf numFmtId="0" fontId="33" fillId="0" borderId="32" xfId="60" applyFont="1" applyFill="1" applyBorder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8" xfId="60" applyFont="1" applyBorder="1" applyAlignment="1" applyProtection="1">
      <alignment horizontal="center"/>
      <protection/>
    </xf>
    <xf numFmtId="0" fontId="13" fillId="0" borderId="33" xfId="0" applyFont="1" applyBorder="1" applyAlignment="1">
      <alignment/>
    </xf>
    <xf numFmtId="0" fontId="13" fillId="0" borderId="0" xfId="60" applyFont="1" applyFill="1" applyBorder="1" applyAlignment="1" applyProtection="1">
      <alignment horizontal="left"/>
      <protection/>
    </xf>
    <xf numFmtId="38" fontId="13" fillId="0" borderId="0" xfId="60" applyNumberFormat="1" applyFont="1" applyFill="1" applyBorder="1" applyAlignment="1" applyProtection="1">
      <alignment horizontal="right"/>
      <protection/>
    </xf>
    <xf numFmtId="38" fontId="13" fillId="0" borderId="33" xfId="60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Continuous"/>
    </xf>
    <xf numFmtId="0" fontId="35" fillId="0" borderId="32" xfId="0" applyFont="1" applyBorder="1" applyAlignment="1">
      <alignment horizontal="centerContinuous"/>
    </xf>
    <xf numFmtId="0" fontId="36" fillId="0" borderId="32" xfId="60" applyFont="1" applyBorder="1" applyAlignment="1" applyProtection="1">
      <alignment horizontal="centerContinuous"/>
      <protection/>
    </xf>
    <xf numFmtId="0" fontId="13" fillId="0" borderId="32" xfId="0" applyFont="1" applyBorder="1" applyAlignment="1">
      <alignment/>
    </xf>
    <xf numFmtId="0" fontId="30" fillId="0" borderId="32" xfId="60" applyFont="1" applyBorder="1" applyProtection="1">
      <alignment/>
      <protection/>
    </xf>
    <xf numFmtId="0" fontId="33" fillId="0" borderId="32" xfId="60" applyFont="1" applyBorder="1" applyProtection="1">
      <alignment/>
      <protection/>
    </xf>
    <xf numFmtId="38" fontId="11" fillId="0" borderId="33" xfId="60" applyNumberFormat="1" applyFont="1" applyFill="1" applyBorder="1" applyAlignment="1" applyProtection="1">
      <alignment horizontal="right"/>
      <protection/>
    </xf>
    <xf numFmtId="0" fontId="37" fillId="0" borderId="32" xfId="60" applyFont="1" applyBorder="1" applyProtection="1">
      <alignment/>
      <protection/>
    </xf>
    <xf numFmtId="0" fontId="13" fillId="0" borderId="32" xfId="60" applyFont="1" applyBorder="1" applyProtection="1">
      <alignment/>
      <protection/>
    </xf>
    <xf numFmtId="38" fontId="20" fillId="0" borderId="33" xfId="60" applyNumberFormat="1" applyFont="1" applyBorder="1" applyAlignment="1" applyProtection="1">
      <alignment horizontal="center"/>
      <protection/>
    </xf>
    <xf numFmtId="38" fontId="0" fillId="0" borderId="33" xfId="0" applyNumberFormat="1" applyFont="1" applyBorder="1" applyAlignment="1">
      <alignment/>
    </xf>
    <xf numFmtId="0" fontId="13" fillId="0" borderId="33" xfId="60" applyFont="1" applyBorder="1" applyAlignment="1">
      <alignment horizontal="center"/>
      <protection/>
    </xf>
    <xf numFmtId="0" fontId="12" fillId="0" borderId="32" xfId="60" applyFont="1" applyBorder="1" applyProtection="1">
      <alignment/>
      <protection/>
    </xf>
    <xf numFmtId="38" fontId="13" fillId="22" borderId="39" xfId="60" applyNumberFormat="1" applyFont="1" applyFill="1" applyBorder="1" applyAlignment="1" applyProtection="1">
      <alignment horizontal="right"/>
      <protection/>
    </xf>
    <xf numFmtId="38" fontId="13" fillId="22" borderId="40" xfId="60" applyNumberFormat="1" applyFont="1" applyFill="1" applyBorder="1" applyAlignment="1" applyProtection="1">
      <alignment horizontal="right"/>
      <protection/>
    </xf>
    <xf numFmtId="0" fontId="1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7" fillId="0" borderId="33" xfId="60" applyFont="1" applyFill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43" fontId="23" fillId="0" borderId="3" xfId="42" applyFont="1" applyFill="1" applyBorder="1" applyAlignment="1">
      <alignment/>
    </xf>
    <xf numFmtId="0" fontId="5" fillId="0" borderId="35" xfId="0" applyFont="1" applyBorder="1" applyAlignment="1">
      <alignment/>
    </xf>
    <xf numFmtId="0" fontId="7" fillId="0" borderId="43" xfId="60" applyFont="1" applyFill="1" applyBorder="1" applyAlignment="1" applyProtection="1">
      <alignment horizontal="centerContinuous"/>
      <protection/>
    </xf>
    <xf numFmtId="0" fontId="7" fillId="0" borderId="44" xfId="60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3" fontId="5" fillId="0" borderId="0" xfId="42" applyFont="1" applyFill="1" applyBorder="1" applyAlignment="1">
      <alignment/>
    </xf>
    <xf numFmtId="166" fontId="11" fillId="0" borderId="36" xfId="42" applyNumberFormat="1" applyFont="1" applyFill="1" applyBorder="1" applyAlignment="1">
      <alignment horizontal="center"/>
    </xf>
    <xf numFmtId="3" fontId="11" fillId="22" borderId="37" xfId="0" applyNumberFormat="1" applyFont="1" applyFill="1" applyBorder="1" applyAlignment="1">
      <alignment/>
    </xf>
    <xf numFmtId="0" fontId="11" fillId="0" borderId="45" xfId="60" applyFont="1" applyFill="1" applyBorder="1" applyAlignment="1" applyProtection="1">
      <alignment horizontal="center"/>
      <protection/>
    </xf>
    <xf numFmtId="166" fontId="11" fillId="22" borderId="36" xfId="42" applyNumberFormat="1" applyFont="1" applyFill="1" applyBorder="1" applyAlignment="1">
      <alignment/>
    </xf>
    <xf numFmtId="0" fontId="11" fillId="0" borderId="36" xfId="60" applyNumberFormat="1" applyFont="1" applyFill="1" applyBorder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/>
      <protection locked="0"/>
    </xf>
    <xf numFmtId="0" fontId="34" fillId="0" borderId="31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7" fillId="0" borderId="32" xfId="60" applyFont="1" applyBorder="1">
      <alignment/>
      <protection/>
    </xf>
    <xf numFmtId="38" fontId="12" fillId="0" borderId="33" xfId="60" applyNumberFormat="1" applyFont="1" applyBorder="1" applyProtection="1">
      <alignment/>
      <protection/>
    </xf>
    <xf numFmtId="0" fontId="11" fillId="0" borderId="32" xfId="60" applyFont="1" applyBorder="1">
      <alignment/>
      <protection/>
    </xf>
    <xf numFmtId="0" fontId="32" fillId="0" borderId="32" xfId="60" applyFont="1" applyBorder="1" applyProtection="1">
      <alignment/>
      <protection/>
    </xf>
    <xf numFmtId="38" fontId="11" fillId="0" borderId="33" xfId="60" applyNumberFormat="1" applyFont="1" applyBorder="1">
      <alignment/>
      <protection/>
    </xf>
    <xf numFmtId="38" fontId="11" fillId="0" borderId="33" xfId="60" applyNumberFormat="1" applyFont="1" applyBorder="1" applyProtection="1">
      <alignment/>
      <protection/>
    </xf>
    <xf numFmtId="0" fontId="7" fillId="0" borderId="3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38" fontId="40" fillId="0" borderId="33" xfId="60" applyNumberFormat="1" applyFont="1" applyFill="1" applyBorder="1" applyAlignment="1" applyProtection="1">
      <alignment/>
      <protection/>
    </xf>
    <xf numFmtId="38" fontId="40" fillId="0" borderId="33" xfId="60" applyNumberFormat="1" applyFont="1" applyFill="1" applyBorder="1" applyAlignment="1" applyProtection="1">
      <alignment horizontal="centerContinuous"/>
      <protection/>
    </xf>
    <xf numFmtId="0" fontId="7" fillId="0" borderId="32" xfId="0" applyFont="1" applyBorder="1" applyAlignment="1">
      <alignment/>
    </xf>
    <xf numFmtId="0" fontId="41" fillId="0" borderId="32" xfId="0" applyFont="1" applyBorder="1" applyAlignment="1">
      <alignment wrapText="1"/>
    </xf>
    <xf numFmtId="0" fontId="41" fillId="0" borderId="32" xfId="0" applyFont="1" applyFill="1" applyBorder="1" applyAlignment="1">
      <alignment/>
    </xf>
    <xf numFmtId="0" fontId="13" fillId="0" borderId="34" xfId="0" applyFont="1" applyBorder="1" applyAlignment="1">
      <alignment horizontal="left"/>
    </xf>
    <xf numFmtId="0" fontId="9" fillId="0" borderId="46" xfId="60" applyFont="1" applyBorder="1" applyAlignment="1" applyProtection="1">
      <alignment horizontal="centerContinuous"/>
      <protection/>
    </xf>
    <xf numFmtId="0" fontId="7" fillId="4" borderId="47" xfId="0" applyFont="1" applyFill="1" applyBorder="1" applyAlignment="1">
      <alignment horizontal="centerContinuous"/>
    </xf>
    <xf numFmtId="0" fontId="36" fillId="4" borderId="47" xfId="60" applyFont="1" applyFill="1" applyBorder="1" applyAlignment="1" applyProtection="1">
      <alignment horizontal="centerContinuous"/>
      <protection/>
    </xf>
    <xf numFmtId="0" fontId="13" fillId="4" borderId="47" xfId="60" applyFont="1" applyFill="1" applyBorder="1" applyAlignment="1" applyProtection="1">
      <alignment horizontal="centerContinuous"/>
      <protection/>
    </xf>
    <xf numFmtId="0" fontId="13" fillId="4" borderId="48" xfId="60" applyFont="1" applyFill="1" applyBorder="1" applyAlignment="1" applyProtection="1">
      <alignment horizontal="centerContinuous"/>
      <protection/>
    </xf>
    <xf numFmtId="0" fontId="7" fillId="0" borderId="49" xfId="0" applyFont="1" applyBorder="1" applyAlignment="1">
      <alignment horizontal="center"/>
    </xf>
    <xf numFmtId="38" fontId="7" fillId="0" borderId="50" xfId="60" applyNumberFormat="1" applyFont="1" applyFill="1" applyBorder="1" applyAlignment="1" applyProtection="1">
      <alignment horizontal="center"/>
      <protection/>
    </xf>
    <xf numFmtId="38" fontId="7" fillId="0" borderId="49" xfId="60" applyNumberFormat="1" applyFont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  <xf numFmtId="166" fontId="11" fillId="22" borderId="37" xfId="42" applyNumberFormat="1" applyFont="1" applyFill="1" applyBorder="1" applyAlignment="1">
      <alignment/>
    </xf>
    <xf numFmtId="0" fontId="30" fillId="0" borderId="32" xfId="60" applyFont="1" applyFill="1" applyBorder="1" applyAlignment="1" applyProtection="1">
      <alignment/>
      <protection/>
    </xf>
    <xf numFmtId="0" fontId="31" fillId="0" borderId="32" xfId="60" applyFont="1" applyFill="1" applyBorder="1" applyAlignment="1" applyProtection="1">
      <alignment/>
      <protection/>
    </xf>
    <xf numFmtId="0" fontId="32" fillId="0" borderId="32" xfId="60" applyFont="1" applyFill="1" applyBorder="1" applyAlignment="1" applyProtection="1">
      <alignment horizontal="left"/>
      <protection/>
    </xf>
    <xf numFmtId="0" fontId="18" fillId="0" borderId="32" xfId="60" applyFont="1" applyFill="1" applyBorder="1" applyProtection="1">
      <alignment/>
      <protection/>
    </xf>
    <xf numFmtId="0" fontId="12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Protection="1">
      <alignment/>
      <protection/>
    </xf>
    <xf numFmtId="0" fontId="7" fillId="0" borderId="32" xfId="60" applyFont="1" applyFill="1" applyBorder="1" applyProtection="1">
      <alignment/>
      <protection locked="0"/>
    </xf>
    <xf numFmtId="0" fontId="7" fillId="0" borderId="32" xfId="0" applyFont="1" applyFill="1" applyBorder="1" applyAlignment="1">
      <alignment horizontal="left"/>
    </xf>
    <xf numFmtId="0" fontId="7" fillId="0" borderId="32" xfId="60" applyFont="1" applyFill="1" applyBorder="1" applyAlignment="1" applyProtection="1">
      <alignment horizontal="left"/>
      <protection locked="0"/>
    </xf>
    <xf numFmtId="0" fontId="13" fillId="0" borderId="32" xfId="60" applyFont="1" applyFill="1" applyBorder="1" applyProtection="1">
      <alignment/>
      <protection/>
    </xf>
    <xf numFmtId="38" fontId="0" fillId="0" borderId="33" xfId="0" applyNumberFormat="1" applyFont="1" applyFill="1" applyBorder="1" applyAlignment="1">
      <alignment horizontal="right"/>
    </xf>
    <xf numFmtId="0" fontId="33" fillId="0" borderId="34" xfId="60" applyFont="1" applyBorder="1" applyProtection="1">
      <alignment/>
      <protection/>
    </xf>
    <xf numFmtId="0" fontId="12" fillId="0" borderId="3" xfId="60" applyFont="1" applyBorder="1" applyProtection="1">
      <alignment/>
      <protection/>
    </xf>
    <xf numFmtId="0" fontId="12" fillId="0" borderId="3" xfId="60" applyFont="1" applyBorder="1" applyAlignment="1" applyProtection="1">
      <alignment horizontal="center"/>
      <protection/>
    </xf>
    <xf numFmtId="38" fontId="12" fillId="0" borderId="3" xfId="60" applyNumberFormat="1" applyFont="1" applyFill="1" applyBorder="1" applyProtection="1">
      <alignment/>
      <protection/>
    </xf>
    <xf numFmtId="38" fontId="10" fillId="0" borderId="3" xfId="60" applyNumberFormat="1" applyFont="1" applyFill="1" applyBorder="1" applyProtection="1">
      <alignment/>
      <protection/>
    </xf>
    <xf numFmtId="38" fontId="16" fillId="0" borderId="3" xfId="60" applyNumberFormat="1" applyFont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>
      <alignment horizontal="right"/>
    </xf>
    <xf numFmtId="0" fontId="12" fillId="0" borderId="34" xfId="60" applyFont="1" applyFill="1" applyBorder="1" applyAlignment="1" applyProtection="1">
      <alignment horizontal="center"/>
      <protection/>
    </xf>
    <xf numFmtId="0" fontId="29" fillId="0" borderId="3" xfId="0" applyFont="1" applyFill="1" applyBorder="1" applyAlignment="1">
      <alignment horizontal="center"/>
    </xf>
    <xf numFmtId="0" fontId="29" fillId="0" borderId="3" xfId="60" applyFont="1" applyFill="1" applyBorder="1" applyAlignment="1" applyProtection="1">
      <alignment horizontal="center"/>
      <protection/>
    </xf>
    <xf numFmtId="164" fontId="12" fillId="0" borderId="3" xfId="60" applyNumberFormat="1" applyFont="1" applyFill="1" applyBorder="1" applyProtection="1">
      <alignment/>
      <protection/>
    </xf>
    <xf numFmtId="0" fontId="41" fillId="0" borderId="32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62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7" fillId="0" borderId="53" xfId="0" applyFont="1" applyFill="1" applyBorder="1" applyAlignment="1">
      <alignment horizontal="center"/>
    </xf>
    <xf numFmtId="38" fontId="7" fillId="0" borderId="54" xfId="60" applyNumberFormat="1" applyFont="1" applyBorder="1" applyAlignment="1" applyProtection="1">
      <alignment horizontal="center"/>
      <protection/>
    </xf>
    <xf numFmtId="0" fontId="7" fillId="0" borderId="52" xfId="0" applyFont="1" applyFill="1" applyBorder="1" applyAlignment="1">
      <alignment/>
    </xf>
    <xf numFmtId="0" fontId="59" fillId="0" borderId="33" xfId="0" applyFont="1" applyBorder="1" applyAlignment="1">
      <alignment/>
    </xf>
    <xf numFmtId="10" fontId="59" fillId="0" borderId="0" xfId="0" applyNumberFormat="1" applyFont="1" applyBorder="1" applyAlignment="1">
      <alignment/>
    </xf>
    <xf numFmtId="0" fontId="7" fillId="0" borderId="49" xfId="60" applyFont="1" applyBorder="1" applyAlignment="1" applyProtection="1">
      <alignment horizontal="center"/>
      <protection/>
    </xf>
    <xf numFmtId="6" fontId="13" fillId="0" borderId="0" xfId="62" applyNumberFormat="1" applyFont="1" applyFill="1" applyBorder="1">
      <alignment/>
      <protection/>
    </xf>
    <xf numFmtId="49" fontId="11" fillId="0" borderId="36" xfId="60" applyNumberFormat="1" applyFont="1" applyFill="1" applyBorder="1" applyAlignment="1" applyProtection="1">
      <alignment horizontal="center"/>
      <protection locked="0"/>
    </xf>
    <xf numFmtId="0" fontId="7" fillId="0" borderId="55" xfId="60" applyFont="1" applyBorder="1" applyAlignment="1" applyProtection="1">
      <alignment horizontal="center"/>
      <protection/>
    </xf>
    <xf numFmtId="0" fontId="13" fillId="0" borderId="56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7" xfId="62" applyFont="1" applyBorder="1" applyAlignment="1">
      <alignment horizontal="center"/>
      <protection/>
    </xf>
    <xf numFmtId="0" fontId="7" fillId="0" borderId="58" xfId="62" applyFont="1" applyBorder="1" applyAlignment="1">
      <alignment horizontal="center"/>
      <protection/>
    </xf>
    <xf numFmtId="0" fontId="7" fillId="0" borderId="56" xfId="0" applyFont="1" applyFill="1" applyBorder="1" applyAlignment="1">
      <alignment/>
    </xf>
    <xf numFmtId="0" fontId="7" fillId="0" borderId="53" xfId="0" applyFont="1" applyBorder="1" applyAlignment="1">
      <alignment/>
    </xf>
    <xf numFmtId="0" fontId="7" fillId="0" borderId="59" xfId="62" applyFont="1" applyBorder="1" applyAlignment="1">
      <alignment horizontal="center"/>
      <protection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1" xfId="62" applyFont="1" applyBorder="1" applyAlignment="1">
      <alignment horizontal="center"/>
      <protection/>
    </xf>
    <xf numFmtId="0" fontId="7" fillId="0" borderId="62" xfId="62" applyFont="1" applyBorder="1" applyAlignment="1">
      <alignment horizontal="center"/>
      <protection/>
    </xf>
    <xf numFmtId="0" fontId="7" fillId="0" borderId="61" xfId="0" applyFont="1" applyFill="1" applyBorder="1" applyAlignment="1">
      <alignment horizontal="center"/>
    </xf>
    <xf numFmtId="0" fontId="7" fillId="0" borderId="61" xfId="62" applyFont="1" applyFill="1" applyBorder="1" applyAlignment="1">
      <alignment horizontal="center"/>
      <protection/>
    </xf>
    <xf numFmtId="0" fontId="7" fillId="0" borderId="60" xfId="0" applyFont="1" applyFill="1" applyBorder="1" applyAlignment="1">
      <alignment horizontal="center"/>
    </xf>
    <xf numFmtId="0" fontId="59" fillId="0" borderId="36" xfId="60" applyFont="1" applyBorder="1" applyAlignment="1" applyProtection="1">
      <alignment horizontal="center"/>
      <protection/>
    </xf>
    <xf numFmtId="0" fontId="60" fillId="0" borderId="36" xfId="60" applyFont="1" applyFill="1" applyBorder="1" applyAlignment="1" applyProtection="1">
      <alignment horizontal="center"/>
      <protection locked="0"/>
    </xf>
    <xf numFmtId="0" fontId="59" fillId="0" borderId="0" xfId="62" applyFont="1" applyBorder="1" applyAlignment="1">
      <alignment horizontal="center"/>
      <protection/>
    </xf>
    <xf numFmtId="0" fontId="7" fillId="0" borderId="20" xfId="59" applyFont="1" applyBorder="1" applyAlignment="1">
      <alignment horizontal="center" vertical="center"/>
      <protection/>
    </xf>
    <xf numFmtId="177" fontId="7" fillId="0" borderId="20" xfId="45" applyNumberFormat="1" applyFont="1" applyBorder="1" applyAlignment="1">
      <alignment horizontal="center" vertical="center"/>
    </xf>
    <xf numFmtId="177" fontId="7" fillId="0" borderId="21" xfId="45" applyNumberFormat="1" applyFont="1" applyBorder="1" applyAlignment="1">
      <alignment horizontal="center" vertical="center"/>
    </xf>
    <xf numFmtId="38" fontId="7" fillId="0" borderId="63" xfId="60" applyNumberFormat="1" applyFont="1" applyFill="1" applyBorder="1" applyAlignment="1" applyProtection="1">
      <alignment horizontal="center" vertical="center"/>
      <protection/>
    </xf>
    <xf numFmtId="38" fontId="7" fillId="0" borderId="63" xfId="60" applyNumberFormat="1" applyFont="1" applyBorder="1" applyAlignment="1" applyProtection="1">
      <alignment horizontal="center" vertical="center"/>
      <protection/>
    </xf>
    <xf numFmtId="38" fontId="7" fillId="0" borderId="64" xfId="60" applyNumberFormat="1" applyFont="1" applyBorder="1" applyAlignment="1" applyProtection="1">
      <alignment horizontal="center" vertical="center"/>
      <protection/>
    </xf>
    <xf numFmtId="38" fontId="16" fillId="0" borderId="43" xfId="60" applyNumberFormat="1" applyFont="1" applyFill="1" applyBorder="1" applyAlignment="1" applyProtection="1">
      <alignment horizontal="center" vertical="center"/>
      <protection/>
    </xf>
    <xf numFmtId="38" fontId="16" fillId="0" borderId="43" xfId="60" applyNumberFormat="1" applyFont="1" applyBorder="1" applyAlignment="1" applyProtection="1">
      <alignment horizontal="center" vertical="center"/>
      <protection/>
    </xf>
    <xf numFmtId="38" fontId="16" fillId="0" borderId="65" xfId="60" applyNumberFormat="1" applyFont="1" applyBorder="1" applyAlignment="1" applyProtection="1">
      <alignment horizontal="center" vertical="center"/>
      <protection/>
    </xf>
    <xf numFmtId="0" fontId="7" fillId="0" borderId="38" xfId="60" applyFont="1" applyBorder="1" applyAlignment="1" applyProtection="1">
      <alignment horizontal="center" vertical="center"/>
      <protection/>
    </xf>
    <xf numFmtId="0" fontId="7" fillId="0" borderId="66" xfId="60" applyFont="1" applyFill="1" applyBorder="1" applyAlignment="1" applyProtection="1">
      <alignment horizontal="center" vertical="center"/>
      <protection/>
    </xf>
    <xf numFmtId="38" fontId="7" fillId="0" borderId="38" xfId="60" applyNumberFormat="1" applyFont="1" applyFill="1" applyBorder="1" applyAlignment="1" applyProtection="1">
      <alignment horizontal="center" vertical="center"/>
      <protection/>
    </xf>
    <xf numFmtId="38" fontId="7" fillId="0" borderId="38" xfId="60" applyNumberFormat="1" applyFont="1" applyBorder="1" applyAlignment="1" applyProtection="1">
      <alignment horizontal="center" vertical="center"/>
      <protection/>
    </xf>
    <xf numFmtId="38" fontId="7" fillId="0" borderId="67" xfId="60" applyNumberFormat="1" applyFont="1" applyBorder="1" applyAlignment="1" applyProtection="1">
      <alignment horizontal="center" vertical="center"/>
      <protection/>
    </xf>
    <xf numFmtId="0" fontId="7" fillId="0" borderId="68" xfId="60" applyFont="1" applyBorder="1" applyAlignment="1" applyProtection="1">
      <alignment horizontal="center" vertical="center"/>
      <protection/>
    </xf>
    <xf numFmtId="0" fontId="7" fillId="0" borderId="69" xfId="60" applyFont="1" applyFill="1" applyBorder="1" applyAlignment="1" applyProtection="1">
      <alignment horizontal="center" vertical="center"/>
      <protection/>
    </xf>
    <xf numFmtId="0" fontId="7" fillId="0" borderId="70" xfId="60" applyFont="1" applyFill="1" applyBorder="1" applyAlignment="1" applyProtection="1">
      <alignment horizontal="center" vertical="center"/>
      <protection/>
    </xf>
    <xf numFmtId="38" fontId="7" fillId="0" borderId="68" xfId="60" applyNumberFormat="1" applyFont="1" applyFill="1" applyBorder="1" applyAlignment="1" applyProtection="1">
      <alignment horizontal="center" vertical="center"/>
      <protection/>
    </xf>
    <xf numFmtId="38" fontId="7" fillId="0" borderId="68" xfId="60" applyNumberFormat="1" applyFont="1" applyBorder="1" applyAlignment="1" applyProtection="1">
      <alignment horizontal="center" vertical="center"/>
      <protection/>
    </xf>
    <xf numFmtId="38" fontId="7" fillId="0" borderId="71" xfId="60" applyNumberFormat="1" applyFont="1" applyBorder="1" applyAlignment="1" applyProtection="1">
      <alignment horizontal="center" vertical="center"/>
      <protection/>
    </xf>
    <xf numFmtId="0" fontId="7" fillId="0" borderId="72" xfId="60" applyFont="1" applyFill="1" applyBorder="1" applyAlignment="1" applyProtection="1">
      <alignment horizontal="centerContinuous" vertical="center"/>
      <protection/>
    </xf>
    <xf numFmtId="0" fontId="12" fillId="0" borderId="48" xfId="60" applyFont="1" applyFill="1" applyBorder="1" applyAlignment="1" applyProtection="1">
      <alignment horizontal="centerContinuous" vertical="center"/>
      <protection/>
    </xf>
    <xf numFmtId="0" fontId="7" fillId="0" borderId="73" xfId="60" applyFont="1" applyFill="1" applyBorder="1" applyAlignment="1" applyProtection="1">
      <alignment horizontal="centerContinuous" vertical="center"/>
      <protection/>
    </xf>
    <xf numFmtId="0" fontId="7" fillId="0" borderId="74" xfId="60" applyFont="1" applyFill="1" applyBorder="1" applyAlignment="1" applyProtection="1">
      <alignment horizontal="centerContinuous" vertical="center"/>
      <protection/>
    </xf>
    <xf numFmtId="0" fontId="7" fillId="0" borderId="75" xfId="60" applyFont="1" applyFill="1" applyBorder="1" applyAlignment="1" applyProtection="1">
      <alignment horizontal="centerContinuous" vertical="center"/>
      <protection/>
    </xf>
    <xf numFmtId="0" fontId="7" fillId="0" borderId="76" xfId="60" applyFont="1" applyFill="1" applyBorder="1" applyAlignment="1" applyProtection="1">
      <alignment horizontal="centerContinuous" vertical="center"/>
      <protection/>
    </xf>
    <xf numFmtId="0" fontId="7" fillId="0" borderId="44" xfId="60" applyFont="1" applyFill="1" applyBorder="1" applyAlignment="1" applyProtection="1">
      <alignment horizontal="centerContinuous" vertical="center"/>
      <protection/>
    </xf>
    <xf numFmtId="0" fontId="7" fillId="0" borderId="43" xfId="60" applyFont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7" fillId="0" borderId="44" xfId="60" applyFont="1" applyBorder="1" applyAlignment="1" applyProtection="1">
      <alignment horizontal="center" vertical="center"/>
      <protection/>
    </xf>
    <xf numFmtId="0" fontId="7" fillId="0" borderId="44" xfId="60" applyFont="1" applyFill="1" applyBorder="1" applyAlignment="1" applyProtection="1">
      <alignment horizontal="center" vertical="center"/>
      <protection/>
    </xf>
    <xf numFmtId="38" fontId="7" fillId="0" borderId="77" xfId="60" applyNumberFormat="1" applyFont="1" applyBorder="1" applyAlignment="1" applyProtection="1">
      <alignment horizontal="center" vertical="center"/>
      <protection/>
    </xf>
    <xf numFmtId="0" fontId="7" fillId="0" borderId="78" xfId="60" applyFont="1" applyFill="1" applyBorder="1" applyAlignment="1" applyProtection="1">
      <alignment horizontal="centerContinuous" vertical="center"/>
      <protection/>
    </xf>
    <xf numFmtId="38" fontId="7" fillId="0" borderId="79" xfId="60" applyNumberFormat="1" applyFont="1" applyBorder="1" applyAlignment="1" applyProtection="1">
      <alignment horizontal="center" vertical="center"/>
      <protection/>
    </xf>
    <xf numFmtId="0" fontId="7" fillId="0" borderId="68" xfId="60" applyFont="1" applyFill="1" applyBorder="1" applyAlignment="1" applyProtection="1">
      <alignment horizontal="center" vertical="center"/>
      <protection/>
    </xf>
    <xf numFmtId="38" fontId="7" fillId="0" borderId="65" xfId="60" applyNumberFormat="1" applyFont="1" applyBorder="1" applyAlignment="1" applyProtection="1">
      <alignment horizontal="center" vertical="center"/>
      <protection/>
    </xf>
    <xf numFmtId="0" fontId="7" fillId="0" borderId="63" xfId="60" applyFont="1" applyFill="1" applyBorder="1" applyAlignment="1" applyProtection="1">
      <alignment horizontal="centerContinuous" vertical="center"/>
      <protection/>
    </xf>
    <xf numFmtId="0" fontId="12" fillId="0" borderId="63" xfId="60" applyFont="1" applyFill="1" applyBorder="1" applyAlignment="1" applyProtection="1">
      <alignment horizontal="centerContinuous" vertical="center"/>
      <protection/>
    </xf>
    <xf numFmtId="38" fontId="36" fillId="0" borderId="33" xfId="60" applyNumberFormat="1" applyFont="1" applyFill="1" applyBorder="1" applyAlignment="1" applyProtection="1">
      <alignment horizontal="centerContinuous"/>
      <protection/>
    </xf>
    <xf numFmtId="0" fontId="59" fillId="0" borderId="0" xfId="62" applyFont="1" applyBorder="1" applyAlignment="1" quotePrefix="1">
      <alignment horizontal="center"/>
      <protection/>
    </xf>
    <xf numFmtId="0" fontId="7" fillId="4" borderId="80" xfId="0" applyFont="1" applyFill="1" applyBorder="1" applyAlignment="1">
      <alignment horizontal="centerContinuous" vertical="center"/>
    </xf>
    <xf numFmtId="0" fontId="9" fillId="0" borderId="32" xfId="60" applyFont="1" applyBorder="1" applyAlignment="1" applyProtection="1">
      <alignment horizontal="centerContinuous"/>
      <protection/>
    </xf>
    <xf numFmtId="38" fontId="11" fillId="22" borderId="36" xfId="42" applyNumberFormat="1" applyFont="1" applyFill="1" applyBorder="1" applyAlignment="1" applyProtection="1">
      <alignment/>
      <protection/>
    </xf>
    <xf numFmtId="38" fontId="21" fillId="0" borderId="0" xfId="60" applyNumberFormat="1" applyFont="1" applyFill="1" applyBorder="1" applyProtection="1">
      <alignment/>
      <protection/>
    </xf>
    <xf numFmtId="38" fontId="21" fillId="0" borderId="3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3" xfId="42" applyNumberFormat="1" applyFont="1" applyFill="1" applyBorder="1" applyAlignment="1" applyProtection="1">
      <alignment horizontal="right"/>
      <protection locked="0"/>
    </xf>
    <xf numFmtId="38" fontId="21" fillId="0" borderId="3" xfId="60" applyNumberFormat="1" applyFont="1" applyFill="1" applyBorder="1" applyProtection="1">
      <alignment/>
      <protection/>
    </xf>
    <xf numFmtId="38" fontId="21" fillId="0" borderId="35" xfId="60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11" fillId="0" borderId="0" xfId="60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7" fillId="0" borderId="75" xfId="60" applyFont="1" applyBorder="1" applyAlignment="1" applyProtection="1">
      <alignment horizontal="center" vertical="center"/>
      <protection/>
    </xf>
    <xf numFmtId="0" fontId="7" fillId="0" borderId="63" xfId="60" applyFont="1" applyFill="1" applyBorder="1" applyAlignment="1" applyProtection="1">
      <alignment horizontal="center" vertical="center"/>
      <protection/>
    </xf>
    <xf numFmtId="0" fontId="7" fillId="0" borderId="64" xfId="60" applyFont="1" applyFill="1" applyBorder="1" applyAlignment="1" applyProtection="1">
      <alignment horizontal="center" vertical="center"/>
      <protection/>
    </xf>
    <xf numFmtId="0" fontId="59" fillId="0" borderId="82" xfId="62" applyFont="1" applyBorder="1" applyAlignment="1">
      <alignment horizontal="centerContinuous"/>
      <protection/>
    </xf>
    <xf numFmtId="0" fontId="59" fillId="0" borderId="83" xfId="0" applyFont="1" applyBorder="1" applyAlignment="1">
      <alignment horizontal="centerContinuous"/>
    </xf>
    <xf numFmtId="0" fontId="59" fillId="0" borderId="41" xfId="0" applyFont="1" applyBorder="1" applyAlignment="1">
      <alignment horizontal="centerContinuous"/>
    </xf>
    <xf numFmtId="0" fontId="59" fillId="0" borderId="42" xfId="0" applyFont="1" applyBorder="1" applyAlignment="1">
      <alignment horizontal="centerContinuous"/>
    </xf>
    <xf numFmtId="0" fontId="59" fillId="0" borderId="43" xfId="62" applyFont="1" applyBorder="1" applyAlignment="1">
      <alignment horizontal="center"/>
      <protection/>
    </xf>
    <xf numFmtId="0" fontId="59" fillId="0" borderId="44" xfId="62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9" fillId="0" borderId="0" xfId="60" applyFont="1" applyBorder="1" applyAlignment="1" applyProtection="1">
      <alignment/>
      <protection/>
    </xf>
    <xf numFmtId="0" fontId="9" fillId="0" borderId="33" xfId="6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3" xfId="45" applyBorder="1" applyAlignment="1">
      <alignment horizontal="right"/>
    </xf>
    <xf numFmtId="169" fontId="11" fillId="0" borderId="0" xfId="65" applyNumberFormat="1" applyFont="1" applyBorder="1" applyAlignment="1" quotePrefix="1">
      <alignment horizontal="center"/>
    </xf>
    <xf numFmtId="0" fontId="63" fillId="0" borderId="84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60" applyFont="1" applyBorder="1" applyAlignment="1" applyProtection="1">
      <alignment/>
      <protection/>
    </xf>
    <xf numFmtId="0" fontId="64" fillId="0" borderId="32" xfId="60" applyFont="1" applyBorder="1" applyAlignment="1" applyProtection="1">
      <alignment horizontal="centerContinuous"/>
      <protection/>
    </xf>
    <xf numFmtId="0" fontId="62" fillId="0" borderId="32" xfId="60" applyFont="1" applyBorder="1" applyAlignment="1" applyProtection="1">
      <alignment horizontal="right"/>
      <protection/>
    </xf>
    <xf numFmtId="0" fontId="62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Continuous"/>
    </xf>
    <xf numFmtId="0" fontId="65" fillId="0" borderId="0" xfId="6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67" fillId="24" borderId="0" xfId="0" applyFont="1" applyFill="1" applyBorder="1" applyAlignment="1" applyProtection="1">
      <alignment/>
      <protection hidden="1"/>
    </xf>
    <xf numFmtId="0" fontId="9" fillId="0" borderId="41" xfId="60" applyFont="1" applyBorder="1" applyAlignment="1" applyProtection="1">
      <alignment horizontal="center"/>
      <protection/>
    </xf>
    <xf numFmtId="0" fontId="7" fillId="0" borderId="32" xfId="60" applyFont="1" applyBorder="1" applyAlignment="1" applyProtection="1">
      <alignment horizontal="center"/>
      <protection/>
    </xf>
    <xf numFmtId="0" fontId="7" fillId="0" borderId="33" xfId="60" applyFont="1" applyBorder="1" applyAlignment="1" applyProtection="1">
      <alignment horizontal="center"/>
      <protection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1" xfId="60" applyFont="1" applyFill="1" applyBorder="1" applyAlignment="1" applyProtection="1">
      <alignment horizontal="center"/>
      <protection/>
    </xf>
    <xf numFmtId="0" fontId="59" fillId="0" borderId="33" xfId="0" applyFont="1" applyFill="1" applyBorder="1" applyAlignment="1">
      <alignment/>
    </xf>
    <xf numFmtId="0" fontId="7" fillId="0" borderId="85" xfId="60" applyFont="1" applyFill="1" applyBorder="1" applyAlignment="1" applyProtection="1">
      <alignment horizontal="centerContinuous" vertical="center"/>
      <protection/>
    </xf>
    <xf numFmtId="0" fontId="7" fillId="0" borderId="86" xfId="60" applyFont="1" applyFill="1" applyBorder="1" applyAlignment="1" applyProtection="1">
      <alignment horizontal="centerContinuous" vertical="center"/>
      <protection/>
    </xf>
    <xf numFmtId="0" fontId="22" fillId="0" borderId="0" xfId="59" applyFont="1" applyBorder="1">
      <alignment/>
      <protection/>
    </xf>
    <xf numFmtId="0" fontId="31" fillId="0" borderId="32" xfId="60" applyFont="1" applyFill="1" applyBorder="1" applyProtection="1">
      <alignment/>
      <protection/>
    </xf>
    <xf numFmtId="0" fontId="7" fillId="0" borderId="32" xfId="61" applyFont="1" applyBorder="1">
      <alignment/>
      <protection/>
    </xf>
    <xf numFmtId="0" fontId="11" fillId="0" borderId="32" xfId="61" applyFont="1" applyBorder="1">
      <alignment/>
      <protection/>
    </xf>
    <xf numFmtId="0" fontId="5" fillId="0" borderId="34" xfId="0" applyFont="1" applyBorder="1" applyAlignment="1">
      <alignment/>
    </xf>
    <xf numFmtId="0" fontId="9" fillId="0" borderId="87" xfId="60" applyFont="1" applyBorder="1" applyAlignment="1" applyProtection="1">
      <alignment horizontal="center"/>
      <protection/>
    </xf>
    <xf numFmtId="0" fontId="9" fillId="0" borderId="0" xfId="60" applyFont="1" applyBorder="1" applyAlignment="1" applyProtection="1">
      <alignment horizontal="center"/>
      <protection/>
    </xf>
    <xf numFmtId="0" fontId="9" fillId="0" borderId="88" xfId="60" applyFont="1" applyBorder="1" applyAlignment="1" applyProtection="1">
      <alignment horizontal="center"/>
      <protection/>
    </xf>
    <xf numFmtId="38" fontId="11" fillId="0" borderId="0" xfId="60" applyNumberFormat="1" applyFont="1" applyFill="1" applyBorder="1" applyProtection="1">
      <alignment/>
      <protection/>
    </xf>
    <xf numFmtId="38" fontId="11" fillId="0" borderId="33" xfId="60" applyNumberFormat="1" applyFont="1" applyFill="1" applyBorder="1" applyProtection="1">
      <alignment/>
      <protection/>
    </xf>
    <xf numFmtId="38" fontId="11" fillId="0" borderId="0" xfId="60" applyNumberFormat="1" applyFont="1" applyFill="1" applyBorder="1" applyProtection="1">
      <alignment/>
      <protection locked="0"/>
    </xf>
    <xf numFmtId="38" fontId="11" fillId="0" borderId="33" xfId="60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3" xfId="42" applyNumberFormat="1" applyFont="1" applyFill="1" applyBorder="1" applyAlignment="1" applyProtection="1">
      <alignment/>
      <protection locked="0"/>
    </xf>
    <xf numFmtId="38" fontId="11" fillId="0" borderId="0" xfId="60" applyNumberFormat="1" applyFont="1" applyBorder="1" applyAlignment="1" applyProtection="1">
      <alignment horizontal="right"/>
      <protection/>
    </xf>
    <xf numFmtId="38" fontId="11" fillId="0" borderId="33" xfId="60" applyNumberFormat="1" applyFont="1" applyBorder="1" applyAlignment="1" applyProtection="1">
      <alignment horizontal="right"/>
      <protection/>
    </xf>
    <xf numFmtId="38" fontId="11" fillId="0" borderId="3" xfId="60" applyNumberFormat="1" applyFont="1" applyFill="1" applyBorder="1" applyAlignment="1" applyProtection="1">
      <alignment horizontal="right"/>
      <protection/>
    </xf>
    <xf numFmtId="38" fontId="11" fillId="0" borderId="35" xfId="60" applyNumberFormat="1" applyFont="1" applyFill="1" applyBorder="1" applyAlignment="1" applyProtection="1">
      <alignment horizontal="right"/>
      <protection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38" fontId="11" fillId="0" borderId="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3" xfId="42" applyNumberFormat="1" applyFont="1" applyFill="1" applyBorder="1" applyAlignment="1">
      <alignment/>
    </xf>
    <xf numFmtId="0" fontId="7" fillId="0" borderId="87" xfId="60" applyFont="1" applyBorder="1" applyAlignment="1" applyProtection="1">
      <alignment horizontal="center"/>
      <protection/>
    </xf>
    <xf numFmtId="0" fontId="7" fillId="0" borderId="88" xfId="60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5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3" xfId="0" applyNumberFormat="1" applyFont="1" applyBorder="1" applyAlignment="1" applyProtection="1">
      <alignment horizontal="right"/>
      <protection/>
    </xf>
    <xf numFmtId="166" fontId="11" fillId="22" borderId="89" xfId="42" applyNumberFormat="1" applyFont="1" applyFill="1" applyBorder="1" applyAlignment="1">
      <alignment/>
    </xf>
    <xf numFmtId="166" fontId="11" fillId="22" borderId="90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3" xfId="42" applyNumberFormat="1" applyFont="1" applyFill="1" applyBorder="1" applyAlignment="1">
      <alignment/>
    </xf>
    <xf numFmtId="0" fontId="11" fillId="0" borderId="0" xfId="60" applyFont="1" applyBorder="1" applyProtection="1">
      <alignment/>
      <protection/>
    </xf>
    <xf numFmtId="0" fontId="11" fillId="0" borderId="56" xfId="0" applyFont="1" applyBorder="1" applyAlignment="1">
      <alignment/>
    </xf>
    <xf numFmtId="167" fontId="11" fillId="22" borderId="91" xfId="65" applyNumberFormat="1" applyFont="1" applyFill="1" applyBorder="1" applyAlignment="1">
      <alignment horizontal="center"/>
    </xf>
    <xf numFmtId="10" fontId="11" fillId="22" borderId="91" xfId="65" applyNumberFormat="1" applyFont="1" applyFill="1" applyBorder="1" applyAlignment="1">
      <alignment horizontal="center"/>
    </xf>
    <xf numFmtId="169" fontId="11" fillId="22" borderId="92" xfId="65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2" xfId="0" applyFont="1" applyBorder="1" applyAlignment="1">
      <alignment/>
    </xf>
    <xf numFmtId="167" fontId="11" fillId="22" borderId="36" xfId="65" applyNumberFormat="1" applyFont="1" applyFill="1" applyBorder="1" applyAlignment="1">
      <alignment horizontal="center"/>
    </xf>
    <xf numFmtId="10" fontId="11" fillId="22" borderId="36" xfId="65" applyNumberFormat="1" applyFont="1" applyFill="1" applyBorder="1" applyAlignment="1">
      <alignment horizontal="center"/>
    </xf>
    <xf numFmtId="169" fontId="11" fillId="22" borderId="93" xfId="65" applyNumberFormat="1" applyFont="1" applyFill="1" applyBorder="1" applyAlignment="1">
      <alignment horizontal="center"/>
    </xf>
    <xf numFmtId="177" fontId="11" fillId="22" borderId="94" xfId="45" applyNumberFormat="1" applyFont="1" applyFill="1" applyBorder="1" applyAlignment="1">
      <alignment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69" fontId="11" fillId="22" borderId="97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169" fontId="11" fillId="22" borderId="37" xfId="0" applyNumberFormat="1" applyFont="1" applyFill="1" applyBorder="1" applyAlignment="1">
      <alignment/>
    </xf>
    <xf numFmtId="0" fontId="11" fillId="0" borderId="0" xfId="62" applyFont="1" applyFill="1" applyBorder="1">
      <alignment/>
      <protection/>
    </xf>
    <xf numFmtId="169" fontId="21" fillId="7" borderId="57" xfId="65" applyNumberFormat="1" applyFont="1" applyFill="1" applyBorder="1" applyAlignment="1">
      <alignment horizontal="center"/>
    </xf>
    <xf numFmtId="0" fontId="21" fillId="7" borderId="57" xfId="0" applyFont="1" applyFill="1" applyBorder="1" applyAlignment="1">
      <alignment horizontal="center"/>
    </xf>
    <xf numFmtId="169" fontId="21" fillId="7" borderId="59" xfId="65" applyNumberFormat="1" applyFont="1" applyFill="1" applyBorder="1" applyAlignment="1">
      <alignment horizontal="center"/>
    </xf>
    <xf numFmtId="169" fontId="61" fillId="7" borderId="98" xfId="65" applyNumberFormat="1" applyFont="1" applyFill="1" applyBorder="1" applyAlignment="1">
      <alignment horizontal="center"/>
    </xf>
    <xf numFmtId="189" fontId="21" fillId="7" borderId="99" xfId="0" applyNumberFormat="1" applyFont="1" applyFill="1" applyBorder="1" applyAlignment="1">
      <alignment/>
    </xf>
    <xf numFmtId="189" fontId="21" fillId="7" borderId="57" xfId="0" applyNumberFormat="1" applyFont="1" applyFill="1" applyBorder="1" applyAlignment="1">
      <alignment/>
    </xf>
    <xf numFmtId="189" fontId="21" fillId="7" borderId="100" xfId="0" applyNumberFormat="1" applyFont="1" applyFill="1" applyBorder="1" applyAlignment="1">
      <alignment/>
    </xf>
    <xf numFmtId="0" fontId="13" fillId="0" borderId="101" xfId="0" applyFont="1" applyBorder="1" applyAlignment="1">
      <alignment/>
    </xf>
    <xf numFmtId="0" fontId="13" fillId="0" borderId="102" xfId="0" applyFont="1" applyBorder="1" applyAlignment="1">
      <alignment/>
    </xf>
    <xf numFmtId="0" fontId="7" fillId="0" borderId="103" xfId="0" applyFont="1" applyFill="1" applyBorder="1" applyAlignment="1">
      <alignment horizontal="center"/>
    </xf>
    <xf numFmtId="167" fontId="11" fillId="22" borderId="49" xfId="65" applyNumberFormat="1" applyFont="1" applyFill="1" applyBorder="1" applyAlignment="1">
      <alignment horizontal="center"/>
    </xf>
    <xf numFmtId="10" fontId="11" fillId="22" borderId="49" xfId="65" applyNumberFormat="1" applyFont="1" applyFill="1" applyBorder="1" applyAlignment="1">
      <alignment horizontal="center"/>
    </xf>
    <xf numFmtId="169" fontId="11" fillId="22" borderId="104" xfId="65" applyNumberFormat="1" applyFont="1" applyFill="1" applyBorder="1" applyAlignment="1">
      <alignment horizontal="center"/>
    </xf>
    <xf numFmtId="169" fontId="13" fillId="0" borderId="33" xfId="65" applyNumberFormat="1" applyFont="1" applyFill="1" applyBorder="1" applyAlignment="1">
      <alignment horizontal="center"/>
    </xf>
    <xf numFmtId="10" fontId="13" fillId="0" borderId="33" xfId="65" applyNumberFormat="1" applyFont="1" applyFill="1" applyBorder="1" applyAlignment="1">
      <alignment horizontal="center"/>
    </xf>
    <xf numFmtId="0" fontId="13" fillId="0" borderId="105" xfId="0" applyFont="1" applyBorder="1" applyAlignment="1">
      <alignment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177" fontId="11" fillId="22" borderId="97" xfId="45" applyNumberFormat="1" applyFont="1" applyFill="1" applyBorder="1" applyAlignment="1">
      <alignment/>
    </xf>
    <xf numFmtId="6" fontId="21" fillId="7" borderId="57" xfId="0" applyNumberFormat="1" applyFont="1" applyFill="1" applyBorder="1" applyAlignment="1">
      <alignment/>
    </xf>
    <xf numFmtId="0" fontId="21" fillId="7" borderId="57" xfId="0" applyFont="1" applyFill="1" applyBorder="1" applyAlignment="1">
      <alignment/>
    </xf>
    <xf numFmtId="10" fontId="21" fillId="7" borderId="57" xfId="62" applyNumberFormat="1" applyFont="1" applyFill="1" applyBorder="1">
      <alignment/>
      <protection/>
    </xf>
    <xf numFmtId="6" fontId="21" fillId="7" borderId="59" xfId="62" applyNumberFormat="1" applyFont="1" applyFill="1" applyBorder="1" applyAlignment="1">
      <alignment horizontal="right"/>
      <protection/>
    </xf>
    <xf numFmtId="10" fontId="21" fillId="7" borderId="63" xfId="62" applyNumberFormat="1" applyFont="1" applyFill="1" applyBorder="1" applyAlignment="1" quotePrefix="1">
      <alignment horizontal="center"/>
      <protection/>
    </xf>
    <xf numFmtId="10" fontId="21" fillId="7" borderId="40" xfId="65" applyNumberFormat="1" applyFont="1" applyFill="1" applyBorder="1" applyAlignment="1">
      <alignment horizontal="center"/>
    </xf>
    <xf numFmtId="10" fontId="11" fillId="22" borderId="63" xfId="65" applyNumberFormat="1" applyFont="1" applyFill="1" applyBorder="1" applyAlignment="1">
      <alignment horizontal="center"/>
    </xf>
    <xf numFmtId="10" fontId="11" fillId="22" borderId="50" xfId="65" applyNumberFormat="1" applyFont="1" applyFill="1" applyBorder="1" applyAlignment="1">
      <alignment horizontal="center"/>
    </xf>
    <xf numFmtId="169" fontId="11" fillId="22" borderId="54" xfId="65" applyNumberFormat="1" applyFont="1" applyFill="1" applyBorder="1" applyAlignment="1">
      <alignment horizontal="center"/>
    </xf>
    <xf numFmtId="10" fontId="61" fillId="0" borderId="0" xfId="0" applyNumberFormat="1" applyFont="1" applyAlignment="1">
      <alignment/>
    </xf>
    <xf numFmtId="10" fontId="11" fillId="22" borderId="97" xfId="65" applyNumberFormat="1" applyFont="1" applyFill="1" applyBorder="1" applyAlignment="1">
      <alignment horizontal="center"/>
    </xf>
    <xf numFmtId="10" fontId="11" fillId="22" borderId="37" xfId="65" applyNumberFormat="1" applyFont="1" applyFill="1" applyBorder="1" applyAlignment="1">
      <alignment horizontal="center"/>
    </xf>
    <xf numFmtId="169" fontId="21" fillId="7" borderId="108" xfId="65" applyNumberFormat="1" applyFont="1" applyFill="1" applyBorder="1" applyAlignment="1">
      <alignment horizontal="center"/>
    </xf>
    <xf numFmtId="10" fontId="61" fillId="0" borderId="0" xfId="62" applyNumberFormat="1" applyFont="1" applyBorder="1" applyAlignment="1" quotePrefix="1">
      <alignment horizontal="center"/>
      <protection/>
    </xf>
    <xf numFmtId="10" fontId="11" fillId="7" borderId="99" xfId="65" applyNumberFormat="1" applyFont="1" applyFill="1" applyBorder="1" applyAlignment="1">
      <alignment horizontal="center"/>
    </xf>
    <xf numFmtId="10" fontId="11" fillId="7" borderId="100" xfId="65" applyNumberFormat="1" applyFont="1" applyFill="1" applyBorder="1" applyAlignment="1">
      <alignment horizontal="center"/>
    </xf>
    <xf numFmtId="6" fontId="11" fillId="22" borderId="91" xfId="0" applyNumberFormat="1" applyFont="1" applyFill="1" applyBorder="1" applyAlignment="1">
      <alignment/>
    </xf>
    <xf numFmtId="10" fontId="11" fillId="22" borderId="91" xfId="65" applyNumberFormat="1" applyFont="1" applyFill="1" applyBorder="1" applyAlignment="1">
      <alignment/>
    </xf>
    <xf numFmtId="6" fontId="11" fillId="22" borderId="92" xfId="62" applyNumberFormat="1" applyFont="1" applyFill="1" applyBorder="1" applyAlignment="1">
      <alignment horizontal="right"/>
      <protection/>
    </xf>
    <xf numFmtId="10" fontId="11" fillId="0" borderId="109" xfId="65" applyNumberFormat="1" applyFont="1" applyFill="1" applyBorder="1" applyAlignment="1">
      <alignment horizontal="center"/>
    </xf>
    <xf numFmtId="10" fontId="11" fillId="22" borderId="39" xfId="65" applyNumberFormat="1" applyFont="1" applyFill="1" applyBorder="1" applyAlignment="1">
      <alignment horizontal="center"/>
    </xf>
    <xf numFmtId="38" fontId="11" fillId="22" borderId="36" xfId="0" applyNumberFormat="1" applyFont="1" applyFill="1" applyBorder="1" applyAlignment="1">
      <alignment/>
    </xf>
    <xf numFmtId="38" fontId="11" fillId="22" borderId="93" xfId="62" applyNumberFormat="1" applyFont="1" applyFill="1" applyBorder="1" applyAlignment="1">
      <alignment horizontal="right"/>
      <protection/>
    </xf>
    <xf numFmtId="10" fontId="61" fillId="0" borderId="0" xfId="0" applyNumberFormat="1" applyFont="1" applyFill="1" applyAlignment="1">
      <alignment/>
    </xf>
    <xf numFmtId="10" fontId="11" fillId="22" borderId="110" xfId="65" applyNumberFormat="1" applyFont="1" applyFill="1" applyBorder="1" applyAlignment="1">
      <alignment horizontal="center"/>
    </xf>
    <xf numFmtId="10" fontId="28" fillId="22" borderId="91" xfId="65" applyNumberFormat="1" applyFont="1" applyFill="1" applyBorder="1" applyAlignment="1">
      <alignment horizontal="center"/>
    </xf>
    <xf numFmtId="169" fontId="28" fillId="22" borderId="92" xfId="65" applyNumberFormat="1" applyFont="1" applyFill="1" applyBorder="1" applyAlignment="1">
      <alignment horizontal="center"/>
    </xf>
    <xf numFmtId="10" fontId="28" fillId="22" borderId="63" xfId="65" applyNumberFormat="1" applyFont="1" applyFill="1" applyBorder="1" applyAlignment="1">
      <alignment horizontal="center"/>
    </xf>
    <xf numFmtId="10" fontId="28" fillId="22" borderId="50" xfId="65" applyNumberFormat="1" applyFont="1" applyFill="1" applyBorder="1" applyAlignment="1">
      <alignment horizontal="center"/>
    </xf>
    <xf numFmtId="169" fontId="28" fillId="22" borderId="54" xfId="65" applyNumberFormat="1" applyFont="1" applyFill="1" applyBorder="1" applyAlignment="1">
      <alignment horizontal="center"/>
    </xf>
    <xf numFmtId="10" fontId="28" fillId="22" borderId="36" xfId="65" applyNumberFormat="1" applyFont="1" applyFill="1" applyBorder="1" applyAlignment="1">
      <alignment horizontal="center"/>
    </xf>
    <xf numFmtId="169" fontId="28" fillId="22" borderId="93" xfId="65" applyNumberFormat="1" applyFont="1" applyFill="1" applyBorder="1" applyAlignment="1">
      <alignment horizontal="center"/>
    </xf>
    <xf numFmtId="10" fontId="68" fillId="0" borderId="0" xfId="0" applyNumberFormat="1" applyFont="1" applyAlignment="1">
      <alignment/>
    </xf>
    <xf numFmtId="10" fontId="28" fillId="22" borderId="97" xfId="65" applyNumberFormat="1" applyFont="1" applyFill="1" applyBorder="1" applyAlignment="1">
      <alignment horizontal="center"/>
    </xf>
    <xf numFmtId="169" fontId="28" fillId="22" borderId="37" xfId="65" applyNumberFormat="1" applyFont="1" applyFill="1" applyBorder="1" applyAlignment="1">
      <alignment horizontal="center"/>
    </xf>
    <xf numFmtId="0" fontId="29" fillId="7" borderId="57" xfId="0" applyFont="1" applyFill="1" applyBorder="1" applyAlignment="1">
      <alignment horizontal="center"/>
    </xf>
    <xf numFmtId="169" fontId="29" fillId="7" borderId="59" xfId="65" applyNumberFormat="1" applyFont="1" applyFill="1" applyBorder="1" applyAlignment="1">
      <alignment horizontal="center"/>
    </xf>
    <xf numFmtId="10" fontId="68" fillId="0" borderId="0" xfId="62" applyNumberFormat="1" applyFont="1" applyBorder="1" applyAlignment="1" quotePrefix="1">
      <alignment horizontal="center"/>
      <protection/>
    </xf>
    <xf numFmtId="10" fontId="28" fillId="7" borderId="99" xfId="65" applyNumberFormat="1" applyFont="1" applyFill="1" applyBorder="1" applyAlignment="1">
      <alignment horizontal="center"/>
    </xf>
    <xf numFmtId="10" fontId="28" fillId="7" borderId="100" xfId="65" applyNumberFormat="1" applyFont="1" applyFill="1" applyBorder="1" applyAlignment="1">
      <alignment horizontal="center"/>
    </xf>
    <xf numFmtId="177" fontId="11" fillId="22" borderId="91" xfId="45" applyNumberFormat="1" applyFont="1" applyFill="1" applyBorder="1" applyAlignment="1">
      <alignment horizontal="center"/>
    </xf>
    <xf numFmtId="1" fontId="11" fillId="22" borderId="91" xfId="65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 horizontal="center"/>
    </xf>
    <xf numFmtId="177" fontId="11" fillId="22" borderId="36" xfId="45" applyNumberFormat="1" applyFont="1" applyFill="1" applyBorder="1" applyAlignment="1">
      <alignment horizontal="center"/>
    </xf>
    <xf numFmtId="177" fontId="11" fillId="22" borderId="112" xfId="45" applyNumberFormat="1" applyFont="1" applyFill="1" applyBorder="1" applyAlignment="1">
      <alignment/>
    </xf>
    <xf numFmtId="177" fontId="11" fillId="22" borderId="113" xfId="45" applyNumberFormat="1" applyFont="1" applyFill="1" applyBorder="1" applyAlignment="1">
      <alignment/>
    </xf>
    <xf numFmtId="9" fontId="11" fillId="22" borderId="97" xfId="65" applyFont="1" applyFill="1" applyBorder="1" applyAlignment="1">
      <alignment/>
    </xf>
    <xf numFmtId="9" fontId="11" fillId="22" borderId="36" xfId="65" applyFont="1" applyFill="1" applyBorder="1" applyAlignment="1">
      <alignment/>
    </xf>
    <xf numFmtId="9" fontId="11" fillId="22" borderId="37" xfId="65" applyFont="1" applyFill="1" applyBorder="1" applyAlignment="1">
      <alignment/>
    </xf>
    <xf numFmtId="169" fontId="69" fillId="0" borderId="0" xfId="60" applyNumberFormat="1" applyFont="1" applyBorder="1" applyAlignment="1" applyProtection="1">
      <alignment/>
      <protection/>
    </xf>
    <xf numFmtId="9" fontId="69" fillId="0" borderId="0" xfId="65" applyFont="1" applyBorder="1" applyAlignment="1">
      <alignment/>
    </xf>
    <xf numFmtId="169" fontId="71" fillId="0" borderId="0" xfId="0" applyNumberFormat="1" applyFont="1" applyBorder="1" applyAlignment="1">
      <alignment horizontal="right"/>
    </xf>
    <xf numFmtId="169" fontId="61" fillId="7" borderId="98" xfId="65" applyNumberFormat="1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32" xfId="0" applyFont="1" applyBorder="1" applyAlignment="1">
      <alignment horizontal="left"/>
    </xf>
    <xf numFmtId="38" fontId="11" fillId="22" borderId="36" xfId="42" applyNumberFormat="1" applyFont="1" applyFill="1" applyBorder="1" applyAlignment="1">
      <alignment/>
    </xf>
    <xf numFmtId="38" fontId="11" fillId="0" borderId="3" xfId="60" applyNumberFormat="1" applyFont="1" applyBorder="1">
      <alignment/>
      <protection/>
    </xf>
    <xf numFmtId="38" fontId="11" fillId="0" borderId="35" xfId="60" applyNumberFormat="1" applyFont="1" applyBorder="1">
      <alignment/>
      <protection/>
    </xf>
    <xf numFmtId="0" fontId="29" fillId="7" borderId="36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>
      <alignment/>
    </xf>
    <xf numFmtId="177" fontId="21" fillId="7" borderId="37" xfId="45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3" xfId="0" applyNumberFormat="1" applyFont="1" applyFill="1" applyBorder="1" applyAlignment="1" applyProtection="1">
      <alignment horizontal="right"/>
      <protection/>
    </xf>
    <xf numFmtId="3" fontId="11" fillId="0" borderId="3" xfId="60" applyNumberFormat="1" applyFont="1" applyFill="1" applyBorder="1" applyAlignment="1" applyProtection="1">
      <alignment horizontal="right"/>
      <protection/>
    </xf>
    <xf numFmtId="3" fontId="11" fillId="0" borderId="35" xfId="60" applyNumberFormat="1" applyFont="1" applyFill="1" applyBorder="1" applyAlignment="1" applyProtection="1">
      <alignment horizontal="right"/>
      <protection/>
    </xf>
    <xf numFmtId="3" fontId="11" fillId="0" borderId="0" xfId="60" applyNumberFormat="1" applyFont="1" applyBorder="1">
      <alignment/>
      <protection/>
    </xf>
    <xf numFmtId="3" fontId="11" fillId="0" borderId="33" xfId="60" applyNumberFormat="1" applyFont="1" applyBorder="1">
      <alignment/>
      <protection/>
    </xf>
    <xf numFmtId="44" fontId="21" fillId="7" borderId="36" xfId="45" applyFont="1" applyFill="1" applyBorder="1" applyAlignment="1">
      <alignment/>
    </xf>
    <xf numFmtId="0" fontId="29" fillId="7" borderId="91" xfId="60" applyFont="1" applyFill="1" applyBorder="1" applyAlignment="1" applyProtection="1">
      <alignment horizontal="center"/>
      <protection/>
    </xf>
    <xf numFmtId="0" fontId="29" fillId="7" borderId="114" xfId="60" applyFont="1" applyFill="1" applyBorder="1" applyAlignment="1" applyProtection="1">
      <alignment horizontal="center"/>
      <protection/>
    </xf>
    <xf numFmtId="0" fontId="29" fillId="7" borderId="106" xfId="60" applyFont="1" applyFill="1" applyBorder="1" applyAlignment="1" applyProtection="1">
      <alignment horizontal="center"/>
      <protection/>
    </xf>
    <xf numFmtId="0" fontId="29" fillId="7" borderId="115" xfId="60" applyFont="1" applyFill="1" applyBorder="1" applyAlignment="1" applyProtection="1">
      <alignment horizontal="center"/>
      <protection/>
    </xf>
    <xf numFmtId="44" fontId="21" fillId="7" borderId="37" xfId="45" applyFont="1" applyFill="1" applyBorder="1" applyAlignment="1">
      <alignment/>
    </xf>
    <xf numFmtId="177" fontId="21" fillId="7" borderId="91" xfId="45" applyNumberFormat="1" applyFont="1" applyFill="1" applyBorder="1" applyAlignment="1">
      <alignment/>
    </xf>
    <xf numFmtId="177" fontId="21" fillId="7" borderId="116" xfId="45" applyNumberFormat="1" applyFont="1" applyFill="1" applyBorder="1" applyAlignment="1">
      <alignment/>
    </xf>
    <xf numFmtId="177" fontId="29" fillId="7" borderId="36" xfId="45" applyNumberFormat="1" applyFont="1" applyFill="1" applyBorder="1" applyAlignment="1" applyProtection="1">
      <alignment horizontal="center"/>
      <protection/>
    </xf>
    <xf numFmtId="0" fontId="11" fillId="0" borderId="49" xfId="61" applyFont="1" applyBorder="1">
      <alignment/>
      <protection/>
    </xf>
    <xf numFmtId="166" fontId="11" fillId="0" borderId="49" xfId="44" applyNumberFormat="1" applyFont="1" applyFill="1" applyBorder="1" applyAlignment="1">
      <alignment/>
    </xf>
    <xf numFmtId="0" fontId="11" fillId="0" borderId="36" xfId="61" applyFont="1" applyBorder="1">
      <alignment/>
      <protection/>
    </xf>
    <xf numFmtId="166" fontId="11" fillId="0" borderId="36" xfId="44" applyNumberFormat="1" applyFont="1" applyFill="1" applyBorder="1" applyAlignment="1">
      <alignment/>
    </xf>
    <xf numFmtId="0" fontId="29" fillId="7" borderId="117" xfId="60" applyFont="1" applyFill="1" applyBorder="1" applyAlignment="1" applyProtection="1">
      <alignment horizontal="center"/>
      <protection/>
    </xf>
    <xf numFmtId="0" fontId="29" fillId="7" borderId="118" xfId="60" applyFont="1" applyFill="1" applyBorder="1" applyAlignment="1" applyProtection="1">
      <alignment horizontal="center"/>
      <protection/>
    </xf>
    <xf numFmtId="0" fontId="29" fillId="7" borderId="119" xfId="60" applyFont="1" applyFill="1" applyBorder="1" applyAlignment="1" applyProtection="1">
      <alignment horizontal="center"/>
      <protection/>
    </xf>
    <xf numFmtId="177" fontId="21" fillId="7" borderId="120" xfId="45" applyNumberFormat="1" applyFont="1" applyFill="1" applyBorder="1" applyAlignment="1">
      <alignment/>
    </xf>
    <xf numFmtId="177" fontId="21" fillId="7" borderId="121" xfId="45" applyNumberFormat="1" applyFont="1" applyFill="1" applyBorder="1" applyAlignment="1">
      <alignment/>
    </xf>
    <xf numFmtId="0" fontId="29" fillId="7" borderId="122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 applyProtection="1">
      <alignment/>
      <protection/>
    </xf>
    <xf numFmtId="177" fontId="21" fillId="7" borderId="37" xfId="45" applyNumberFormat="1" applyFont="1" applyFill="1" applyBorder="1" applyAlignment="1" applyProtection="1">
      <alignment/>
      <protection/>
    </xf>
    <xf numFmtId="0" fontId="29" fillId="7" borderId="123" xfId="60" applyFont="1" applyFill="1" applyBorder="1" applyAlignment="1" applyProtection="1">
      <alignment horizontal="center"/>
      <protection/>
    </xf>
    <xf numFmtId="0" fontId="29" fillId="7" borderId="124" xfId="60" applyFont="1" applyFill="1" applyBorder="1" applyAlignment="1" applyProtection="1">
      <alignment horizontal="center"/>
      <protection/>
    </xf>
    <xf numFmtId="0" fontId="29" fillId="7" borderId="125" xfId="60" applyFont="1" applyFill="1" applyBorder="1" applyAlignment="1" applyProtection="1">
      <alignment horizontal="center"/>
      <protection/>
    </xf>
    <xf numFmtId="177" fontId="21" fillId="7" borderId="126" xfId="60" applyNumberFormat="1" applyFont="1" applyFill="1" applyBorder="1" applyProtection="1">
      <alignment/>
      <protection/>
    </xf>
    <xf numFmtId="177" fontId="21" fillId="7" borderId="90" xfId="60" applyNumberFormat="1" applyFont="1" applyFill="1" applyBorder="1" applyProtection="1">
      <alignment/>
      <protection/>
    </xf>
    <xf numFmtId="166" fontId="11" fillId="22" borderId="122" xfId="42" applyNumberFormat="1" applyFont="1" applyFill="1" applyBorder="1" applyAlignment="1">
      <alignment/>
    </xf>
    <xf numFmtId="166" fontId="11" fillId="22" borderId="106" xfId="42" applyNumberFormat="1" applyFont="1" applyFill="1" applyBorder="1" applyAlignment="1">
      <alignment/>
    </xf>
    <xf numFmtId="177" fontId="21" fillId="7" borderId="57" xfId="45" applyNumberFormat="1" applyFont="1" applyFill="1" applyBorder="1" applyAlignment="1">
      <alignment horizontal="right"/>
    </xf>
    <xf numFmtId="177" fontId="11" fillId="22" borderId="49" xfId="45" applyNumberFormat="1" applyFont="1" applyFill="1" applyBorder="1" applyAlignment="1">
      <alignment horizontal="center"/>
    </xf>
    <xf numFmtId="177" fontId="11" fillId="22" borderId="91" xfId="45" applyNumberFormat="1" applyFont="1" applyFill="1" applyBorder="1" applyAlignment="1">
      <alignment horizontal="right"/>
    </xf>
    <xf numFmtId="177" fontId="11" fillId="22" borderId="36" xfId="45" applyNumberFormat="1" applyFont="1" applyFill="1" applyBorder="1" applyAlignment="1">
      <alignment horizontal="right"/>
    </xf>
    <xf numFmtId="10" fontId="21" fillId="7" borderId="57" xfId="0" applyNumberFormat="1" applyFont="1" applyFill="1" applyBorder="1" applyAlignment="1">
      <alignment horizontal="center"/>
    </xf>
    <xf numFmtId="0" fontId="72" fillId="0" borderId="0" xfId="60" applyFont="1" applyBorder="1" applyAlignment="1" applyProtection="1">
      <alignment horizontal="right"/>
      <protection/>
    </xf>
    <xf numFmtId="0" fontId="7" fillId="0" borderId="87" xfId="60" applyFont="1" applyBorder="1" applyAlignment="1" applyProtection="1">
      <alignment horizontal="centerContinuous"/>
      <protection/>
    </xf>
    <xf numFmtId="38" fontId="7" fillId="0" borderId="88" xfId="60" applyNumberFormat="1" applyFont="1" applyFill="1" applyBorder="1" applyAlignment="1" applyProtection="1">
      <alignment horizontal="centerContinuous"/>
      <protection/>
    </xf>
    <xf numFmtId="38" fontId="16" fillId="0" borderId="127" xfId="60" applyNumberFormat="1" applyFont="1" applyBorder="1" applyAlignment="1" applyProtection="1">
      <alignment horizontal="center" vertical="center"/>
      <protection/>
    </xf>
    <xf numFmtId="38" fontId="7" fillId="0" borderId="128" xfId="60" applyNumberFormat="1" applyFont="1" applyBorder="1" applyAlignment="1" applyProtection="1">
      <alignment horizontal="center" vertical="center"/>
      <protection/>
    </xf>
    <xf numFmtId="38" fontId="7" fillId="0" borderId="129" xfId="60" applyNumberFormat="1" applyFont="1" applyBorder="1" applyAlignment="1" applyProtection="1">
      <alignment horizontal="center" vertical="center"/>
      <protection/>
    </xf>
    <xf numFmtId="0" fontId="20" fillId="0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horizontal="left"/>
      <protection/>
    </xf>
    <xf numFmtId="0" fontId="9" fillId="0" borderId="32" xfId="60" applyFont="1" applyFill="1" applyBorder="1" applyAlignment="1" applyProtection="1">
      <alignment horizontal="centerContinuous"/>
      <protection/>
    </xf>
    <xf numFmtId="0" fontId="72" fillId="0" borderId="0" xfId="6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62" applyFont="1" applyFill="1" applyBorder="1">
      <alignment/>
      <protection/>
    </xf>
    <xf numFmtId="0" fontId="13" fillId="0" borderId="30" xfId="62" applyFont="1" applyBorder="1" applyAlignment="1">
      <alignment horizontal="center"/>
      <protection/>
    </xf>
    <xf numFmtId="0" fontId="11" fillId="0" borderId="30" xfId="62" applyFont="1" applyBorder="1" applyAlignment="1" quotePrefix="1">
      <alignment horizontal="center"/>
      <protection/>
    </xf>
    <xf numFmtId="189" fontId="13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3" fillId="0" borderId="34" xfId="0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3" fontId="11" fillId="0" borderId="33" xfId="60" applyNumberFormat="1" applyFont="1" applyFill="1" applyBorder="1" applyAlignment="1">
      <alignment horizontal="left"/>
      <protection/>
    </xf>
    <xf numFmtId="0" fontId="7" fillId="0" borderId="32" xfId="60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>
      <alignment horizontal="centerContinuous"/>
      <protection/>
    </xf>
    <xf numFmtId="0" fontId="9" fillId="0" borderId="32" xfId="60" applyFont="1" applyFill="1" applyBorder="1" applyAlignment="1" applyProtection="1">
      <alignment horizontal="center"/>
      <protection/>
    </xf>
    <xf numFmtId="0" fontId="9" fillId="0" borderId="0" xfId="60" applyFont="1" applyFill="1" applyBorder="1" applyAlignment="1" applyProtection="1">
      <alignment horizontal="center"/>
      <protection/>
    </xf>
    <xf numFmtId="0" fontId="9" fillId="0" borderId="33" xfId="60" applyFont="1" applyFill="1" applyBorder="1" applyAlignment="1" applyProtection="1">
      <alignment horizontal="center"/>
      <protection/>
    </xf>
    <xf numFmtId="38" fontId="12" fillId="0" borderId="65" xfId="60" applyNumberFormat="1" applyFont="1" applyBorder="1" applyAlignment="1" applyProtection="1">
      <alignment horizontal="center" vertical="center"/>
      <protection/>
    </xf>
    <xf numFmtId="0" fontId="11" fillId="0" borderId="36" xfId="62" applyFont="1" applyFill="1" applyBorder="1" applyAlignment="1">
      <alignment horizontal="center"/>
      <protection/>
    </xf>
    <xf numFmtId="0" fontId="11" fillId="0" borderId="36" xfId="62" applyFont="1" applyFill="1" applyBorder="1" applyAlignment="1" quotePrefix="1">
      <alignment horizontal="center"/>
      <protection/>
    </xf>
    <xf numFmtId="0" fontId="11" fillId="0" borderId="36" xfId="62" applyFont="1" applyBorder="1" applyAlignment="1">
      <alignment horizontal="center"/>
      <protection/>
    </xf>
    <xf numFmtId="0" fontId="11" fillId="0" borderId="36" xfId="62" applyFont="1" applyBorder="1" applyAlignment="1" quotePrefix="1">
      <alignment horizontal="center"/>
      <protection/>
    </xf>
    <xf numFmtId="38" fontId="11" fillId="0" borderId="0" xfId="62" applyNumberFormat="1" applyFont="1" applyFill="1" applyBorder="1">
      <alignment/>
      <protection/>
    </xf>
    <xf numFmtId="38" fontId="11" fillId="0" borderId="33" xfId="62" applyNumberFormat="1" applyFont="1" applyFill="1" applyBorder="1">
      <alignment/>
      <protection/>
    </xf>
    <xf numFmtId="38" fontId="11" fillId="0" borderId="0" xfId="62" applyNumberFormat="1" applyFont="1" applyBorder="1">
      <alignment/>
      <protection/>
    </xf>
    <xf numFmtId="38" fontId="11" fillId="0" borderId="33" xfId="62" applyNumberFormat="1" applyFont="1" applyBorder="1">
      <alignment/>
      <protection/>
    </xf>
    <xf numFmtId="6" fontId="11" fillId="0" borderId="0" xfId="62" applyNumberFormat="1" applyFont="1" applyFill="1" applyBorder="1">
      <alignment/>
      <protection/>
    </xf>
    <xf numFmtId="6" fontId="11" fillId="0" borderId="33" xfId="62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2" xfId="60" applyFont="1" applyBorder="1" applyAlignment="1" applyProtection="1">
      <alignment horizontal="left"/>
      <protection/>
    </xf>
    <xf numFmtId="0" fontId="11" fillId="0" borderId="36" xfId="60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6" xfId="60" applyFont="1" applyFill="1" applyBorder="1" applyAlignment="1">
      <alignment horizontal="center"/>
      <protection/>
    </xf>
    <xf numFmtId="0" fontId="11" fillId="0" borderId="32" xfId="60" applyFont="1" applyFill="1" applyBorder="1" applyAlignment="1" applyProtection="1">
      <alignment horizontal="center"/>
      <protection/>
    </xf>
    <xf numFmtId="0" fontId="13" fillId="7" borderId="130" xfId="60" applyFont="1" applyFill="1" applyBorder="1" applyAlignment="1" applyProtection="1">
      <alignment horizontal="center"/>
      <protection/>
    </xf>
    <xf numFmtId="0" fontId="13" fillId="7" borderId="131" xfId="60" applyFont="1" applyFill="1" applyBorder="1" applyAlignment="1" applyProtection="1">
      <alignment horizontal="center"/>
      <protection/>
    </xf>
    <xf numFmtId="0" fontId="13" fillId="7" borderId="115" xfId="60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22" xfId="60" applyFont="1" applyFill="1" applyBorder="1" applyAlignment="1" applyProtection="1">
      <alignment horizontal="center"/>
      <protection/>
    </xf>
    <xf numFmtId="0" fontId="13" fillId="7" borderId="106" xfId="60" applyFont="1" applyFill="1" applyBorder="1" applyAlignment="1" applyProtection="1">
      <alignment horizontal="center"/>
      <protection/>
    </xf>
    <xf numFmtId="0" fontId="13" fillId="7" borderId="132" xfId="60" applyFont="1" applyFill="1" applyBorder="1" applyAlignment="1" applyProtection="1">
      <alignment horizontal="center"/>
      <protection/>
    </xf>
    <xf numFmtId="177" fontId="21" fillId="7" borderId="133" xfId="45" applyNumberFormat="1" applyFont="1" applyFill="1" applyBorder="1" applyAlignment="1">
      <alignment/>
    </xf>
    <xf numFmtId="0" fontId="39" fillId="0" borderId="0" xfId="60" applyFont="1" applyBorder="1" applyProtection="1">
      <alignment/>
      <protection locked="0"/>
    </xf>
    <xf numFmtId="0" fontId="39" fillId="0" borderId="0" xfId="60" applyFont="1" applyBorder="1" applyAlignment="1" applyProtection="1">
      <alignment horizontal="left"/>
      <protection locked="0"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110" xfId="45" applyNumberFormat="1" applyFont="1" applyFill="1" applyBorder="1" applyAlignment="1" applyProtection="1">
      <alignment horizontal="right"/>
      <protection/>
    </xf>
    <xf numFmtId="177" fontId="13" fillId="22" borderId="40" xfId="45" applyNumberFormat="1" applyFont="1" applyFill="1" applyBorder="1" applyAlignment="1" applyProtection="1">
      <alignment horizontal="center"/>
      <protection/>
    </xf>
    <xf numFmtId="0" fontId="11" fillId="0" borderId="0" xfId="61" applyFont="1" applyBorder="1">
      <alignment/>
      <protection/>
    </xf>
    <xf numFmtId="38" fontId="11" fillId="7" borderId="122" xfId="60" applyNumberFormat="1" applyFont="1" applyFill="1" applyBorder="1" applyAlignment="1" applyProtection="1">
      <alignment horizontal="right"/>
      <protection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4" fontId="16" fillId="0" borderId="0" xfId="60" applyNumberFormat="1" applyFont="1" applyBorder="1" applyAlignment="1" applyProtection="1">
      <alignment horizontal="center"/>
      <protection/>
    </xf>
    <xf numFmtId="0" fontId="7" fillId="0" borderId="134" xfId="60" applyFont="1" applyFill="1" applyBorder="1" applyAlignment="1" applyProtection="1">
      <alignment/>
      <protection/>
    </xf>
    <xf numFmtId="0" fontId="7" fillId="0" borderId="32" xfId="60" applyFont="1" applyFill="1" applyBorder="1" applyAlignment="1" applyProtection="1">
      <alignment horizontal="center"/>
      <protection/>
    </xf>
    <xf numFmtId="0" fontId="7" fillId="0" borderId="135" xfId="60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166" fontId="11" fillId="0" borderId="36" xfId="42" applyNumberFormat="1" applyFont="1" applyFill="1" applyBorder="1" applyAlignment="1">
      <alignment/>
    </xf>
    <xf numFmtId="166" fontId="11" fillId="0" borderId="37" xfId="42" applyNumberFormat="1" applyFont="1" applyFill="1" applyBorder="1" applyAlignment="1">
      <alignment/>
    </xf>
    <xf numFmtId="177" fontId="21" fillId="7" borderId="57" xfId="45" applyNumberFormat="1" applyFont="1" applyFill="1" applyBorder="1" applyAlignment="1">
      <alignment horizontal="center"/>
    </xf>
    <xf numFmtId="1" fontId="21" fillId="7" borderId="57" xfId="65" applyNumberFormat="1" applyFont="1" applyFill="1" applyBorder="1" applyAlignment="1">
      <alignment horizontal="center"/>
    </xf>
    <xf numFmtId="10" fontId="21" fillId="7" borderId="57" xfId="65" applyNumberFormat="1" applyFont="1" applyFill="1" applyBorder="1" applyAlignment="1">
      <alignment horizontal="center"/>
    </xf>
    <xf numFmtId="177" fontId="21" fillId="7" borderId="58" xfId="45" applyNumberFormat="1" applyFont="1" applyFill="1" applyBorder="1" applyAlignment="1">
      <alignment horizontal="center"/>
    </xf>
    <xf numFmtId="169" fontId="21" fillId="7" borderId="63" xfId="65" applyNumberFormat="1" applyFont="1" applyFill="1" applyBorder="1" applyAlignment="1">
      <alignment horizontal="center"/>
    </xf>
    <xf numFmtId="169" fontId="70" fillId="25" borderId="98" xfId="45" applyNumberFormat="1" applyFont="1" applyFill="1" applyBorder="1" applyAlignment="1">
      <alignment horizontal="right"/>
    </xf>
    <xf numFmtId="38" fontId="11" fillId="26" borderId="36" xfId="42" applyNumberFormat="1" applyFont="1" applyFill="1" applyBorder="1" applyAlignment="1">
      <alignment/>
    </xf>
    <xf numFmtId="0" fontId="13" fillId="7" borderId="122" xfId="62" applyFont="1" applyFill="1" applyBorder="1" applyAlignment="1">
      <alignment horizontal="center"/>
      <protection/>
    </xf>
    <xf numFmtId="0" fontId="13" fillId="7" borderId="106" xfId="62" applyFont="1" applyFill="1" applyBorder="1" applyAlignment="1" quotePrefix="1">
      <alignment horizontal="center"/>
      <protection/>
    </xf>
    <xf numFmtId="0" fontId="13" fillId="7" borderId="115" xfId="60" applyFont="1" applyFill="1" applyBorder="1" applyAlignment="1" applyProtection="1">
      <alignment horizontal="center"/>
      <protection locked="0"/>
    </xf>
    <xf numFmtId="177" fontId="13" fillId="8" borderId="63" xfId="45" applyNumberFormat="1" applyFont="1" applyFill="1" applyBorder="1" applyAlignment="1" applyProtection="1">
      <alignment horizontal="right"/>
      <protection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7" fillId="8" borderId="63" xfId="45" applyNumberFormat="1" applyFont="1" applyFill="1" applyBorder="1" applyAlignment="1" applyProtection="1">
      <alignment horizontal="right"/>
      <protection/>
    </xf>
    <xf numFmtId="177" fontId="7" fillId="8" borderId="64" xfId="45" applyNumberFormat="1" applyFont="1" applyFill="1" applyBorder="1" applyAlignment="1" applyProtection="1">
      <alignment horizontal="right"/>
      <protection/>
    </xf>
    <xf numFmtId="0" fontId="7" fillId="8" borderId="136" xfId="60" applyFont="1" applyFill="1" applyBorder="1" applyProtection="1">
      <alignment/>
      <protection/>
    </xf>
    <xf numFmtId="0" fontId="34" fillId="8" borderId="136" xfId="60" applyFont="1" applyFill="1" applyBorder="1" applyProtection="1">
      <alignment/>
      <protection/>
    </xf>
    <xf numFmtId="38" fontId="7" fillId="8" borderId="63" xfId="60" applyNumberFormat="1" applyFont="1" applyFill="1" applyBorder="1" applyAlignment="1" applyProtection="1">
      <alignment horizontal="right"/>
      <protection/>
    </xf>
    <xf numFmtId="2" fontId="34" fillId="8" borderId="63" xfId="45" applyNumberFormat="1" applyFont="1" applyFill="1" applyBorder="1" applyAlignment="1" applyProtection="1">
      <alignment horizontal="right"/>
      <protection/>
    </xf>
    <xf numFmtId="0" fontId="13" fillId="7" borderId="137" xfId="59" applyFont="1" applyFill="1" applyBorder="1">
      <alignment/>
      <protection/>
    </xf>
    <xf numFmtId="177" fontId="13" fillId="7" borderId="126" xfId="45" applyNumberFormat="1" applyFont="1" applyFill="1" applyBorder="1" applyAlignment="1">
      <alignment/>
    </xf>
    <xf numFmtId="177" fontId="13" fillId="7" borderId="138" xfId="45" applyNumberFormat="1" applyFont="1" applyFill="1" applyBorder="1" applyAlignment="1">
      <alignment/>
    </xf>
    <xf numFmtId="9" fontId="7" fillId="7" borderId="126" xfId="65" applyFont="1" applyFill="1" applyBorder="1" applyAlignment="1">
      <alignment/>
    </xf>
    <xf numFmtId="9" fontId="7" fillId="7" borderId="138" xfId="65" applyFont="1" applyFill="1" applyBorder="1" applyAlignment="1">
      <alignment/>
    </xf>
    <xf numFmtId="0" fontId="13" fillId="7" borderId="20" xfId="5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7" fillId="7" borderId="20" xfId="65" applyFont="1" applyFill="1" applyBorder="1" applyAlignment="1">
      <alignment/>
    </xf>
    <xf numFmtId="9" fontId="7" fillId="7" borderId="21" xfId="65" applyFont="1" applyFill="1" applyBorder="1" applyAlignment="1">
      <alignment/>
    </xf>
    <xf numFmtId="0" fontId="13" fillId="7" borderId="139" xfId="59" applyFont="1" applyFill="1" applyBorder="1">
      <alignment/>
      <protection/>
    </xf>
    <xf numFmtId="9" fontId="7" fillId="7" borderId="139" xfId="65" applyFont="1" applyFill="1" applyBorder="1" applyAlignment="1">
      <alignment/>
    </xf>
    <xf numFmtId="9" fontId="7" fillId="7" borderId="140" xfId="65" applyFont="1" applyFill="1" applyBorder="1" applyAlignment="1">
      <alignment/>
    </xf>
    <xf numFmtId="10" fontId="7" fillId="7" borderId="141" xfId="65" applyNumberFormat="1" applyFont="1" applyFill="1" applyBorder="1" applyAlignment="1">
      <alignment/>
    </xf>
    <xf numFmtId="10" fontId="7" fillId="7" borderId="142" xfId="65" applyNumberFormat="1" applyFont="1" applyFill="1" applyBorder="1" applyAlignment="1">
      <alignment/>
    </xf>
    <xf numFmtId="10" fontId="7" fillId="7" borderId="143" xfId="65" applyNumberFormat="1" applyFont="1" applyFill="1" applyBorder="1" applyAlignment="1">
      <alignment/>
    </xf>
    <xf numFmtId="10" fontId="7" fillId="7" borderId="144" xfId="65" applyNumberFormat="1" applyFont="1" applyFill="1" applyBorder="1" applyAlignment="1">
      <alignment/>
    </xf>
    <xf numFmtId="10" fontId="7" fillId="7" borderId="20" xfId="65" applyNumberFormat="1" applyFont="1" applyFill="1" applyBorder="1" applyAlignment="1">
      <alignment/>
    </xf>
    <xf numFmtId="10" fontId="7" fillId="7" borderId="21" xfId="65" applyNumberFormat="1" applyFont="1" applyFill="1" applyBorder="1" applyAlignment="1">
      <alignment/>
    </xf>
    <xf numFmtId="10" fontId="7" fillId="7" borderId="145" xfId="65" applyNumberFormat="1" applyFont="1" applyFill="1" applyBorder="1" applyAlignment="1">
      <alignment/>
    </xf>
    <xf numFmtId="10" fontId="7" fillId="7" borderId="146" xfId="65" applyNumberFormat="1" applyFont="1" applyFill="1" applyBorder="1" applyAlignment="1">
      <alignment/>
    </xf>
    <xf numFmtId="10" fontId="7" fillId="7" borderId="147" xfId="65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166" fontId="11" fillId="27" borderId="20" xfId="42" applyNumberFormat="1" applyFont="1" applyFill="1" applyBorder="1" applyAlignment="1">
      <alignment/>
    </xf>
    <xf numFmtId="166" fontId="59" fillId="22" borderId="36" xfId="42" applyNumberFormat="1" applyFont="1" applyFill="1" applyBorder="1" applyAlignment="1">
      <alignment/>
    </xf>
    <xf numFmtId="166" fontId="11" fillId="5" borderId="36" xfId="42" applyNumberFormat="1" applyFont="1" applyFill="1" applyBorder="1" applyAlignment="1">
      <alignment/>
    </xf>
    <xf numFmtId="166" fontId="12" fillId="0" borderId="0" xfId="42" applyNumberFormat="1" applyFont="1" applyFill="1" applyBorder="1" applyAlignment="1" applyProtection="1">
      <alignment/>
      <protection/>
    </xf>
    <xf numFmtId="166" fontId="12" fillId="22" borderId="36" xfId="42" applyNumberFormat="1" applyFont="1" applyFill="1" applyBorder="1" applyAlignment="1" applyProtection="1">
      <alignment/>
      <protection/>
    </xf>
    <xf numFmtId="166" fontId="12" fillId="0" borderId="0" xfId="42" applyNumberFormat="1" applyFont="1" applyBorder="1" applyAlignment="1">
      <alignment/>
    </xf>
    <xf numFmtId="166" fontId="12" fillId="0" borderId="0" xfId="42" applyNumberFormat="1" applyFont="1" applyFill="1" applyBorder="1" applyAlignment="1" applyProtection="1">
      <alignment/>
      <protection locked="0"/>
    </xf>
    <xf numFmtId="166" fontId="12" fillId="0" borderId="0" xfId="42" applyNumberFormat="1" applyFont="1" applyBorder="1" applyAlignment="1" applyProtection="1">
      <alignment horizontal="right"/>
      <protection/>
    </xf>
    <xf numFmtId="166" fontId="10" fillId="22" borderId="36" xfId="42" applyNumberFormat="1" applyFont="1" applyFill="1" applyBorder="1" applyAlignment="1" applyProtection="1">
      <alignment/>
      <protection/>
    </xf>
    <xf numFmtId="166" fontId="12" fillId="0" borderId="3" xfId="42" applyNumberFormat="1" applyFont="1" applyFill="1" applyBorder="1" applyAlignment="1" applyProtection="1">
      <alignment horizontal="right"/>
      <protection/>
    </xf>
    <xf numFmtId="166" fontId="11" fillId="5" borderId="91" xfId="42" applyNumberFormat="1" applyFont="1" applyFill="1" applyBorder="1" applyAlignment="1">
      <alignment/>
    </xf>
    <xf numFmtId="166" fontId="12" fillId="0" borderId="0" xfId="42" applyNumberFormat="1" applyFont="1" applyFill="1" applyBorder="1" applyAlignment="1" applyProtection="1">
      <alignment horizontal="right"/>
      <protection/>
    </xf>
    <xf numFmtId="166" fontId="12" fillId="0" borderId="0" xfId="42" applyNumberFormat="1" applyFont="1" applyBorder="1" applyAlignment="1" applyProtection="1">
      <alignment/>
      <protection/>
    </xf>
    <xf numFmtId="166" fontId="59" fillId="22" borderId="36" xfId="42" applyNumberFormat="1" applyFont="1" applyFill="1" applyBorder="1" applyAlignment="1" applyProtection="1">
      <alignment/>
      <protection/>
    </xf>
    <xf numFmtId="166" fontId="61" fillId="22" borderId="36" xfId="42" applyNumberFormat="1" applyFont="1" applyFill="1" applyBorder="1" applyAlignment="1" applyProtection="1">
      <alignment/>
      <protection/>
    </xf>
    <xf numFmtId="166" fontId="21" fillId="22" borderId="36" xfId="42" applyNumberFormat="1" applyFont="1" applyFill="1" applyBorder="1" applyAlignment="1" applyProtection="1">
      <alignment/>
      <protection/>
    </xf>
    <xf numFmtId="166" fontId="11" fillId="22" borderId="36" xfId="42" applyNumberFormat="1" applyFont="1" applyFill="1" applyBorder="1" applyAlignment="1" applyProtection="1">
      <alignment/>
      <protection/>
    </xf>
    <xf numFmtId="166" fontId="12" fillId="0" borderId="0" xfId="42" applyNumberFormat="1" applyFont="1" applyBorder="1" applyAlignment="1" applyProtection="1">
      <alignment/>
      <protection locked="0"/>
    </xf>
    <xf numFmtId="177" fontId="11" fillId="5" borderId="36" xfId="45" applyNumberFormat="1" applyFont="1" applyFill="1" applyBorder="1" applyAlignment="1">
      <alignment/>
    </xf>
    <xf numFmtId="38" fontId="61" fillId="22" borderId="36" xfId="42" applyNumberFormat="1" applyFont="1" applyFill="1" applyBorder="1" applyAlignment="1" applyProtection="1">
      <alignment/>
      <protection/>
    </xf>
    <xf numFmtId="166" fontId="0" fillId="0" borderId="0" xfId="42" applyNumberFormat="1" applyAlignment="1">
      <alignment/>
    </xf>
    <xf numFmtId="166" fontId="0" fillId="0" borderId="0" xfId="42" applyNumberFormat="1" applyAlignment="1">
      <alignment horizontal="center"/>
    </xf>
    <xf numFmtId="166" fontId="0" fillId="0" borderId="0" xfId="42" applyNumberFormat="1" applyAlignment="1" quotePrefix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148" xfId="42" applyNumberFormat="1" applyBorder="1" applyAlignment="1">
      <alignment/>
    </xf>
    <xf numFmtId="166" fontId="0" fillId="0" borderId="124" xfId="42" applyNumberFormat="1" applyBorder="1" applyAlignment="1">
      <alignment/>
    </xf>
    <xf numFmtId="166" fontId="0" fillId="0" borderId="0" xfId="42" applyNumberFormat="1" applyBorder="1" applyAlignment="1">
      <alignment/>
    </xf>
    <xf numFmtId="166" fontId="0" fillId="0" borderId="131" xfId="42" applyNumberFormat="1" applyBorder="1" applyAlignment="1">
      <alignment/>
    </xf>
    <xf numFmtId="166" fontId="0" fillId="0" borderId="149" xfId="42" applyNumberFormat="1" applyBorder="1" applyAlignment="1">
      <alignment/>
    </xf>
    <xf numFmtId="43" fontId="0" fillId="0" borderId="0" xfId="42" applyAlignment="1">
      <alignment horizontal="center"/>
    </xf>
    <xf numFmtId="43" fontId="0" fillId="0" borderId="0" xfId="42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 quotePrefix="1">
      <alignment horizontal="center"/>
    </xf>
    <xf numFmtId="43" fontId="0" fillId="0" borderId="131" xfId="42" applyBorder="1" applyAlignment="1">
      <alignment/>
    </xf>
    <xf numFmtId="43" fontId="0" fillId="0" borderId="0" xfId="42" applyFont="1" applyAlignment="1">
      <alignment/>
    </xf>
    <xf numFmtId="43" fontId="0" fillId="0" borderId="124" xfId="42" applyBorder="1" applyAlignment="1">
      <alignment/>
    </xf>
    <xf numFmtId="43" fontId="0" fillId="0" borderId="149" xfId="42" applyBorder="1" applyAlignment="1">
      <alignment/>
    </xf>
    <xf numFmtId="10" fontId="0" fillId="0" borderId="131" xfId="65" applyNumberFormat="1" applyBorder="1" applyAlignment="1">
      <alignment/>
    </xf>
    <xf numFmtId="43" fontId="0" fillId="0" borderId="0" xfId="42" applyBorder="1" applyAlignment="1">
      <alignment/>
    </xf>
    <xf numFmtId="166" fontId="74" fillId="22" borderId="36" xfId="42" applyNumberFormat="1" applyFont="1" applyFill="1" applyBorder="1" applyAlignment="1">
      <alignment/>
    </xf>
    <xf numFmtId="166" fontId="74" fillId="22" borderId="37" xfId="42" applyNumberFormat="1" applyFont="1" applyFill="1" applyBorder="1" applyAlignment="1">
      <alignment/>
    </xf>
    <xf numFmtId="189" fontId="11" fillId="22" borderId="37" xfId="0" applyNumberFormat="1" applyFont="1" applyFill="1" applyBorder="1" applyAlignment="1">
      <alignment/>
    </xf>
    <xf numFmtId="189" fontId="28" fillId="5" borderId="107" xfId="0" applyNumberFormat="1" applyFont="1" applyFill="1" applyBorder="1" applyAlignment="1">
      <alignment/>
    </xf>
    <xf numFmtId="189" fontId="7" fillId="5" borderId="107" xfId="0" applyNumberFormat="1" applyFont="1" applyFill="1" applyBorder="1" applyAlignment="1">
      <alignment/>
    </xf>
    <xf numFmtId="166" fontId="23" fillId="22" borderId="36" xfId="42" applyNumberFormat="1" applyFont="1" applyFill="1" applyBorder="1" applyAlignment="1">
      <alignment/>
    </xf>
    <xf numFmtId="166" fontId="23" fillId="0" borderId="0" xfId="42" applyNumberFormat="1" applyFont="1" applyBorder="1" applyAlignment="1">
      <alignment/>
    </xf>
    <xf numFmtId="177" fontId="23" fillId="22" borderId="56" xfId="45" applyNumberFormat="1" applyFont="1" applyFill="1" applyBorder="1" applyAlignment="1">
      <alignment/>
    </xf>
    <xf numFmtId="166" fontId="23" fillId="22" borderId="116" xfId="42" applyNumberFormat="1" applyFont="1" applyFill="1" applyBorder="1" applyAlignment="1">
      <alignment/>
    </xf>
    <xf numFmtId="166" fontId="23" fillId="22" borderId="37" xfId="42" applyNumberFormat="1" applyFont="1" applyFill="1" applyBorder="1" applyAlignment="1">
      <alignment/>
    </xf>
    <xf numFmtId="177" fontId="11" fillId="5" borderId="36" xfId="45" applyNumberFormat="1" applyFont="1" applyFill="1" applyBorder="1" applyAlignment="1" applyProtection="1">
      <alignment horizontal="right"/>
      <protection/>
    </xf>
    <xf numFmtId="166" fontId="28" fillId="5" borderId="37" xfId="42" applyNumberFormat="1" applyFont="1" applyFill="1" applyBorder="1" applyAlignment="1">
      <alignment/>
    </xf>
    <xf numFmtId="0" fontId="0" fillId="0" borderId="33" xfId="0" applyBorder="1" applyAlignment="1">
      <alignment/>
    </xf>
    <xf numFmtId="177" fontId="23" fillId="22" borderId="49" xfId="45" applyNumberFormat="1" applyFont="1" applyFill="1" applyBorder="1" applyAlignment="1">
      <alignment/>
    </xf>
    <xf numFmtId="177" fontId="11" fillId="5" borderId="150" xfId="45" applyNumberFormat="1" applyFont="1" applyFill="1" applyBorder="1" applyAlignment="1" applyProtection="1">
      <alignment horizontal="right"/>
      <protection/>
    </xf>
    <xf numFmtId="166" fontId="28" fillId="5" borderId="151" xfId="42" applyNumberFormat="1" applyFont="1" applyFill="1" applyBorder="1" applyAlignment="1">
      <alignment/>
    </xf>
    <xf numFmtId="166" fontId="23" fillId="5" borderId="36" xfId="42" applyNumberFormat="1" applyFont="1" applyFill="1" applyBorder="1" applyAlignment="1">
      <alignment/>
    </xf>
    <xf numFmtId="166" fontId="23" fillId="0" borderId="3" xfId="42" applyNumberFormat="1" applyFont="1" applyBorder="1" applyAlignment="1">
      <alignment/>
    </xf>
    <xf numFmtId="166" fontId="75" fillId="22" borderId="36" xfId="42" applyNumberFormat="1" applyFont="1" applyFill="1" applyBorder="1" applyAlignment="1">
      <alignment/>
    </xf>
    <xf numFmtId="166" fontId="23" fillId="0" borderId="0" xfId="42" applyNumberFormat="1" applyFont="1" applyFill="1" applyBorder="1" applyAlignment="1" applyProtection="1">
      <alignment horizontal="right"/>
      <protection/>
    </xf>
    <xf numFmtId="166" fontId="23" fillId="0" borderId="0" xfId="42" applyNumberFormat="1" applyFont="1" applyFill="1" applyBorder="1" applyAlignment="1">
      <alignment/>
    </xf>
    <xf numFmtId="166" fontId="23" fillId="0" borderId="3" xfId="42" applyNumberFormat="1" applyFont="1" applyFill="1" applyBorder="1" applyAlignment="1" applyProtection="1">
      <alignment horizontal="right"/>
      <protection/>
    </xf>
    <xf numFmtId="166" fontId="23" fillId="5" borderId="91" xfId="42" applyNumberFormat="1" applyFont="1" applyFill="1" applyBorder="1" applyAlignment="1">
      <alignment/>
    </xf>
    <xf numFmtId="166" fontId="23" fillId="0" borderId="0" xfId="42" applyNumberFormat="1" applyFont="1" applyBorder="1" applyAlignment="1">
      <alignment horizontal="left"/>
    </xf>
    <xf numFmtId="166" fontId="23" fillId="0" borderId="0" xfId="42" applyNumberFormat="1" applyFont="1" applyBorder="1" applyAlignment="1">
      <alignment vertical="center"/>
    </xf>
    <xf numFmtId="166" fontId="23" fillId="0" borderId="152" xfId="42" applyNumberFormat="1" applyFont="1" applyFill="1" applyBorder="1" applyAlignment="1">
      <alignment/>
    </xf>
    <xf numFmtId="166" fontId="5" fillId="22" borderId="36" xfId="42" applyNumberFormat="1" applyFont="1" applyFill="1" applyBorder="1" applyAlignment="1">
      <alignment/>
    </xf>
    <xf numFmtId="166" fontId="5" fillId="22" borderId="37" xfId="42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6" fontId="5" fillId="22" borderId="36" xfId="42" applyNumberFormat="1" applyFont="1" applyFill="1" applyBorder="1" applyAlignment="1" applyProtection="1">
      <alignment/>
      <protection/>
    </xf>
    <xf numFmtId="177" fontId="13" fillId="22" borderId="91" xfId="45" applyNumberFormat="1" applyFont="1" applyFill="1" applyBorder="1" applyAlignment="1">
      <alignment horizontal="center"/>
    </xf>
    <xf numFmtId="177" fontId="13" fillId="22" borderId="36" xfId="45" applyNumberFormat="1" applyFont="1" applyFill="1" applyBorder="1" applyAlignment="1">
      <alignment horizontal="center"/>
    </xf>
    <xf numFmtId="177" fontId="7" fillId="5" borderId="57" xfId="45" applyNumberFormat="1" applyFont="1" applyFill="1" applyBorder="1" applyAlignment="1">
      <alignment horizontal="center"/>
    </xf>
    <xf numFmtId="10" fontId="13" fillId="22" borderId="91" xfId="65" applyNumberFormat="1" applyFont="1" applyFill="1" applyBorder="1" applyAlignment="1">
      <alignment horizontal="center"/>
    </xf>
    <xf numFmtId="10" fontId="13" fillId="22" borderId="36" xfId="65" applyNumberFormat="1" applyFont="1" applyFill="1" applyBorder="1" applyAlignment="1">
      <alignment horizontal="center"/>
    </xf>
    <xf numFmtId="189" fontId="76" fillId="22" borderId="36" xfId="42" applyNumberFormat="1" applyFont="1" applyFill="1" applyBorder="1" applyAlignment="1">
      <alignment/>
    </xf>
    <xf numFmtId="3" fontId="76" fillId="22" borderId="36" xfId="42" applyNumberFormat="1" applyFont="1" applyFill="1" applyBorder="1" applyAlignment="1">
      <alignment/>
    </xf>
    <xf numFmtId="177" fontId="13" fillId="0" borderId="33" xfId="62" applyNumberFormat="1" applyFont="1" applyFill="1" applyBorder="1">
      <alignment/>
      <protection/>
    </xf>
    <xf numFmtId="38" fontId="13" fillId="22" borderId="63" xfId="60" applyNumberFormat="1" applyFont="1" applyFill="1" applyBorder="1" applyAlignment="1" applyProtection="1">
      <alignment horizontal="right"/>
      <protection/>
    </xf>
    <xf numFmtId="38" fontId="13" fillId="22" borderId="38" xfId="60" applyNumberFormat="1" applyFont="1" applyFill="1" applyBorder="1" applyAlignment="1" applyProtection="1">
      <alignment horizontal="right"/>
      <protection/>
    </xf>
    <xf numFmtId="0" fontId="7" fillId="0" borderId="153" xfId="60" applyFont="1" applyFill="1" applyBorder="1" applyAlignment="1" applyProtection="1">
      <alignment horizontal="center" vertical="center"/>
      <protection/>
    </xf>
    <xf numFmtId="0" fontId="13" fillId="0" borderId="49" xfId="61" applyFont="1" applyBorder="1">
      <alignment/>
      <protection/>
    </xf>
    <xf numFmtId="166" fontId="13" fillId="0" borderId="154" xfId="44" applyNumberFormat="1" applyFont="1" applyFill="1" applyBorder="1" applyAlignment="1">
      <alignment/>
    </xf>
    <xf numFmtId="177" fontId="23" fillId="0" borderId="51" xfId="45" applyNumberFormat="1" applyFont="1" applyFill="1" applyBorder="1" applyAlignment="1">
      <alignment/>
    </xf>
    <xf numFmtId="166" fontId="23" fillId="0" borderId="54" xfId="42" applyNumberFormat="1" applyFont="1" applyFill="1" applyBorder="1" applyAlignment="1">
      <alignment/>
    </xf>
    <xf numFmtId="0" fontId="13" fillId="0" borderId="36" xfId="61" applyFont="1" applyBorder="1">
      <alignment/>
      <protection/>
    </xf>
    <xf numFmtId="166" fontId="13" fillId="0" borderId="122" xfId="44" applyNumberFormat="1" applyFont="1" applyFill="1" applyBorder="1" applyAlignment="1">
      <alignment/>
    </xf>
    <xf numFmtId="177" fontId="23" fillId="0" borderId="52" xfId="45" applyNumberFormat="1" applyFont="1" applyFill="1" applyBorder="1" applyAlignment="1">
      <alignment/>
    </xf>
    <xf numFmtId="166" fontId="23" fillId="0" borderId="37" xfId="42" applyNumberFormat="1" applyFont="1" applyFill="1" applyBorder="1" applyAlignment="1">
      <alignment/>
    </xf>
    <xf numFmtId="0" fontId="0" fillId="0" borderId="122" xfId="0" applyFont="1" applyBorder="1" applyAlignment="1">
      <alignment/>
    </xf>
    <xf numFmtId="177" fontId="11" fillId="5" borderId="155" xfId="45" applyNumberFormat="1" applyFont="1" applyFill="1" applyBorder="1" applyAlignment="1" applyProtection="1">
      <alignment horizontal="right"/>
      <protection/>
    </xf>
    <xf numFmtId="166" fontId="11" fillId="5" borderId="151" xfId="42" applyNumberFormat="1" applyFont="1" applyFill="1" applyBorder="1" applyAlignment="1">
      <alignment/>
    </xf>
    <xf numFmtId="42" fontId="5" fillId="0" borderId="56" xfId="0" applyNumberFormat="1" applyFont="1" applyBorder="1" applyAlignment="1">
      <alignment/>
    </xf>
    <xf numFmtId="41" fontId="5" fillId="0" borderId="156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5" fillId="0" borderId="52" xfId="0" applyNumberFormat="1" applyFont="1" applyBorder="1" applyAlignment="1">
      <alignment/>
    </xf>
    <xf numFmtId="41" fontId="5" fillId="0" borderId="37" xfId="0" applyNumberFormat="1" applyFont="1" applyBorder="1" applyAlignment="1">
      <alignment/>
    </xf>
    <xf numFmtId="42" fontId="5" fillId="0" borderId="155" xfId="0" applyNumberFormat="1" applyFont="1" applyBorder="1" applyAlignment="1">
      <alignment/>
    </xf>
    <xf numFmtId="166" fontId="5" fillId="0" borderId="15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13" fillId="0" borderId="150" xfId="61" applyFont="1" applyBorder="1">
      <alignment/>
      <protection/>
    </xf>
    <xf numFmtId="0" fontId="0" fillId="0" borderId="157" xfId="0" applyFont="1" applyBorder="1" applyAlignment="1">
      <alignment/>
    </xf>
    <xf numFmtId="177" fontId="28" fillId="0" borderId="155" xfId="45" applyNumberFormat="1" applyFont="1" applyFill="1" applyBorder="1" applyAlignment="1" applyProtection="1">
      <alignment horizontal="right"/>
      <protection/>
    </xf>
    <xf numFmtId="166" fontId="28" fillId="0" borderId="151" xfId="42" applyNumberFormat="1" applyFont="1" applyFill="1" applyBorder="1" applyAlignment="1">
      <alignment/>
    </xf>
    <xf numFmtId="177" fontId="28" fillId="5" borderId="155" xfId="45" applyNumberFormat="1" applyFont="1" applyFill="1" applyBorder="1" applyAlignment="1" applyProtection="1">
      <alignment horizontal="right"/>
      <protection/>
    </xf>
    <xf numFmtId="42" fontId="77" fillId="0" borderId="56" xfId="0" applyNumberFormat="1" applyFont="1" applyBorder="1" applyAlignment="1">
      <alignment/>
    </xf>
    <xf numFmtId="41" fontId="77" fillId="0" borderId="156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2" fontId="77" fillId="0" borderId="155" xfId="0" applyNumberFormat="1" applyFont="1" applyBorder="1" applyAlignment="1">
      <alignment/>
    </xf>
    <xf numFmtId="166" fontId="77" fillId="0" borderId="151" xfId="0" applyNumberFormat="1" applyFont="1" applyBorder="1" applyAlignment="1">
      <alignment/>
    </xf>
    <xf numFmtId="177" fontId="0" fillId="0" borderId="0" xfId="0" applyNumberFormat="1" applyAlignment="1">
      <alignment/>
    </xf>
    <xf numFmtId="15" fontId="7" fillId="7" borderId="158" xfId="60" applyNumberFormat="1" applyFont="1" applyFill="1" applyBorder="1" applyAlignment="1" applyProtection="1">
      <alignment horizontal="center"/>
      <protection/>
    </xf>
    <xf numFmtId="0" fontId="7" fillId="7" borderId="159" xfId="60" applyFont="1" applyFill="1" applyBorder="1" applyAlignment="1" applyProtection="1">
      <alignment horizontal="center"/>
      <protection/>
    </xf>
    <xf numFmtId="0" fontId="7" fillId="7" borderId="160" xfId="60" applyFont="1" applyFill="1" applyBorder="1" applyAlignment="1" applyProtection="1">
      <alignment horizontal="center"/>
      <protection/>
    </xf>
    <xf numFmtId="0" fontId="11" fillId="0" borderId="122" xfId="60" applyFont="1" applyFill="1" applyBorder="1" applyAlignment="1" applyProtection="1">
      <alignment horizontal="center"/>
      <protection/>
    </xf>
    <xf numFmtId="0" fontId="7" fillId="7" borderId="161" xfId="60" applyFont="1" applyFill="1" applyBorder="1" applyAlignment="1" applyProtection="1" quotePrefix="1">
      <alignment horizontal="center"/>
      <protection/>
    </xf>
    <xf numFmtId="0" fontId="7" fillId="7" borderId="162" xfId="60" applyFont="1" applyFill="1" applyBorder="1" applyAlignment="1" applyProtection="1">
      <alignment horizontal="center"/>
      <protection/>
    </xf>
    <xf numFmtId="0" fontId="7" fillId="7" borderId="163" xfId="60" applyFont="1" applyFill="1" applyBorder="1" applyAlignment="1" applyProtection="1">
      <alignment horizontal="center"/>
      <protection/>
    </xf>
    <xf numFmtId="17" fontId="7" fillId="7" borderId="164" xfId="60" applyNumberFormat="1" applyFont="1" applyFill="1" applyBorder="1" applyAlignment="1" applyProtection="1">
      <alignment horizontal="center"/>
      <protection/>
    </xf>
    <xf numFmtId="0" fontId="7" fillId="7" borderId="124" xfId="60" applyFont="1" applyFill="1" applyBorder="1" applyAlignment="1" applyProtection="1">
      <alignment horizontal="center"/>
      <protection/>
    </xf>
    <xf numFmtId="0" fontId="7" fillId="7" borderId="165" xfId="60" applyFont="1" applyFill="1" applyBorder="1" applyAlignment="1" applyProtection="1">
      <alignment horizontal="center"/>
      <protection/>
    </xf>
    <xf numFmtId="38" fontId="7" fillId="0" borderId="38" xfId="60" applyNumberFormat="1" applyFont="1" applyFill="1" applyBorder="1" applyAlignment="1" applyProtection="1">
      <alignment horizontal="center" vertical="center"/>
      <protection/>
    </xf>
    <xf numFmtId="38" fontId="7" fillId="0" borderId="44" xfId="60" applyNumberFormat="1" applyFont="1" applyFill="1" applyBorder="1" applyAlignment="1" applyProtection="1">
      <alignment horizontal="center" vertical="center"/>
      <protection/>
    </xf>
    <xf numFmtId="0" fontId="7" fillId="0" borderId="87" xfId="60" applyFont="1" applyBorder="1" applyAlignment="1" applyProtection="1">
      <alignment horizontal="center"/>
      <protection/>
    </xf>
    <xf numFmtId="0" fontId="7" fillId="0" borderId="0" xfId="60" applyFont="1" applyBorder="1" applyAlignment="1" applyProtection="1">
      <alignment horizontal="center"/>
      <protection/>
    </xf>
    <xf numFmtId="0" fontId="7" fillId="0" borderId="88" xfId="60" applyFont="1" applyBorder="1" applyAlignment="1" applyProtection="1">
      <alignment horizontal="center"/>
      <protection/>
    </xf>
    <xf numFmtId="0" fontId="7" fillId="0" borderId="8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34" fillId="0" borderId="166" xfId="0" applyFont="1" applyBorder="1" applyAlignment="1">
      <alignment horizontal="center"/>
    </xf>
    <xf numFmtId="0" fontId="34" fillId="0" borderId="167" xfId="0" applyFont="1" applyBorder="1" applyAlignment="1">
      <alignment horizontal="center"/>
    </xf>
    <xf numFmtId="0" fontId="34" fillId="0" borderId="168" xfId="0" applyFont="1" applyBorder="1" applyAlignment="1">
      <alignment horizontal="center"/>
    </xf>
    <xf numFmtId="0" fontId="7" fillId="0" borderId="169" xfId="60" applyFont="1" applyFill="1" applyBorder="1" applyAlignment="1" applyProtection="1">
      <alignment horizontal="center" vertical="center"/>
      <protection/>
    </xf>
    <xf numFmtId="0" fontId="7" fillId="0" borderId="74" xfId="60" applyFont="1" applyFill="1" applyBorder="1" applyAlignment="1" applyProtection="1">
      <alignment horizontal="center" vertical="center"/>
      <protection/>
    </xf>
    <xf numFmtId="0" fontId="7" fillId="0" borderId="87" xfId="60" applyFont="1" applyFill="1" applyBorder="1" applyAlignment="1" applyProtection="1">
      <alignment horizontal="center" vertical="center"/>
      <protection/>
    </xf>
    <xf numFmtId="0" fontId="7" fillId="0" borderId="66" xfId="60" applyFont="1" applyFill="1" applyBorder="1" applyAlignment="1" applyProtection="1">
      <alignment horizontal="center" vertical="center"/>
      <protection/>
    </xf>
    <xf numFmtId="0" fontId="7" fillId="0" borderId="170" xfId="60" applyFont="1" applyFill="1" applyBorder="1" applyAlignment="1" applyProtection="1">
      <alignment horizontal="center" vertical="center"/>
      <protection/>
    </xf>
    <xf numFmtId="0" fontId="7" fillId="0" borderId="76" xfId="60" applyFont="1" applyFill="1" applyBorder="1" applyAlignment="1" applyProtection="1">
      <alignment horizontal="center" vertical="center"/>
      <protection/>
    </xf>
    <xf numFmtId="38" fontId="7" fillId="0" borderId="43" xfId="60" applyNumberFormat="1" applyFont="1" applyBorder="1" applyAlignment="1" applyProtection="1">
      <alignment horizontal="center" vertical="center"/>
      <protection/>
    </xf>
    <xf numFmtId="38" fontId="7" fillId="0" borderId="38" xfId="60" applyNumberFormat="1" applyFont="1" applyBorder="1" applyAlignment="1" applyProtection="1">
      <alignment horizontal="center" vertical="center"/>
      <protection/>
    </xf>
    <xf numFmtId="38" fontId="7" fillId="0" borderId="44" xfId="60" applyNumberFormat="1" applyFont="1" applyBorder="1" applyAlignment="1" applyProtection="1">
      <alignment horizontal="center" vertical="center"/>
      <protection/>
    </xf>
    <xf numFmtId="38" fontId="7" fillId="0" borderId="43" xfId="60" applyNumberFormat="1" applyFont="1" applyFill="1" applyBorder="1" applyAlignment="1" applyProtection="1">
      <alignment horizontal="center" vertical="center"/>
      <protection/>
    </xf>
    <xf numFmtId="0" fontId="11" fillId="0" borderId="106" xfId="60" applyFont="1" applyFill="1" applyBorder="1" applyAlignment="1" applyProtection="1">
      <alignment horizontal="center"/>
      <protection/>
    </xf>
    <xf numFmtId="0" fontId="11" fillId="0" borderId="115" xfId="60" applyFont="1" applyFill="1" applyBorder="1" applyAlignment="1" applyProtection="1">
      <alignment horizontal="center"/>
      <protection/>
    </xf>
    <xf numFmtId="0" fontId="9" fillId="0" borderId="87" xfId="60" applyFont="1" applyBorder="1" applyAlignment="1" applyProtection="1">
      <alignment horizontal="center"/>
      <protection/>
    </xf>
    <xf numFmtId="0" fontId="9" fillId="0" borderId="0" xfId="60" applyFont="1" applyBorder="1" applyAlignment="1" applyProtection="1">
      <alignment horizontal="center"/>
      <protection/>
    </xf>
    <xf numFmtId="0" fontId="9" fillId="0" borderId="88" xfId="60" applyFont="1" applyBorder="1" applyAlignment="1" applyProtection="1">
      <alignment horizontal="center"/>
      <protection/>
    </xf>
    <xf numFmtId="0" fontId="73" fillId="0" borderId="46" xfId="60" applyFont="1" applyBorder="1" applyAlignment="1" applyProtection="1">
      <alignment horizontal="center"/>
      <protection/>
    </xf>
    <xf numFmtId="0" fontId="73" fillId="0" borderId="41" xfId="60" applyFont="1" applyBorder="1" applyAlignment="1" applyProtection="1">
      <alignment horizontal="center"/>
      <protection/>
    </xf>
    <xf numFmtId="0" fontId="73" fillId="0" borderId="42" xfId="60" applyFont="1" applyBorder="1" applyAlignment="1" applyProtection="1">
      <alignment horizontal="center"/>
      <protection/>
    </xf>
    <xf numFmtId="0" fontId="7" fillId="7" borderId="161" xfId="60" applyFont="1" applyFill="1" applyBorder="1" applyAlignment="1" applyProtection="1">
      <alignment horizontal="center"/>
      <protection/>
    </xf>
    <xf numFmtId="17" fontId="7" fillId="7" borderId="161" xfId="60" applyNumberFormat="1" applyFont="1" applyFill="1" applyBorder="1" applyAlignment="1" applyProtection="1">
      <alignment horizontal="center"/>
      <protection/>
    </xf>
    <xf numFmtId="15" fontId="7" fillId="7" borderId="161" xfId="60" applyNumberFormat="1" applyFont="1" applyFill="1" applyBorder="1" applyAlignment="1" applyProtection="1">
      <alignment horizontal="center"/>
      <protection/>
    </xf>
    <xf numFmtId="0" fontId="7" fillId="0" borderId="81" xfId="60" applyFont="1" applyFill="1" applyBorder="1" applyAlignment="1" applyProtection="1">
      <alignment horizontal="center" vertical="center"/>
      <protection/>
    </xf>
    <xf numFmtId="0" fontId="7" fillId="0" borderId="46" xfId="60" applyFont="1" applyFill="1" applyBorder="1" applyAlignment="1" applyProtection="1">
      <alignment horizontal="center" vertical="center"/>
      <protection/>
    </xf>
    <xf numFmtId="0" fontId="33" fillId="0" borderId="32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7" fillId="0" borderId="49" xfId="60" applyFont="1" applyBorder="1" applyAlignment="1" applyProtection="1">
      <alignment horizontal="center"/>
      <protection/>
    </xf>
    <xf numFmtId="0" fontId="7" fillId="0" borderId="104" xfId="60" applyFont="1" applyBorder="1" applyAlignment="1" applyProtection="1">
      <alignment horizontal="center"/>
      <protection/>
    </xf>
    <xf numFmtId="0" fontId="7" fillId="0" borderId="49" xfId="0" applyFont="1" applyBorder="1" applyAlignment="1">
      <alignment horizontal="center"/>
    </xf>
    <xf numFmtId="0" fontId="7" fillId="0" borderId="29" xfId="60" applyFont="1" applyFill="1" applyBorder="1" applyAlignment="1" applyProtection="1">
      <alignment horizontal="center" vertical="center"/>
      <protection/>
    </xf>
    <xf numFmtId="0" fontId="7" fillId="0" borderId="86" xfId="60" applyFont="1" applyFill="1" applyBorder="1" applyAlignment="1" applyProtection="1">
      <alignment horizontal="center" vertical="center"/>
      <protection/>
    </xf>
    <xf numFmtId="0" fontId="7" fillId="0" borderId="32" xfId="60" applyFont="1" applyFill="1" applyBorder="1" applyAlignment="1" applyProtection="1">
      <alignment horizontal="center" vertical="center"/>
      <protection/>
    </xf>
    <xf numFmtId="0" fontId="7" fillId="0" borderId="34" xfId="60" applyFont="1" applyFill="1" applyBorder="1" applyAlignment="1" applyProtection="1">
      <alignment horizontal="center" vertical="center"/>
      <protection/>
    </xf>
    <xf numFmtId="0" fontId="7" fillId="0" borderId="69" xfId="60" applyFont="1" applyFill="1" applyBorder="1" applyAlignment="1" applyProtection="1">
      <alignment horizontal="center" vertical="center"/>
      <protection/>
    </xf>
    <xf numFmtId="38" fontId="21" fillId="0" borderId="171" xfId="60" applyNumberFormat="1" applyFont="1" applyFill="1" applyBorder="1" applyAlignment="1" applyProtection="1">
      <alignment horizontal="center" vertical="center"/>
      <protection/>
    </xf>
    <xf numFmtId="38" fontId="21" fillId="0" borderId="38" xfId="60" applyNumberFormat="1" applyFont="1" applyFill="1" applyBorder="1" applyAlignment="1" applyProtection="1">
      <alignment horizontal="center" vertical="center"/>
      <protection/>
    </xf>
    <xf numFmtId="38" fontId="21" fillId="0" borderId="68" xfId="60" applyNumberFormat="1" applyFont="1" applyFill="1" applyBorder="1" applyAlignment="1" applyProtection="1">
      <alignment horizontal="center" vertical="center"/>
      <protection/>
    </xf>
    <xf numFmtId="38" fontId="7" fillId="0" borderId="171" xfId="60" applyNumberFormat="1" applyFont="1" applyBorder="1" applyAlignment="1" applyProtection="1">
      <alignment horizontal="center" vertical="center"/>
      <protection/>
    </xf>
    <xf numFmtId="38" fontId="7" fillId="0" borderId="68" xfId="60" applyNumberFormat="1" applyFont="1" applyBorder="1" applyAlignment="1" applyProtection="1">
      <alignment horizontal="center" vertical="center"/>
      <protection/>
    </xf>
    <xf numFmtId="0" fontId="11" fillId="0" borderId="157" xfId="61" applyFont="1" applyBorder="1" applyAlignment="1">
      <alignment horizontal="center"/>
      <protection/>
    </xf>
    <xf numFmtId="0" fontId="11" fillId="0" borderId="172" xfId="61" applyFont="1" applyBorder="1" applyAlignment="1">
      <alignment horizontal="center"/>
      <protection/>
    </xf>
    <xf numFmtId="0" fontId="62" fillId="0" borderId="73" xfId="0" applyFont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7" fillId="26" borderId="73" xfId="0" applyFont="1" applyFill="1" applyBorder="1" applyAlignment="1">
      <alignment horizontal="center" vertical="center"/>
    </xf>
    <xf numFmtId="0" fontId="7" fillId="26" borderId="83" xfId="0" applyFont="1" applyFill="1" applyBorder="1" applyAlignment="1">
      <alignment horizontal="center" vertical="center"/>
    </xf>
    <xf numFmtId="0" fontId="7" fillId="26" borderId="75" xfId="0" applyFont="1" applyFill="1" applyBorder="1" applyAlignment="1">
      <alignment horizontal="center" vertical="center"/>
    </xf>
    <xf numFmtId="0" fontId="7" fillId="26" borderId="42" xfId="0" applyFont="1" applyFill="1" applyBorder="1" applyAlignment="1">
      <alignment horizontal="center" vertical="center"/>
    </xf>
    <xf numFmtId="0" fontId="11" fillId="0" borderId="122" xfId="61" applyFont="1" applyBorder="1" applyAlignment="1">
      <alignment horizontal="center"/>
      <protection/>
    </xf>
    <xf numFmtId="0" fontId="11" fillId="0" borderId="115" xfId="61" applyFont="1" applyBorder="1" applyAlignment="1">
      <alignment horizontal="center"/>
      <protection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60" applyFont="1" applyBorder="1" applyAlignment="1" applyProtection="1">
      <alignment horizontal="center"/>
      <protection/>
    </xf>
    <xf numFmtId="0" fontId="7" fillId="0" borderId="33" xfId="60" applyFont="1" applyBorder="1" applyAlignment="1" applyProtection="1">
      <alignment horizontal="center"/>
      <protection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43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0" fontId="7" fillId="0" borderId="44" xfId="60" applyFont="1" applyFill="1" applyBorder="1" applyAlignment="1" applyProtection="1">
      <alignment horizontal="center" vertical="center" wrapText="1"/>
      <protection/>
    </xf>
    <xf numFmtId="0" fontId="9" fillId="0" borderId="32" xfId="60" applyFont="1" applyFill="1" applyBorder="1" applyAlignment="1" applyProtection="1">
      <alignment horizontal="center"/>
      <protection/>
    </xf>
    <xf numFmtId="0" fontId="9" fillId="0" borderId="0" xfId="60" applyFont="1" applyFill="1" applyBorder="1" applyAlignment="1" applyProtection="1">
      <alignment horizontal="center"/>
      <protection/>
    </xf>
    <xf numFmtId="0" fontId="9" fillId="0" borderId="33" xfId="60" applyFont="1" applyFill="1" applyBorder="1" applyAlignment="1" applyProtection="1">
      <alignment horizontal="center"/>
      <protection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0" borderId="65" xfId="60" applyFont="1" applyFill="1" applyBorder="1" applyAlignment="1" applyProtection="1">
      <alignment horizontal="center" vertical="center"/>
      <protection/>
    </xf>
    <xf numFmtId="0" fontId="7" fillId="0" borderId="67" xfId="60" applyFont="1" applyFill="1" applyBorder="1" applyAlignment="1" applyProtection="1">
      <alignment horizontal="center" vertical="center"/>
      <protection/>
    </xf>
    <xf numFmtId="0" fontId="7" fillId="0" borderId="77" xfId="60" applyFont="1" applyFill="1" applyBorder="1" applyAlignment="1" applyProtection="1">
      <alignment horizontal="center" vertical="center"/>
      <protection/>
    </xf>
    <xf numFmtId="0" fontId="7" fillId="0" borderId="8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166" fontId="0" fillId="0" borderId="0" xfId="42" applyNumberFormat="1" applyAlignment="1">
      <alignment horizontal="center"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 quotePrefix="1">
      <alignment horizontal="center"/>
    </xf>
    <xf numFmtId="0" fontId="62" fillId="0" borderId="81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R9486\Local%20Settings\Temporary%20Internet%20Files\OLK41\BPA%20Regulatory%20As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R9486\Local%20Settings\Temporary%20Internet%20Files\OLK41\BPA%20Template_Final_Feb_14%20without%20Colstrip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R9486\Local%20Settings\Temporary%20Internet%20Files\OLK41\Revised%20ASC_Template_4_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BPA.NW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R9486\Local%20Settings\Temporary%20Internet%20Files\OLK41\NorthWestern%20Filing%20April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R9486\Local%20Settings\Temporary%20Internet%20Files\OLK41\PP.OSS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tory Assets"/>
      <sheetName val="Functional Reg Assets"/>
      <sheetName val="Regulatory Liabilities"/>
      <sheetName val="Functionalized Regulatory Liab"/>
      <sheetName val="Descriptions"/>
    </sheetNames>
    <sheetDataSet>
      <sheetData sheetId="0">
        <row r="6">
          <cell r="B6" t="str">
            <v>FAS 109 - MPC Electric</v>
          </cell>
          <cell r="C6">
            <v>9012885</v>
          </cell>
        </row>
        <row r="13">
          <cell r="B13" t="str">
            <v>Property Tax Tracker</v>
          </cell>
          <cell r="C13">
            <v>3707814</v>
          </cell>
        </row>
        <row r="14">
          <cell r="B14" t="str">
            <v>Unbilled CTC QF</v>
          </cell>
          <cell r="C14">
            <v>-1548.0800000000745</v>
          </cell>
        </row>
        <row r="16">
          <cell r="B16" t="str">
            <v>Basin Creek</v>
          </cell>
          <cell r="C16">
            <v>553590</v>
          </cell>
        </row>
        <row r="21">
          <cell r="B21" t="str">
            <v>Customer Education &amp; Pilot Program</v>
          </cell>
          <cell r="C21">
            <v>29027.77</v>
          </cell>
        </row>
        <row r="22">
          <cell r="B22" t="str">
            <v>SAP Development Costs - Electric</v>
          </cell>
          <cell r="C22">
            <v>1741183.6</v>
          </cell>
        </row>
        <row r="34">
          <cell r="B34" t="str">
            <v>PSC &amp; Consumer Counsel based on MPSC filing</v>
          </cell>
          <cell r="C34">
            <v>400787</v>
          </cell>
        </row>
        <row r="35">
          <cell r="B35" t="str">
            <v>Compensated Absences - contra</v>
          </cell>
          <cell r="C35">
            <v>-188943</v>
          </cell>
        </row>
        <row r="36">
          <cell r="B36" t="str">
            <v>Compensated Absences </v>
          </cell>
          <cell r="C36">
            <v>3350449</v>
          </cell>
        </row>
        <row r="37">
          <cell r="B37" t="str">
            <v>Fas 106</v>
          </cell>
          <cell r="C37">
            <v>19820325</v>
          </cell>
        </row>
        <row r="38">
          <cell r="B38" t="str">
            <v>Fas 112</v>
          </cell>
          <cell r="C38">
            <v>2683122</v>
          </cell>
        </row>
        <row r="39">
          <cell r="B39" t="str">
            <v>Pension</v>
          </cell>
          <cell r="C39">
            <v>52936099</v>
          </cell>
        </row>
      </sheetData>
      <sheetData sheetId="1">
        <row r="20">
          <cell r="B20">
            <v>1748520.0499999998</v>
          </cell>
          <cell r="C20">
            <v>23847708.310000002</v>
          </cell>
          <cell r="D20">
            <v>68448562.92</v>
          </cell>
        </row>
        <row r="28">
          <cell r="B28">
            <v>-573881.55</v>
          </cell>
          <cell r="C28">
            <v>-11454074.91</v>
          </cell>
          <cell r="D28">
            <v>-27163333.54</v>
          </cell>
          <cell r="E28">
            <v>-39191290</v>
          </cell>
        </row>
      </sheetData>
      <sheetData sheetId="2">
        <row r="36">
          <cell r="B36" t="str">
            <v>PSC &amp; Consumer Counsel based on MPSC filing</v>
          </cell>
          <cell r="C36">
            <v>594301</v>
          </cell>
        </row>
      </sheetData>
      <sheetData sheetId="3">
        <row r="5">
          <cell r="E5">
            <v>594301</v>
          </cell>
          <cell r="F5">
            <v>594301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  <sheetName val="Sch 1A - Cash Working Capital"/>
      <sheetName val="Sch 2 -Weighted Cost of Capital"/>
      <sheetName val="Sch 3 - Expenses"/>
      <sheetName val="Sch 3A - Taxes"/>
      <sheetName val="Sch 3B - Other Items"/>
      <sheetName val="Average System Cost"/>
      <sheetName val="Salaries"/>
      <sheetName val="Ratios"/>
      <sheetName val="Reconciliation Expenses"/>
      <sheetName val="Reconciliation Rate Base"/>
    </sheetNames>
    <sheetDataSet>
      <sheetData sheetId="0">
        <row r="44">
          <cell r="F44">
            <v>59321698</v>
          </cell>
        </row>
        <row r="65">
          <cell r="F65">
            <v>24733582</v>
          </cell>
        </row>
        <row r="85">
          <cell r="F85">
            <v>3106285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  <sheetName val="Sch 1A - Cash Working Capital"/>
      <sheetName val="Sch 2 -Rate of Return"/>
      <sheetName val="Sch 3 - Expenses"/>
      <sheetName val="PP &amp; OSS WorkSheet"/>
      <sheetName val="Sch 3A - Taxes"/>
      <sheetName val="Sch 3B - Other Items"/>
      <sheetName val="Sch 4 - Average System Cost"/>
      <sheetName val="Salaries"/>
      <sheetName val="Ratios"/>
      <sheetName val="Rate Base Reconciliation"/>
      <sheetName val="Expense Reconciliation"/>
      <sheetName val="Taxes and Other Reconciliations"/>
      <sheetName val="Common Plant"/>
      <sheetName val="Intangible Plant"/>
      <sheetName val="Regulatory Debits"/>
    </sheetNames>
    <sheetDataSet>
      <sheetData sheetId="0">
        <row r="79">
          <cell r="G79">
            <v>13235774.625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- NW"/>
    </sheetNames>
    <sheetDataSet>
      <sheetData sheetId="1">
        <row r="118">
          <cell r="J118">
            <v>6562875</v>
          </cell>
          <cell r="M118">
            <v>3552120</v>
          </cell>
        </row>
        <row r="130">
          <cell r="J130">
            <v>243563</v>
          </cell>
          <cell r="M130">
            <v>1459564</v>
          </cell>
        </row>
        <row r="131">
          <cell r="M131">
            <v>-1344511</v>
          </cell>
        </row>
        <row r="155">
          <cell r="M155">
            <v>15972990</v>
          </cell>
        </row>
        <row r="158">
          <cell r="M158">
            <v>22202384</v>
          </cell>
        </row>
        <row r="159">
          <cell r="M159">
            <v>7757751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 1- Rate Base "/>
      <sheetName val="Sch 1A - Cash Working Capital"/>
      <sheetName val="Sch 2 -Rate of Return"/>
      <sheetName val="Sch 3 - Expenses"/>
      <sheetName val="Sch 3A - Taxes"/>
      <sheetName val="Sch 3B - Other Items"/>
      <sheetName val="Sch 4 - Average System Cost"/>
      <sheetName val="Salaries"/>
      <sheetName val="Ratios"/>
      <sheetName val="Rate base reconciliation"/>
      <sheetName val="Expense reconciliation"/>
      <sheetName val="Taxes and Other Reconciliations"/>
      <sheetName val="Common Plant"/>
      <sheetName val="Intangible Plant"/>
      <sheetName val="Regulatory Debits"/>
    </sheetNames>
    <sheetDataSet>
      <sheetData sheetId="0">
        <row r="25">
          <cell r="G25">
            <v>446900651</v>
          </cell>
        </row>
        <row r="26">
          <cell r="G26">
            <v>446900651</v>
          </cell>
        </row>
        <row r="30">
          <cell r="G30">
            <v>794846278</v>
          </cell>
        </row>
      </sheetData>
      <sheetData sheetId="8">
        <row r="16">
          <cell r="E16">
            <v>0.014892268383376556</v>
          </cell>
          <cell r="F16">
            <v>0.2802172236783395</v>
          </cell>
          <cell r="G16">
            <v>0.704890507938284</v>
          </cell>
        </row>
        <row r="53">
          <cell r="E53">
            <v>0.0020915841921772334</v>
          </cell>
          <cell r="F53">
            <v>0.35960578309328867</v>
          </cell>
          <cell r="G53">
            <v>0.6383026327145341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 &amp; OSS WorkSheet"/>
    </sheetNames>
    <sheetDataSet>
      <sheetData sheetId="0">
        <row r="9">
          <cell r="C9">
            <v>21452392</v>
          </cell>
          <cell r="D9">
            <v>286516</v>
          </cell>
        </row>
        <row r="10">
          <cell r="C10">
            <v>118386444</v>
          </cell>
          <cell r="D10">
            <v>3536694</v>
          </cell>
        </row>
        <row r="12">
          <cell r="C12">
            <v>67809171</v>
          </cell>
          <cell r="D12">
            <v>1385455</v>
          </cell>
          <cell r="G12">
            <v>35727099.34</v>
          </cell>
          <cell r="H12">
            <v>770701</v>
          </cell>
        </row>
        <row r="13">
          <cell r="C13">
            <v>73872005</v>
          </cell>
          <cell r="D13">
            <v>1290616</v>
          </cell>
          <cell r="E13">
            <v>-6152851</v>
          </cell>
        </row>
        <row r="14">
          <cell r="C14">
            <v>-956972</v>
          </cell>
          <cell r="D14">
            <v>3719</v>
          </cell>
          <cell r="E14">
            <v>1074948</v>
          </cell>
        </row>
        <row r="15">
          <cell r="C15">
            <v>4877160</v>
          </cell>
          <cell r="D15">
            <v>800</v>
          </cell>
          <cell r="E15">
            <v>-552874</v>
          </cell>
        </row>
        <row r="16">
          <cell r="C16">
            <v>100610</v>
          </cell>
          <cell r="D16">
            <v>1922</v>
          </cell>
        </row>
        <row r="19">
          <cell r="C19">
            <v>285540810</v>
          </cell>
          <cell r="D19">
            <v>6505722</v>
          </cell>
          <cell r="E19">
            <v>-5630777</v>
          </cell>
          <cell r="F19">
            <v>0</v>
          </cell>
          <cell r="G19">
            <v>35727099.34</v>
          </cell>
          <cell r="H19">
            <v>770701</v>
          </cell>
        </row>
        <row r="30">
          <cell r="C30">
            <v>47268920</v>
          </cell>
          <cell r="D30">
            <v>1266962</v>
          </cell>
          <cell r="G30">
            <v>70957.87</v>
          </cell>
          <cell r="H30">
            <v>868</v>
          </cell>
        </row>
        <row r="31">
          <cell r="C31">
            <v>39146813</v>
          </cell>
          <cell r="D31">
            <v>723917</v>
          </cell>
          <cell r="E31">
            <v>-39146813</v>
          </cell>
          <cell r="F31">
            <v>-723917</v>
          </cell>
        </row>
        <row r="32">
          <cell r="C32">
            <v>383012</v>
          </cell>
          <cell r="D32">
            <v>8759</v>
          </cell>
          <cell r="E32">
            <v>-383012</v>
          </cell>
          <cell r="F32">
            <v>-8759</v>
          </cell>
        </row>
        <row r="33">
          <cell r="C33">
            <v>9530284</v>
          </cell>
          <cell r="D33">
            <v>225</v>
          </cell>
          <cell r="E33">
            <v>-9530284</v>
          </cell>
          <cell r="F33">
            <v>-225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T565"/>
  <sheetViews>
    <sheetView workbookViewId="0" topLeftCell="I138">
      <selection activeCell="E5" sqref="E5:G7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6.375" style="44" bestFit="1" customWidth="1"/>
    <col min="8" max="8" width="17.875" style="58" bestFit="1" customWidth="1"/>
    <col min="9" max="9" width="19.875" style="58" bestFit="1" customWidth="1"/>
    <col min="10" max="10" width="20.125" style="58" bestFit="1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955" t="s">
        <v>89</v>
      </c>
      <c r="B1" s="956"/>
      <c r="C1" s="956"/>
      <c r="D1" s="956"/>
      <c r="E1" s="956"/>
      <c r="F1" s="956"/>
      <c r="G1" s="956"/>
      <c r="H1" s="956"/>
      <c r="I1" s="956"/>
      <c r="J1" s="957"/>
      <c r="K1" s="16"/>
      <c r="L1" s="17"/>
      <c r="P1" s="525" t="s">
        <v>2</v>
      </c>
      <c r="Q1" s="525" t="s">
        <v>2</v>
      </c>
      <c r="R1" s="525" t="s">
        <v>2</v>
      </c>
    </row>
    <row r="2" spans="1:18" ht="19.5" customHeight="1">
      <c r="A2" s="952" t="s">
        <v>468</v>
      </c>
      <c r="B2" s="953"/>
      <c r="C2" s="953"/>
      <c r="D2" s="953"/>
      <c r="E2" s="953"/>
      <c r="F2" s="953"/>
      <c r="G2" s="953"/>
      <c r="H2" s="953"/>
      <c r="I2" s="953"/>
      <c r="J2" s="954"/>
      <c r="K2" s="717"/>
      <c r="L2" s="718"/>
      <c r="P2" s="525"/>
      <c r="Q2" s="525"/>
      <c r="R2" s="525"/>
    </row>
    <row r="3" spans="1:18" ht="17.25" customHeight="1">
      <c r="A3" s="949" t="s">
        <v>459</v>
      </c>
      <c r="B3" s="950"/>
      <c r="C3" s="950"/>
      <c r="D3" s="950"/>
      <c r="E3" s="950"/>
      <c r="F3" s="950"/>
      <c r="G3" s="950"/>
      <c r="H3" s="950"/>
      <c r="I3" s="950"/>
      <c r="J3" s="951"/>
      <c r="K3" s="717"/>
      <c r="L3" s="718"/>
      <c r="P3" s="525" t="s">
        <v>11</v>
      </c>
      <c r="Q3" s="525" t="s">
        <v>392</v>
      </c>
      <c r="R3" s="525" t="s">
        <v>394</v>
      </c>
    </row>
    <row r="4" spans="1:18" ht="9" customHeight="1" thickBot="1">
      <c r="A4" s="560"/>
      <c r="B4" s="296"/>
      <c r="C4" s="296"/>
      <c r="D4" s="296"/>
      <c r="E4" s="296"/>
      <c r="F4" s="296"/>
      <c r="G4" s="296"/>
      <c r="H4" s="296"/>
      <c r="I4" s="296"/>
      <c r="J4" s="561"/>
      <c r="K4" s="16"/>
      <c r="L4" s="17"/>
      <c r="P4" s="525"/>
      <c r="Q4" s="525"/>
      <c r="R4" s="525"/>
    </row>
    <row r="5" spans="1:18" ht="15.75" customHeight="1">
      <c r="A5" s="560"/>
      <c r="B5" s="296"/>
      <c r="C5" s="296"/>
      <c r="D5" s="711" t="s">
        <v>460</v>
      </c>
      <c r="E5" s="941" t="s">
        <v>583</v>
      </c>
      <c r="F5" s="942"/>
      <c r="G5" s="943"/>
      <c r="H5" s="296"/>
      <c r="I5" s="296"/>
      <c r="J5" s="561"/>
      <c r="K5" s="16"/>
      <c r="L5" s="17"/>
      <c r="P5" s="525"/>
      <c r="Q5" s="525"/>
      <c r="R5" s="525"/>
    </row>
    <row r="6" spans="1:18" ht="15.75" customHeight="1">
      <c r="A6" s="560"/>
      <c r="B6" s="296"/>
      <c r="C6" s="296"/>
      <c r="D6" s="711" t="s">
        <v>462</v>
      </c>
      <c r="E6" s="944">
        <v>39052</v>
      </c>
      <c r="F6" s="945"/>
      <c r="G6" s="946"/>
      <c r="H6" s="296"/>
      <c r="I6" s="296"/>
      <c r="J6" s="561"/>
      <c r="K6" s="16"/>
      <c r="L6" s="17"/>
      <c r="P6" s="525"/>
      <c r="Q6" s="525"/>
      <c r="R6" s="525"/>
    </row>
    <row r="7" spans="1:18" ht="15.75" customHeight="1" thickBot="1">
      <c r="A7" s="560"/>
      <c r="B7" s="296"/>
      <c r="C7" s="296"/>
      <c r="D7" s="711" t="s">
        <v>463</v>
      </c>
      <c r="E7" s="937">
        <v>39575</v>
      </c>
      <c r="F7" s="938"/>
      <c r="G7" s="939"/>
      <c r="H7" s="296"/>
      <c r="I7" s="296"/>
      <c r="J7" s="561"/>
      <c r="K7" s="16"/>
      <c r="L7" s="17"/>
      <c r="P7" s="525"/>
      <c r="Q7" s="525"/>
      <c r="R7" s="525"/>
    </row>
    <row r="8" spans="1:12" ht="9.75" customHeight="1">
      <c r="A8" s="712"/>
      <c r="B8" s="136"/>
      <c r="C8" s="3"/>
      <c r="D8" s="3"/>
      <c r="E8" s="4"/>
      <c r="F8" s="4"/>
      <c r="G8" s="5"/>
      <c r="H8" s="6"/>
      <c r="I8" s="19"/>
      <c r="J8" s="713"/>
      <c r="K8" s="16"/>
      <c r="L8" s="17"/>
    </row>
    <row r="9" spans="1:12" ht="1.5" customHeight="1">
      <c r="A9" s="712"/>
      <c r="B9" s="136"/>
      <c r="C9" s="3"/>
      <c r="D9" s="3"/>
      <c r="E9" s="4"/>
      <c r="F9" s="4"/>
      <c r="G9" s="5"/>
      <c r="H9" s="6"/>
      <c r="I9" s="19"/>
      <c r="J9" s="713"/>
      <c r="K9" s="16"/>
      <c r="L9" s="17"/>
    </row>
    <row r="10" spans="1:12" ht="15.75" customHeight="1">
      <c r="A10" s="970" t="s">
        <v>169</v>
      </c>
      <c r="B10" s="971"/>
      <c r="C10" s="971"/>
      <c r="D10" s="971"/>
      <c r="E10" s="971"/>
      <c r="F10" s="971"/>
      <c r="G10" s="971"/>
      <c r="H10" s="971"/>
      <c r="I10" s="971"/>
      <c r="J10" s="972"/>
      <c r="K10" s="16"/>
      <c r="L10" s="17"/>
    </row>
    <row r="11" spans="1:12" ht="7.5" customHeight="1" thickBot="1">
      <c r="A11" s="541"/>
      <c r="B11" s="542"/>
      <c r="C11" s="526"/>
      <c r="D11" s="526"/>
      <c r="E11" s="542"/>
      <c r="F11" s="542"/>
      <c r="G11" s="542"/>
      <c r="H11" s="542"/>
      <c r="I11" s="542"/>
      <c r="J11" s="543"/>
      <c r="K11" s="16"/>
      <c r="L11" s="17"/>
    </row>
    <row r="12" spans="1:14" ht="15" customHeight="1" thickBot="1">
      <c r="A12" s="958" t="s">
        <v>12</v>
      </c>
      <c r="B12" s="959"/>
      <c r="C12" s="474" t="s">
        <v>315</v>
      </c>
      <c r="D12" s="475"/>
      <c r="E12" s="459" t="s">
        <v>351</v>
      </c>
      <c r="F12" s="460"/>
      <c r="G12" s="967" t="s">
        <v>14</v>
      </c>
      <c r="H12" s="964" t="s">
        <v>15</v>
      </c>
      <c r="I12" s="964" t="s">
        <v>16</v>
      </c>
      <c r="J12" s="714"/>
      <c r="K12" s="27"/>
      <c r="L12" s="964" t="s">
        <v>15</v>
      </c>
      <c r="M12" s="964" t="s">
        <v>16</v>
      </c>
      <c r="N12" s="445"/>
    </row>
    <row r="13" spans="1:14" ht="15" customHeight="1" thickBot="1">
      <c r="A13" s="960"/>
      <c r="B13" s="961"/>
      <c r="C13" s="446" t="s">
        <v>311</v>
      </c>
      <c r="D13" s="466" t="s">
        <v>8</v>
      </c>
      <c r="E13" s="461" t="s">
        <v>13</v>
      </c>
      <c r="F13" s="462"/>
      <c r="G13" s="947"/>
      <c r="H13" s="965"/>
      <c r="I13" s="965"/>
      <c r="J13" s="715" t="s">
        <v>10</v>
      </c>
      <c r="K13" s="28"/>
      <c r="L13" s="965"/>
      <c r="M13" s="965"/>
      <c r="N13" s="450" t="s">
        <v>10</v>
      </c>
    </row>
    <row r="14" spans="1:14" ht="15" customHeight="1" thickBot="1">
      <c r="A14" s="962"/>
      <c r="B14" s="963"/>
      <c r="C14" s="467" t="s">
        <v>312</v>
      </c>
      <c r="D14" s="468" t="s">
        <v>238</v>
      </c>
      <c r="E14" s="468" t="s">
        <v>349</v>
      </c>
      <c r="F14" s="468" t="s">
        <v>350</v>
      </c>
      <c r="G14" s="948"/>
      <c r="H14" s="966"/>
      <c r="I14" s="966"/>
      <c r="J14" s="716" t="s">
        <v>17</v>
      </c>
      <c r="K14" s="29"/>
      <c r="L14" s="966"/>
      <c r="M14" s="966"/>
      <c r="N14" s="469" t="s">
        <v>17</v>
      </c>
    </row>
    <row r="15" spans="1:12" ht="15" customHeight="1">
      <c r="A15" s="302" t="s">
        <v>51</v>
      </c>
      <c r="B15" s="122"/>
      <c r="C15" s="43"/>
      <c r="D15" s="10"/>
      <c r="E15" s="10"/>
      <c r="F15" s="10"/>
      <c r="G15" s="31"/>
      <c r="H15" s="32"/>
      <c r="I15" s="32"/>
      <c r="J15" s="257"/>
      <c r="K15" s="27"/>
      <c r="L15" s="30"/>
    </row>
    <row r="16" spans="1:20" ht="15" customHeight="1">
      <c r="A16" s="380"/>
      <c r="B16" s="82" t="s">
        <v>177</v>
      </c>
      <c r="C16" s="350" t="s">
        <v>105</v>
      </c>
      <c r="D16" s="261">
        <v>301</v>
      </c>
      <c r="E16" s="266" t="s">
        <v>392</v>
      </c>
      <c r="F16" s="266" t="s">
        <v>9</v>
      </c>
      <c r="G16" s="351">
        <v>19995</v>
      </c>
      <c r="H16" s="351">
        <f>VLOOKUP($E16,Ratio,2,FALSE)*$G16</f>
        <v>0</v>
      </c>
      <c r="I16" s="351">
        <f>VLOOKUP($E16,Ratio,3,FALSE)*$G16</f>
        <v>0</v>
      </c>
      <c r="J16" s="381">
        <f>VLOOKUP($E16,Ratio,4,FALSE)*$G16</f>
        <v>19995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80"/>
      <c r="B17" s="82" t="s">
        <v>178</v>
      </c>
      <c r="C17" s="350" t="s">
        <v>105</v>
      </c>
      <c r="D17" s="261">
        <v>302</v>
      </c>
      <c r="E17" s="266" t="s">
        <v>11</v>
      </c>
      <c r="F17" s="266" t="s">
        <v>11</v>
      </c>
      <c r="G17" s="826">
        <v>2004</v>
      </c>
      <c r="H17" s="351">
        <f>IF($E17="DIRECT",$L17,VLOOKUP($E17,Ratio,2,FALSE)*$G17)</f>
        <v>4.26218095050221</v>
      </c>
      <c r="I17" s="351">
        <f>IF($E17="DIRECT",$M17,VLOOKUP($E17,Ratio,3,FALSE)*$G17)</f>
        <v>719.6990886719889</v>
      </c>
      <c r="J17" s="381">
        <f>IF($E17="DIRECT",$N17,VLOOKUP($E17,Ratio,4,FALSE)*$G17)</f>
        <v>1280.038730377509</v>
      </c>
      <c r="K17" s="33"/>
      <c r="L17" s="351"/>
      <c r="M17" s="351"/>
      <c r="N17" s="381"/>
      <c r="O17" s="14"/>
      <c r="P17" s="35"/>
      <c r="Q17" s="35"/>
      <c r="R17" s="35"/>
      <c r="S17" s="35"/>
      <c r="T17" s="35"/>
    </row>
    <row r="18" spans="1:20" ht="15" customHeight="1">
      <c r="A18" s="380"/>
      <c r="B18" s="82" t="s">
        <v>179</v>
      </c>
      <c r="C18" s="350" t="s">
        <v>105</v>
      </c>
      <c r="D18" s="261">
        <v>303</v>
      </c>
      <c r="E18" s="266" t="s">
        <v>2</v>
      </c>
      <c r="F18" s="266" t="s">
        <v>392</v>
      </c>
      <c r="G18" s="826">
        <f>307661+868284</f>
        <v>1175945</v>
      </c>
      <c r="H18" s="351">
        <f>IF($E18="DIRECT",$L18,VLOOKUP($E18,Ratio,2,FALSE)*$G18)</f>
        <v>0</v>
      </c>
      <c r="I18" s="351">
        <f>IF($E18="DIRECT",$M18,VLOOKUP($E18,Ratio,3,FALSE)*$G18)</f>
        <v>1140181</v>
      </c>
      <c r="J18" s="381">
        <f>IF($E18="DIRECT",$N18,VLOOKUP($E18,Ratio,4,FALSE)*$G18)</f>
        <v>35764</v>
      </c>
      <c r="K18" s="33"/>
      <c r="L18" s="351"/>
      <c r="M18" s="351">
        <f>+ROUND('Intangible Plant'!B35,0)</f>
        <v>1140181</v>
      </c>
      <c r="N18" s="381">
        <f>+ROUND('Intangible Plant'!B39,0)</f>
        <v>35764</v>
      </c>
      <c r="O18" s="14"/>
      <c r="P18" s="35"/>
      <c r="Q18" s="35"/>
      <c r="R18" s="35"/>
      <c r="S18" s="35"/>
      <c r="T18" s="35"/>
    </row>
    <row r="19" spans="1:20" ht="15" customHeight="1">
      <c r="A19" s="382" t="s">
        <v>156</v>
      </c>
      <c r="B19" s="51"/>
      <c r="C19" s="680"/>
      <c r="D19" s="681"/>
      <c r="E19" s="681"/>
      <c r="F19" s="682"/>
      <c r="G19" s="827">
        <f>SUM(G16:G18)</f>
        <v>1197944</v>
      </c>
      <c r="H19" s="678">
        <f>SUM(H16:H18)</f>
        <v>4.26218095050221</v>
      </c>
      <c r="I19" s="678">
        <f>SUM(I16:I18)</f>
        <v>1140900.699088672</v>
      </c>
      <c r="J19" s="683">
        <f>SUM(J16:J18)</f>
        <v>57039.038730377506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3"/>
      <c r="B20" s="51"/>
      <c r="C20" s="85"/>
      <c r="D20" s="85"/>
      <c r="E20" s="85"/>
      <c r="F20" s="85"/>
      <c r="G20" s="828"/>
      <c r="H20" s="109"/>
      <c r="I20" s="544"/>
      <c r="J20" s="545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302" t="s">
        <v>20</v>
      </c>
      <c r="B21" s="123"/>
      <c r="C21" s="85"/>
      <c r="D21" s="85"/>
      <c r="E21" s="85"/>
      <c r="F21" s="85"/>
      <c r="G21" s="828"/>
      <c r="H21" s="205"/>
      <c r="I21" s="205"/>
      <c r="J21" s="361"/>
      <c r="K21" s="27"/>
      <c r="L21" s="30"/>
    </row>
    <row r="22" spans="1:15" ht="15" customHeight="1">
      <c r="A22" s="237"/>
      <c r="B22" s="84" t="s">
        <v>21</v>
      </c>
      <c r="C22" s="350" t="s">
        <v>105</v>
      </c>
      <c r="D22" s="261" t="s">
        <v>22</v>
      </c>
      <c r="E22" s="266" t="s">
        <v>394</v>
      </c>
      <c r="F22" s="266"/>
      <c r="G22" s="829"/>
      <c r="H22" s="351">
        <f>VLOOKUP($E22,Ratio,2,FALSE)*$G22</f>
        <v>0</v>
      </c>
      <c r="I22" s="351">
        <f>VLOOKUP($E22,Ratio,3,FALSE)*$G22</f>
        <v>0</v>
      </c>
      <c r="J22" s="381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7"/>
      <c r="B23" s="84" t="s">
        <v>23</v>
      </c>
      <c r="C23" s="350" t="s">
        <v>105</v>
      </c>
      <c r="D23" s="261" t="s">
        <v>24</v>
      </c>
      <c r="E23" s="266" t="s">
        <v>394</v>
      </c>
      <c r="F23" s="266"/>
      <c r="G23" s="829"/>
      <c r="H23" s="351">
        <f>VLOOKUP($E23,Ratio,2,FALSE)*$G23</f>
        <v>0</v>
      </c>
      <c r="I23" s="351">
        <f>VLOOKUP($E23,Ratio,3,FALSE)*$G23</f>
        <v>0</v>
      </c>
      <c r="J23" s="381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7"/>
      <c r="B24" s="84" t="s">
        <v>25</v>
      </c>
      <c r="C24" s="350" t="s">
        <v>105</v>
      </c>
      <c r="D24" s="261" t="s">
        <v>26</v>
      </c>
      <c r="E24" s="266" t="s">
        <v>394</v>
      </c>
      <c r="F24" s="266"/>
      <c r="G24" s="829"/>
      <c r="H24" s="351">
        <f>VLOOKUP($E24,Ratio,2,FALSE)*$G24</f>
        <v>0</v>
      </c>
      <c r="I24" s="351">
        <f>VLOOKUP($E24,Ratio,3,FALSE)*$G24</f>
        <v>0</v>
      </c>
      <c r="J24" s="381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7"/>
      <c r="B25" s="84" t="s">
        <v>27</v>
      </c>
      <c r="C25" s="350" t="s">
        <v>105</v>
      </c>
      <c r="D25" s="261" t="s">
        <v>28</v>
      </c>
      <c r="E25" s="266" t="s">
        <v>394</v>
      </c>
      <c r="F25" s="266"/>
      <c r="G25" s="829">
        <v>2646622</v>
      </c>
      <c r="H25" s="351">
        <f>VLOOKUP($E25,Ratio,2,FALSE)*$G25</f>
        <v>2646622</v>
      </c>
      <c r="I25" s="351">
        <f>VLOOKUP($E25,Ratio,3,FALSE)*$G25</f>
        <v>0</v>
      </c>
      <c r="J25" s="381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2" t="s">
        <v>29</v>
      </c>
      <c r="B26" s="51"/>
      <c r="C26" s="680"/>
      <c r="D26" s="681"/>
      <c r="E26" s="681"/>
      <c r="F26" s="682"/>
      <c r="G26" s="827">
        <f>SUM(G22:G25)</f>
        <v>2646622</v>
      </c>
      <c r="H26" s="678">
        <f>SUM(H22:H25)</f>
        <v>2646622</v>
      </c>
      <c r="I26" s="678">
        <f>SUM(I22:I25)</f>
        <v>0</v>
      </c>
      <c r="J26" s="683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3"/>
      <c r="B27" s="51"/>
      <c r="C27" s="85"/>
      <c r="D27" s="85"/>
      <c r="E27" s="85"/>
      <c r="F27" s="85"/>
      <c r="G27" s="830"/>
      <c r="H27" s="205"/>
      <c r="I27" s="205"/>
      <c r="J27" s="361"/>
      <c r="K27" s="36"/>
      <c r="L27" s="37"/>
      <c r="M27" s="14"/>
      <c r="N27" s="14"/>
      <c r="O27" s="14"/>
    </row>
    <row r="28" spans="1:15" ht="15" customHeight="1">
      <c r="A28" s="302" t="s">
        <v>262</v>
      </c>
      <c r="B28" s="82"/>
      <c r="C28" s="85"/>
      <c r="D28" s="85"/>
      <c r="E28" s="124"/>
      <c r="F28" s="124"/>
      <c r="G28" s="828"/>
      <c r="H28" s="205"/>
      <c r="I28" s="205"/>
      <c r="J28" s="361"/>
      <c r="K28" s="36"/>
      <c r="L28" s="37"/>
      <c r="M28" s="14"/>
      <c r="N28" s="14"/>
      <c r="O28" s="14"/>
    </row>
    <row r="29" spans="1:20" ht="15" customHeight="1">
      <c r="A29" s="237"/>
      <c r="B29" s="84" t="s">
        <v>259</v>
      </c>
      <c r="C29" s="350" t="s">
        <v>105</v>
      </c>
      <c r="D29" s="261" t="s">
        <v>30</v>
      </c>
      <c r="E29" s="266" t="s">
        <v>393</v>
      </c>
      <c r="F29" s="266"/>
      <c r="G29" s="829">
        <v>446900651</v>
      </c>
      <c r="H29" s="351">
        <f>VLOOKUP($E29,Ratio,2,FALSE)*$G29</f>
        <v>0</v>
      </c>
      <c r="I29" s="351">
        <f>VLOOKUP($E29,Ratio,3,FALSE)*$G29</f>
        <v>446900651</v>
      </c>
      <c r="J29" s="381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2" t="s">
        <v>31</v>
      </c>
      <c r="B30" s="125"/>
      <c r="C30" s="680"/>
      <c r="D30" s="681"/>
      <c r="E30" s="681"/>
      <c r="F30" s="682"/>
      <c r="G30" s="827">
        <f>SUM(G29)</f>
        <v>446900651</v>
      </c>
      <c r="H30" s="678">
        <f>SUM(H29)</f>
        <v>0</v>
      </c>
      <c r="I30" s="678">
        <f>SUM(I29)</f>
        <v>446900651</v>
      </c>
      <c r="J30" s="683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3"/>
      <c r="B31" s="125"/>
      <c r="C31" s="126"/>
      <c r="D31" s="85"/>
      <c r="E31" s="85"/>
      <c r="F31" s="85"/>
      <c r="G31" s="831"/>
      <c r="H31" s="546"/>
      <c r="I31" s="546"/>
      <c r="J31" s="547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302" t="s">
        <v>50</v>
      </c>
      <c r="B32" s="82"/>
      <c r="C32" s="85"/>
      <c r="D32" s="85"/>
      <c r="E32" s="51"/>
      <c r="F32" s="51"/>
      <c r="G32" s="828"/>
      <c r="H32" s="205"/>
      <c r="I32" s="205"/>
      <c r="J32" s="361"/>
      <c r="K32" s="36"/>
      <c r="L32" s="37"/>
      <c r="M32" s="14"/>
      <c r="N32" s="14"/>
      <c r="O32" s="14"/>
    </row>
    <row r="33" spans="1:20" ht="15" customHeight="1">
      <c r="A33" s="237"/>
      <c r="B33" s="84" t="s">
        <v>260</v>
      </c>
      <c r="C33" s="350" t="s">
        <v>105</v>
      </c>
      <c r="D33" s="261" t="s">
        <v>33</v>
      </c>
      <c r="E33" s="266" t="s">
        <v>392</v>
      </c>
      <c r="F33" s="266"/>
      <c r="G33" s="829">
        <v>794846278</v>
      </c>
      <c r="H33" s="351">
        <f>VLOOKUP($E33,Ratio,2,FALSE)*$G33</f>
        <v>0</v>
      </c>
      <c r="I33" s="351">
        <f>VLOOKUP($E33,Ratio,3,FALSE)*$G33</f>
        <v>0</v>
      </c>
      <c r="J33" s="381">
        <f>VLOOKUP($E33,Ratio,4,FALSE)*$G33</f>
        <v>794846278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300" t="s">
        <v>32</v>
      </c>
      <c r="B34" s="82"/>
      <c r="C34" s="680"/>
      <c r="D34" s="681"/>
      <c r="E34" s="681"/>
      <c r="F34" s="682"/>
      <c r="G34" s="827">
        <f>SUM(G33)</f>
        <v>794846278</v>
      </c>
      <c r="H34" s="678">
        <f>SUM(H33)</f>
        <v>0</v>
      </c>
      <c r="I34" s="678">
        <f>SUM(I33)</f>
        <v>0</v>
      </c>
      <c r="J34" s="683">
        <f>SUM(J33)</f>
        <v>794846278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4"/>
      <c r="B35" s="82"/>
      <c r="C35" s="85"/>
      <c r="D35" s="85"/>
      <c r="E35" s="85"/>
      <c r="F35" s="85"/>
      <c r="G35" s="831"/>
      <c r="H35" s="548"/>
      <c r="I35" s="548"/>
      <c r="J35" s="549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302" t="s">
        <v>34</v>
      </c>
      <c r="B36" s="125"/>
      <c r="C36" s="85"/>
      <c r="D36" s="83"/>
      <c r="E36" s="83"/>
      <c r="F36" s="83"/>
      <c r="G36" s="832"/>
      <c r="H36" s="550"/>
      <c r="I36" s="550"/>
      <c r="J36" s="551"/>
      <c r="K36" s="36"/>
      <c r="L36" s="37"/>
      <c r="M36" s="14"/>
      <c r="N36" s="14"/>
      <c r="O36" s="14"/>
    </row>
    <row r="37" spans="1:15" ht="15" customHeight="1">
      <c r="A37" s="237"/>
      <c r="B37" s="91" t="s">
        <v>35</v>
      </c>
      <c r="C37" s="350" t="s">
        <v>105</v>
      </c>
      <c r="D37" s="261">
        <v>389</v>
      </c>
      <c r="E37" s="266" t="s">
        <v>11</v>
      </c>
      <c r="F37" s="266"/>
      <c r="G37" s="829">
        <f>482681-80631</f>
        <v>402050</v>
      </c>
      <c r="H37" s="351">
        <f aca="true" t="shared" si="0" ref="H37:H46">VLOOKUP($E37,Ratio,2,FALSE)*$G37</f>
        <v>855.0947361025018</v>
      </c>
      <c r="I37" s="351">
        <f aca="true" t="shared" si="1" ref="I37:I46">VLOOKUP($E37,Ratio,3,FALSE)*$G37</f>
        <v>144388.73183661333</v>
      </c>
      <c r="J37" s="381">
        <f aca="true" t="shared" si="2" ref="J37:J46">VLOOKUP($E37,Ratio,4,FALSE)*$G37</f>
        <v>256806.17342728417</v>
      </c>
      <c r="K37" s="36"/>
      <c r="L37" s="37"/>
      <c r="M37" s="14"/>
      <c r="N37" s="14"/>
      <c r="O37" s="14"/>
    </row>
    <row r="38" spans="1:15" ht="15" customHeight="1">
      <c r="A38" s="237"/>
      <c r="B38" s="91" t="s">
        <v>36</v>
      </c>
      <c r="C38" s="350" t="s">
        <v>105</v>
      </c>
      <c r="D38" s="261">
        <v>390</v>
      </c>
      <c r="E38" s="266" t="s">
        <v>11</v>
      </c>
      <c r="F38" s="266"/>
      <c r="G38" s="829">
        <f>7677073-110773</f>
        <v>7566300</v>
      </c>
      <c r="H38" s="351">
        <f t="shared" si="0"/>
        <v>16092.285292307819</v>
      </c>
      <c r="I38" s="351">
        <f t="shared" si="1"/>
        <v>2717295.017274885</v>
      </c>
      <c r="J38" s="381">
        <f t="shared" si="2"/>
        <v>4832912.697432808</v>
      </c>
      <c r="K38" s="36"/>
      <c r="L38" s="37"/>
      <c r="M38" s="14"/>
      <c r="N38" s="14"/>
      <c r="O38" s="14"/>
    </row>
    <row r="39" spans="1:15" ht="15" customHeight="1">
      <c r="A39" s="237"/>
      <c r="B39" s="91" t="s">
        <v>37</v>
      </c>
      <c r="C39" s="350" t="s">
        <v>105</v>
      </c>
      <c r="D39" s="261">
        <v>391</v>
      </c>
      <c r="E39" s="266" t="s">
        <v>7</v>
      </c>
      <c r="F39" s="266"/>
      <c r="G39" s="829">
        <v>1046919</v>
      </c>
      <c r="H39" s="351">
        <f t="shared" si="0"/>
        <v>15590.998723656201</v>
      </c>
      <c r="I39" s="351">
        <f t="shared" si="1"/>
        <v>293364.73559610354</v>
      </c>
      <c r="J39" s="381">
        <f t="shared" si="2"/>
        <v>737963.2656802404</v>
      </c>
      <c r="K39" s="36"/>
      <c r="L39" s="37"/>
      <c r="M39" s="14"/>
      <c r="N39" s="14"/>
      <c r="O39" s="14"/>
    </row>
    <row r="40" spans="1:15" ht="15" customHeight="1">
      <c r="A40" s="237"/>
      <c r="B40" s="91" t="s">
        <v>38</v>
      </c>
      <c r="C40" s="350" t="s">
        <v>105</v>
      </c>
      <c r="D40" s="261">
        <v>392</v>
      </c>
      <c r="E40" s="266" t="s">
        <v>19</v>
      </c>
      <c r="F40" s="266"/>
      <c r="G40" s="829">
        <v>25636266</v>
      </c>
      <c r="H40" s="351">
        <f t="shared" si="0"/>
        <v>0</v>
      </c>
      <c r="I40" s="351">
        <f t="shared" si="1"/>
        <v>9226408.132803336</v>
      </c>
      <c r="J40" s="381">
        <f t="shared" si="2"/>
        <v>16409857.867196664</v>
      </c>
      <c r="K40" s="36"/>
      <c r="L40" s="37"/>
      <c r="M40" s="14"/>
      <c r="N40" s="14"/>
      <c r="O40" s="14"/>
    </row>
    <row r="41" spans="1:15" ht="15" customHeight="1">
      <c r="A41" s="237"/>
      <c r="B41" s="91" t="s">
        <v>39</v>
      </c>
      <c r="C41" s="350" t="s">
        <v>105</v>
      </c>
      <c r="D41" s="261">
        <v>393</v>
      </c>
      <c r="E41" s="266" t="s">
        <v>11</v>
      </c>
      <c r="F41" s="266"/>
      <c r="G41" s="829">
        <v>400192</v>
      </c>
      <c r="H41" s="351">
        <f t="shared" si="0"/>
        <v>851.1430733250401</v>
      </c>
      <c r="I41" s="351">
        <f t="shared" si="1"/>
        <v>143721.46591508013</v>
      </c>
      <c r="J41" s="381">
        <f t="shared" si="2"/>
        <v>255619.39101159485</v>
      </c>
      <c r="K41" s="36"/>
      <c r="L41" s="37"/>
      <c r="M41" s="14"/>
      <c r="N41" s="14"/>
      <c r="O41" s="14"/>
    </row>
    <row r="42" spans="1:15" ht="15" customHeight="1">
      <c r="A42" s="237"/>
      <c r="B42" s="91" t="s">
        <v>40</v>
      </c>
      <c r="C42" s="350" t="s">
        <v>105</v>
      </c>
      <c r="D42" s="261">
        <v>394</v>
      </c>
      <c r="E42" s="266" t="s">
        <v>11</v>
      </c>
      <c r="F42" s="266"/>
      <c r="G42" s="829">
        <v>4018009</v>
      </c>
      <c r="H42" s="351">
        <f t="shared" si="0"/>
        <v>8545.649410552112</v>
      </c>
      <c r="I42" s="351">
        <f t="shared" si="1"/>
        <v>1442992.722343238</v>
      </c>
      <c r="J42" s="381">
        <f t="shared" si="2"/>
        <v>2566470.62824621</v>
      </c>
      <c r="K42" s="36"/>
      <c r="L42" s="37"/>
      <c r="M42" s="14"/>
      <c r="N42" s="14"/>
      <c r="O42" s="14"/>
    </row>
    <row r="43" spans="1:15" ht="15" customHeight="1">
      <c r="A43" s="237"/>
      <c r="B43" s="91" t="s">
        <v>41</v>
      </c>
      <c r="C43" s="350" t="s">
        <v>105</v>
      </c>
      <c r="D43" s="261">
        <v>395</v>
      </c>
      <c r="E43" s="266" t="s">
        <v>11</v>
      </c>
      <c r="F43" s="266"/>
      <c r="G43" s="829">
        <v>3317020</v>
      </c>
      <c r="H43" s="351">
        <f t="shared" si="0"/>
        <v>7054.760207801816</v>
      </c>
      <c r="I43" s="351">
        <f t="shared" si="1"/>
        <v>1191245.6442648505</v>
      </c>
      <c r="J43" s="381">
        <f t="shared" si="2"/>
        <v>2118719.5955273476</v>
      </c>
      <c r="K43" s="36"/>
      <c r="L43" s="37"/>
      <c r="M43" s="14"/>
      <c r="N43" s="14"/>
      <c r="O43" s="14"/>
    </row>
    <row r="44" spans="1:15" ht="15" customHeight="1">
      <c r="A44" s="237"/>
      <c r="B44" s="91" t="s">
        <v>42</v>
      </c>
      <c r="C44" s="350" t="s">
        <v>105</v>
      </c>
      <c r="D44" s="261">
        <v>396</v>
      </c>
      <c r="E44" s="266" t="s">
        <v>19</v>
      </c>
      <c r="F44" s="266"/>
      <c r="G44" s="829">
        <v>2133361</v>
      </c>
      <c r="H44" s="351">
        <f t="shared" si="0"/>
        <v>0</v>
      </c>
      <c r="I44" s="351">
        <f t="shared" si="1"/>
        <v>767789.6336621509</v>
      </c>
      <c r="J44" s="381">
        <f t="shared" si="2"/>
        <v>1365571.366337849</v>
      </c>
      <c r="K44" s="36"/>
      <c r="L44" s="37"/>
      <c r="M44" s="14"/>
      <c r="N44" s="14"/>
      <c r="O44" s="14"/>
    </row>
    <row r="45" spans="1:15" ht="15" customHeight="1">
      <c r="A45" s="237"/>
      <c r="B45" s="91" t="s">
        <v>43</v>
      </c>
      <c r="C45" s="350" t="s">
        <v>105</v>
      </c>
      <c r="D45" s="261">
        <v>397</v>
      </c>
      <c r="E45" s="266" t="s">
        <v>11</v>
      </c>
      <c r="F45" s="266"/>
      <c r="G45" s="829">
        <f>19435277-457257-176206</f>
        <v>18801814</v>
      </c>
      <c r="H45" s="351">
        <f t="shared" si="0"/>
        <v>39988.389952937</v>
      </c>
      <c r="I45" s="351">
        <f t="shared" si="1"/>
        <v>6752319.561467187</v>
      </c>
      <c r="J45" s="381">
        <f t="shared" si="2"/>
        <v>12009506.048579877</v>
      </c>
      <c r="K45" s="36"/>
      <c r="L45" s="37"/>
      <c r="M45" s="14"/>
      <c r="N45" s="14"/>
      <c r="O45" s="14"/>
    </row>
    <row r="46" spans="1:15" ht="15" customHeight="1">
      <c r="A46" s="237"/>
      <c r="B46" s="91" t="s">
        <v>44</v>
      </c>
      <c r="C46" s="350" t="s">
        <v>105</v>
      </c>
      <c r="D46" s="261">
        <v>398</v>
      </c>
      <c r="E46" s="266" t="s">
        <v>11</v>
      </c>
      <c r="F46" s="266"/>
      <c r="G46" s="829">
        <v>192965</v>
      </c>
      <c r="H46" s="351">
        <f t="shared" si="0"/>
        <v>410.4050634299695</v>
      </c>
      <c r="I46" s="351">
        <f t="shared" si="1"/>
        <v>69299.76778722073</v>
      </c>
      <c r="J46" s="381">
        <f t="shared" si="2"/>
        <v>123254.82714934932</v>
      </c>
      <c r="K46" s="36"/>
      <c r="L46" s="37"/>
      <c r="M46" s="14"/>
      <c r="N46" s="14"/>
      <c r="O46" s="14"/>
    </row>
    <row r="47" spans="1:15" ht="15" customHeight="1">
      <c r="A47" s="237"/>
      <c r="B47" s="91" t="s">
        <v>242</v>
      </c>
      <c r="C47" s="350" t="s">
        <v>105</v>
      </c>
      <c r="D47" s="261">
        <v>399</v>
      </c>
      <c r="E47" s="266" t="s">
        <v>11</v>
      </c>
      <c r="F47" s="266" t="s">
        <v>11</v>
      </c>
      <c r="G47" s="833"/>
      <c r="H47" s="351">
        <f>IF($E47="DIRECT",$L47,VLOOKUP($E47,Ratio,2,FALSE)*$G47)</f>
        <v>0</v>
      </c>
      <c r="I47" s="351">
        <f>IF($E47="DIRECT",$M47,VLOOKUP($E47,Ratio,3,FALSE)*$G47)</f>
        <v>0</v>
      </c>
      <c r="J47" s="381">
        <f>IF($E47="DIRECT",$N47,VLOOKUP($E47,Ratio,4,FALSE)*$G47)</f>
        <v>0</v>
      </c>
      <c r="K47" s="36"/>
      <c r="L47" s="351"/>
      <c r="M47" s="351"/>
      <c r="N47" s="381"/>
      <c r="O47" s="14"/>
    </row>
    <row r="48" spans="1:15" ht="15" customHeight="1">
      <c r="A48" s="237"/>
      <c r="B48" s="91" t="s">
        <v>159</v>
      </c>
      <c r="C48" s="350" t="s">
        <v>160</v>
      </c>
      <c r="D48" s="261">
        <v>399.1</v>
      </c>
      <c r="E48" s="266" t="s">
        <v>11</v>
      </c>
      <c r="F48" s="266"/>
      <c r="G48" s="829"/>
      <c r="H48" s="351">
        <f>VLOOKUP($E48,Ratio,2,FALSE)*$G48</f>
        <v>0</v>
      </c>
      <c r="I48" s="351">
        <f>VLOOKUP($E48,Ratio,3,FALSE)*$G48</f>
        <v>0</v>
      </c>
      <c r="J48" s="381">
        <f>VLOOKUP($E48,Ratio,4,FALSE)*$G48</f>
        <v>0</v>
      </c>
      <c r="K48" s="36"/>
      <c r="L48"/>
      <c r="M48"/>
      <c r="N48"/>
      <c r="O48" s="14"/>
    </row>
    <row r="49" spans="1:15" ht="7.5" customHeight="1">
      <c r="A49" s="385"/>
      <c r="B49" s="100"/>
      <c r="C49" s="10"/>
      <c r="D49" s="52"/>
      <c r="E49" s="52"/>
      <c r="F49" s="52"/>
      <c r="G49" s="830"/>
      <c r="H49" s="488"/>
      <c r="I49" s="488"/>
      <c r="J49" s="489"/>
      <c r="K49" s="36"/>
      <c r="L49" s="37"/>
      <c r="M49" s="14"/>
      <c r="N49" s="14"/>
      <c r="O49" s="14"/>
    </row>
    <row r="50" spans="1:15" ht="15" customHeight="1">
      <c r="A50" s="248" t="s">
        <v>45</v>
      </c>
      <c r="B50" s="50"/>
      <c r="C50" s="691"/>
      <c r="D50" s="692"/>
      <c r="E50" s="692"/>
      <c r="F50" s="693"/>
      <c r="G50" s="827">
        <f>SUM(G37:G49)</f>
        <v>63514896</v>
      </c>
      <c r="H50" s="694">
        <f>SUM(H37:H49)</f>
        <v>89388.72646011246</v>
      </c>
      <c r="I50" s="694">
        <f>SUM(I37:I49)</f>
        <v>22748825.412950665</v>
      </c>
      <c r="J50" s="695">
        <f>SUM(J37:J49)</f>
        <v>40676681.86058922</v>
      </c>
      <c r="K50" s="36"/>
      <c r="L50" s="37"/>
      <c r="M50" s="14"/>
      <c r="N50" s="14"/>
      <c r="O50" s="14"/>
    </row>
    <row r="51" spans="1:15" ht="7.5" customHeight="1" thickBot="1">
      <c r="A51" s="537"/>
      <c r="B51" s="50"/>
      <c r="C51" s="10"/>
      <c r="D51" s="10"/>
      <c r="E51" s="10"/>
      <c r="F51" s="10"/>
      <c r="G51" s="834"/>
      <c r="H51" s="109"/>
      <c r="I51" s="109"/>
      <c r="J51" s="325"/>
      <c r="K51" s="36"/>
      <c r="L51" s="37"/>
      <c r="M51" s="14"/>
      <c r="N51" s="14"/>
      <c r="O51" s="14"/>
    </row>
    <row r="52" spans="1:15" ht="15" customHeight="1" thickTop="1">
      <c r="A52" s="300" t="s">
        <v>46</v>
      </c>
      <c r="B52" s="50"/>
      <c r="C52" s="696"/>
      <c r="D52" s="681"/>
      <c r="E52" s="681"/>
      <c r="F52" s="682"/>
      <c r="G52" s="835">
        <f>G19+G26+G30+G34+G50</f>
        <v>1309106391</v>
      </c>
      <c r="H52" s="667">
        <f>H19+H26+H30+H34+H50</f>
        <v>2736014.9886410628</v>
      </c>
      <c r="I52" s="667">
        <f>I19+I26+I30+I34+I50</f>
        <v>470790377.1120393</v>
      </c>
      <c r="J52" s="668">
        <f>J19+J26+J30+J34+J50</f>
        <v>835579998.8993196</v>
      </c>
      <c r="K52" s="36"/>
      <c r="L52" s="774"/>
      <c r="M52" s="14"/>
      <c r="N52" s="14"/>
      <c r="O52" s="14"/>
    </row>
    <row r="53" spans="1:15" s="12" customFormat="1" ht="15" customHeight="1" thickBot="1">
      <c r="A53" s="249" t="s">
        <v>157</v>
      </c>
      <c r="B53" s="250"/>
      <c r="C53" s="251"/>
      <c r="D53" s="251"/>
      <c r="E53" s="275"/>
      <c r="F53" s="275"/>
      <c r="G53" s="836"/>
      <c r="H53" s="552"/>
      <c r="I53" s="552"/>
      <c r="J53" s="553"/>
      <c r="K53" s="33"/>
      <c r="L53" s="34"/>
      <c r="M53" s="38"/>
      <c r="N53" s="38"/>
      <c r="O53" s="38"/>
    </row>
    <row r="54" spans="1:15" ht="15" customHeight="1" thickTop="1">
      <c r="A54" s="306"/>
      <c r="B54" s="101"/>
      <c r="C54" s="10"/>
      <c r="D54" s="10"/>
      <c r="E54" s="10"/>
      <c r="F54" s="10"/>
      <c r="G54" s="832"/>
      <c r="H54" s="550"/>
      <c r="I54" s="550"/>
      <c r="J54" s="551"/>
      <c r="K54" s="36"/>
      <c r="L54" s="37"/>
      <c r="M54" s="14"/>
      <c r="N54" s="14"/>
      <c r="O54" s="14"/>
    </row>
    <row r="55" spans="1:15" ht="15" customHeight="1">
      <c r="A55" s="302" t="s">
        <v>52</v>
      </c>
      <c r="B55" s="101"/>
      <c r="C55" s="10"/>
      <c r="D55" s="10"/>
      <c r="E55" s="10"/>
      <c r="F55" s="10"/>
      <c r="G55" s="837"/>
      <c r="H55" s="205"/>
      <c r="I55" s="205"/>
      <c r="J55" s="361"/>
      <c r="K55" s="36"/>
      <c r="L55" s="37"/>
      <c r="M55" s="14"/>
      <c r="N55" s="14"/>
      <c r="O55" s="14"/>
    </row>
    <row r="56" spans="1:15" ht="15" customHeight="1">
      <c r="A56" s="302" t="s">
        <v>444</v>
      </c>
      <c r="B56" s="101"/>
      <c r="C56" s="10"/>
      <c r="D56" s="10"/>
      <c r="E56" s="10"/>
      <c r="F56" s="10"/>
      <c r="G56" s="837"/>
      <c r="H56" s="205"/>
      <c r="I56" s="205"/>
      <c r="J56" s="361"/>
      <c r="K56" s="36"/>
      <c r="L56" s="37"/>
      <c r="M56" s="14"/>
      <c r="N56" s="14"/>
      <c r="O56" s="14"/>
    </row>
    <row r="57" spans="1:15" ht="15" customHeight="1">
      <c r="A57" s="237"/>
      <c r="B57" s="84" t="s">
        <v>0</v>
      </c>
      <c r="C57" s="261">
        <v>219</v>
      </c>
      <c r="D57" s="352">
        <v>108</v>
      </c>
      <c r="E57" s="266" t="str">
        <f>E22</f>
        <v>PROD</v>
      </c>
      <c r="F57" s="266"/>
      <c r="G57" s="829"/>
      <c r="H57" s="351">
        <f aca="true" t="shared" si="3" ref="H57:H64">VLOOKUP($E57,Ratio,2,FALSE)*$G57</f>
        <v>0</v>
      </c>
      <c r="I57" s="351">
        <f aca="true" t="shared" si="4" ref="I57:I64">VLOOKUP($E57,Ratio,3,FALSE)*$G57</f>
        <v>0</v>
      </c>
      <c r="J57" s="381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7"/>
      <c r="B58" s="84" t="s">
        <v>1</v>
      </c>
      <c r="C58" s="261">
        <v>219</v>
      </c>
      <c r="D58" s="352">
        <v>108</v>
      </c>
      <c r="E58" s="266" t="str">
        <f>E23</f>
        <v>PROD</v>
      </c>
      <c r="F58" s="266"/>
      <c r="G58" s="829"/>
      <c r="H58" s="351">
        <f t="shared" si="3"/>
        <v>0</v>
      </c>
      <c r="I58" s="351">
        <f t="shared" si="4"/>
        <v>0</v>
      </c>
      <c r="J58" s="381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7"/>
      <c r="B59" s="84" t="s">
        <v>170</v>
      </c>
      <c r="C59" s="261">
        <v>219</v>
      </c>
      <c r="D59" s="261">
        <v>108</v>
      </c>
      <c r="E59" s="266" t="str">
        <f>E24</f>
        <v>PROD</v>
      </c>
      <c r="F59" s="266"/>
      <c r="G59" s="829"/>
      <c r="H59" s="351">
        <f t="shared" si="3"/>
        <v>0</v>
      </c>
      <c r="I59" s="351">
        <f t="shared" si="4"/>
        <v>0</v>
      </c>
      <c r="J59" s="381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7"/>
      <c r="B60" s="84" t="s">
        <v>47</v>
      </c>
      <c r="C60" s="261">
        <v>219</v>
      </c>
      <c r="D60" s="352">
        <v>108</v>
      </c>
      <c r="E60" s="266" t="str">
        <f>E25</f>
        <v>PROD</v>
      </c>
      <c r="F60" s="266"/>
      <c r="G60" s="829">
        <v>1945332</v>
      </c>
      <c r="H60" s="351">
        <f t="shared" si="3"/>
        <v>1945332</v>
      </c>
      <c r="I60" s="351">
        <f t="shared" si="4"/>
        <v>0</v>
      </c>
      <c r="J60" s="381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7"/>
      <c r="B61" s="84" t="s">
        <v>263</v>
      </c>
      <c r="C61" s="261">
        <v>219</v>
      </c>
      <c r="D61" s="352">
        <v>108</v>
      </c>
      <c r="E61" s="266" t="str">
        <f>E29</f>
        <v>TRANS</v>
      </c>
      <c r="F61" s="266"/>
      <c r="G61" s="829">
        <v>173762817</v>
      </c>
      <c r="H61" s="351">
        <f t="shared" si="3"/>
        <v>0</v>
      </c>
      <c r="I61" s="351">
        <f t="shared" si="4"/>
        <v>173762817</v>
      </c>
      <c r="J61" s="381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7"/>
      <c r="B62" s="84" t="s">
        <v>48</v>
      </c>
      <c r="C62" s="261">
        <v>219</v>
      </c>
      <c r="D62" s="352">
        <v>108</v>
      </c>
      <c r="E62" s="266" t="str">
        <f>E33</f>
        <v>DIST</v>
      </c>
      <c r="F62" s="266"/>
      <c r="G62" s="829">
        <v>354798724</v>
      </c>
      <c r="H62" s="351">
        <f t="shared" si="3"/>
        <v>0</v>
      </c>
      <c r="I62" s="351">
        <f t="shared" si="4"/>
        <v>0</v>
      </c>
      <c r="J62" s="381">
        <f t="shared" si="5"/>
        <v>354798724</v>
      </c>
      <c r="K62" s="36"/>
      <c r="L62" s="37"/>
      <c r="M62" s="14"/>
      <c r="N62" s="14"/>
      <c r="O62" s="14"/>
    </row>
    <row r="63" spans="1:15" ht="15" customHeight="1">
      <c r="A63" s="237"/>
      <c r="B63" s="84" t="s">
        <v>4</v>
      </c>
      <c r="C63" s="261">
        <v>219</v>
      </c>
      <c r="D63" s="352">
        <v>108</v>
      </c>
      <c r="E63" s="266" t="s">
        <v>3</v>
      </c>
      <c r="F63" s="266"/>
      <c r="G63" s="829">
        <v>35207876</v>
      </c>
      <c r="H63" s="351">
        <f t="shared" si="3"/>
        <v>49550.37944178573</v>
      </c>
      <c r="I63" s="351">
        <f t="shared" si="4"/>
        <v>12610235.940318879</v>
      </c>
      <c r="J63" s="381">
        <f t="shared" si="5"/>
        <v>22548089.680239335</v>
      </c>
      <c r="K63" s="36"/>
      <c r="L63" s="37"/>
      <c r="M63" s="14"/>
      <c r="N63" s="14"/>
      <c r="O63" s="14"/>
    </row>
    <row r="64" spans="1:15" ht="15" customHeight="1">
      <c r="A64" s="237"/>
      <c r="B64" s="84" t="s">
        <v>370</v>
      </c>
      <c r="C64" s="261">
        <v>219</v>
      </c>
      <c r="D64" s="352">
        <v>111</v>
      </c>
      <c r="E64" s="266" t="str">
        <f>E16</f>
        <v>DIST</v>
      </c>
      <c r="F64" s="417" t="str">
        <f>F16</f>
        <v> </v>
      </c>
      <c r="G64" s="829"/>
      <c r="H64" s="351">
        <f t="shared" si="3"/>
        <v>0</v>
      </c>
      <c r="I64" s="351">
        <f t="shared" si="4"/>
        <v>0</v>
      </c>
      <c r="J64" s="381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7"/>
      <c r="B65" s="84" t="s">
        <v>371</v>
      </c>
      <c r="C65" s="261">
        <v>219</v>
      </c>
      <c r="D65" s="352">
        <v>111</v>
      </c>
      <c r="E65" s="266" t="s">
        <v>2</v>
      </c>
      <c r="F65" s="417" t="s">
        <v>11</v>
      </c>
      <c r="G65" s="826"/>
      <c r="H65" s="351">
        <f>IF($E65="DIRECT",$L65,VLOOKUP($E65,Ratio,2,FALSE)*$G65)</f>
        <v>0</v>
      </c>
      <c r="I65" s="351">
        <f>IF($E65="DIRECT",$M65,VLOOKUP($E65,Ratio,3,FALSE)*$G65)</f>
        <v>0</v>
      </c>
      <c r="J65" s="381">
        <f>IF($E65="DIRECT",$N65,VLOOKUP($E65,Ratio,4,FALSE)*$G65)</f>
        <v>0</v>
      </c>
      <c r="K65" s="36"/>
      <c r="L65" s="351"/>
      <c r="M65" s="351"/>
      <c r="N65" s="381"/>
      <c r="O65" s="14"/>
    </row>
    <row r="66" spans="1:15" ht="15" customHeight="1">
      <c r="A66" s="237"/>
      <c r="B66" s="84" t="s">
        <v>401</v>
      </c>
      <c r="C66" s="261">
        <v>219</v>
      </c>
      <c r="D66" s="352">
        <v>111</v>
      </c>
      <c r="E66" s="266" t="s">
        <v>2</v>
      </c>
      <c r="F66" s="417" t="s">
        <v>392</v>
      </c>
      <c r="G66" s="826">
        <v>374185</v>
      </c>
      <c r="H66" s="351">
        <f>IF($E66="DIRECT",$L66,VLOOKUP($E66,Ratio,2,FALSE)*$G66)</f>
        <v>0</v>
      </c>
      <c r="I66" s="351">
        <f>IF($E66="DIRECT",$M66,VLOOKUP($E66,Ratio,3,FALSE)*$G66)</f>
        <v>362735.33</v>
      </c>
      <c r="J66" s="381">
        <f>IF($E66="DIRECT",$N66,VLOOKUP($E66,Ratio,4,FALSE)*$G66)</f>
        <v>11450</v>
      </c>
      <c r="K66" s="36"/>
      <c r="L66" s="351"/>
      <c r="M66" s="865">
        <f>-'Intangible Plant'!C35</f>
        <v>362735.33</v>
      </c>
      <c r="N66" s="866">
        <f>-'Intangible Plant'!C39</f>
        <v>11450</v>
      </c>
      <c r="O66" s="14"/>
    </row>
    <row r="67" spans="1:15" ht="15" customHeight="1">
      <c r="A67" s="237"/>
      <c r="B67" s="84" t="s">
        <v>239</v>
      </c>
      <c r="C67" s="261">
        <v>219</v>
      </c>
      <c r="D67" s="352">
        <v>108</v>
      </c>
      <c r="E67" s="266" t="s">
        <v>394</v>
      </c>
      <c r="F67" s="266"/>
      <c r="G67" s="829"/>
      <c r="H67" s="351">
        <f>VLOOKUP($E67,Ratio,2,FALSE)*$G67</f>
        <v>0</v>
      </c>
      <c r="I67" s="351">
        <f>VLOOKUP($E67,Ratio,3,FALSE)*$G67</f>
        <v>0</v>
      </c>
      <c r="J67" s="381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7"/>
      <c r="B68" s="84" t="s">
        <v>224</v>
      </c>
      <c r="C68" s="261">
        <v>219</v>
      </c>
      <c r="D68" s="352">
        <v>108</v>
      </c>
      <c r="E68" s="266" t="s">
        <v>392</v>
      </c>
      <c r="F68" s="266"/>
      <c r="G68" s="829"/>
      <c r="H68" s="351">
        <f>VLOOKUP($E68,Ratio,2,FALSE)*$G68</f>
        <v>0</v>
      </c>
      <c r="I68" s="351">
        <f>VLOOKUP($E68,Ratio,3,FALSE)*$G68</f>
        <v>0</v>
      </c>
      <c r="J68" s="381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7"/>
      <c r="B69" s="84" t="s">
        <v>225</v>
      </c>
      <c r="C69" s="261">
        <v>219</v>
      </c>
      <c r="D69" s="352">
        <v>108</v>
      </c>
      <c r="E69" s="266" t="s">
        <v>2</v>
      </c>
      <c r="F69" s="266" t="s">
        <v>11</v>
      </c>
      <c r="G69" s="838"/>
      <c r="H69" s="351">
        <f>IF($E69="DIRECT",$L69,VLOOKUP($E69,Ratio,2,FALSE)*$G69)</f>
        <v>0</v>
      </c>
      <c r="I69" s="351">
        <f>IF($E69="DIRECT",$M69,VLOOKUP($E69,Ratio,3,FALSE)*$G69)</f>
        <v>0</v>
      </c>
      <c r="J69" s="381">
        <f>IF($E69="DIRECT",$N69,VLOOKUP($E69,Ratio,4,FALSE)*$G69)</f>
        <v>0</v>
      </c>
      <c r="K69" s="36"/>
      <c r="L69" s="351"/>
      <c r="M69" s="351"/>
      <c r="N69" s="381"/>
      <c r="O69" s="14"/>
    </row>
    <row r="70" spans="1:15" ht="15" customHeight="1">
      <c r="A70" s="237"/>
      <c r="B70" s="84" t="s">
        <v>194</v>
      </c>
      <c r="C70" s="261" t="s">
        <v>104</v>
      </c>
      <c r="D70" s="352">
        <v>108</v>
      </c>
      <c r="E70" s="266" t="s">
        <v>2</v>
      </c>
      <c r="F70" s="266" t="s">
        <v>392</v>
      </c>
      <c r="G70" s="838"/>
      <c r="H70" s="351">
        <f>IF($E70="DIRECT",$L70,VLOOKUP($E70,Ratio,2,FALSE)*$G70)</f>
        <v>0</v>
      </c>
      <c r="I70" s="351">
        <f>IF($E70="DIRECT",$M70,VLOOKUP($E70,Ratio,3,FALSE)*$G70)</f>
        <v>0</v>
      </c>
      <c r="J70" s="381">
        <f>IF($E70="DIRECT",$N70,VLOOKUP($E70,Ratio,4,FALSE)*$G70)</f>
        <v>0</v>
      </c>
      <c r="K70" s="36"/>
      <c r="L70" s="351"/>
      <c r="M70" s="351"/>
      <c r="N70" s="381"/>
      <c r="O70" s="14"/>
    </row>
    <row r="71" spans="1:15" s="12" customFormat="1" ht="15" customHeight="1">
      <c r="A71" s="237"/>
      <c r="B71" s="84" t="s">
        <v>402</v>
      </c>
      <c r="C71" s="261" t="s">
        <v>104</v>
      </c>
      <c r="D71" s="261">
        <v>108</v>
      </c>
      <c r="E71" s="266" t="s">
        <v>11</v>
      </c>
      <c r="F71" s="266" t="s">
        <v>11</v>
      </c>
      <c r="G71" s="839">
        <v>24733582</v>
      </c>
      <c r="H71" s="351">
        <f>IF($E71="DIRECT",$L71,VLOOKUP($E71,Ratio,2,FALSE)*$G71)</f>
        <v>52604.292434173825</v>
      </c>
      <c r="I71" s="351">
        <f>IF($E71="DIRECT",$M71,VLOOKUP($E71,Ratio,3,FALSE)*$G71)</f>
        <v>8882603.006483985</v>
      </c>
      <c r="J71" s="381">
        <f>IF($E71="DIRECT",$N71,VLOOKUP($E71,Ratio,4,FALSE)*$G71)</f>
        <v>15798374.701081842</v>
      </c>
      <c r="K71" s="33"/>
      <c r="L71" s="351"/>
      <c r="M71" s="351"/>
      <c r="N71" s="381"/>
      <c r="O71" s="38"/>
    </row>
    <row r="72" spans="1:15" s="12" customFormat="1" ht="15" customHeight="1">
      <c r="A72" s="237"/>
      <c r="B72" s="84" t="s">
        <v>403</v>
      </c>
      <c r="C72" s="261" t="s">
        <v>104</v>
      </c>
      <c r="D72" s="261">
        <v>108</v>
      </c>
      <c r="E72" s="266" t="s">
        <v>2</v>
      </c>
      <c r="F72" s="266" t="s">
        <v>392</v>
      </c>
      <c r="G72" s="840">
        <f>SUM(H72:J72)</f>
        <v>8258448</v>
      </c>
      <c r="H72" s="351">
        <f>IF($E72="DIRECT",$L72,VLOOKUP($E72,Ratio,2,FALSE)*$G72)</f>
        <v>0</v>
      </c>
      <c r="I72" s="351">
        <f>IF($E72="DIRECT",$M72,VLOOKUP($E72,Ratio,3,FALSE)*$G72)</f>
        <v>6924689</v>
      </c>
      <c r="J72" s="381">
        <f>IF($E72="DIRECT",$N72,VLOOKUP($E72,Ratio,4,FALSE)*$G72)</f>
        <v>1333759</v>
      </c>
      <c r="K72" s="33"/>
      <c r="L72" s="351"/>
      <c r="M72" s="865">
        <v>6924689</v>
      </c>
      <c r="N72" s="866">
        <f>1333403+356</f>
        <v>1333759</v>
      </c>
      <c r="O72" s="38"/>
    </row>
    <row r="73" spans="1:15" s="12" customFormat="1" ht="15" customHeight="1">
      <c r="A73" s="237"/>
      <c r="B73" s="84" t="s">
        <v>429</v>
      </c>
      <c r="C73" s="261" t="s">
        <v>104</v>
      </c>
      <c r="D73" s="261">
        <v>115</v>
      </c>
      <c r="E73" s="266" t="s">
        <v>2</v>
      </c>
      <c r="F73" s="266" t="s">
        <v>392</v>
      </c>
      <c r="G73" s="841">
        <v>2821543</v>
      </c>
      <c r="H73" s="351">
        <f>IF($E73="DIRECT",$L73,VLOOKUP($E73,Ratio,2,FALSE)*$G73)</f>
        <v>0</v>
      </c>
      <c r="I73" s="351">
        <f>IF($E73="DIRECT",$M73,VLOOKUP($E73,Ratio,3,FALSE)*$G73)</f>
        <v>2821543</v>
      </c>
      <c r="J73" s="381">
        <f>IF($E73="DIRECT",$N73,VLOOKUP($E73,Ratio,4,FALSE)*$G73)</f>
        <v>0</v>
      </c>
      <c r="K73" s="33"/>
      <c r="L73" s="704"/>
      <c r="M73" s="705">
        <f>+G73</f>
        <v>2821543</v>
      </c>
      <c r="N73" s="705"/>
      <c r="O73" s="38"/>
    </row>
    <row r="74" spans="1:15" s="12" customFormat="1" ht="15" customHeight="1">
      <c r="A74" s="237"/>
      <c r="B74" s="84"/>
      <c r="C74" s="85"/>
      <c r="D74" s="83"/>
      <c r="E74" s="83"/>
      <c r="F74" s="83"/>
      <c r="H74" s="554"/>
      <c r="I74" s="554"/>
      <c r="J74" s="555"/>
      <c r="K74" s="33"/>
      <c r="L74" s="34"/>
      <c r="M74" s="38"/>
      <c r="N74" s="38"/>
      <c r="O74" s="38"/>
    </row>
    <row r="75" spans="1:15" ht="15" customHeight="1">
      <c r="A75" s="302" t="s">
        <v>445</v>
      </c>
      <c r="B75" s="84"/>
      <c r="C75" s="261"/>
      <c r="D75" s="261"/>
      <c r="E75" s="266" t="s">
        <v>2</v>
      </c>
      <c r="F75" s="266" t="s">
        <v>2</v>
      </c>
      <c r="G75" s="829"/>
      <c r="H75" s="351"/>
      <c r="I75" s="351"/>
      <c r="J75" s="381"/>
      <c r="K75" s="36"/>
      <c r="L75" s="37"/>
      <c r="M75" s="14"/>
      <c r="N75" s="14"/>
      <c r="O75" s="14"/>
    </row>
    <row r="76" spans="1:15" ht="15" customHeight="1">
      <c r="A76" s="386"/>
      <c r="B76" s="84"/>
      <c r="C76" s="85"/>
      <c r="D76" s="83"/>
      <c r="E76" s="83"/>
      <c r="F76" s="83"/>
      <c r="G76" s="842"/>
      <c r="H76" s="488"/>
      <c r="I76" s="488"/>
      <c r="J76" s="489"/>
      <c r="K76" s="36"/>
      <c r="L76" s="37"/>
      <c r="M76" s="14"/>
      <c r="N76" s="14"/>
      <c r="O76" s="14"/>
    </row>
    <row r="77" spans="1:15" ht="15" customHeight="1">
      <c r="A77" s="300" t="s">
        <v>446</v>
      </c>
      <c r="B77" s="51"/>
      <c r="C77" s="696"/>
      <c r="D77" s="681"/>
      <c r="E77" s="681"/>
      <c r="F77" s="682"/>
      <c r="G77" s="827">
        <f>SUM(G57:G75)</f>
        <v>601902507</v>
      </c>
      <c r="H77" s="667">
        <f>SUM(H57:H75)</f>
        <v>2047486.6718759595</v>
      </c>
      <c r="I77" s="667">
        <f>SUM(I57:I75)</f>
        <v>205364623.27680287</v>
      </c>
      <c r="J77" s="668">
        <f>SUM(J57:J75)</f>
        <v>394490397.3813212</v>
      </c>
      <c r="K77" s="36"/>
      <c r="L77" s="37"/>
      <c r="M77" s="14"/>
      <c r="N77" s="14"/>
      <c r="O77" s="14"/>
    </row>
    <row r="78" spans="1:15" ht="15" customHeight="1">
      <c r="A78" s="386"/>
      <c r="B78" s="102"/>
      <c r="C78" s="85"/>
      <c r="D78" s="83"/>
      <c r="E78" s="83"/>
      <c r="F78" s="83"/>
      <c r="G78" s="781"/>
      <c r="H78" s="546"/>
      <c r="I78" s="546"/>
      <c r="J78" s="547"/>
      <c r="K78" s="36"/>
      <c r="L78" s="37"/>
      <c r="M78" s="14"/>
      <c r="N78" s="14"/>
      <c r="O78" s="14"/>
    </row>
    <row r="79" spans="1:15" ht="15" customHeight="1">
      <c r="A79" s="300" t="s">
        <v>53</v>
      </c>
      <c r="B79" s="50"/>
      <c r="C79" s="696"/>
      <c r="D79" s="681"/>
      <c r="E79" s="681"/>
      <c r="F79" s="682"/>
      <c r="G79" s="843">
        <f>G52-G77</f>
        <v>707203884</v>
      </c>
      <c r="H79" s="667">
        <f>H52-H77</f>
        <v>688528.3167651033</v>
      </c>
      <c r="I79" s="667">
        <f>I52-I77</f>
        <v>265425753.83523646</v>
      </c>
      <c r="J79" s="668">
        <f>J52-J77</f>
        <v>441089601.51799846</v>
      </c>
      <c r="K79" s="36"/>
      <c r="L79" s="37"/>
      <c r="M79" s="14"/>
      <c r="N79" s="14"/>
      <c r="O79" s="14"/>
    </row>
    <row r="80" spans="1:15" s="12" customFormat="1" ht="15" customHeight="1">
      <c r="A80" s="308" t="s">
        <v>119</v>
      </c>
      <c r="B80" s="50"/>
      <c r="C80" s="10"/>
      <c r="D80" s="10"/>
      <c r="E80" s="127"/>
      <c r="F80" s="127"/>
      <c r="G80" s="544"/>
      <c r="H80" s="544"/>
      <c r="I80" s="544"/>
      <c r="J80" s="325"/>
      <c r="K80" s="33"/>
      <c r="L80" s="34"/>
      <c r="M80" s="38"/>
      <c r="N80" s="38"/>
      <c r="O80" s="38"/>
    </row>
    <row r="81" spans="1:15" s="12" customFormat="1" ht="15" customHeight="1" thickBot="1">
      <c r="A81" s="249"/>
      <c r="B81" s="250"/>
      <c r="C81" s="251"/>
      <c r="D81" s="251"/>
      <c r="E81" s="403"/>
      <c r="F81" s="403"/>
      <c r="G81" s="556"/>
      <c r="H81" s="556"/>
      <c r="I81" s="556"/>
      <c r="J81" s="553"/>
      <c r="K81" s="33"/>
      <c r="L81" s="34"/>
      <c r="M81" s="38"/>
      <c r="N81" s="38"/>
      <c r="O81" s="38"/>
    </row>
    <row r="82" spans="1:15" ht="15" customHeight="1" thickTop="1">
      <c r="A82" s="305" t="s">
        <v>111</v>
      </c>
      <c r="B82" s="50"/>
      <c r="C82" s="10"/>
      <c r="D82" s="10"/>
      <c r="E82" s="127"/>
      <c r="F82" s="127"/>
      <c r="G82" s="205"/>
      <c r="H82" s="205"/>
      <c r="I82" s="205"/>
      <c r="J82" s="551"/>
      <c r="K82" s="36"/>
      <c r="L82" s="37"/>
      <c r="M82" s="14"/>
      <c r="N82" s="14"/>
      <c r="O82" s="14"/>
    </row>
    <row r="83" spans="1:15" ht="15" customHeight="1">
      <c r="A83" s="387"/>
      <c r="B83" s="50"/>
      <c r="C83" s="10"/>
      <c r="D83" s="10"/>
      <c r="E83" s="127"/>
      <c r="F83" s="127"/>
      <c r="G83" s="205"/>
      <c r="H83" s="205"/>
      <c r="I83" s="205"/>
      <c r="J83" s="551"/>
      <c r="K83" s="36"/>
      <c r="L83" s="37"/>
      <c r="M83" s="14"/>
      <c r="N83" s="14"/>
      <c r="O83" s="14"/>
    </row>
    <row r="84" spans="1:15" ht="15" customHeight="1">
      <c r="A84" s="388" t="s">
        <v>264</v>
      </c>
      <c r="B84" s="121"/>
      <c r="C84" s="940" t="s">
        <v>469</v>
      </c>
      <c r="D84" s="968"/>
      <c r="E84" s="968"/>
      <c r="F84" s="969"/>
      <c r="G84" s="480">
        <f>'Sch 1A - Cash Working Capital'!C23</f>
        <v>13235774.625</v>
      </c>
      <c r="H84" s="351">
        <f>'Sch 1A - Cash Working Capital'!D23</f>
        <v>954332.0251036286</v>
      </c>
      <c r="I84" s="567">
        <f>'Sch 1A - Cash Working Capital'!E23</f>
        <v>3321472.833997261</v>
      </c>
      <c r="J84" s="568">
        <f>'Sch 1A - Cash Working Capital'!F23</f>
        <v>8959969.765899112</v>
      </c>
      <c r="K84" s="36"/>
      <c r="L84" s="37"/>
      <c r="M84" s="14"/>
      <c r="N84" s="14"/>
      <c r="O84" s="14"/>
    </row>
    <row r="85" spans="1:15" ht="15" customHeight="1">
      <c r="A85" s="237"/>
      <c r="B85" s="91"/>
      <c r="C85" s="85"/>
      <c r="D85" s="85"/>
      <c r="E85" s="83"/>
      <c r="F85" s="83"/>
      <c r="G85" s="557"/>
      <c r="H85" s="569"/>
      <c r="I85" s="569"/>
      <c r="J85" s="570"/>
      <c r="K85" s="36"/>
      <c r="L85" s="37"/>
      <c r="M85" s="14"/>
      <c r="N85" s="14"/>
      <c r="O85" s="14"/>
    </row>
    <row r="86" spans="1:15" ht="15" customHeight="1">
      <c r="A86" s="389" t="s">
        <v>313</v>
      </c>
      <c r="B86" s="128"/>
      <c r="C86" s="129"/>
      <c r="D86" s="83"/>
      <c r="E86" s="83"/>
      <c r="F86" s="83"/>
      <c r="G86" s="487"/>
      <c r="H86" s="488"/>
      <c r="I86" s="488"/>
      <c r="J86" s="489"/>
      <c r="K86" s="37"/>
      <c r="L86" s="37"/>
      <c r="M86" s="14"/>
      <c r="N86" s="14"/>
      <c r="O86" s="14"/>
    </row>
    <row r="87" spans="1:15" ht="15" customHeight="1">
      <c r="A87" s="237"/>
      <c r="B87" s="91" t="s">
        <v>150</v>
      </c>
      <c r="C87" s="261" t="s">
        <v>104</v>
      </c>
      <c r="D87" s="261">
        <v>105</v>
      </c>
      <c r="E87" s="266" t="s">
        <v>392</v>
      </c>
      <c r="F87" s="266"/>
      <c r="G87" s="480"/>
      <c r="H87" s="351">
        <f>VLOOKUP($E87,Ratio,2,FALSE)*$G87</f>
        <v>0</v>
      </c>
      <c r="I87" s="351">
        <f>VLOOKUP($E87,Ratio,3,FALSE)*$G87</f>
        <v>0</v>
      </c>
      <c r="J87" s="381">
        <f>VLOOKUP($E87,Ratio,4,FALSE)*$G87</f>
        <v>0</v>
      </c>
      <c r="K87" s="37"/>
      <c r="L87" s="37"/>
      <c r="M87" s="14"/>
      <c r="N87" s="14"/>
      <c r="O87" s="14"/>
    </row>
    <row r="88" spans="1:15" ht="15" customHeight="1">
      <c r="A88" s="237"/>
      <c r="B88" s="91" t="s">
        <v>112</v>
      </c>
      <c r="C88" s="261" t="s">
        <v>104</v>
      </c>
      <c r="D88" s="352">
        <v>106</v>
      </c>
      <c r="E88" s="435" t="s">
        <v>11</v>
      </c>
      <c r="F88" s="266"/>
      <c r="G88" s="480"/>
      <c r="H88" s="351">
        <f>VLOOKUP($E88,Ratio,2,FALSE)*$G88</f>
        <v>0</v>
      </c>
      <c r="I88" s="351">
        <f>VLOOKUP($E88,Ratio,3,FALSE)*$G88</f>
        <v>0</v>
      </c>
      <c r="J88" s="381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7"/>
      <c r="B89" s="51" t="s">
        <v>54</v>
      </c>
      <c r="C89" s="261"/>
      <c r="D89" s="261" t="s">
        <v>243</v>
      </c>
      <c r="E89" s="266" t="s">
        <v>394</v>
      </c>
      <c r="F89" s="266"/>
      <c r="G89" s="480"/>
      <c r="H89" s="351">
        <f>VLOOKUP($E89,Ratio,2,FALSE)*$G89</f>
        <v>0</v>
      </c>
      <c r="I89" s="351">
        <f>VLOOKUP($E89,Ratio,3,FALSE)*$G89</f>
        <v>0</v>
      </c>
      <c r="J89" s="381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7"/>
      <c r="B90" s="91" t="s">
        <v>115</v>
      </c>
      <c r="C90" s="261" t="s">
        <v>104</v>
      </c>
      <c r="D90" s="261" t="s">
        <v>244</v>
      </c>
      <c r="E90" s="266" t="s">
        <v>392</v>
      </c>
      <c r="F90" s="266"/>
      <c r="G90" s="841">
        <v>272720</v>
      </c>
      <c r="H90" s="351">
        <f>VLOOKUP($E90,Ratio,2,FALSE)*$G90</f>
        <v>0</v>
      </c>
      <c r="I90" s="351">
        <f>VLOOKUP($E90,Ratio,3,FALSE)*$G90</f>
        <v>0</v>
      </c>
      <c r="J90" s="381">
        <f>VLOOKUP($E90,Ratio,4,FALSE)*$G90</f>
        <v>272720</v>
      </c>
      <c r="K90" s="37"/>
      <c r="L90" s="37"/>
      <c r="M90" s="14"/>
      <c r="N90" s="14"/>
      <c r="O90" s="14"/>
    </row>
    <row r="91" spans="1:15" ht="15" customHeight="1">
      <c r="A91" s="237"/>
      <c r="B91" s="91" t="s">
        <v>447</v>
      </c>
      <c r="C91" s="261" t="s">
        <v>448</v>
      </c>
      <c r="D91" s="261"/>
      <c r="E91" s="266" t="s">
        <v>2</v>
      </c>
      <c r="F91" s="266" t="s">
        <v>2</v>
      </c>
      <c r="G91" s="894">
        <v>59321698</v>
      </c>
      <c r="H91" s="351">
        <f>+'Common Plant'!B29</f>
        <v>126167.57</v>
      </c>
      <c r="I91" s="351">
        <f>+'Common Plant'!B30</f>
        <v>21304277.41</v>
      </c>
      <c r="J91" s="381">
        <f>+'Common Plant'!B31</f>
        <v>37891252.95</v>
      </c>
      <c r="K91" s="37"/>
      <c r="L91" s="37"/>
      <c r="M91" s="14"/>
      <c r="N91" s="14"/>
      <c r="O91" s="14"/>
    </row>
    <row r="92" spans="1:15" s="12" customFormat="1" ht="15" customHeight="1">
      <c r="A92" s="237"/>
      <c r="B92" s="91" t="s">
        <v>106</v>
      </c>
      <c r="C92" s="261" t="s">
        <v>104</v>
      </c>
      <c r="D92" s="261">
        <v>114</v>
      </c>
      <c r="E92" s="266" t="s">
        <v>2</v>
      </c>
      <c r="F92" s="266" t="s">
        <v>392</v>
      </c>
      <c r="G92" s="841">
        <v>3106285</v>
      </c>
      <c r="H92" s="351">
        <f>IF($E92="DIRECT",$L92,VLOOKUP($E92,Ratio,2,FALSE)*$G92)</f>
        <v>0</v>
      </c>
      <c r="I92" s="351">
        <f>IF($E92="DIRECT",$M92,VLOOKUP($E92,Ratio,3,FALSE)*$G92)</f>
        <v>3106285</v>
      </c>
      <c r="J92" s="381">
        <f>IF($E92="DIRECT",$N92,VLOOKUP($E92,Ratio,4,FALSE)*$G92)</f>
        <v>0</v>
      </c>
      <c r="K92" s="34"/>
      <c r="L92" s="351"/>
      <c r="M92" s="351">
        <f>+G92</f>
        <v>3106285</v>
      </c>
      <c r="N92" s="381"/>
      <c r="O92" s="38"/>
    </row>
    <row r="93" spans="1:15" ht="15" customHeight="1">
      <c r="A93" s="237"/>
      <c r="B93" s="120" t="s">
        <v>14</v>
      </c>
      <c r="C93" s="696"/>
      <c r="D93" s="681"/>
      <c r="E93" s="681"/>
      <c r="F93" s="682"/>
      <c r="G93" s="697">
        <f>SUM(G87:G92)</f>
        <v>62700703</v>
      </c>
      <c r="H93" s="697">
        <f>SUM(H87:H92)</f>
        <v>126167.57</v>
      </c>
      <c r="I93" s="697">
        <f>SUM(I87:I92)</f>
        <v>24410562.41</v>
      </c>
      <c r="J93" s="698">
        <f>SUM(J87:J92)</f>
        <v>38163972.95</v>
      </c>
      <c r="K93" s="37"/>
      <c r="L93" s="37"/>
      <c r="M93" s="14"/>
      <c r="N93" s="14"/>
      <c r="O93" s="14"/>
    </row>
    <row r="94" spans="1:15" ht="15" customHeight="1">
      <c r="A94" s="237"/>
      <c r="B94" s="120"/>
      <c r="C94" s="130"/>
      <c r="D94" s="130"/>
      <c r="E94" s="130"/>
      <c r="F94" s="130"/>
      <c r="G94" s="481"/>
      <c r="H94" s="481"/>
      <c r="I94" s="481"/>
      <c r="J94" s="482"/>
      <c r="K94" s="37"/>
      <c r="L94" s="37"/>
      <c r="M94" s="14"/>
      <c r="N94" s="14"/>
      <c r="O94" s="14"/>
    </row>
    <row r="95" spans="1:15" ht="15" customHeight="1">
      <c r="A95" s="390" t="s">
        <v>314</v>
      </c>
      <c r="B95" s="128"/>
      <c r="C95" s="129"/>
      <c r="D95" s="83"/>
      <c r="E95" s="83"/>
      <c r="F95" s="83"/>
      <c r="G95" s="483"/>
      <c r="H95" s="483"/>
      <c r="I95" s="483"/>
      <c r="J95" s="484"/>
      <c r="K95" s="37"/>
      <c r="L95" s="37"/>
      <c r="M95" s="14"/>
      <c r="N95" s="14"/>
      <c r="O95" s="14"/>
    </row>
    <row r="96" spans="1:15" ht="15" customHeight="1">
      <c r="A96" s="237"/>
      <c r="B96" s="84" t="s">
        <v>161</v>
      </c>
      <c r="C96" s="261" t="s">
        <v>113</v>
      </c>
      <c r="D96" s="261">
        <v>123</v>
      </c>
      <c r="E96" s="266" t="s">
        <v>2</v>
      </c>
      <c r="F96" s="266" t="s">
        <v>392</v>
      </c>
      <c r="G96" s="480"/>
      <c r="H96" s="351">
        <f>IF($E96="DIRECT",$L96,VLOOKUP($E96,Ratio,2,FALSE)*$G96)</f>
        <v>0</v>
      </c>
      <c r="I96" s="351">
        <f>IF($E96="DIRECT",$M96,VLOOKUP($E96,Ratio,3,FALSE)*$G96)</f>
        <v>0</v>
      </c>
      <c r="J96" s="381">
        <f>IF($E96="DIRECT",$N96,VLOOKUP($E96,Ratio,4,FALSE)*$G96)</f>
        <v>0</v>
      </c>
      <c r="K96" s="37"/>
      <c r="L96" s="351"/>
      <c r="M96" s="351"/>
      <c r="N96" s="381"/>
      <c r="O96" s="14"/>
    </row>
    <row r="97" spans="1:15" ht="15" customHeight="1">
      <c r="A97" s="237"/>
      <c r="B97" s="91" t="s">
        <v>55</v>
      </c>
      <c r="C97" s="261" t="s">
        <v>113</v>
      </c>
      <c r="D97" s="261">
        <v>124</v>
      </c>
      <c r="E97" s="266" t="s">
        <v>392</v>
      </c>
      <c r="F97" s="266"/>
      <c r="G97" s="480"/>
      <c r="H97" s="351">
        <f>VLOOKUP($E97,Ratio,2,FALSE)*$G97</f>
        <v>0</v>
      </c>
      <c r="I97" s="351">
        <f>VLOOKUP($E97,Ratio,3,FALSE)*$G97</f>
        <v>0</v>
      </c>
      <c r="J97" s="381">
        <f>VLOOKUP($E97,Ratio,4,FALSE)*$G97</f>
        <v>0</v>
      </c>
      <c r="K97" s="37"/>
      <c r="L97" s="37"/>
      <c r="M97" s="14"/>
      <c r="N97" s="14"/>
      <c r="O97" s="14"/>
    </row>
    <row r="98" spans="1:15" ht="15" customHeight="1">
      <c r="A98" s="237"/>
      <c r="B98" s="92" t="s">
        <v>202</v>
      </c>
      <c r="C98" s="261" t="s">
        <v>113</v>
      </c>
      <c r="D98" s="261">
        <v>175</v>
      </c>
      <c r="E98" s="266" t="s">
        <v>392</v>
      </c>
      <c r="F98" s="266"/>
      <c r="G98" s="480"/>
      <c r="H98" s="351">
        <f>VLOOKUP($E98,Ratio,2,FALSE)*$G98</f>
        <v>0</v>
      </c>
      <c r="I98" s="351">
        <f>VLOOKUP($E98,Ratio,3,FALSE)*$G98</f>
        <v>0</v>
      </c>
      <c r="J98" s="381">
        <f>VLOOKUP($E98,Ratio,4,FALSE)*$G98</f>
        <v>0</v>
      </c>
      <c r="K98" s="37"/>
      <c r="L98" s="37"/>
      <c r="M98" s="14"/>
      <c r="N98" s="14"/>
      <c r="O98" s="14"/>
    </row>
    <row r="99" spans="1:15" ht="15" customHeight="1">
      <c r="A99" s="237"/>
      <c r="B99" s="92" t="s">
        <v>372</v>
      </c>
      <c r="C99" s="261" t="s">
        <v>113</v>
      </c>
      <c r="D99" s="261">
        <v>176</v>
      </c>
      <c r="E99" s="266" t="s">
        <v>392</v>
      </c>
      <c r="F99" s="266"/>
      <c r="G99" s="480"/>
      <c r="H99" s="351">
        <f>VLOOKUP($E99,Ratio,2,FALSE)*$G99</f>
        <v>0</v>
      </c>
      <c r="I99" s="351">
        <f>VLOOKUP($E99,Ratio,3,FALSE)*$G99</f>
        <v>0</v>
      </c>
      <c r="J99" s="381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7"/>
      <c r="B100" s="120" t="s">
        <v>14</v>
      </c>
      <c r="C100" s="696"/>
      <c r="D100" s="681"/>
      <c r="E100" s="681"/>
      <c r="F100" s="682"/>
      <c r="G100" s="697">
        <f>SUM(G96:G99)</f>
        <v>0</v>
      </c>
      <c r="H100" s="697">
        <f>SUM(H96:H99)</f>
        <v>0</v>
      </c>
      <c r="I100" s="697">
        <f>SUM(I96:I99)</f>
        <v>0</v>
      </c>
      <c r="J100" s="698">
        <f>SUM(J96:J99)</f>
        <v>0</v>
      </c>
      <c r="K100" s="37"/>
      <c r="L100" s="37"/>
      <c r="M100" s="14"/>
      <c r="N100" s="14"/>
      <c r="O100" s="14"/>
    </row>
    <row r="101" spans="1:15" ht="15" customHeight="1">
      <c r="A101" s="237"/>
      <c r="B101" s="120"/>
      <c r="C101" s="130"/>
      <c r="D101" s="130"/>
      <c r="E101" s="130"/>
      <c r="F101" s="130"/>
      <c r="G101" s="481"/>
      <c r="H101" s="481"/>
      <c r="I101" s="481"/>
      <c r="J101" s="482"/>
      <c r="K101" s="37"/>
      <c r="L101" s="37"/>
      <c r="M101" s="14"/>
      <c r="N101" s="14"/>
      <c r="O101" s="14"/>
    </row>
    <row r="102" spans="1:15" s="12" customFormat="1" ht="15" customHeight="1">
      <c r="A102" s="389" t="s">
        <v>404</v>
      </c>
      <c r="B102" s="131"/>
      <c r="C102" s="129"/>
      <c r="D102" s="83"/>
      <c r="E102" s="83"/>
      <c r="F102" s="83"/>
      <c r="G102" s="558"/>
      <c r="H102" s="558"/>
      <c r="I102" s="558"/>
      <c r="J102" s="559"/>
      <c r="K102" s="34"/>
      <c r="L102" s="34"/>
      <c r="M102" s="38"/>
      <c r="N102" s="38"/>
      <c r="O102" s="38"/>
    </row>
    <row r="103" spans="1:15" ht="15" customHeight="1">
      <c r="A103" s="237"/>
      <c r="B103" s="91" t="s">
        <v>153</v>
      </c>
      <c r="C103" s="261" t="s">
        <v>113</v>
      </c>
      <c r="D103" s="261">
        <v>151</v>
      </c>
      <c r="E103" s="266" t="s">
        <v>394</v>
      </c>
      <c r="F103" s="266"/>
      <c r="G103" s="829">
        <v>290330</v>
      </c>
      <c r="H103" s="351">
        <f aca="true" t="shared" si="6" ref="H103:H115">VLOOKUP($E103,Ratio,2,FALSE)*$G103</f>
        <v>290330</v>
      </c>
      <c r="I103" s="351">
        <f aca="true" t="shared" si="7" ref="I103:I115">VLOOKUP($E103,Ratio,3,FALSE)*$G103</f>
        <v>0</v>
      </c>
      <c r="J103" s="381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7"/>
      <c r="B104" s="92" t="s">
        <v>203</v>
      </c>
      <c r="C104" s="261" t="s">
        <v>113</v>
      </c>
      <c r="D104" s="261">
        <v>152</v>
      </c>
      <c r="E104" s="266" t="s">
        <v>394</v>
      </c>
      <c r="F104" s="266"/>
      <c r="G104" s="829"/>
      <c r="H104" s="351">
        <f t="shared" si="6"/>
        <v>0</v>
      </c>
      <c r="I104" s="351">
        <f t="shared" si="7"/>
        <v>0</v>
      </c>
      <c r="J104" s="381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7"/>
      <c r="B105" s="91" t="s">
        <v>114</v>
      </c>
      <c r="C105" s="261" t="s">
        <v>113</v>
      </c>
      <c r="D105" s="261">
        <v>154</v>
      </c>
      <c r="E105" s="266" t="s">
        <v>11</v>
      </c>
      <c r="F105" s="266"/>
      <c r="G105" s="829">
        <v>8843078</v>
      </c>
      <c r="H105" s="351">
        <f t="shared" si="6"/>
        <v>18807.783730242107</v>
      </c>
      <c r="I105" s="351">
        <f t="shared" si="7"/>
        <v>3175825.9369537495</v>
      </c>
      <c r="J105" s="381">
        <f t="shared" si="8"/>
        <v>5648444.279316009</v>
      </c>
      <c r="K105" s="37"/>
      <c r="L105" s="37"/>
      <c r="M105" s="14"/>
      <c r="N105" s="14"/>
      <c r="O105" s="14"/>
    </row>
    <row r="106" spans="1:15" ht="15" customHeight="1">
      <c r="A106" s="237"/>
      <c r="B106" s="91" t="s">
        <v>352</v>
      </c>
      <c r="C106" s="261" t="s">
        <v>241</v>
      </c>
      <c r="D106" s="261">
        <v>155</v>
      </c>
      <c r="E106" s="266" t="s">
        <v>392</v>
      </c>
      <c r="F106" s="266"/>
      <c r="G106" s="480"/>
      <c r="H106" s="351">
        <f t="shared" si="6"/>
        <v>0</v>
      </c>
      <c r="I106" s="351">
        <f t="shared" si="7"/>
        <v>0</v>
      </c>
      <c r="J106" s="381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7"/>
      <c r="B107" s="91" t="s">
        <v>353</v>
      </c>
      <c r="C107" s="261" t="s">
        <v>113</v>
      </c>
      <c r="D107" s="261">
        <v>156</v>
      </c>
      <c r="E107" s="266" t="s">
        <v>392</v>
      </c>
      <c r="F107" s="266"/>
      <c r="G107" s="480"/>
      <c r="H107" s="351">
        <f t="shared" si="6"/>
        <v>0</v>
      </c>
      <c r="I107" s="351">
        <f t="shared" si="7"/>
        <v>0</v>
      </c>
      <c r="J107" s="381">
        <f t="shared" si="8"/>
        <v>0</v>
      </c>
      <c r="K107" s="37"/>
      <c r="L107" s="37"/>
      <c r="M107" s="14"/>
      <c r="N107" s="14"/>
      <c r="O107" s="14"/>
    </row>
    <row r="108" spans="1:15" ht="15" customHeight="1">
      <c r="A108" s="237"/>
      <c r="B108" s="91" t="s">
        <v>354</v>
      </c>
      <c r="C108" s="261" t="s">
        <v>241</v>
      </c>
      <c r="D108" s="261">
        <v>158.1</v>
      </c>
      <c r="E108" s="266" t="s">
        <v>394</v>
      </c>
      <c r="F108" s="266"/>
      <c r="G108" s="480"/>
      <c r="H108" s="351">
        <f t="shared" si="6"/>
        <v>0</v>
      </c>
      <c r="I108" s="351">
        <f t="shared" si="7"/>
        <v>0</v>
      </c>
      <c r="J108" s="381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7"/>
      <c r="B109" s="91" t="s">
        <v>405</v>
      </c>
      <c r="C109" s="261" t="s">
        <v>241</v>
      </c>
      <c r="D109" s="261">
        <v>158.2</v>
      </c>
      <c r="E109" s="266" t="s">
        <v>394</v>
      </c>
      <c r="F109" s="266"/>
      <c r="G109" s="480"/>
      <c r="H109" s="351">
        <f t="shared" si="6"/>
        <v>0</v>
      </c>
      <c r="I109" s="351">
        <f t="shared" si="7"/>
        <v>0</v>
      </c>
      <c r="J109" s="381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7"/>
      <c r="B110" s="91" t="s">
        <v>90</v>
      </c>
      <c r="C110" s="261" t="s">
        <v>113</v>
      </c>
      <c r="D110" s="261">
        <v>163</v>
      </c>
      <c r="E110" s="266" t="s">
        <v>11</v>
      </c>
      <c r="F110" s="266"/>
      <c r="G110" s="480"/>
      <c r="H110" s="351">
        <f t="shared" si="6"/>
        <v>0</v>
      </c>
      <c r="I110" s="351">
        <f t="shared" si="7"/>
        <v>0</v>
      </c>
      <c r="J110" s="381">
        <f t="shared" si="8"/>
        <v>0</v>
      </c>
      <c r="K110" s="37"/>
      <c r="L110" s="37"/>
      <c r="M110" s="14"/>
      <c r="N110" s="14"/>
      <c r="O110" s="14"/>
    </row>
    <row r="111" spans="1:15" ht="15" customHeight="1">
      <c r="A111" s="237"/>
      <c r="B111" s="91" t="s">
        <v>204</v>
      </c>
      <c r="C111" s="261" t="s">
        <v>113</v>
      </c>
      <c r="D111" s="261">
        <v>165</v>
      </c>
      <c r="E111" s="266" t="s">
        <v>11</v>
      </c>
      <c r="F111" s="266"/>
      <c r="G111" s="480"/>
      <c r="H111" s="351">
        <f t="shared" si="6"/>
        <v>0</v>
      </c>
      <c r="I111" s="351">
        <f t="shared" si="7"/>
        <v>0</v>
      </c>
      <c r="J111" s="381">
        <f t="shared" si="8"/>
        <v>0</v>
      </c>
      <c r="K111" s="34"/>
      <c r="L111" s="34"/>
      <c r="M111" s="14"/>
      <c r="N111" s="14"/>
      <c r="O111" s="14"/>
    </row>
    <row r="112" spans="1:15" ht="15" customHeight="1">
      <c r="A112" s="237"/>
      <c r="B112" s="92" t="s">
        <v>205</v>
      </c>
      <c r="C112" s="261" t="s">
        <v>113</v>
      </c>
      <c r="D112" s="261">
        <v>175</v>
      </c>
      <c r="E112" s="266" t="s">
        <v>392</v>
      </c>
      <c r="F112" s="266"/>
      <c r="G112" s="480"/>
      <c r="H112" s="351">
        <f t="shared" si="6"/>
        <v>0</v>
      </c>
      <c r="I112" s="351">
        <f t="shared" si="7"/>
        <v>0</v>
      </c>
      <c r="J112" s="381">
        <f t="shared" si="8"/>
        <v>0</v>
      </c>
      <c r="K112" s="34"/>
      <c r="L112" s="34"/>
      <c r="M112" s="14"/>
      <c r="N112" s="14"/>
      <c r="O112" s="14"/>
    </row>
    <row r="113" spans="1:15" ht="15" customHeight="1">
      <c r="A113" s="237"/>
      <c r="B113" s="206" t="s">
        <v>411</v>
      </c>
      <c r="C113" s="261" t="s">
        <v>241</v>
      </c>
      <c r="D113" s="261">
        <v>175</v>
      </c>
      <c r="E113" s="266" t="s">
        <v>392</v>
      </c>
      <c r="F113" s="266"/>
      <c r="G113" s="480"/>
      <c r="H113" s="351">
        <f t="shared" si="6"/>
        <v>0</v>
      </c>
      <c r="I113" s="351">
        <f t="shared" si="7"/>
        <v>0</v>
      </c>
      <c r="J113" s="381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7"/>
      <c r="B114" s="92" t="s">
        <v>331</v>
      </c>
      <c r="C114" s="142" t="s">
        <v>113</v>
      </c>
      <c r="D114" s="142">
        <v>176</v>
      </c>
      <c r="E114" s="353" t="s">
        <v>392</v>
      </c>
      <c r="F114" s="266"/>
      <c r="G114" s="480"/>
      <c r="H114" s="351">
        <f t="shared" si="6"/>
        <v>0</v>
      </c>
      <c r="I114" s="351">
        <f t="shared" si="7"/>
        <v>0</v>
      </c>
      <c r="J114" s="381">
        <f t="shared" si="8"/>
        <v>0</v>
      </c>
      <c r="K114" s="37"/>
      <c r="L114" s="37"/>
      <c r="M114" s="14"/>
      <c r="N114" s="14"/>
      <c r="O114" s="14"/>
    </row>
    <row r="115" spans="1:15" ht="15" customHeight="1">
      <c r="A115" s="237"/>
      <c r="B115" s="206" t="s">
        <v>461</v>
      </c>
      <c r="C115" s="142" t="s">
        <v>241</v>
      </c>
      <c r="D115" s="142">
        <v>176</v>
      </c>
      <c r="E115" s="353" t="s">
        <v>392</v>
      </c>
      <c r="F115" s="266"/>
      <c r="G115" s="480"/>
      <c r="H115" s="351">
        <f t="shared" si="6"/>
        <v>0</v>
      </c>
      <c r="I115" s="351">
        <f t="shared" si="7"/>
        <v>0</v>
      </c>
      <c r="J115" s="381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7"/>
      <c r="B116" s="120" t="s">
        <v>14</v>
      </c>
      <c r="C116" s="696"/>
      <c r="D116" s="681"/>
      <c r="E116" s="681"/>
      <c r="F116" s="682"/>
      <c r="G116" s="697">
        <f>SUM(G103:G112,G114)-G113-G115</f>
        <v>9133408</v>
      </c>
      <c r="H116" s="697">
        <f>SUM(H103:H112,H114)-H113-H115</f>
        <v>309137.7837302421</v>
      </c>
      <c r="I116" s="697">
        <f>SUM(I103:I112,I114)-I113-I115</f>
        <v>3175825.9369537495</v>
      </c>
      <c r="J116" s="698">
        <f>SUM(J103:J112,J114)-J113-J115</f>
        <v>5648444.279316009</v>
      </c>
      <c r="K116" s="37"/>
      <c r="L116" s="37"/>
      <c r="M116" s="14"/>
      <c r="N116" s="14"/>
      <c r="O116" s="14"/>
    </row>
    <row r="117" spans="1:15" ht="15" customHeight="1" thickBot="1">
      <c r="A117" s="400"/>
      <c r="B117" s="401"/>
      <c r="C117" s="402"/>
      <c r="D117" s="402"/>
      <c r="E117" s="402"/>
      <c r="F117" s="402"/>
      <c r="G117" s="485"/>
      <c r="H117" s="485"/>
      <c r="I117" s="485"/>
      <c r="J117" s="486"/>
      <c r="K117" s="37"/>
      <c r="L117" s="37"/>
      <c r="M117" s="14"/>
      <c r="N117" s="14"/>
      <c r="O117" s="14"/>
    </row>
    <row r="118" spans="1:15" ht="15" customHeight="1" thickTop="1">
      <c r="A118" s="389" t="s">
        <v>406</v>
      </c>
      <c r="B118" s="132"/>
      <c r="C118" s="129"/>
      <c r="D118" s="83"/>
      <c r="E118" s="83"/>
      <c r="F118" s="83"/>
      <c r="G118" s="487"/>
      <c r="H118" s="488"/>
      <c r="I118" s="488"/>
      <c r="J118" s="489"/>
      <c r="K118" s="37"/>
      <c r="L118" s="37"/>
      <c r="M118" s="14"/>
      <c r="N118" s="14"/>
      <c r="O118" s="14"/>
    </row>
    <row r="119" spans="1:15" ht="15" customHeight="1">
      <c r="A119" s="237"/>
      <c r="B119" s="92" t="s">
        <v>206</v>
      </c>
      <c r="C119" s="261" t="s">
        <v>113</v>
      </c>
      <c r="D119" s="261">
        <v>181</v>
      </c>
      <c r="E119" s="266" t="s">
        <v>18</v>
      </c>
      <c r="F119" s="266"/>
      <c r="G119" s="841">
        <v>7140595</v>
      </c>
      <c r="H119" s="351">
        <f>VLOOKUP($E119,Ratio,2,FALSE)*$G119</f>
        <v>14923.748812265503</v>
      </c>
      <c r="I119" s="351">
        <f>VLOOKUP($E119,Ratio,3,FALSE)*$G119</f>
        <v>2567952.792810361</v>
      </c>
      <c r="J119" s="381">
        <f>VLOOKUP($E119,Ratio,4,FALSE)*$G119</f>
        <v>4557718.458377373</v>
      </c>
      <c r="K119" s="37"/>
      <c r="L119" s="37"/>
      <c r="M119" s="14"/>
      <c r="N119" s="14"/>
      <c r="O119" s="14"/>
    </row>
    <row r="120" spans="1:15" ht="15" customHeight="1">
      <c r="A120" s="237"/>
      <c r="B120" s="92" t="s">
        <v>207</v>
      </c>
      <c r="C120" s="261" t="s">
        <v>113</v>
      </c>
      <c r="D120" s="261">
        <v>182.1</v>
      </c>
      <c r="E120" s="266" t="s">
        <v>2</v>
      </c>
      <c r="F120" s="266" t="s">
        <v>392</v>
      </c>
      <c r="G120" s="839"/>
      <c r="H120" s="351">
        <f>IF($E120="DIRECT",$L120,VLOOKUP($E120,Ratio,2,FALSE)*$G120)</f>
        <v>0</v>
      </c>
      <c r="I120" s="351">
        <f>IF($E120="DIRECT",$M120,VLOOKUP($E120,Ratio,3,FALSE)*$G120)</f>
        <v>0</v>
      </c>
      <c r="J120" s="381">
        <f>IF($E120="DIRECT",$N120,VLOOKUP($E120,Ratio,4,FALSE)*$G120)</f>
        <v>0</v>
      </c>
      <c r="K120" s="37"/>
      <c r="L120" s="351"/>
      <c r="M120" s="351"/>
      <c r="N120" s="381"/>
      <c r="O120" s="14"/>
    </row>
    <row r="121" spans="1:15" ht="15" customHeight="1">
      <c r="A121" s="237"/>
      <c r="B121" s="92" t="s">
        <v>208</v>
      </c>
      <c r="C121" s="261" t="s">
        <v>113</v>
      </c>
      <c r="D121" s="261">
        <v>182.2</v>
      </c>
      <c r="E121" s="266" t="s">
        <v>2</v>
      </c>
      <c r="F121" s="266" t="s">
        <v>392</v>
      </c>
      <c r="G121" s="839"/>
      <c r="H121" s="351">
        <f>IF($E121="DIRECT",$L121,VLOOKUP($E121,Ratio,2,FALSE)*$G121)</f>
        <v>0</v>
      </c>
      <c r="I121" s="351">
        <f>IF($E121="DIRECT",$M121,VLOOKUP($E121,Ratio,3,FALSE)*$G121)</f>
        <v>0</v>
      </c>
      <c r="J121" s="381">
        <f>IF($E121="DIRECT",$N121,VLOOKUP($E121,Ratio,4,FALSE)*$G121)</f>
        <v>0</v>
      </c>
      <c r="K121" s="37"/>
      <c r="L121" s="351"/>
      <c r="M121" s="351"/>
      <c r="N121" s="381"/>
      <c r="O121" s="14"/>
    </row>
    <row r="122" spans="1:15" s="12" customFormat="1" ht="15" customHeight="1">
      <c r="A122" s="237"/>
      <c r="B122" s="92" t="s">
        <v>209</v>
      </c>
      <c r="C122" s="261" t="s">
        <v>113</v>
      </c>
      <c r="D122" s="261">
        <v>182.3</v>
      </c>
      <c r="E122" s="266" t="s">
        <v>2</v>
      </c>
      <c r="F122" s="266" t="s">
        <v>392</v>
      </c>
      <c r="G122" s="839">
        <f>3707814+90336977</f>
        <v>94044791</v>
      </c>
      <c r="H122" s="351">
        <f>IF($E122="DIRECT",$L122,VLOOKUP($E122,Ratio,2,FALSE)*$G122)</f>
        <v>1748520.0499999998</v>
      </c>
      <c r="I122" s="351">
        <f>IF($E122="DIRECT",$M122,VLOOKUP($E122,Ratio,3,FALSE)*$G122)</f>
        <v>23847708.310000002</v>
      </c>
      <c r="J122" s="381">
        <f>IF($E122="DIRECT",$N122,VLOOKUP($E122,Ratio,4,FALSE)*$G122)</f>
        <v>68448562.92</v>
      </c>
      <c r="K122" s="34"/>
      <c r="L122" s="865">
        <f>+'[1]Functional Reg Assets'!$B$20</f>
        <v>1748520.0499999998</v>
      </c>
      <c r="M122" s="865">
        <f>+'[1]Functional Reg Assets'!$C$20</f>
        <v>23847708.310000002</v>
      </c>
      <c r="N122" s="865">
        <f>+'[1]Functional Reg Assets'!$D$20</f>
        <v>68448562.92</v>
      </c>
      <c r="O122" s="38"/>
    </row>
    <row r="123" spans="1:15" ht="15" customHeight="1">
      <c r="A123" s="237"/>
      <c r="B123" s="92" t="s">
        <v>410</v>
      </c>
      <c r="C123" s="261" t="s">
        <v>113</v>
      </c>
      <c r="D123" s="261">
        <v>183</v>
      </c>
      <c r="E123" s="266" t="s">
        <v>392</v>
      </c>
      <c r="F123" s="266"/>
      <c r="G123" s="841"/>
      <c r="H123" s="351">
        <f aca="true" t="shared" si="9" ref="H123:H132">VLOOKUP($E123,Ratio,2,FALSE)*$G123</f>
        <v>0</v>
      </c>
      <c r="I123" s="351">
        <f aca="true" t="shared" si="10" ref="I123:I132">VLOOKUP($E123,Ratio,3,FALSE)*$G123</f>
        <v>0</v>
      </c>
      <c r="J123" s="381">
        <f aca="true" t="shared" si="11" ref="J123:J132">VLOOKUP($E123,Ratio,4,FALSE)*$G123</f>
        <v>0</v>
      </c>
      <c r="K123" s="37"/>
      <c r="O123" s="14"/>
    </row>
    <row r="124" spans="1:15" ht="15" customHeight="1">
      <c r="A124" s="237"/>
      <c r="B124" s="92" t="s">
        <v>210</v>
      </c>
      <c r="C124" s="261" t="s">
        <v>113</v>
      </c>
      <c r="D124" s="261">
        <v>183.1</v>
      </c>
      <c r="E124" s="266" t="s">
        <v>392</v>
      </c>
      <c r="F124" s="266"/>
      <c r="G124" s="841"/>
      <c r="H124" s="351">
        <f t="shared" si="9"/>
        <v>0</v>
      </c>
      <c r="I124" s="351">
        <f t="shared" si="10"/>
        <v>0</v>
      </c>
      <c r="J124" s="381">
        <f t="shared" si="11"/>
        <v>0</v>
      </c>
      <c r="K124" s="37"/>
      <c r="L124" s="37"/>
      <c r="M124" s="14"/>
      <c r="N124" s="14"/>
      <c r="O124" s="14"/>
    </row>
    <row r="125" spans="1:15" ht="15" customHeight="1">
      <c r="A125" s="237"/>
      <c r="B125" s="92" t="s">
        <v>162</v>
      </c>
      <c r="C125" s="261" t="s">
        <v>113</v>
      </c>
      <c r="D125" s="261">
        <v>183.2</v>
      </c>
      <c r="E125" s="266" t="s">
        <v>392</v>
      </c>
      <c r="F125" s="266"/>
      <c r="G125" s="841"/>
      <c r="H125" s="351">
        <f t="shared" si="9"/>
        <v>0</v>
      </c>
      <c r="I125" s="351">
        <f t="shared" si="10"/>
        <v>0</v>
      </c>
      <c r="J125" s="381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7"/>
      <c r="B126" s="92" t="s">
        <v>211</v>
      </c>
      <c r="C126" s="261" t="s">
        <v>113</v>
      </c>
      <c r="D126" s="261">
        <v>184</v>
      </c>
      <c r="E126" s="266" t="s">
        <v>392</v>
      </c>
      <c r="F126" s="266"/>
      <c r="G126" s="841">
        <v>-78</v>
      </c>
      <c r="H126" s="351">
        <f t="shared" si="9"/>
        <v>0</v>
      </c>
      <c r="I126" s="351">
        <f t="shared" si="10"/>
        <v>0</v>
      </c>
      <c r="J126" s="381">
        <f t="shared" si="11"/>
        <v>-78</v>
      </c>
      <c r="K126" s="37"/>
      <c r="L126" s="37"/>
      <c r="M126" s="14"/>
      <c r="N126" s="14"/>
      <c r="O126" s="14"/>
    </row>
    <row r="127" spans="1:15" ht="15" customHeight="1">
      <c r="A127" s="237"/>
      <c r="B127" s="92" t="s">
        <v>212</v>
      </c>
      <c r="C127" s="261" t="s">
        <v>113</v>
      </c>
      <c r="D127" s="261">
        <v>185</v>
      </c>
      <c r="E127" s="266" t="s">
        <v>18</v>
      </c>
      <c r="F127" s="266"/>
      <c r="G127" s="841">
        <v>78</v>
      </c>
      <c r="H127" s="351">
        <f t="shared" si="9"/>
        <v>0.16301896513619793</v>
      </c>
      <c r="I127" s="351">
        <f t="shared" si="10"/>
        <v>28.050928226458463</v>
      </c>
      <c r="J127" s="381">
        <f t="shared" si="11"/>
        <v>49.786052808405344</v>
      </c>
      <c r="K127" s="37"/>
      <c r="L127" s="37"/>
      <c r="M127" s="14"/>
      <c r="N127" s="14"/>
      <c r="O127" s="14"/>
    </row>
    <row r="128" spans="1:15" s="12" customFormat="1" ht="15" customHeight="1">
      <c r="A128" s="237"/>
      <c r="B128" s="92" t="s">
        <v>213</v>
      </c>
      <c r="C128" s="261" t="s">
        <v>113</v>
      </c>
      <c r="D128" s="261">
        <v>186</v>
      </c>
      <c r="E128" s="266" t="s">
        <v>2</v>
      </c>
      <c r="F128" s="266" t="s">
        <v>392</v>
      </c>
      <c r="G128" s="844"/>
      <c r="H128" s="351">
        <f>IF($E128="DIRECT",$L128,VLOOKUP($E128,Ratio,2,FALSE)*$G128)</f>
        <v>0</v>
      </c>
      <c r="I128" s="351">
        <f>IF($E128="DIRECT",$M128,VLOOKUP($E128,Ratio,3,FALSE)*$G128)</f>
        <v>0</v>
      </c>
      <c r="J128" s="381">
        <f>IF($E128="DIRECT",$N128,VLOOKUP($E128,Ratio,4,FALSE)*$G128)</f>
        <v>0</v>
      </c>
      <c r="K128" s="34"/>
      <c r="L128" s="351"/>
      <c r="M128" s="351"/>
      <c r="N128" s="381"/>
      <c r="O128" s="38"/>
    </row>
    <row r="129" spans="1:15" ht="15" customHeight="1">
      <c r="A129" s="237"/>
      <c r="B129" s="92" t="s">
        <v>214</v>
      </c>
      <c r="C129" s="261" t="s">
        <v>113</v>
      </c>
      <c r="D129" s="261">
        <v>187</v>
      </c>
      <c r="E129" s="266" t="s">
        <v>2</v>
      </c>
      <c r="F129" s="266" t="s">
        <v>2</v>
      </c>
      <c r="G129" s="844"/>
      <c r="H129" s="351"/>
      <c r="I129" s="351"/>
      <c r="J129" s="381"/>
      <c r="K129" s="37"/>
      <c r="L129" s="37"/>
      <c r="M129" s="14"/>
      <c r="N129" s="14"/>
      <c r="O129" s="14"/>
    </row>
    <row r="130" spans="1:15" ht="15" customHeight="1">
      <c r="A130" s="237"/>
      <c r="B130" s="92" t="s">
        <v>215</v>
      </c>
      <c r="C130" s="261" t="s">
        <v>113</v>
      </c>
      <c r="D130" s="261">
        <v>188</v>
      </c>
      <c r="E130" s="266" t="s">
        <v>392</v>
      </c>
      <c r="F130" s="266"/>
      <c r="G130" s="480"/>
      <c r="H130" s="351">
        <f t="shared" si="9"/>
        <v>0</v>
      </c>
      <c r="I130" s="351">
        <f t="shared" si="10"/>
        <v>0</v>
      </c>
      <c r="J130" s="381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7"/>
      <c r="B131" s="92" t="s">
        <v>216</v>
      </c>
      <c r="C131" s="261" t="s">
        <v>113</v>
      </c>
      <c r="D131" s="261">
        <v>189</v>
      </c>
      <c r="E131" s="266" t="s">
        <v>18</v>
      </c>
      <c r="F131" s="266"/>
      <c r="G131" s="841">
        <v>2934065</v>
      </c>
      <c r="H131" s="351">
        <f t="shared" si="9"/>
        <v>6132.156922337675</v>
      </c>
      <c r="I131" s="351">
        <f t="shared" si="10"/>
        <v>1055169.8298303057</v>
      </c>
      <c r="J131" s="381">
        <f t="shared" si="11"/>
        <v>1872763.0132473568</v>
      </c>
      <c r="K131" s="37"/>
      <c r="L131" s="37"/>
      <c r="M131" s="14"/>
      <c r="N131" s="14"/>
      <c r="O131" s="14"/>
    </row>
    <row r="132" spans="1:15" ht="15" customHeight="1">
      <c r="A132" s="237"/>
      <c r="B132" s="92" t="s">
        <v>217</v>
      </c>
      <c r="C132" s="261" t="s">
        <v>113</v>
      </c>
      <c r="D132" s="261">
        <v>190</v>
      </c>
      <c r="E132" s="266" t="s">
        <v>392</v>
      </c>
      <c r="F132" s="266"/>
      <c r="G132" s="841">
        <v>-5381363</v>
      </c>
      <c r="H132" s="351">
        <f t="shared" si="9"/>
        <v>0</v>
      </c>
      <c r="I132" s="351">
        <f t="shared" si="10"/>
        <v>0</v>
      </c>
      <c r="J132" s="381">
        <f t="shared" si="11"/>
        <v>-5381363</v>
      </c>
      <c r="K132" s="34"/>
      <c r="L132" s="34"/>
      <c r="M132" s="14"/>
      <c r="N132" s="14"/>
      <c r="O132" s="14"/>
    </row>
    <row r="133" spans="1:15" ht="15" customHeight="1">
      <c r="A133" s="385"/>
      <c r="B133" s="120" t="s">
        <v>14</v>
      </c>
      <c r="C133" s="696"/>
      <c r="D133" s="681"/>
      <c r="E133" s="681"/>
      <c r="F133" s="682"/>
      <c r="G133" s="697">
        <f>SUM(G119:G132)</f>
        <v>98738088</v>
      </c>
      <c r="H133" s="697">
        <f>SUM(H119:H132)</f>
        <v>1769576.118753568</v>
      </c>
      <c r="I133" s="697">
        <f>SUM(I119:I132)</f>
        <v>27470858.9835689</v>
      </c>
      <c r="J133" s="698">
        <f>SUM(J119:J132)</f>
        <v>69497653.17767754</v>
      </c>
      <c r="K133" s="34"/>
      <c r="L133" s="34"/>
      <c r="M133" s="14"/>
      <c r="N133" s="14"/>
      <c r="O133" s="14"/>
    </row>
    <row r="134" spans="1:15" s="12" customFormat="1" ht="15" customHeight="1">
      <c r="A134" s="385"/>
      <c r="B134" s="103"/>
      <c r="C134" s="133"/>
      <c r="D134" s="52"/>
      <c r="E134" s="52"/>
      <c r="F134" s="52"/>
      <c r="G134" s="490"/>
      <c r="H134" s="554"/>
      <c r="I134" s="554"/>
      <c r="J134" s="555"/>
      <c r="K134" s="34"/>
      <c r="L134" s="34"/>
      <c r="M134" s="38"/>
      <c r="N134" s="38"/>
      <c r="O134" s="38"/>
    </row>
    <row r="135" spans="1:15" ht="15" customHeight="1">
      <c r="A135" s="300" t="s">
        <v>109</v>
      </c>
      <c r="B135" s="50"/>
      <c r="C135" s="696"/>
      <c r="D135" s="681"/>
      <c r="E135" s="681"/>
      <c r="F135" s="682"/>
      <c r="G135" s="697">
        <f>G84+G93+G100+G116+G133</f>
        <v>183807973.625</v>
      </c>
      <c r="H135" s="697">
        <f>H84+H93+H100+H116+H133</f>
        <v>3159213.4975874387</v>
      </c>
      <c r="I135" s="697">
        <f>I84+I93+I100+I116+I133</f>
        <v>58378720.164519906</v>
      </c>
      <c r="J135" s="698">
        <f>J84+J93+J100+J116+J133</f>
        <v>122270040.17289266</v>
      </c>
      <c r="K135" s="33"/>
      <c r="L135" s="34"/>
      <c r="M135" s="14"/>
      <c r="N135" s="14"/>
      <c r="O135" s="14"/>
    </row>
    <row r="136" spans="1:15" s="12" customFormat="1" ht="15" customHeight="1" thickBot="1">
      <c r="A136" s="249"/>
      <c r="B136" s="250"/>
      <c r="C136" s="251"/>
      <c r="D136" s="251"/>
      <c r="E136" s="275"/>
      <c r="F136" s="275"/>
      <c r="G136" s="562"/>
      <c r="H136" s="562"/>
      <c r="I136" s="562"/>
      <c r="J136" s="563"/>
      <c r="K136" s="33"/>
      <c r="L136" s="34"/>
      <c r="M136" s="38"/>
      <c r="N136" s="38"/>
      <c r="O136" s="38"/>
    </row>
    <row r="137" spans="1:15" ht="15" customHeight="1" thickTop="1">
      <c r="A137" s="305" t="s">
        <v>110</v>
      </c>
      <c r="B137" s="50"/>
      <c r="C137" s="10"/>
      <c r="D137" s="52"/>
      <c r="E137" s="52"/>
      <c r="F137" s="52"/>
      <c r="G137" s="204"/>
      <c r="H137" s="204"/>
      <c r="I137" s="204"/>
      <c r="J137" s="360"/>
      <c r="K137" s="33"/>
      <c r="L137" s="34"/>
      <c r="M137" s="14"/>
      <c r="N137" s="14"/>
      <c r="O137" s="14"/>
    </row>
    <row r="138" spans="1:15" ht="15" customHeight="1">
      <c r="A138" s="237"/>
      <c r="B138" s="90" t="s">
        <v>151</v>
      </c>
      <c r="C138" s="83"/>
      <c r="D138" s="119"/>
      <c r="E138" s="83"/>
      <c r="F138" s="83"/>
      <c r="G138" s="488"/>
      <c r="H138" s="488"/>
      <c r="I138" s="488"/>
      <c r="J138" s="489"/>
      <c r="K138" s="33"/>
      <c r="L138" s="34"/>
      <c r="M138" s="14"/>
      <c r="N138" s="14"/>
      <c r="O138" s="14"/>
    </row>
    <row r="139" spans="1:15" ht="15" customHeight="1">
      <c r="A139" s="237"/>
      <c r="B139" s="92" t="s">
        <v>329</v>
      </c>
      <c r="C139" s="261" t="s">
        <v>116</v>
      </c>
      <c r="D139" s="261">
        <v>244</v>
      </c>
      <c r="E139" s="266" t="s">
        <v>392</v>
      </c>
      <c r="F139" s="266"/>
      <c r="G139" s="480"/>
      <c r="H139" s="351">
        <f>VLOOKUP($E139,Ratio,2,FALSE)*$G139</f>
        <v>0</v>
      </c>
      <c r="I139" s="351">
        <f>VLOOKUP($E139,Ratio,3,FALSE)*$G139</f>
        <v>0</v>
      </c>
      <c r="J139" s="381">
        <f>VLOOKUP($E139,Ratio,4,FALSE)*$G139</f>
        <v>0</v>
      </c>
      <c r="K139" s="33"/>
      <c r="L139" s="34"/>
      <c r="M139" s="14"/>
      <c r="N139" s="14"/>
      <c r="O139" s="14"/>
    </row>
    <row r="140" spans="1:15" ht="15" customHeight="1">
      <c r="A140" s="237"/>
      <c r="B140" s="206" t="s">
        <v>347</v>
      </c>
      <c r="C140" s="261" t="s">
        <v>345</v>
      </c>
      <c r="D140" s="261">
        <v>244</v>
      </c>
      <c r="E140" s="266" t="s">
        <v>392</v>
      </c>
      <c r="F140" s="266"/>
      <c r="G140" s="480"/>
      <c r="H140" s="351">
        <f>VLOOKUP($E140,Ratio,2,FALSE)*$G140</f>
        <v>0</v>
      </c>
      <c r="I140" s="351">
        <f>VLOOKUP($E140,Ratio,3,FALSE)*$G140</f>
        <v>0</v>
      </c>
      <c r="J140" s="381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7"/>
      <c r="B141" s="92" t="s">
        <v>330</v>
      </c>
      <c r="C141" s="261" t="s">
        <v>373</v>
      </c>
      <c r="D141" s="261">
        <v>245</v>
      </c>
      <c r="E141" s="266" t="s">
        <v>392</v>
      </c>
      <c r="F141" s="266"/>
      <c r="G141" s="480"/>
      <c r="H141" s="351">
        <f>VLOOKUP($E141,Ratio,2,FALSE)*$G141</f>
        <v>0</v>
      </c>
      <c r="I141" s="351">
        <f>VLOOKUP($E141,Ratio,3,FALSE)*$G141</f>
        <v>0</v>
      </c>
      <c r="J141" s="381">
        <f>VLOOKUP($E141,Ratio,4,FALSE)*$G141</f>
        <v>0</v>
      </c>
      <c r="K141" s="33"/>
      <c r="L141" s="34"/>
      <c r="M141" s="14"/>
      <c r="N141" s="14"/>
      <c r="O141" s="14"/>
    </row>
    <row r="142" spans="1:15" ht="15" customHeight="1">
      <c r="A142" s="237"/>
      <c r="B142" s="206" t="s">
        <v>346</v>
      </c>
      <c r="C142" s="261" t="s">
        <v>345</v>
      </c>
      <c r="D142" s="261">
        <v>245</v>
      </c>
      <c r="E142" s="266" t="s">
        <v>392</v>
      </c>
      <c r="F142" s="266"/>
      <c r="G142" s="480"/>
      <c r="H142" s="351">
        <f>VLOOKUP($E142,Ratio,2,FALSE)*$G142</f>
        <v>0</v>
      </c>
      <c r="I142" s="351">
        <f>VLOOKUP($E142,Ratio,3,FALSE)*$G142</f>
        <v>0</v>
      </c>
      <c r="J142" s="381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7"/>
      <c r="B143" s="120" t="s">
        <v>14</v>
      </c>
      <c r="C143" s="696"/>
      <c r="D143" s="681"/>
      <c r="E143" s="681"/>
      <c r="F143" s="682"/>
      <c r="G143" s="697">
        <f>G139-G140+G141-G142</f>
        <v>0</v>
      </c>
      <c r="H143" s="697">
        <f>H139-H140+H141-H142</f>
        <v>0</v>
      </c>
      <c r="I143" s="697">
        <f>I139-I140+I141-I142</f>
        <v>0</v>
      </c>
      <c r="J143" s="698">
        <f>J139-J140+J141-J142</f>
        <v>0</v>
      </c>
      <c r="K143" s="33"/>
      <c r="L143" s="34"/>
      <c r="M143" s="14"/>
      <c r="N143" s="14"/>
      <c r="O143" s="14"/>
    </row>
    <row r="144" spans="1:15" ht="15" customHeight="1">
      <c r="A144" s="237"/>
      <c r="B144" s="90" t="s">
        <v>152</v>
      </c>
      <c r="C144" s="83"/>
      <c r="D144" s="119"/>
      <c r="E144" s="83"/>
      <c r="F144" s="83"/>
      <c r="G144" s="204"/>
      <c r="H144" s="488"/>
      <c r="I144" s="488"/>
      <c r="J144" s="489"/>
      <c r="K144" s="33"/>
      <c r="L144" s="34"/>
      <c r="M144" s="14"/>
      <c r="N144" s="14"/>
      <c r="O144" s="14"/>
    </row>
    <row r="145" spans="1:15" ht="15" customHeight="1">
      <c r="A145" s="237"/>
      <c r="B145" s="92" t="s">
        <v>374</v>
      </c>
      <c r="C145" s="261" t="s">
        <v>116</v>
      </c>
      <c r="D145" s="261">
        <v>244</v>
      </c>
      <c r="E145" s="266" t="s">
        <v>392</v>
      </c>
      <c r="F145" s="266"/>
      <c r="G145" s="844"/>
      <c r="H145" s="351">
        <f>VLOOKUP($E145,Ratio,2,FALSE)*$G145</f>
        <v>0</v>
      </c>
      <c r="I145" s="351">
        <f>VLOOKUP($E145,Ratio,3,FALSE)*$G145</f>
        <v>0</v>
      </c>
      <c r="J145" s="381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>
      <c r="A146" s="237"/>
      <c r="B146" s="92" t="s">
        <v>375</v>
      </c>
      <c r="C146" s="261" t="s">
        <v>345</v>
      </c>
      <c r="D146" s="261">
        <v>245</v>
      </c>
      <c r="E146" s="266" t="s">
        <v>392</v>
      </c>
      <c r="F146" s="266"/>
      <c r="G146" s="844"/>
      <c r="H146" s="351">
        <f>VLOOKUP($E146,Ratio,2,FALSE)*$G146</f>
        <v>0</v>
      </c>
      <c r="I146" s="351">
        <f>VLOOKUP($E146,Ratio,3,FALSE)*$G146</f>
        <v>0</v>
      </c>
      <c r="J146" s="381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7"/>
      <c r="B147" s="92" t="s">
        <v>218</v>
      </c>
      <c r="C147" s="261" t="s">
        <v>116</v>
      </c>
      <c r="D147" s="261">
        <v>252</v>
      </c>
      <c r="E147" s="266" t="s">
        <v>392</v>
      </c>
      <c r="F147" s="266"/>
      <c r="G147" s="841">
        <v>27216506</v>
      </c>
      <c r="H147" s="351">
        <f aca="true" t="shared" si="12" ref="H147:H155">VLOOKUP($E147,Ratio,2,FALSE)*$G147</f>
        <v>0</v>
      </c>
      <c r="I147" s="351">
        <f aca="true" t="shared" si="13" ref="I147:I155">VLOOKUP($E147,Ratio,3,FALSE)*$G147</f>
        <v>0</v>
      </c>
      <c r="J147" s="381">
        <f aca="true" t="shared" si="14" ref="J147:J155">VLOOKUP($E147,Ratio,4,FALSE)*$G147</f>
        <v>27216506</v>
      </c>
      <c r="K147" s="33"/>
      <c r="L147" s="34"/>
      <c r="M147" s="14"/>
      <c r="N147" s="14"/>
      <c r="O147" s="14"/>
    </row>
    <row r="148" spans="1:15" ht="15" customHeight="1">
      <c r="A148" s="237"/>
      <c r="B148" s="92" t="s">
        <v>221</v>
      </c>
      <c r="C148" s="261" t="s">
        <v>116</v>
      </c>
      <c r="D148" s="261">
        <v>253</v>
      </c>
      <c r="E148" s="266" t="s">
        <v>2</v>
      </c>
      <c r="F148" s="266" t="s">
        <v>392</v>
      </c>
      <c r="G148" s="839">
        <f>-'[1]Functional Reg Assets'!$E$28</f>
        <v>39191290</v>
      </c>
      <c r="H148" s="351">
        <f>IF($E148="DIRECT",$L148,VLOOKUP($E148,Ratio,2,FALSE)*$G148)</f>
        <v>573881.55</v>
      </c>
      <c r="I148" s="351">
        <f>IF($E148="DIRECT",$M148,VLOOKUP($E148,Ratio,3,FALSE)*$G148)</f>
        <v>11454074.91</v>
      </c>
      <c r="J148" s="381">
        <f>IF($E148="DIRECT",$N148,VLOOKUP($E148,Ratio,4,FALSE)*$G148)</f>
        <v>27163333.54</v>
      </c>
      <c r="K148" s="33"/>
      <c r="L148" s="865">
        <f>-'[1]Functional Reg Assets'!$B$28</f>
        <v>573881.55</v>
      </c>
      <c r="M148" s="865">
        <f>-'[1]Functional Reg Assets'!$C$28</f>
        <v>11454074.91</v>
      </c>
      <c r="N148" s="865">
        <f>-'[1]Functional Reg Assets'!$D$28</f>
        <v>27163333.54</v>
      </c>
      <c r="O148" s="14"/>
    </row>
    <row r="149" spans="1:15" ht="15" customHeight="1">
      <c r="A149" s="237"/>
      <c r="B149" s="92" t="s">
        <v>222</v>
      </c>
      <c r="C149" s="261" t="s">
        <v>116</v>
      </c>
      <c r="D149" s="261">
        <v>254</v>
      </c>
      <c r="E149" s="266" t="s">
        <v>2</v>
      </c>
      <c r="F149" s="266" t="s">
        <v>392</v>
      </c>
      <c r="G149" s="839">
        <f>+'[1]Functionalized Regulatory Liab'!$F$5</f>
        <v>594301</v>
      </c>
      <c r="H149" s="351">
        <f>IF($E149="DIRECT",$L149,VLOOKUP($E149,Ratio,2,FALSE)*$G149)</f>
        <v>0</v>
      </c>
      <c r="I149" s="351">
        <f>IF($E149="DIRECT",$M149,VLOOKUP($E149,Ratio,3,FALSE)*$G149)</f>
        <v>0</v>
      </c>
      <c r="J149" s="381">
        <f>IF($E149="DIRECT",$N149,VLOOKUP($E149,Ratio,4,FALSE)*$G149)</f>
        <v>594301</v>
      </c>
      <c r="K149" s="33"/>
      <c r="L149" s="351"/>
      <c r="M149" s="351"/>
      <c r="N149" s="866">
        <f>+'[1]Functionalized Regulatory Liab'!$E$5</f>
        <v>594301</v>
      </c>
      <c r="O149" s="14"/>
    </row>
    <row r="150" spans="1:15" ht="15" customHeight="1">
      <c r="A150" s="237"/>
      <c r="B150" s="92" t="s">
        <v>219</v>
      </c>
      <c r="C150" s="261" t="s">
        <v>116</v>
      </c>
      <c r="D150" s="261">
        <v>255</v>
      </c>
      <c r="E150" s="266" t="s">
        <v>392</v>
      </c>
      <c r="F150" s="266"/>
      <c r="G150" s="841"/>
      <c r="H150" s="351">
        <f t="shared" si="12"/>
        <v>0</v>
      </c>
      <c r="I150" s="351">
        <f t="shared" si="13"/>
        <v>0</v>
      </c>
      <c r="J150" s="381">
        <f t="shared" si="14"/>
        <v>0</v>
      </c>
      <c r="K150" s="33"/>
      <c r="L150" s="34"/>
      <c r="M150" s="14"/>
      <c r="N150" s="14"/>
      <c r="O150" s="14"/>
    </row>
    <row r="151" spans="1:15" ht="15" customHeight="1">
      <c r="A151" s="237"/>
      <c r="B151" s="92" t="s">
        <v>220</v>
      </c>
      <c r="C151" s="261" t="s">
        <v>116</v>
      </c>
      <c r="D151" s="261">
        <v>256</v>
      </c>
      <c r="E151" s="266" t="s">
        <v>2</v>
      </c>
      <c r="F151" s="266" t="s">
        <v>2</v>
      </c>
      <c r="G151" s="839"/>
      <c r="H151" s="351"/>
      <c r="I151" s="351"/>
      <c r="J151" s="381"/>
      <c r="K151" s="33"/>
      <c r="L151" s="34"/>
      <c r="M151" s="14"/>
      <c r="N151" s="14"/>
      <c r="O151" s="14"/>
    </row>
    <row r="152" spans="1:15" ht="15.75" customHeight="1">
      <c r="A152" s="237"/>
      <c r="B152" s="92" t="s">
        <v>223</v>
      </c>
      <c r="C152" s="261" t="s">
        <v>116</v>
      </c>
      <c r="D152" s="261">
        <v>257</v>
      </c>
      <c r="E152" s="266" t="s">
        <v>18</v>
      </c>
      <c r="F152" s="266"/>
      <c r="G152" s="841"/>
      <c r="H152" s="351">
        <f t="shared" si="12"/>
        <v>0</v>
      </c>
      <c r="I152" s="351">
        <f t="shared" si="13"/>
        <v>0</v>
      </c>
      <c r="J152" s="381">
        <f t="shared" si="14"/>
        <v>0</v>
      </c>
      <c r="K152" s="33"/>
      <c r="L152" s="34"/>
      <c r="M152" s="14"/>
      <c r="N152" s="14"/>
      <c r="O152" s="14"/>
    </row>
    <row r="153" spans="1:15" ht="15" customHeight="1">
      <c r="A153" s="237"/>
      <c r="B153" s="92" t="s">
        <v>227</v>
      </c>
      <c r="C153" s="261" t="s">
        <v>116</v>
      </c>
      <c r="D153" s="261">
        <v>281</v>
      </c>
      <c r="E153" s="266" t="s">
        <v>392</v>
      </c>
      <c r="F153" s="266"/>
      <c r="G153" s="841"/>
      <c r="H153" s="351">
        <f t="shared" si="12"/>
        <v>0</v>
      </c>
      <c r="I153" s="351">
        <f t="shared" si="13"/>
        <v>0</v>
      </c>
      <c r="J153" s="381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7"/>
      <c r="B154" s="92" t="s">
        <v>228</v>
      </c>
      <c r="C154" s="261" t="s">
        <v>116</v>
      </c>
      <c r="D154" s="261">
        <v>282</v>
      </c>
      <c r="E154" s="266" t="s">
        <v>392</v>
      </c>
      <c r="F154" s="266"/>
      <c r="G154" s="841">
        <v>62929457</v>
      </c>
      <c r="H154" s="351">
        <f t="shared" si="12"/>
        <v>0</v>
      </c>
      <c r="I154" s="351">
        <f t="shared" si="13"/>
        <v>0</v>
      </c>
      <c r="J154" s="381">
        <f t="shared" si="14"/>
        <v>62929457</v>
      </c>
      <c r="K154" s="33"/>
      <c r="L154" s="34"/>
      <c r="M154" s="14"/>
      <c r="N154" s="14"/>
      <c r="O154" s="14"/>
    </row>
    <row r="155" spans="1:15" ht="15" customHeight="1">
      <c r="A155" s="237"/>
      <c r="B155" s="92" t="s">
        <v>229</v>
      </c>
      <c r="C155" s="261" t="s">
        <v>116</v>
      </c>
      <c r="D155" s="261">
        <v>283</v>
      </c>
      <c r="E155" s="266" t="s">
        <v>392</v>
      </c>
      <c r="F155" s="266"/>
      <c r="G155" s="841">
        <v>11292426</v>
      </c>
      <c r="H155" s="351">
        <f t="shared" si="12"/>
        <v>0</v>
      </c>
      <c r="I155" s="351">
        <f t="shared" si="13"/>
        <v>0</v>
      </c>
      <c r="J155" s="381">
        <f t="shared" si="14"/>
        <v>11292426</v>
      </c>
      <c r="K155" s="33"/>
      <c r="L155" s="34"/>
      <c r="M155" s="14"/>
      <c r="N155" s="14"/>
      <c r="O155" s="14"/>
    </row>
    <row r="156" spans="1:15" ht="15" customHeight="1">
      <c r="A156" s="237"/>
      <c r="B156" s="120" t="s">
        <v>14</v>
      </c>
      <c r="C156" s="696"/>
      <c r="D156" s="681"/>
      <c r="E156" s="681"/>
      <c r="F156" s="682"/>
      <c r="G156" s="697">
        <f>SUM(G145:G155)</f>
        <v>141223980</v>
      </c>
      <c r="H156" s="697">
        <f>SUM(H145:H155)</f>
        <v>573881.55</v>
      </c>
      <c r="I156" s="697">
        <f>SUM(I145:I155)</f>
        <v>11454074.91</v>
      </c>
      <c r="J156" s="698">
        <f>SUM(J145:J155)</f>
        <v>129196023.53999999</v>
      </c>
      <c r="K156" s="33"/>
      <c r="L156" s="34"/>
      <c r="M156" s="14"/>
      <c r="N156" s="14"/>
      <c r="O156" s="14"/>
    </row>
    <row r="157" spans="1:15" ht="15" customHeight="1">
      <c r="A157" s="237"/>
      <c r="B157" s="104"/>
      <c r="C157" s="52"/>
      <c r="D157" s="134"/>
      <c r="E157" s="52"/>
      <c r="F157" s="52"/>
      <c r="G157" s="564"/>
      <c r="H157" s="565"/>
      <c r="I157" s="565"/>
      <c r="J157" s="566"/>
      <c r="K157" s="33"/>
      <c r="L157" s="34"/>
      <c r="M157" s="14"/>
      <c r="N157" s="14"/>
      <c r="O157" s="14"/>
    </row>
    <row r="158" spans="1:15" ht="15" customHeight="1">
      <c r="A158" s="300" t="s">
        <v>108</v>
      </c>
      <c r="B158" s="50"/>
      <c r="C158" s="696"/>
      <c r="D158" s="681"/>
      <c r="E158" s="681"/>
      <c r="F158" s="682"/>
      <c r="G158" s="697">
        <f>+G156+G143</f>
        <v>141223980</v>
      </c>
      <c r="H158" s="697">
        <f>+H156+H143</f>
        <v>573881.55</v>
      </c>
      <c r="I158" s="697">
        <f>+I156+I143</f>
        <v>11454074.91</v>
      </c>
      <c r="J158" s="698">
        <f>+J156+J143</f>
        <v>129196023.53999999</v>
      </c>
      <c r="K158" s="56"/>
      <c r="L158" s="33"/>
      <c r="M158" s="14"/>
      <c r="N158" s="14"/>
      <c r="O158" s="14"/>
    </row>
    <row r="159" spans="1:15" ht="15" customHeight="1">
      <c r="A159" s="391"/>
      <c r="B159" s="50"/>
      <c r="C159" s="10"/>
      <c r="D159" s="10"/>
      <c r="E159" s="10"/>
      <c r="F159" s="10"/>
      <c r="G159" s="205"/>
      <c r="H159" s="205"/>
      <c r="I159" s="205"/>
      <c r="J159" s="361"/>
      <c r="K159" s="56"/>
      <c r="L159" s="33"/>
      <c r="M159" s="14"/>
      <c r="N159" s="14"/>
      <c r="O159" s="14"/>
    </row>
    <row r="160" spans="1:12" ht="15" customHeight="1">
      <c r="A160" s="246"/>
      <c r="B160" s="104"/>
      <c r="C160" s="134"/>
      <c r="D160" s="134"/>
      <c r="E160" s="131"/>
      <c r="F160" s="131"/>
      <c r="G160" s="491"/>
      <c r="H160" s="491"/>
      <c r="I160" s="491"/>
      <c r="J160" s="492"/>
      <c r="K160" s="56"/>
      <c r="L160" s="12"/>
    </row>
    <row r="161" spans="1:15" ht="15" customHeight="1">
      <c r="A161" s="248" t="s">
        <v>56</v>
      </c>
      <c r="B161" s="50"/>
      <c r="C161" s="699"/>
      <c r="D161" s="700"/>
      <c r="E161" s="700"/>
      <c r="F161" s="701"/>
      <c r="G161" s="702">
        <f>G79+G135-G158</f>
        <v>749787877.625</v>
      </c>
      <c r="H161" s="702">
        <f>H79+H135-H158</f>
        <v>3273860.2643525423</v>
      </c>
      <c r="I161" s="702">
        <f>I79+I135-I158</f>
        <v>312350399.0897563</v>
      </c>
      <c r="J161" s="703">
        <f>J79+J135-J158</f>
        <v>434163618.1508912</v>
      </c>
      <c r="K161" s="56"/>
      <c r="L161" s="59"/>
      <c r="M161" s="14"/>
      <c r="N161" s="14"/>
      <c r="O161" s="14"/>
    </row>
    <row r="162" spans="1:13" ht="15" customHeight="1">
      <c r="A162" s="324" t="s">
        <v>118</v>
      </c>
      <c r="B162" s="49"/>
      <c r="C162" s="43"/>
      <c r="D162" s="43"/>
      <c r="E162" s="43"/>
      <c r="F162" s="43"/>
      <c r="G162" s="60"/>
      <c r="H162" s="31"/>
      <c r="I162" s="47"/>
      <c r="J162" s="392"/>
      <c r="K162" s="14"/>
      <c r="L162" s="14"/>
      <c r="M162" s="14"/>
    </row>
    <row r="163" spans="1:13" ht="15" customHeight="1" thickBot="1">
      <c r="A163" s="393"/>
      <c r="B163" s="394"/>
      <c r="C163" s="395"/>
      <c r="D163" s="395"/>
      <c r="E163" s="395"/>
      <c r="F163" s="395"/>
      <c r="G163" s="396"/>
      <c r="H163" s="397"/>
      <c r="I163" s="398"/>
      <c r="J163" s="399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C84:F84"/>
    <mergeCell ref="A10:J10"/>
    <mergeCell ref="L12:L14"/>
    <mergeCell ref="M12:M14"/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fitToWidth="1" horizontalDpi="600" verticalDpi="600" orientation="landscape" scale="76" r:id="rId1"/>
  <headerFooter alignWithMargins="0"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88"/>
  <sheetViews>
    <sheetView view="pageBreakPreview" zoomScaleSheetLayoutView="100" workbookViewId="0" topLeftCell="B1">
      <selection activeCell="C5" sqref="C5:E7"/>
    </sheetView>
  </sheetViews>
  <sheetFormatPr defaultColWidth="9.00390625" defaultRowHeight="15.75"/>
  <cols>
    <col min="1" max="1" width="13.00390625" style="113" bestFit="1" customWidth="1"/>
    <col min="2" max="2" width="54.625" style="107" customWidth="1"/>
    <col min="3" max="3" width="12.00390625" style="107" customWidth="1"/>
    <col min="4" max="5" width="13.25390625" style="108" bestFit="1" customWidth="1"/>
    <col min="6" max="6" width="12.125" style="108" bestFit="1" customWidth="1"/>
    <col min="7" max="7" width="13.625" style="108" customWidth="1"/>
    <col min="8" max="8" width="8.125" style="107" bestFit="1" customWidth="1"/>
    <col min="9" max="16384" width="8.00390625" style="107" customWidth="1"/>
  </cols>
  <sheetData>
    <row r="1" spans="1:7" ht="19.5" thickTop="1">
      <c r="A1" s="159" t="s">
        <v>89</v>
      </c>
      <c r="B1" s="160"/>
      <c r="C1" s="161"/>
      <c r="D1" s="162"/>
      <c r="E1" s="161"/>
      <c r="F1" s="178"/>
      <c r="G1" s="179"/>
    </row>
    <row r="2" spans="1:7" ht="15.75">
      <c r="A2" s="163" t="s">
        <v>91</v>
      </c>
      <c r="B2" s="135"/>
      <c r="C2" s="152"/>
      <c r="D2" s="156"/>
      <c r="E2" s="152"/>
      <c r="F2" s="180"/>
      <c r="G2" s="181"/>
    </row>
    <row r="3" spans="1:7" ht="15.75">
      <c r="A3" s="164" t="s">
        <v>400</v>
      </c>
      <c r="B3" s="136"/>
      <c r="C3" s="152"/>
      <c r="D3" s="156"/>
      <c r="E3" s="152"/>
      <c r="F3" s="180"/>
      <c r="G3" s="181"/>
    </row>
    <row r="4" spans="1:7" ht="7.5" customHeight="1" thickBot="1">
      <c r="A4" s="164"/>
      <c r="B4" s="136"/>
      <c r="C4" s="152"/>
      <c r="D4" s="156"/>
      <c r="E4" s="152"/>
      <c r="F4" s="180"/>
      <c r="G4" s="181"/>
    </row>
    <row r="5" spans="1:7" ht="15.75">
      <c r="A5" s="164"/>
      <c r="B5" s="711" t="s">
        <v>460</v>
      </c>
      <c r="C5" s="941" t="s">
        <v>583</v>
      </c>
      <c r="D5" s="942"/>
      <c r="E5" s="943"/>
      <c r="F5" s="180"/>
      <c r="G5" s="181"/>
    </row>
    <row r="6" spans="1:7" ht="15.75">
      <c r="A6" s="164"/>
      <c r="B6" s="711" t="s">
        <v>462</v>
      </c>
      <c r="C6" s="944">
        <v>39052</v>
      </c>
      <c r="D6" s="945"/>
      <c r="E6" s="946"/>
      <c r="F6" s="180"/>
      <c r="G6" s="181"/>
    </row>
    <row r="7" spans="1:7" ht="16.5" thickBot="1">
      <c r="A7" s="164"/>
      <c r="B7" s="711" t="s">
        <v>463</v>
      </c>
      <c r="C7" s="937">
        <v>39575</v>
      </c>
      <c r="D7" s="938"/>
      <c r="E7" s="939"/>
      <c r="F7" s="180"/>
      <c r="G7" s="181"/>
    </row>
    <row r="8" spans="1:7" ht="10.5" customHeight="1">
      <c r="A8" s="164"/>
      <c r="B8" s="136"/>
      <c r="C8" s="152"/>
      <c r="D8" s="156"/>
      <c r="E8" s="152"/>
      <c r="F8" s="180"/>
      <c r="G8" s="181"/>
    </row>
    <row r="9" spans="1:7" ht="19.5">
      <c r="A9" s="779" t="s">
        <v>332</v>
      </c>
      <c r="B9" s="778"/>
      <c r="C9" s="152"/>
      <c r="D9" s="156"/>
      <c r="E9" s="152"/>
      <c r="F9" s="180"/>
      <c r="G9" s="181"/>
    </row>
    <row r="10" spans="1:7" ht="5.25" customHeight="1" thickBot="1">
      <c r="A10" s="193"/>
      <c r="B10" s="194"/>
      <c r="C10" s="195"/>
      <c r="D10" s="196"/>
      <c r="E10" s="195"/>
      <c r="F10" s="197"/>
      <c r="G10" s="198"/>
    </row>
    <row r="11" spans="1:7" ht="15.75">
      <c r="A11" s="166"/>
      <c r="B11" s="167"/>
      <c r="C11" s="536"/>
      <c r="D11" s="168"/>
      <c r="E11" s="168"/>
      <c r="F11" s="168"/>
      <c r="G11" s="169"/>
    </row>
    <row r="12" spans="1:7" ht="18.75">
      <c r="A12" s="182" t="s">
        <v>285</v>
      </c>
      <c r="B12" s="188"/>
      <c r="C12" s="437" t="s">
        <v>289</v>
      </c>
      <c r="D12" s="438" t="s">
        <v>14</v>
      </c>
      <c r="E12" s="438" t="s">
        <v>15</v>
      </c>
      <c r="F12" s="438" t="s">
        <v>16</v>
      </c>
      <c r="G12" s="439" t="s">
        <v>280</v>
      </c>
    </row>
    <row r="13" spans="1:7" ht="15.75">
      <c r="A13" s="166"/>
      <c r="B13" s="167" t="s">
        <v>15</v>
      </c>
      <c r="C13" s="184" t="s">
        <v>394</v>
      </c>
      <c r="D13" s="185">
        <f>Salaries!D33</f>
        <v>541024</v>
      </c>
      <c r="E13" s="185">
        <f aca="true" t="shared" si="0" ref="E13:E19">VLOOKUP($C13,Ratio,2,FALSE)*$D13</f>
        <v>541024</v>
      </c>
      <c r="F13" s="185">
        <f aca="true" t="shared" si="1" ref="F13:F19">VLOOKUP($C13,Ratio,3,FALSE)*$D13</f>
        <v>0</v>
      </c>
      <c r="G13" s="190">
        <f aca="true" t="shared" si="2" ref="G13:G19">VLOOKUP($C13,Ratio,4,FALSE)*$D13</f>
        <v>0</v>
      </c>
    </row>
    <row r="14" spans="1:7" ht="15.75">
      <c r="A14" s="166"/>
      <c r="B14" s="167" t="s">
        <v>16</v>
      </c>
      <c r="C14" s="184" t="s">
        <v>393</v>
      </c>
      <c r="D14" s="186">
        <f>Salaries!D34</f>
        <v>5896616</v>
      </c>
      <c r="E14" s="186">
        <f t="shared" si="0"/>
        <v>0</v>
      </c>
      <c r="F14" s="186">
        <f t="shared" si="1"/>
        <v>5896616</v>
      </c>
      <c r="G14" s="187">
        <f t="shared" si="2"/>
        <v>0</v>
      </c>
    </row>
    <row r="15" spans="1:7" ht="15.75">
      <c r="A15" s="166"/>
      <c r="B15" s="167" t="s">
        <v>280</v>
      </c>
      <c r="C15" s="184" t="s">
        <v>392</v>
      </c>
      <c r="D15" s="186">
        <f>Salaries!D35</f>
        <v>13897532</v>
      </c>
      <c r="E15" s="186">
        <f t="shared" si="0"/>
        <v>0</v>
      </c>
      <c r="F15" s="186">
        <f t="shared" si="1"/>
        <v>0</v>
      </c>
      <c r="G15" s="187">
        <f t="shared" si="2"/>
        <v>13897532</v>
      </c>
    </row>
    <row r="16" spans="1:7" ht="15.75">
      <c r="A16" s="166"/>
      <c r="B16" s="167" t="s">
        <v>281</v>
      </c>
      <c r="C16" s="184" t="s">
        <v>392</v>
      </c>
      <c r="D16" s="186">
        <f>Salaries!D36</f>
        <v>2259154</v>
      </c>
      <c r="E16" s="186">
        <f t="shared" si="0"/>
        <v>0</v>
      </c>
      <c r="F16" s="186">
        <f t="shared" si="1"/>
        <v>0</v>
      </c>
      <c r="G16" s="187">
        <f t="shared" si="2"/>
        <v>2259154</v>
      </c>
    </row>
    <row r="17" spans="1:7" ht="15.75">
      <c r="A17" s="166"/>
      <c r="B17" s="167" t="s">
        <v>282</v>
      </c>
      <c r="C17" s="184" t="s">
        <v>392</v>
      </c>
      <c r="D17" s="186">
        <f>Salaries!D37</f>
        <v>2168867</v>
      </c>
      <c r="E17" s="186">
        <f t="shared" si="0"/>
        <v>0</v>
      </c>
      <c r="F17" s="186">
        <f t="shared" si="1"/>
        <v>0</v>
      </c>
      <c r="G17" s="187">
        <f t="shared" si="2"/>
        <v>2168867</v>
      </c>
    </row>
    <row r="18" spans="1:7" ht="15.75">
      <c r="A18" s="166"/>
      <c r="B18" s="167" t="s">
        <v>283</v>
      </c>
      <c r="C18" s="184" t="s">
        <v>392</v>
      </c>
      <c r="D18" s="186">
        <f>Salaries!D38</f>
        <v>59981</v>
      </c>
      <c r="E18" s="186">
        <f t="shared" si="0"/>
        <v>0</v>
      </c>
      <c r="F18" s="186">
        <f t="shared" si="1"/>
        <v>0</v>
      </c>
      <c r="G18" s="187">
        <f t="shared" si="2"/>
        <v>59981</v>
      </c>
    </row>
    <row r="19" spans="1:7" ht="15.75">
      <c r="A19" s="166"/>
      <c r="B19" s="167" t="s">
        <v>286</v>
      </c>
      <c r="C19" s="184" t="s">
        <v>11</v>
      </c>
      <c r="D19" s="186">
        <f>Salaries!D39</f>
        <v>13423019</v>
      </c>
      <c r="E19" s="186">
        <f t="shared" si="0"/>
        <v>28548.570798417775</v>
      </c>
      <c r="F19" s="186">
        <f t="shared" si="1"/>
        <v>4820626.018725944</v>
      </c>
      <c r="G19" s="187">
        <f t="shared" si="2"/>
        <v>8573844.41047564</v>
      </c>
    </row>
    <row r="20" spans="1:7" ht="15.75">
      <c r="A20" s="166"/>
      <c r="B20" s="167"/>
      <c r="C20" s="167"/>
      <c r="D20" s="170"/>
      <c r="E20" s="170"/>
      <c r="F20" s="170"/>
      <c r="G20" s="171"/>
    </row>
    <row r="21" spans="1:7" ht="18.75">
      <c r="A21" s="182" t="s">
        <v>287</v>
      </c>
      <c r="B21" s="167"/>
      <c r="C21" s="801"/>
      <c r="D21" s="802">
        <f>SUM(D13:D20)</f>
        <v>38246193</v>
      </c>
      <c r="E21" s="802">
        <f>SUM(E13:E20)</f>
        <v>569572.5707984178</v>
      </c>
      <c r="F21" s="802">
        <f>SUM(F13:F20)</f>
        <v>10717242.018725943</v>
      </c>
      <c r="G21" s="803">
        <f>SUM(G13:G20)</f>
        <v>26959378.41047564</v>
      </c>
    </row>
    <row r="22" spans="1:7" ht="15.75">
      <c r="A22" s="166"/>
      <c r="B22" s="183" t="s">
        <v>333</v>
      </c>
      <c r="C22" s="801"/>
      <c r="D22" s="804">
        <f>IF($D21=0,0,D21/$D21)</f>
        <v>1</v>
      </c>
      <c r="E22" s="804">
        <f>IF($D21=0,0,E21/$D21)</f>
        <v>0.014892268383376556</v>
      </c>
      <c r="F22" s="804">
        <f>IF($D21=0,0,F21/$D21)</f>
        <v>0.2802172236783395</v>
      </c>
      <c r="G22" s="805">
        <f>IF($D21=0,0,G21/$D21)</f>
        <v>0.704890507938284</v>
      </c>
    </row>
    <row r="23" spans="1:7" ht="15.75">
      <c r="A23" s="166"/>
      <c r="B23" s="167"/>
      <c r="C23" s="167"/>
      <c r="D23" s="170"/>
      <c r="E23" s="170"/>
      <c r="F23" s="170"/>
      <c r="G23" s="171"/>
    </row>
    <row r="24" spans="1:7" ht="18.75">
      <c r="A24" s="182" t="s">
        <v>3</v>
      </c>
      <c r="B24" s="189" t="s">
        <v>334</v>
      </c>
      <c r="C24" s="437" t="s">
        <v>289</v>
      </c>
      <c r="D24" s="438" t="s">
        <v>14</v>
      </c>
      <c r="E24" s="438" t="s">
        <v>15</v>
      </c>
      <c r="F24" s="438" t="s">
        <v>16</v>
      </c>
      <c r="G24" s="439" t="s">
        <v>280</v>
      </c>
    </row>
    <row r="25" spans="1:7" ht="15.75">
      <c r="A25" s="166"/>
      <c r="B25" s="167" t="s">
        <v>35</v>
      </c>
      <c r="C25" s="184" t="s">
        <v>11</v>
      </c>
      <c r="D25" s="185">
        <f>'Sch 1- Rate Base '!G37</f>
        <v>402050</v>
      </c>
      <c r="E25" s="185">
        <f aca="true" t="shared" si="3" ref="E25:E36">VLOOKUP($C25,Ratio,2,FALSE)*$D25</f>
        <v>855.0947361025018</v>
      </c>
      <c r="F25" s="185">
        <f aca="true" t="shared" si="4" ref="F25:F36">VLOOKUP($C25,Ratio,3,FALSE)*$D25</f>
        <v>144388.73183661333</v>
      </c>
      <c r="G25" s="190">
        <f aca="true" t="shared" si="5" ref="G25:G36">VLOOKUP($C25,Ratio,4,FALSE)*$D25</f>
        <v>256806.17342728417</v>
      </c>
    </row>
    <row r="26" spans="1:7" ht="15.75">
      <c r="A26" s="166"/>
      <c r="B26" s="167" t="s">
        <v>36</v>
      </c>
      <c r="C26" s="184" t="s">
        <v>11</v>
      </c>
      <c r="D26" s="186">
        <f>'Sch 1- Rate Base '!G38</f>
        <v>7566300</v>
      </c>
      <c r="E26" s="186">
        <f t="shared" si="3"/>
        <v>16092.285292307819</v>
      </c>
      <c r="F26" s="186">
        <f t="shared" si="4"/>
        <v>2717295.017274885</v>
      </c>
      <c r="G26" s="187">
        <f t="shared" si="5"/>
        <v>4832912.697432808</v>
      </c>
    </row>
    <row r="27" spans="1:7" ht="15.75">
      <c r="A27" s="166"/>
      <c r="B27" s="167" t="s">
        <v>37</v>
      </c>
      <c r="C27" s="184" t="s">
        <v>7</v>
      </c>
      <c r="D27" s="186">
        <f>'Sch 1- Rate Base '!G39</f>
        <v>1046919</v>
      </c>
      <c r="E27" s="186">
        <f t="shared" si="3"/>
        <v>15590.998723656201</v>
      </c>
      <c r="F27" s="186">
        <f t="shared" si="4"/>
        <v>293364.73559610354</v>
      </c>
      <c r="G27" s="187">
        <f t="shared" si="5"/>
        <v>737963.2656802404</v>
      </c>
    </row>
    <row r="28" spans="1:7" ht="15.75">
      <c r="A28" s="166"/>
      <c r="B28" s="167" t="s">
        <v>38</v>
      </c>
      <c r="C28" s="184" t="s">
        <v>19</v>
      </c>
      <c r="D28" s="186">
        <f>'Sch 1- Rate Base '!G40</f>
        <v>25636266</v>
      </c>
      <c r="E28" s="186">
        <f t="shared" si="3"/>
        <v>0</v>
      </c>
      <c r="F28" s="186">
        <f t="shared" si="4"/>
        <v>9226408.132803336</v>
      </c>
      <c r="G28" s="187">
        <f t="shared" si="5"/>
        <v>16409857.867196664</v>
      </c>
    </row>
    <row r="29" spans="1:7" ht="15.75">
      <c r="A29" s="166"/>
      <c r="B29" s="167" t="s">
        <v>39</v>
      </c>
      <c r="C29" s="184" t="s">
        <v>11</v>
      </c>
      <c r="D29" s="186">
        <f>'Sch 1- Rate Base '!G41</f>
        <v>400192</v>
      </c>
      <c r="E29" s="186">
        <f t="shared" si="3"/>
        <v>851.1430733250401</v>
      </c>
      <c r="F29" s="186">
        <f t="shared" si="4"/>
        <v>143721.46591508013</v>
      </c>
      <c r="G29" s="187">
        <f t="shared" si="5"/>
        <v>255619.39101159485</v>
      </c>
    </row>
    <row r="30" spans="1:7" ht="15.75">
      <c r="A30" s="166"/>
      <c r="B30" s="167" t="s">
        <v>40</v>
      </c>
      <c r="C30" s="184" t="s">
        <v>11</v>
      </c>
      <c r="D30" s="186">
        <f>'Sch 1- Rate Base '!G42</f>
        <v>4018009</v>
      </c>
      <c r="E30" s="186">
        <f t="shared" si="3"/>
        <v>8545.649410552112</v>
      </c>
      <c r="F30" s="186">
        <f t="shared" si="4"/>
        <v>1442992.722343238</v>
      </c>
      <c r="G30" s="187">
        <f t="shared" si="5"/>
        <v>2566470.62824621</v>
      </c>
    </row>
    <row r="31" spans="1:7" ht="15.75">
      <c r="A31" s="166"/>
      <c r="B31" s="167" t="s">
        <v>41</v>
      </c>
      <c r="C31" s="184" t="s">
        <v>11</v>
      </c>
      <c r="D31" s="186">
        <f>'Sch 1- Rate Base '!G43</f>
        <v>3317020</v>
      </c>
      <c r="E31" s="186">
        <f t="shared" si="3"/>
        <v>7054.760207801816</v>
      </c>
      <c r="F31" s="186">
        <f t="shared" si="4"/>
        <v>1191245.6442648505</v>
      </c>
      <c r="G31" s="187">
        <f t="shared" si="5"/>
        <v>2118719.5955273476</v>
      </c>
    </row>
    <row r="32" spans="1:7" ht="15.75">
      <c r="A32" s="166"/>
      <c r="B32" s="167" t="s">
        <v>42</v>
      </c>
      <c r="C32" s="184" t="s">
        <v>19</v>
      </c>
      <c r="D32" s="186">
        <f>'Sch 1- Rate Base '!G44</f>
        <v>2133361</v>
      </c>
      <c r="E32" s="186">
        <f t="shared" si="3"/>
        <v>0</v>
      </c>
      <c r="F32" s="186">
        <f t="shared" si="4"/>
        <v>767789.6336621509</v>
      </c>
      <c r="G32" s="187">
        <f t="shared" si="5"/>
        <v>1365571.366337849</v>
      </c>
    </row>
    <row r="33" spans="1:7" ht="15.75">
      <c r="A33" s="166"/>
      <c r="B33" s="167" t="s">
        <v>43</v>
      </c>
      <c r="C33" s="184" t="s">
        <v>11</v>
      </c>
      <c r="D33" s="186">
        <f>'Sch 1- Rate Base '!G45</f>
        <v>18801814</v>
      </c>
      <c r="E33" s="186">
        <f t="shared" si="3"/>
        <v>39988.389952937</v>
      </c>
      <c r="F33" s="186">
        <f t="shared" si="4"/>
        <v>6752319.561467187</v>
      </c>
      <c r="G33" s="187">
        <f t="shared" si="5"/>
        <v>12009506.048579877</v>
      </c>
    </row>
    <row r="34" spans="1:7" ht="15.75">
      <c r="A34" s="166"/>
      <c r="B34" s="167" t="s">
        <v>44</v>
      </c>
      <c r="C34" s="184" t="s">
        <v>11</v>
      </c>
      <c r="D34" s="186">
        <f>'Sch 1- Rate Base '!G46</f>
        <v>192965</v>
      </c>
      <c r="E34" s="186">
        <f t="shared" si="3"/>
        <v>410.4050634299695</v>
      </c>
      <c r="F34" s="186">
        <f t="shared" si="4"/>
        <v>69299.76778722073</v>
      </c>
      <c r="G34" s="187">
        <f t="shared" si="5"/>
        <v>123254.82714934932</v>
      </c>
    </row>
    <row r="35" spans="1:7" ht="15.75">
      <c r="A35" s="166"/>
      <c r="B35" s="167" t="s">
        <v>242</v>
      </c>
      <c r="C35" s="184" t="s">
        <v>2</v>
      </c>
      <c r="D35" s="186">
        <f>'Sch 1- Rate Base '!G47</f>
        <v>0</v>
      </c>
      <c r="E35" s="186">
        <f>'Sch 1- Rate Base '!H47</f>
        <v>0</v>
      </c>
      <c r="F35" s="186">
        <f>'Sch 1- Rate Base '!I47</f>
        <v>0</v>
      </c>
      <c r="G35" s="187">
        <f>'Sch 1- Rate Base '!J47</f>
        <v>0</v>
      </c>
    </row>
    <row r="36" spans="1:7" ht="15.75">
      <c r="A36" s="166"/>
      <c r="B36" s="167" t="s">
        <v>159</v>
      </c>
      <c r="C36" s="184" t="s">
        <v>11</v>
      </c>
      <c r="D36" s="186">
        <f>'Sch 1- Rate Base '!G48</f>
        <v>0</v>
      </c>
      <c r="E36" s="186">
        <f t="shared" si="3"/>
        <v>0</v>
      </c>
      <c r="F36" s="186">
        <f t="shared" si="4"/>
        <v>0</v>
      </c>
      <c r="G36" s="187">
        <f t="shared" si="5"/>
        <v>0</v>
      </c>
    </row>
    <row r="37" spans="1:7" ht="15.75">
      <c r="A37" s="166"/>
      <c r="B37" s="167" t="s">
        <v>290</v>
      </c>
      <c r="C37" s="806"/>
      <c r="D37" s="807">
        <f>SUM(D25:D36)</f>
        <v>63514896</v>
      </c>
      <c r="E37" s="807">
        <f>SUM(E25:E36)</f>
        <v>89388.72646011246</v>
      </c>
      <c r="F37" s="807">
        <f>SUM(F25:F36)</f>
        <v>22748825.412950665</v>
      </c>
      <c r="G37" s="808">
        <f>SUM(G25:G36)</f>
        <v>40676681.86058922</v>
      </c>
    </row>
    <row r="38" spans="1:7" ht="15.75">
      <c r="A38" s="166"/>
      <c r="B38" s="183" t="s">
        <v>291</v>
      </c>
      <c r="C38" s="806"/>
      <c r="D38" s="809">
        <f>IF($D37=0,0,D37/$D37)</f>
        <v>1</v>
      </c>
      <c r="E38" s="809">
        <f>IF($D37=0,0,E37/$D37)</f>
        <v>0.001407366335923977</v>
      </c>
      <c r="F38" s="809">
        <f>IF($D37=0,0,F37/$D37)</f>
        <v>0.3581651997501604</v>
      </c>
      <c r="G38" s="810">
        <f>IF($D37=0,0,G37/$D37)</f>
        <v>0.6404274339139155</v>
      </c>
    </row>
    <row r="39" spans="1:7" ht="16.5" thickBot="1">
      <c r="A39" s="174"/>
      <c r="B39" s="175"/>
      <c r="C39" s="199"/>
      <c r="D39" s="200"/>
      <c r="E39" s="200"/>
      <c r="F39" s="200"/>
      <c r="G39" s="201"/>
    </row>
    <row r="40" spans="1:7" ht="16.5" thickTop="1">
      <c r="A40" s="166"/>
      <c r="B40" s="167"/>
      <c r="C40" s="167"/>
      <c r="D40" s="170"/>
      <c r="E40" s="170"/>
      <c r="F40" s="170"/>
      <c r="G40" s="171"/>
    </row>
    <row r="41" spans="1:7" ht="15.75">
      <c r="A41" s="166" t="s">
        <v>11</v>
      </c>
      <c r="B41" s="173" t="s">
        <v>335</v>
      </c>
      <c r="C41" s="437" t="s">
        <v>289</v>
      </c>
      <c r="D41" s="438" t="s">
        <v>14</v>
      </c>
      <c r="E41" s="438" t="s">
        <v>15</v>
      </c>
      <c r="F41" s="438" t="s">
        <v>16</v>
      </c>
      <c r="G41" s="439" t="s">
        <v>280</v>
      </c>
    </row>
    <row r="42" spans="1:7" ht="15.75">
      <c r="A42" s="166"/>
      <c r="B42" s="167" t="s">
        <v>21</v>
      </c>
      <c r="C42" s="184" t="s">
        <v>394</v>
      </c>
      <c r="D42" s="185">
        <f>'Sch 1- Rate Base '!G22</f>
        <v>0</v>
      </c>
      <c r="E42" s="185">
        <f>VLOOKUP($C42,Ratio,2,FALSE)*$D42</f>
        <v>0</v>
      </c>
      <c r="F42" s="185">
        <f>VLOOKUP($C42,Ratio,3,FALSE)*$D42</f>
        <v>0</v>
      </c>
      <c r="G42" s="190">
        <f>VLOOKUP($C42,Ratio,4,FALSE)*$D42</f>
        <v>0</v>
      </c>
    </row>
    <row r="43" spans="1:7" ht="15.75">
      <c r="A43" s="166"/>
      <c r="B43" s="167" t="s">
        <v>23</v>
      </c>
      <c r="C43" s="184" t="s">
        <v>394</v>
      </c>
      <c r="D43" s="186">
        <f>'Sch 1- Rate Base '!G23</f>
        <v>0</v>
      </c>
      <c r="E43" s="186">
        <f>VLOOKUP($C43,Ratio,2,FALSE)*$D43</f>
        <v>0</v>
      </c>
      <c r="F43" s="186">
        <f>VLOOKUP($C43,Ratio,3,FALSE)*$D43</f>
        <v>0</v>
      </c>
      <c r="G43" s="187">
        <f>VLOOKUP($C43,Ratio,4,FALSE)*$D43</f>
        <v>0</v>
      </c>
    </row>
    <row r="44" spans="1:7" ht="15.75">
      <c r="A44" s="166"/>
      <c r="B44" s="167" t="s">
        <v>25</v>
      </c>
      <c r="C44" s="184" t="s">
        <v>394</v>
      </c>
      <c r="D44" s="186">
        <f>'Sch 1- Rate Base '!G24</f>
        <v>0</v>
      </c>
      <c r="E44" s="186">
        <f>VLOOKUP($C44,Ratio,2,FALSE)*$D44</f>
        <v>0</v>
      </c>
      <c r="F44" s="186">
        <f>VLOOKUP($C44,Ratio,3,FALSE)*$D44</f>
        <v>0</v>
      </c>
      <c r="G44" s="187">
        <f>VLOOKUP($C44,Ratio,4,FALSE)*$D44</f>
        <v>0</v>
      </c>
    </row>
    <row r="45" spans="1:7" ht="15.75">
      <c r="A45" s="166"/>
      <c r="B45" s="167" t="s">
        <v>27</v>
      </c>
      <c r="C45" s="184" t="s">
        <v>394</v>
      </c>
      <c r="D45" s="186">
        <f>'Sch 1- Rate Base '!G25</f>
        <v>2646622</v>
      </c>
      <c r="E45" s="186">
        <f>VLOOKUP($C45,Ratio,2,FALSE)*$D45</f>
        <v>2646622</v>
      </c>
      <c r="F45" s="186">
        <f>VLOOKUP($C45,Ratio,3,FALSE)*$D45</f>
        <v>0</v>
      </c>
      <c r="G45" s="187">
        <f>VLOOKUP($C45,Ratio,4,FALSE)*$D45</f>
        <v>0</v>
      </c>
    </row>
    <row r="46" spans="1:7" ht="15.75">
      <c r="A46" s="166"/>
      <c r="B46" s="167" t="s">
        <v>29</v>
      </c>
      <c r="C46" s="184"/>
      <c r="D46" s="186">
        <f>SUM(D42:D45)</f>
        <v>2646622</v>
      </c>
      <c r="E46" s="186">
        <f>SUM(E42:E45)</f>
        <v>2646622</v>
      </c>
      <c r="F46" s="186">
        <f>SUM(F42:F45)</f>
        <v>0</v>
      </c>
      <c r="G46" s="187">
        <f>SUM(G42:G45)</f>
        <v>0</v>
      </c>
    </row>
    <row r="47" spans="1:7" ht="15.75">
      <c r="A47" s="166"/>
      <c r="B47" s="167" t="s">
        <v>293</v>
      </c>
      <c r="C47" s="184" t="s">
        <v>393</v>
      </c>
      <c r="D47" s="186">
        <f>'Sch 1- Rate Base '!G30</f>
        <v>446900651</v>
      </c>
      <c r="E47" s="186">
        <f>VLOOKUP($C47,Ratio,2,FALSE)*$D47</f>
        <v>0</v>
      </c>
      <c r="F47" s="186">
        <f>VLOOKUP($C47,Ratio,3,FALSE)*$D47</f>
        <v>446900651</v>
      </c>
      <c r="G47" s="187">
        <f>VLOOKUP($C47,Ratio,4,FALSE)*$D47</f>
        <v>0</v>
      </c>
    </row>
    <row r="48" spans="1:7" ht="15.75">
      <c r="A48" s="166"/>
      <c r="B48" s="167" t="s">
        <v>32</v>
      </c>
      <c r="C48" s="184" t="s">
        <v>392</v>
      </c>
      <c r="D48" s="186">
        <f>'Sch 1- Rate Base '!G34</f>
        <v>794846278</v>
      </c>
      <c r="E48" s="186">
        <f>VLOOKUP($C48,Ratio,2,FALSE)*$D48</f>
        <v>0</v>
      </c>
      <c r="F48" s="186">
        <f>VLOOKUP($C48,Ratio,3,FALSE)*$D48</f>
        <v>0</v>
      </c>
      <c r="G48" s="187">
        <f>VLOOKUP($C48,Ratio,4,FALSE)*$D48</f>
        <v>794846278</v>
      </c>
    </row>
    <row r="49" spans="1:7" ht="15.75">
      <c r="A49" s="166"/>
      <c r="B49" s="167" t="s">
        <v>290</v>
      </c>
      <c r="C49" s="184"/>
      <c r="D49" s="185">
        <f>D46+D47+D48</f>
        <v>1244393551</v>
      </c>
      <c r="E49" s="185">
        <f>E46+E47+E48</f>
        <v>2646622</v>
      </c>
      <c r="F49" s="185">
        <f>F46+F47+F48</f>
        <v>446900651</v>
      </c>
      <c r="G49" s="190">
        <f>G46+G47+G48</f>
        <v>794846278</v>
      </c>
    </row>
    <row r="50" spans="1:7" ht="15.75">
      <c r="A50" s="166"/>
      <c r="B50" s="183" t="s">
        <v>336</v>
      </c>
      <c r="C50" s="806"/>
      <c r="D50" s="809">
        <f>IF($D49=0,0,D49/$D49)</f>
        <v>1</v>
      </c>
      <c r="E50" s="809">
        <f>IF($D49=0,0,E49/$D49)</f>
        <v>0.0021268368016478093</v>
      </c>
      <c r="F50" s="809">
        <f>IF($D49=0,0,F49/$D49)</f>
        <v>0.3591312817724495</v>
      </c>
      <c r="G50" s="810">
        <f>IF($D49=0,0,G49/$D49)</f>
        <v>0.6387418814259027</v>
      </c>
    </row>
    <row r="51" spans="1:7" ht="15.75">
      <c r="A51" s="166"/>
      <c r="B51" s="167"/>
      <c r="C51" s="167"/>
      <c r="D51" s="170"/>
      <c r="E51" s="170"/>
      <c r="F51" s="170"/>
      <c r="G51" s="171"/>
    </row>
    <row r="52" spans="1:7" ht="15.75">
      <c r="A52" s="166" t="s">
        <v>18</v>
      </c>
      <c r="B52" s="173" t="s">
        <v>337</v>
      </c>
      <c r="C52" s="437" t="s">
        <v>289</v>
      </c>
      <c r="D52" s="438" t="s">
        <v>14</v>
      </c>
      <c r="E52" s="438" t="s">
        <v>15</v>
      </c>
      <c r="F52" s="438" t="s">
        <v>16</v>
      </c>
      <c r="G52" s="439" t="s">
        <v>280</v>
      </c>
    </row>
    <row r="53" spans="1:7" ht="15.75">
      <c r="A53" s="166"/>
      <c r="B53" s="167" t="s">
        <v>294</v>
      </c>
      <c r="C53" s="184"/>
      <c r="D53" s="185">
        <f>D49</f>
        <v>1244393551</v>
      </c>
      <c r="E53" s="185">
        <f>E49</f>
        <v>2646622</v>
      </c>
      <c r="F53" s="185">
        <f>F49</f>
        <v>446900651</v>
      </c>
      <c r="G53" s="190">
        <f>G49</f>
        <v>794846278</v>
      </c>
    </row>
    <row r="54" spans="1:7" ht="15.75">
      <c r="A54" s="166"/>
      <c r="B54" s="167" t="s">
        <v>295</v>
      </c>
      <c r="C54" s="184" t="s">
        <v>392</v>
      </c>
      <c r="D54" s="186">
        <f>'Sch 1- Rate Base '!G16</f>
        <v>19995</v>
      </c>
      <c r="E54" s="186">
        <f>'Sch 1- Rate Base '!H16</f>
        <v>0</v>
      </c>
      <c r="F54" s="186">
        <f>'Sch 1- Rate Base '!I16</f>
        <v>0</v>
      </c>
      <c r="G54" s="187">
        <f>'Sch 1- Rate Base '!J16</f>
        <v>19995</v>
      </c>
    </row>
    <row r="55" spans="1:7" ht="15.75">
      <c r="A55" s="166"/>
      <c r="B55" s="167" t="s">
        <v>296</v>
      </c>
      <c r="C55" s="184" t="s">
        <v>2</v>
      </c>
      <c r="D55" s="186">
        <f>'Sch 1- Rate Base '!G17</f>
        <v>2004</v>
      </c>
      <c r="E55" s="186">
        <f>'Sch 1- Rate Base '!H17</f>
        <v>4.26218095050221</v>
      </c>
      <c r="F55" s="186">
        <f>'Sch 1- Rate Base '!I17</f>
        <v>719.6990886719889</v>
      </c>
      <c r="G55" s="187">
        <f>'Sch 1- Rate Base '!J17</f>
        <v>1280.038730377509</v>
      </c>
    </row>
    <row r="56" spans="1:7" ht="15.75">
      <c r="A56" s="166"/>
      <c r="B56" s="167" t="s">
        <v>310</v>
      </c>
      <c r="C56" s="184" t="s">
        <v>2</v>
      </c>
      <c r="D56" s="186">
        <f>'Sch 1- Rate Base '!G18</f>
        <v>1175945</v>
      </c>
      <c r="E56" s="186">
        <f>'Sch 1- Rate Base '!H18</f>
        <v>0</v>
      </c>
      <c r="F56" s="186">
        <f>'Sch 1- Rate Base '!I18</f>
        <v>1140181</v>
      </c>
      <c r="G56" s="187">
        <f>'Sch 1- Rate Base '!J18</f>
        <v>35764</v>
      </c>
    </row>
    <row r="57" spans="1:7" ht="15.75">
      <c r="A57" s="166"/>
      <c r="B57" s="167" t="s">
        <v>338</v>
      </c>
      <c r="C57" s="184"/>
      <c r="D57" s="186">
        <f>D37</f>
        <v>63514896</v>
      </c>
      <c r="E57" s="186">
        <f>E37</f>
        <v>89388.72646011246</v>
      </c>
      <c r="F57" s="186">
        <f>F37</f>
        <v>22748825.412950665</v>
      </c>
      <c r="G57" s="187">
        <f>G37</f>
        <v>40676681.86058922</v>
      </c>
    </row>
    <row r="58" spans="1:7" ht="15.75">
      <c r="A58" s="166"/>
      <c r="B58" s="167" t="s">
        <v>290</v>
      </c>
      <c r="C58" s="184"/>
      <c r="D58" s="185">
        <f>SUM(D53:D57)</f>
        <v>1309106391</v>
      </c>
      <c r="E58" s="185">
        <f>SUM(E53:E57)</f>
        <v>2736014.9886410628</v>
      </c>
      <c r="F58" s="185">
        <f>SUM(F53:F57)</f>
        <v>470790377.1120393</v>
      </c>
      <c r="G58" s="190">
        <f>SUM(G53:G57)</f>
        <v>835579998.8993196</v>
      </c>
    </row>
    <row r="59" spans="1:7" ht="15.75">
      <c r="A59" s="166"/>
      <c r="B59" s="183" t="s">
        <v>339</v>
      </c>
      <c r="C59" s="806"/>
      <c r="D59" s="809">
        <f>IF($D58=0,0,D58/$D58)</f>
        <v>1</v>
      </c>
      <c r="E59" s="809">
        <f>IF($D58=0,0,E58/$D58)</f>
        <v>0.002089986732515358</v>
      </c>
      <c r="F59" s="809">
        <f>IF($D58=0,0,F58/$D58)</f>
        <v>0.35962728495459567</v>
      </c>
      <c r="G59" s="810">
        <f>IF($D58=0,0,G58/$D58)</f>
        <v>0.638282728312889</v>
      </c>
    </row>
    <row r="60" spans="1:7" ht="15.75">
      <c r="A60" s="166"/>
      <c r="B60" s="167"/>
      <c r="C60" s="167"/>
      <c r="D60" s="170"/>
      <c r="E60" s="170"/>
      <c r="F60" s="170"/>
      <c r="G60" s="171"/>
    </row>
    <row r="61" spans="1:7" ht="15.75">
      <c r="A61" s="166" t="s">
        <v>19</v>
      </c>
      <c r="B61" s="173" t="s">
        <v>340</v>
      </c>
      <c r="C61" s="437" t="s">
        <v>289</v>
      </c>
      <c r="D61" s="438" t="s">
        <v>14</v>
      </c>
      <c r="E61" s="438" t="s">
        <v>15</v>
      </c>
      <c r="F61" s="438" t="s">
        <v>16</v>
      </c>
      <c r="G61" s="439" t="s">
        <v>280</v>
      </c>
    </row>
    <row r="62" spans="1:7" ht="15.75">
      <c r="A62" s="166"/>
      <c r="B62" s="167" t="s">
        <v>31</v>
      </c>
      <c r="C62" s="184" t="s">
        <v>393</v>
      </c>
      <c r="D62" s="185">
        <f>D47</f>
        <v>446900651</v>
      </c>
      <c r="E62" s="185">
        <f>VLOOKUP($C62,Ratio,2,FALSE)*$D62</f>
        <v>0</v>
      </c>
      <c r="F62" s="185">
        <f>VLOOKUP($C62,Ratio,3,FALSE)*$D62</f>
        <v>446900651</v>
      </c>
      <c r="G62" s="190">
        <f>VLOOKUP($C62,Ratio,4,FALSE)*$D62</f>
        <v>0</v>
      </c>
    </row>
    <row r="63" spans="1:7" ht="15.75">
      <c r="A63" s="166"/>
      <c r="B63" s="167" t="s">
        <v>32</v>
      </c>
      <c r="C63" s="184" t="s">
        <v>392</v>
      </c>
      <c r="D63" s="186">
        <f>D48</f>
        <v>794846278</v>
      </c>
      <c r="E63" s="186">
        <f>VLOOKUP($C63,Ratio,2,FALSE)*$D63</f>
        <v>0</v>
      </c>
      <c r="F63" s="186">
        <f>VLOOKUP($C63,Ratio,3,FALSE)*$D63</f>
        <v>0</v>
      </c>
      <c r="G63" s="187">
        <f>VLOOKUP($C63,Ratio,4,FALSE)*$D63</f>
        <v>794846278</v>
      </c>
    </row>
    <row r="64" spans="1:7" ht="15.75">
      <c r="A64" s="166"/>
      <c r="B64" s="167" t="s">
        <v>290</v>
      </c>
      <c r="C64" s="184"/>
      <c r="D64" s="185">
        <f>SUM(D62:D63)</f>
        <v>1241746929</v>
      </c>
      <c r="E64" s="185">
        <f>SUM(E62:E63)</f>
        <v>0</v>
      </c>
      <c r="F64" s="185">
        <f>SUM(F62:F63)</f>
        <v>446900651</v>
      </c>
      <c r="G64" s="190">
        <f>SUM(G62:G63)</f>
        <v>794846278</v>
      </c>
    </row>
    <row r="65" spans="1:7" ht="15.75">
      <c r="A65" s="166"/>
      <c r="B65" s="183" t="s">
        <v>341</v>
      </c>
      <c r="C65" s="811"/>
      <c r="D65" s="812">
        <f>IF($D64=0,0,D64/$D64)</f>
        <v>1</v>
      </c>
      <c r="E65" s="812">
        <f>IF($D64=0,0,E64/$D64)</f>
        <v>0</v>
      </c>
      <c r="F65" s="812">
        <f>IF($D64=0,0,F64/$D64)</f>
        <v>0.3598967233685021</v>
      </c>
      <c r="G65" s="813">
        <f>IF($D64=0,0,G64/$D64)</f>
        <v>0.6401032766314979</v>
      </c>
    </row>
    <row r="66" spans="1:7" ht="16.5" thickBot="1">
      <c r="A66" s="174"/>
      <c r="B66" s="175"/>
      <c r="C66" s="175"/>
      <c r="D66" s="176"/>
      <c r="E66" s="176"/>
      <c r="F66" s="176"/>
      <c r="G66" s="177"/>
    </row>
    <row r="67" spans="1:7" ht="16.5" thickTop="1">
      <c r="A67" s="166"/>
      <c r="B67" s="167"/>
      <c r="C67" s="167"/>
      <c r="D67" s="170"/>
      <c r="E67" s="170"/>
      <c r="F67" s="170"/>
      <c r="G67" s="171"/>
    </row>
    <row r="68" spans="1:7" ht="15.75">
      <c r="A68" s="166" t="s">
        <v>5</v>
      </c>
      <c r="B68" s="173" t="s">
        <v>342</v>
      </c>
      <c r="C68" s="437" t="s">
        <v>289</v>
      </c>
      <c r="D68" s="438" t="s">
        <v>14</v>
      </c>
      <c r="E68" s="438" t="s">
        <v>15</v>
      </c>
      <c r="F68" s="438" t="s">
        <v>16</v>
      </c>
      <c r="G68" s="439" t="s">
        <v>280</v>
      </c>
    </row>
    <row r="69" spans="1:7" ht="15.75">
      <c r="A69" s="166"/>
      <c r="B69" s="167" t="s">
        <v>36</v>
      </c>
      <c r="C69" s="184" t="s">
        <v>11</v>
      </c>
      <c r="D69" s="185">
        <f>D26</f>
        <v>7566300</v>
      </c>
      <c r="E69" s="185">
        <f>VLOOKUP($C69,Ratio,2,FALSE)*$D69</f>
        <v>16092.285292307819</v>
      </c>
      <c r="F69" s="185">
        <f>VLOOKUP($C69,Ratio,3,FALSE)*$D69</f>
        <v>2717295.017274885</v>
      </c>
      <c r="G69" s="190">
        <f>VLOOKUP($C69,Ratio,4,FALSE)*$D69</f>
        <v>4832912.697432808</v>
      </c>
    </row>
    <row r="70" spans="1:7" ht="15.75">
      <c r="A70" s="166"/>
      <c r="B70" s="167" t="s">
        <v>37</v>
      </c>
      <c r="C70" s="184" t="s">
        <v>7</v>
      </c>
      <c r="D70" s="186">
        <f>D27</f>
        <v>1046919</v>
      </c>
      <c r="E70" s="186">
        <f>VLOOKUP($C70,Ratio,2,FALSE)*$D70</f>
        <v>15590.998723656201</v>
      </c>
      <c r="F70" s="186">
        <f>VLOOKUP($C70,Ratio,3,FALSE)*$D70</f>
        <v>293364.73559610354</v>
      </c>
      <c r="G70" s="187">
        <f>VLOOKUP($C70,Ratio,4,FALSE)*$D70</f>
        <v>737963.2656802404</v>
      </c>
    </row>
    <row r="71" spans="1:7" ht="15.75">
      <c r="A71" s="166"/>
      <c r="B71" s="167" t="s">
        <v>43</v>
      </c>
      <c r="C71" s="184" t="s">
        <v>11</v>
      </c>
      <c r="D71" s="186">
        <f>D33</f>
        <v>18801814</v>
      </c>
      <c r="E71" s="186">
        <f>VLOOKUP($C71,Ratio,2,FALSE)*$D71</f>
        <v>39988.389952937</v>
      </c>
      <c r="F71" s="186">
        <f>VLOOKUP($C71,Ratio,3,FALSE)*$D71</f>
        <v>6752319.561467187</v>
      </c>
      <c r="G71" s="187">
        <f>VLOOKUP($C71,Ratio,4,FALSE)*$D71</f>
        <v>12009506.048579877</v>
      </c>
    </row>
    <row r="72" spans="1:7" ht="15.75">
      <c r="A72" s="166"/>
      <c r="B72" s="167" t="s">
        <v>44</v>
      </c>
      <c r="C72" s="184" t="s">
        <v>392</v>
      </c>
      <c r="D72" s="186">
        <f>D34</f>
        <v>192965</v>
      </c>
      <c r="E72" s="186">
        <f>VLOOKUP($C72,Ratio,2,FALSE)*$D72</f>
        <v>0</v>
      </c>
      <c r="F72" s="186">
        <f>VLOOKUP($C72,Ratio,3,FALSE)*$D72</f>
        <v>0</v>
      </c>
      <c r="G72" s="187">
        <f>VLOOKUP($C72,Ratio,4,FALSE)*$D72</f>
        <v>192965</v>
      </c>
    </row>
    <row r="73" spans="1:7" ht="15.75">
      <c r="A73" s="166"/>
      <c r="B73" s="167" t="s">
        <v>290</v>
      </c>
      <c r="C73" s="184"/>
      <c r="D73" s="185">
        <f>SUM(D69:D72)</f>
        <v>27607998</v>
      </c>
      <c r="E73" s="185">
        <f>SUM(E69:E72)</f>
        <v>71671.67396890101</v>
      </c>
      <c r="F73" s="185">
        <f>SUM(F69:F72)</f>
        <v>9762979.314338176</v>
      </c>
      <c r="G73" s="190">
        <f>SUM(G69:G72)</f>
        <v>17773347.011692926</v>
      </c>
    </row>
    <row r="74" spans="1:7" ht="15.75">
      <c r="A74" s="166"/>
      <c r="B74" s="183" t="s">
        <v>343</v>
      </c>
      <c r="C74" s="806"/>
      <c r="D74" s="809">
        <f>IF($D73=0,0,D73/$D73)</f>
        <v>1</v>
      </c>
      <c r="E74" s="809">
        <f>IF($D73=0,0,E73/$D73)</f>
        <v>0.002596047492067372</v>
      </c>
      <c r="F74" s="809">
        <f>IF($D73=0,0,F73/$D73)</f>
        <v>0.3536286591421144</v>
      </c>
      <c r="G74" s="810">
        <f>IF($D73=0,0,G73/$D73)</f>
        <v>0.6437752933658184</v>
      </c>
    </row>
    <row r="75" spans="1:7" ht="15.75">
      <c r="A75" s="166"/>
      <c r="B75" s="183"/>
      <c r="C75" s="172"/>
      <c r="D75" s="191"/>
      <c r="E75" s="191"/>
      <c r="F75" s="191"/>
      <c r="G75" s="192"/>
    </row>
    <row r="76" spans="1:7" ht="16.5" thickBot="1">
      <c r="A76" s="166"/>
      <c r="B76" s="183" t="s">
        <v>344</v>
      </c>
      <c r="C76" s="167"/>
      <c r="D76" s="823"/>
      <c r="E76" s="823"/>
      <c r="F76" s="823"/>
      <c r="G76" s="824"/>
    </row>
    <row r="77" spans="1:7" ht="15.75">
      <c r="A77" s="166"/>
      <c r="B77" s="173" t="s">
        <v>432</v>
      </c>
      <c r="C77" s="167"/>
      <c r="D77" s="814" t="s">
        <v>407</v>
      </c>
      <c r="E77" s="815">
        <v>0.7</v>
      </c>
      <c r="F77" s="815">
        <v>0</v>
      </c>
      <c r="G77" s="816">
        <f>1-E77</f>
        <v>0.30000000000000004</v>
      </c>
    </row>
    <row r="78" spans="1:7" ht="15.75">
      <c r="A78" s="166"/>
      <c r="B78" s="173" t="s">
        <v>299</v>
      </c>
      <c r="C78" s="167"/>
      <c r="D78" s="817" t="s">
        <v>392</v>
      </c>
      <c r="E78" s="818">
        <v>0</v>
      </c>
      <c r="F78" s="818">
        <v>0</v>
      </c>
      <c r="G78" s="819">
        <v>1</v>
      </c>
    </row>
    <row r="79" spans="1:7" ht="15.75">
      <c r="A79" s="166"/>
      <c r="B79" s="173" t="s">
        <v>300</v>
      </c>
      <c r="C79" s="167"/>
      <c r="D79" s="817" t="s">
        <v>394</v>
      </c>
      <c r="E79" s="818">
        <v>1</v>
      </c>
      <c r="F79" s="818">
        <v>0</v>
      </c>
      <c r="G79" s="819">
        <v>0</v>
      </c>
    </row>
    <row r="80" spans="1:7" ht="15.75">
      <c r="A80" s="166"/>
      <c r="B80" s="173" t="s">
        <v>301</v>
      </c>
      <c r="C80" s="167"/>
      <c r="D80" s="817" t="s">
        <v>393</v>
      </c>
      <c r="E80" s="818">
        <v>0</v>
      </c>
      <c r="F80" s="818">
        <v>1</v>
      </c>
      <c r="G80" s="819">
        <v>0</v>
      </c>
    </row>
    <row r="81" spans="1:7" ht="15.75">
      <c r="A81" s="166"/>
      <c r="B81" s="173" t="s">
        <v>302</v>
      </c>
      <c r="C81" s="167"/>
      <c r="D81" s="817" t="s">
        <v>2</v>
      </c>
      <c r="E81" s="818">
        <v>0</v>
      </c>
      <c r="F81" s="818">
        <v>0</v>
      </c>
      <c r="G81" s="819">
        <v>0</v>
      </c>
    </row>
    <row r="82" spans="1:7" ht="15.75">
      <c r="A82" s="166"/>
      <c r="B82" s="173" t="s">
        <v>4</v>
      </c>
      <c r="C82" s="167"/>
      <c r="D82" s="817" t="s">
        <v>3</v>
      </c>
      <c r="E82" s="818">
        <f>E38</f>
        <v>0.001407366335923977</v>
      </c>
      <c r="F82" s="818">
        <f>F38</f>
        <v>0.3581651997501604</v>
      </c>
      <c r="G82" s="819">
        <f>G38</f>
        <v>0.6404274339139155</v>
      </c>
    </row>
    <row r="83" spans="1:7" ht="15.75">
      <c r="A83" s="166"/>
      <c r="B83" s="173" t="s">
        <v>6</v>
      </c>
      <c r="C83" s="167"/>
      <c r="D83" s="817" t="s">
        <v>5</v>
      </c>
      <c r="E83" s="818">
        <f>E74</f>
        <v>0.002596047492067372</v>
      </c>
      <c r="F83" s="818">
        <f>F74</f>
        <v>0.3536286591421144</v>
      </c>
      <c r="G83" s="819">
        <f>G74</f>
        <v>0.6437752933658184</v>
      </c>
    </row>
    <row r="84" spans="1:7" ht="15.75">
      <c r="A84" s="166"/>
      <c r="B84" s="173" t="s">
        <v>298</v>
      </c>
      <c r="C84" s="167"/>
      <c r="D84" s="817" t="s">
        <v>7</v>
      </c>
      <c r="E84" s="818">
        <f>E22</f>
        <v>0.014892268383376556</v>
      </c>
      <c r="F84" s="818">
        <f>F22</f>
        <v>0.2802172236783395</v>
      </c>
      <c r="G84" s="819">
        <f>G22</f>
        <v>0.704890507938284</v>
      </c>
    </row>
    <row r="85" spans="1:7" ht="15.75">
      <c r="A85" s="166"/>
      <c r="B85" s="173" t="s">
        <v>292</v>
      </c>
      <c r="C85" s="167"/>
      <c r="D85" s="817" t="s">
        <v>11</v>
      </c>
      <c r="E85" s="818">
        <f>E50</f>
        <v>0.0021268368016478093</v>
      </c>
      <c r="F85" s="818">
        <f>F50</f>
        <v>0.3591312817724495</v>
      </c>
      <c r="G85" s="819">
        <f>G50</f>
        <v>0.6387418814259027</v>
      </c>
    </row>
    <row r="86" spans="1:7" ht="15.75">
      <c r="A86" s="166"/>
      <c r="B86" s="173" t="s">
        <v>303</v>
      </c>
      <c r="C86" s="167"/>
      <c r="D86" s="817" t="s">
        <v>18</v>
      </c>
      <c r="E86" s="818">
        <f>E59</f>
        <v>0.002089986732515358</v>
      </c>
      <c r="F86" s="818">
        <f>F59</f>
        <v>0.35962728495459567</v>
      </c>
      <c r="G86" s="819">
        <f>G59</f>
        <v>0.638282728312889</v>
      </c>
    </row>
    <row r="87" spans="1:7" ht="16.5" thickBot="1">
      <c r="A87" s="166"/>
      <c r="B87" s="173" t="s">
        <v>297</v>
      </c>
      <c r="C87" s="167"/>
      <c r="D87" s="820" t="s">
        <v>19</v>
      </c>
      <c r="E87" s="821">
        <f>E65</f>
        <v>0</v>
      </c>
      <c r="F87" s="821">
        <f>F65</f>
        <v>0.3598967233685021</v>
      </c>
      <c r="G87" s="822">
        <f>G65</f>
        <v>0.6401032766314979</v>
      </c>
    </row>
    <row r="88" spans="1:7" ht="16.5" thickBot="1">
      <c r="A88" s="174"/>
      <c r="B88" s="175"/>
      <c r="C88" s="175"/>
      <c r="D88" s="176"/>
      <c r="E88" s="176"/>
      <c r="F88" s="176"/>
      <c r="G88" s="177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57"/>
  <sheetViews>
    <sheetView workbookViewId="0" topLeftCell="B1">
      <selection activeCell="G14" sqref="G14"/>
    </sheetView>
  </sheetViews>
  <sheetFormatPr defaultColWidth="9.00390625" defaultRowHeight="15.75"/>
  <cols>
    <col min="1" max="1" width="5.50390625" style="845" customWidth="1"/>
    <col min="2" max="2" width="41.125" style="845" customWidth="1"/>
    <col min="3" max="7" width="15.50390625" style="845" customWidth="1"/>
    <col min="8" max="8" width="12.375" style="845" customWidth="1"/>
    <col min="9" max="16384" width="9.00390625" style="845" customWidth="1"/>
  </cols>
  <sheetData>
    <row r="1" spans="2:7" ht="15.75">
      <c r="B1" s="1036" t="s">
        <v>473</v>
      </c>
      <c r="C1" s="1036"/>
      <c r="D1" s="1036"/>
      <c r="E1" s="1036"/>
      <c r="F1" s="1036"/>
      <c r="G1" s="1036"/>
    </row>
    <row r="2" spans="2:7" ht="15.75">
      <c r="B2" s="1036" t="s">
        <v>474</v>
      </c>
      <c r="C2" s="1036"/>
      <c r="D2" s="1036"/>
      <c r="E2" s="1036"/>
      <c r="F2" s="1036"/>
      <c r="G2" s="1036"/>
    </row>
    <row r="3" spans="2:7" ht="15.75">
      <c r="B3" s="1036"/>
      <c r="C3" s="1036"/>
      <c r="D3" s="1036"/>
      <c r="E3" s="1036"/>
      <c r="F3" s="1036"/>
      <c r="G3" s="1036"/>
    </row>
    <row r="4" spans="3:7" s="846" customFormat="1" ht="15.75">
      <c r="C4" s="847" t="s">
        <v>475</v>
      </c>
      <c r="D4" s="846" t="s">
        <v>476</v>
      </c>
      <c r="E4" s="846" t="s">
        <v>477</v>
      </c>
      <c r="F4" s="848" t="s">
        <v>478</v>
      </c>
      <c r="G4" s="846" t="s">
        <v>479</v>
      </c>
    </row>
    <row r="5" spans="3:7" s="846" customFormat="1" ht="15.75">
      <c r="C5" s="846" t="s">
        <v>167</v>
      </c>
      <c r="D5" s="846" t="s">
        <v>480</v>
      </c>
      <c r="E5" s="846" t="s">
        <v>480</v>
      </c>
      <c r="F5" s="848" t="s">
        <v>481</v>
      </c>
      <c r="G5" s="846" t="s">
        <v>482</v>
      </c>
    </row>
    <row r="6" ht="15.75">
      <c r="A6" s="849" t="s">
        <v>483</v>
      </c>
    </row>
    <row r="7" spans="2:7" ht="15.75">
      <c r="B7" s="849" t="s">
        <v>484</v>
      </c>
      <c r="C7" s="845">
        <v>961068580</v>
      </c>
      <c r="D7" s="845">
        <v>182031280</v>
      </c>
      <c r="E7" s="845">
        <v>43720830</v>
      </c>
      <c r="G7" s="845">
        <f>+C7-D7-E7</f>
        <v>735316470</v>
      </c>
    </row>
    <row r="8" spans="2:7" ht="15.75">
      <c r="B8" s="849" t="s">
        <v>485</v>
      </c>
      <c r="G8" s="845">
        <f>+'[2]Sch 1- Rate Base '!F44-'[2]Sch 1- Rate Base '!F65</f>
        <v>34588116</v>
      </c>
    </row>
    <row r="10" ht="16.5" thickBot="1">
      <c r="G10" s="850">
        <f>SUM(G7:G9)</f>
        <v>769904586</v>
      </c>
    </row>
    <row r="11" ht="16.5" thickTop="1"/>
    <row r="12" spans="2:7" ht="15.75">
      <c r="B12" s="849" t="s">
        <v>486</v>
      </c>
      <c r="G12" s="845">
        <f>+'Sch 1- Rate Base '!G79</f>
        <v>707203884</v>
      </c>
    </row>
    <row r="13" spans="2:7" ht="15.75">
      <c r="B13" s="849" t="s">
        <v>586</v>
      </c>
      <c r="G13" s="845">
        <f>+'Sch 1- Rate Base '!G91</f>
        <v>59321698</v>
      </c>
    </row>
    <row r="14" spans="2:7" ht="15.75">
      <c r="B14" s="849" t="s">
        <v>487</v>
      </c>
      <c r="C14" s="845">
        <v>1182121</v>
      </c>
      <c r="D14" s="845">
        <v>909401</v>
      </c>
      <c r="G14" s="845">
        <f>+C14-D14-E14-F14</f>
        <v>272720</v>
      </c>
    </row>
    <row r="15" spans="2:7" ht="15.75">
      <c r="B15" s="849" t="s">
        <v>488</v>
      </c>
      <c r="G15" s="845">
        <f>+'[2]Sch 1- Rate Base '!F85</f>
        <v>3106285</v>
      </c>
    </row>
    <row r="16" ht="15.75">
      <c r="G16" s="851">
        <f>SUM(G12:G15)</f>
        <v>769904587</v>
      </c>
    </row>
    <row r="17" ht="15.75">
      <c r="G17" s="852"/>
    </row>
    <row r="18" ht="15.75">
      <c r="G18" s="852"/>
    </row>
    <row r="19" spans="1:7" ht="15.75">
      <c r="A19" s="849" t="s">
        <v>489</v>
      </c>
      <c r="G19" s="845">
        <f>+'[3]Sch 1- Rate Base '!G79</f>
        <v>13235774.625</v>
      </c>
    </row>
    <row r="21" spans="1:7" ht="15.75">
      <c r="A21" s="849" t="s">
        <v>490</v>
      </c>
      <c r="C21" s="845">
        <v>4900</v>
      </c>
      <c r="D21" s="845">
        <v>4900</v>
      </c>
      <c r="G21" s="845">
        <f>+C21-D21-E21-F21</f>
        <v>0</v>
      </c>
    </row>
    <row r="23" spans="1:7" ht="15.75">
      <c r="A23" s="849" t="s">
        <v>491</v>
      </c>
      <c r="C23" s="845">
        <v>1541359</v>
      </c>
      <c r="D23" s="845">
        <v>1045314</v>
      </c>
      <c r="F23" s="845">
        <v>496045</v>
      </c>
      <c r="G23" s="845">
        <f>+C23-D23-E23-F23</f>
        <v>0</v>
      </c>
    </row>
    <row r="25" spans="1:7" ht="15.75">
      <c r="A25" s="849" t="s">
        <v>492</v>
      </c>
      <c r="C25" s="845">
        <v>3313948</v>
      </c>
      <c r="D25" s="845">
        <v>2300646</v>
      </c>
      <c r="E25" s="845">
        <v>722972</v>
      </c>
      <c r="G25" s="845">
        <f>+C25-D25-E25</f>
        <v>290330</v>
      </c>
    </row>
    <row r="27" spans="1:7" ht="15.75">
      <c r="A27" s="849" t="s">
        <v>493</v>
      </c>
      <c r="C27" s="845">
        <v>17902740</v>
      </c>
      <c r="D27" s="845">
        <v>4313984</v>
      </c>
      <c r="E27" s="845">
        <v>1473527</v>
      </c>
      <c r="F27" s="845">
        <v>3272151</v>
      </c>
      <c r="G27" s="845">
        <f>+C27-D27-E27-F27</f>
        <v>8843078</v>
      </c>
    </row>
    <row r="29" spans="1:7" ht="15.75">
      <c r="A29" s="849" t="s">
        <v>494</v>
      </c>
      <c r="C29" s="845">
        <v>9964222</v>
      </c>
      <c r="D29" s="845">
        <v>4631107</v>
      </c>
      <c r="E29" s="845">
        <v>719461</v>
      </c>
      <c r="F29" s="845">
        <v>4613654</v>
      </c>
      <c r="G29" s="845">
        <f>+C29-D29-E29-F29</f>
        <v>0</v>
      </c>
    </row>
    <row r="31" spans="1:7" ht="15.75">
      <c r="A31" s="849" t="s">
        <v>495</v>
      </c>
      <c r="C31" s="845">
        <v>17255590</v>
      </c>
      <c r="D31" s="845">
        <f>+'[4]Data - NW'!$J$118</f>
        <v>6562875</v>
      </c>
      <c r="F31" s="845">
        <f>+'[4]Data - NW'!$M$118</f>
        <v>3552120</v>
      </c>
      <c r="G31" s="845">
        <f>+C31-D31-E31-F31</f>
        <v>7140595</v>
      </c>
    </row>
    <row r="33" spans="1:7" ht="15.75">
      <c r="A33" s="849" t="s">
        <v>496</v>
      </c>
      <c r="C33" s="845">
        <v>148502899</v>
      </c>
      <c r="D33" s="845">
        <f>16711035+253835</f>
        <v>16964870</v>
      </c>
      <c r="F33" s="845">
        <v>37493237</v>
      </c>
      <c r="G33" s="845">
        <f>+C33-D33-F33</f>
        <v>94044792</v>
      </c>
    </row>
    <row r="35" spans="1:7" ht="15.75">
      <c r="A35" s="849" t="s">
        <v>497</v>
      </c>
      <c r="C35" s="845">
        <v>43321</v>
      </c>
      <c r="D35" s="845">
        <v>43399</v>
      </c>
      <c r="G35" s="845">
        <f>+C35-D35-F35</f>
        <v>-78</v>
      </c>
    </row>
    <row r="37" spans="1:7" ht="15.75">
      <c r="A37" s="849" t="s">
        <v>498</v>
      </c>
      <c r="C37" s="845">
        <v>78</v>
      </c>
      <c r="G37" s="845">
        <f>+C37-D37-F37</f>
        <v>78</v>
      </c>
    </row>
    <row r="39" spans="1:7" ht="15.75">
      <c r="A39" s="849" t="s">
        <v>499</v>
      </c>
      <c r="C39" s="845">
        <v>21279929</v>
      </c>
      <c r="D39" s="845">
        <v>5790</v>
      </c>
      <c r="E39" s="845">
        <f>1061546+19773125</f>
        <v>20834671</v>
      </c>
      <c r="F39" s="845">
        <f>-100216228+100655696</f>
        <v>439468</v>
      </c>
      <c r="G39" s="845">
        <f>+C39-D39-E39-F39</f>
        <v>0</v>
      </c>
    </row>
    <row r="41" spans="1:7" ht="15.75">
      <c r="A41" s="849" t="s">
        <v>500</v>
      </c>
      <c r="C41" s="845">
        <v>45646258</v>
      </c>
      <c r="D41" s="845">
        <f>12181026+243679330-202704741</f>
        <v>53155615</v>
      </c>
      <c r="E41" s="845">
        <v>-783484</v>
      </c>
      <c r="F41" s="845">
        <f>+'[4]Data - NW'!$M$131</f>
        <v>-1344511</v>
      </c>
      <c r="G41" s="845">
        <f>+C41-D41-E41-F41</f>
        <v>-5381362</v>
      </c>
    </row>
    <row r="43" spans="1:7" ht="15.75">
      <c r="A43" s="849" t="s">
        <v>501</v>
      </c>
      <c r="C43" s="845">
        <v>4637192</v>
      </c>
      <c r="D43" s="845">
        <f>+'[4]Data - NW'!$J$130</f>
        <v>243563</v>
      </c>
      <c r="F43" s="845">
        <f>+'[4]Data - NW'!$M$130</f>
        <v>1459564</v>
      </c>
      <c r="G43" s="845">
        <f>+C43-F43-D43</f>
        <v>2934065</v>
      </c>
    </row>
    <row r="45" spans="1:7" ht="15.75">
      <c r="A45" s="849" t="s">
        <v>502</v>
      </c>
      <c r="C45" s="845">
        <v>4331833</v>
      </c>
      <c r="D45" s="845">
        <v>3798270</v>
      </c>
      <c r="F45" s="845">
        <v>533563</v>
      </c>
      <c r="G45" s="845">
        <f>+C45-D45-F45</f>
        <v>0</v>
      </c>
    </row>
    <row r="46" ht="15.75">
      <c r="A46" s="12"/>
    </row>
    <row r="47" spans="1:7" ht="15.75">
      <c r="A47" s="12" t="s">
        <v>503</v>
      </c>
      <c r="C47" s="845">
        <v>-33501677</v>
      </c>
      <c r="F47" s="845">
        <f>-6235537-49634</f>
        <v>-6285171</v>
      </c>
      <c r="G47" s="845">
        <f>+C47-D47-F47</f>
        <v>-27216506</v>
      </c>
    </row>
    <row r="48" ht="15.75">
      <c r="A48" s="12"/>
    </row>
    <row r="49" spans="1:7" ht="15.75">
      <c r="A49" s="12" t="s">
        <v>504</v>
      </c>
      <c r="C49" s="845">
        <v>-87874078</v>
      </c>
      <c r="D49" s="845">
        <f>-18668855-4447530</f>
        <v>-23116385</v>
      </c>
      <c r="E49" s="845">
        <v>-1405335</v>
      </c>
      <c r="F49" s="845">
        <f>+G49-C49-D49-E49</f>
        <v>73204508</v>
      </c>
      <c r="G49" s="845">
        <f>+'[1]Functional Reg Assets'!$E$28</f>
        <v>-39191290</v>
      </c>
    </row>
    <row r="50" ht="15.75">
      <c r="A50" s="12"/>
    </row>
    <row r="51" spans="1:7" ht="15.75">
      <c r="A51" s="12" t="s">
        <v>505</v>
      </c>
      <c r="C51" s="845">
        <v>-26296808</v>
      </c>
      <c r="D51" s="845">
        <f>-9850155+120638</f>
        <v>-9729517</v>
      </c>
      <c r="F51" s="845">
        <f>-'[4]Data - NW'!$M$155</f>
        <v>-15972990</v>
      </c>
      <c r="G51" s="845">
        <f>+C51-D51-E51-F51</f>
        <v>-594301</v>
      </c>
    </row>
    <row r="53" spans="1:7" ht="15.75">
      <c r="A53" s="849" t="s">
        <v>506</v>
      </c>
      <c r="C53" s="845">
        <v>-109939850</v>
      </c>
      <c r="D53" s="845">
        <f>-41905647-20599829</f>
        <v>-62505476</v>
      </c>
      <c r="E53" s="845">
        <v>-3653008</v>
      </c>
      <c r="F53" s="845">
        <f>-'[4]Data - NW'!$M$158+41350475</f>
        <v>19148091</v>
      </c>
      <c r="G53" s="845">
        <f>+C53-D53-E53-F53</f>
        <v>-62929457</v>
      </c>
    </row>
    <row r="55" spans="1:7" ht="15.75">
      <c r="A55" s="849" t="s">
        <v>507</v>
      </c>
      <c r="C55" s="845">
        <v>-50367990</v>
      </c>
      <c r="D55" s="845">
        <f>-1435889-193886196+202704741</f>
        <v>7382656</v>
      </c>
      <c r="E55" s="845">
        <v>-538730</v>
      </c>
      <c r="F55" s="845">
        <f>-'[4]Data - NW'!$M$159-38161738</f>
        <v>-45919489</v>
      </c>
      <c r="G55" s="845">
        <f>+C55-D55-E55-F55</f>
        <v>-11292427</v>
      </c>
    </row>
    <row r="57" ht="16.5" thickBot="1">
      <c r="G57" s="850">
        <f>SUM(G16:G55)</f>
        <v>749787878.625</v>
      </c>
    </row>
    <row r="58" ht="16.5" thickTop="1"/>
  </sheetData>
  <mergeCells count="3">
    <mergeCell ref="B1:G1"/>
    <mergeCell ref="B2:G2"/>
    <mergeCell ref="B3:G3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F12"/>
  <sheetViews>
    <sheetView workbookViewId="0" topLeftCell="A1">
      <selection activeCell="F24" sqref="F24"/>
    </sheetView>
  </sheetViews>
  <sheetFormatPr defaultColWidth="9.00390625" defaultRowHeight="15.75"/>
  <cols>
    <col min="1" max="1" width="4.125" style="845" customWidth="1"/>
    <col min="2" max="2" width="23.75390625" style="845" customWidth="1"/>
    <col min="3" max="4" width="14.75390625" style="845" customWidth="1"/>
    <col min="5" max="5" width="18.75390625" style="845" bestFit="1" customWidth="1"/>
    <col min="6" max="6" width="14.75390625" style="845" customWidth="1"/>
    <col min="7" max="16384" width="9.00390625" style="845" customWidth="1"/>
  </cols>
  <sheetData>
    <row r="1" spans="2:6" ht="15.75">
      <c r="B1" s="1036" t="s">
        <v>473</v>
      </c>
      <c r="C1" s="1036"/>
      <c r="D1" s="1036"/>
      <c r="E1" s="1036"/>
      <c r="F1" s="1036"/>
    </row>
    <row r="2" spans="2:6" ht="15.75">
      <c r="B2" s="1036" t="s">
        <v>474</v>
      </c>
      <c r="C2" s="1036"/>
      <c r="D2" s="1036"/>
      <c r="E2" s="1036"/>
      <c r="F2" s="1036"/>
    </row>
    <row r="3" spans="2:6" ht="15.75">
      <c r="B3" s="1036"/>
      <c r="C3" s="1036"/>
      <c r="D3" s="1036"/>
      <c r="E3" s="1036"/>
      <c r="F3" s="1036"/>
    </row>
    <row r="4" spans="1:6" ht="15.75">
      <c r="A4" s="846"/>
      <c r="B4" s="846"/>
      <c r="C4" s="847" t="s">
        <v>475</v>
      </c>
      <c r="D4" s="846" t="s">
        <v>476</v>
      </c>
      <c r="E4" s="848" t="s">
        <v>508</v>
      </c>
      <c r="F4" s="846" t="s">
        <v>479</v>
      </c>
    </row>
    <row r="5" spans="1:6" ht="15.75">
      <c r="A5" s="846"/>
      <c r="B5" s="846"/>
      <c r="C5" s="846" t="s">
        <v>167</v>
      </c>
      <c r="D5" s="846" t="s">
        <v>480</v>
      </c>
      <c r="E5" s="848" t="s">
        <v>481</v>
      </c>
      <c r="F5" s="846" t="s">
        <v>482</v>
      </c>
    </row>
    <row r="6" ht="15.75">
      <c r="A6" s="849" t="s">
        <v>509</v>
      </c>
    </row>
    <row r="7" spans="2:6" ht="15.75">
      <c r="B7" s="845" t="s">
        <v>510</v>
      </c>
      <c r="C7" s="845">
        <v>475777308</v>
      </c>
      <c r="D7" s="845">
        <v>56272314.67</v>
      </c>
      <c r="E7" s="845">
        <f>56217493-39705795</f>
        <v>16511698</v>
      </c>
      <c r="F7" s="845">
        <f>+C7-D7-E7</f>
        <v>402993295.33</v>
      </c>
    </row>
    <row r="8" spans="2:6" ht="15.75">
      <c r="B8" s="845" t="s">
        <v>511</v>
      </c>
      <c r="C8" s="845">
        <v>34540170</v>
      </c>
      <c r="D8" s="845">
        <v>6473754</v>
      </c>
      <c r="E8" s="845">
        <v>6096861</v>
      </c>
      <c r="F8" s="845">
        <f>+C8-D8-E8</f>
        <v>21969555</v>
      </c>
    </row>
    <row r="9" spans="2:6" ht="15.75">
      <c r="B9" s="845" t="s">
        <v>512</v>
      </c>
      <c r="C9" s="845">
        <v>60465627</v>
      </c>
      <c r="D9" s="845">
        <v>13409630</v>
      </c>
      <c r="E9" s="845">
        <v>1587195</v>
      </c>
      <c r="F9" s="845">
        <f>+C9-D9-E9</f>
        <v>45468802</v>
      </c>
    </row>
    <row r="10" spans="2:6" ht="15.75">
      <c r="B10" s="845" t="s">
        <v>513</v>
      </c>
      <c r="C10" s="845">
        <v>4163881</v>
      </c>
      <c r="D10" s="845">
        <v>1182821</v>
      </c>
      <c r="E10" s="845">
        <v>10557</v>
      </c>
      <c r="F10" s="845">
        <f>+C10-D10-E10</f>
        <v>2970503</v>
      </c>
    </row>
    <row r="11" spans="2:6" ht="15.75">
      <c r="B11" s="845" t="s">
        <v>514</v>
      </c>
      <c r="C11" s="845">
        <v>-4998960</v>
      </c>
      <c r="E11" s="845">
        <v>-5093874</v>
      </c>
      <c r="F11" s="853">
        <f>+C11-E11</f>
        <v>94914</v>
      </c>
    </row>
    <row r="12" ht="15.75">
      <c r="F12" s="853">
        <f>SUM(F7:F11)</f>
        <v>473497069.33</v>
      </c>
    </row>
  </sheetData>
  <mergeCells count="3">
    <mergeCell ref="B1:F1"/>
    <mergeCell ref="B2:F2"/>
    <mergeCell ref="B3:F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21"/>
  <sheetViews>
    <sheetView workbookViewId="0" topLeftCell="C1">
      <selection activeCell="E25" sqref="E25"/>
    </sheetView>
  </sheetViews>
  <sheetFormatPr defaultColWidth="9.00390625" defaultRowHeight="15.75"/>
  <cols>
    <col min="1" max="1" width="4.25390625" style="0" customWidth="1"/>
    <col min="2" max="2" width="22.125" style="0" customWidth="1"/>
    <col min="3" max="6" width="16.50390625" style="0" customWidth="1"/>
  </cols>
  <sheetData>
    <row r="1" spans="2:6" s="845" customFormat="1" ht="15.75">
      <c r="B1" s="1036" t="s">
        <v>473</v>
      </c>
      <c r="C1" s="1036"/>
      <c r="D1" s="1036"/>
      <c r="E1" s="1036"/>
      <c r="F1" s="1036"/>
    </row>
    <row r="2" spans="2:6" s="845" customFormat="1" ht="15.75">
      <c r="B2" s="1036" t="s">
        <v>474</v>
      </c>
      <c r="C2" s="1036"/>
      <c r="D2" s="1036"/>
      <c r="E2" s="1036"/>
      <c r="F2" s="1036"/>
    </row>
    <row r="3" spans="2:6" s="845" customFormat="1" ht="15.75">
      <c r="B3" s="1036"/>
      <c r="C3" s="1036"/>
      <c r="D3" s="1036"/>
      <c r="E3" s="1036"/>
      <c r="F3" s="1036"/>
    </row>
    <row r="4" spans="1:6" s="845" customFormat="1" ht="15.75">
      <c r="A4" s="846"/>
      <c r="B4" s="846"/>
      <c r="C4" s="847" t="s">
        <v>475</v>
      </c>
      <c r="D4" s="846" t="s">
        <v>476</v>
      </c>
      <c r="E4" s="848" t="s">
        <v>508</v>
      </c>
      <c r="F4" s="846" t="s">
        <v>479</v>
      </c>
    </row>
    <row r="5" spans="1:6" s="845" customFormat="1" ht="15.75">
      <c r="A5" s="846"/>
      <c r="B5" s="846"/>
      <c r="C5" s="846" t="s">
        <v>167</v>
      </c>
      <c r="D5" s="846" t="s">
        <v>480</v>
      </c>
      <c r="E5" s="848" t="s">
        <v>481</v>
      </c>
      <c r="F5" s="846" t="s">
        <v>482</v>
      </c>
    </row>
    <row r="6" spans="1:6" s="845" customFormat="1" ht="15.75">
      <c r="A6" s="846"/>
      <c r="B6" s="846"/>
      <c r="C6" s="846"/>
      <c r="D6" s="846"/>
      <c r="E6" s="848"/>
      <c r="F6" s="846"/>
    </row>
    <row r="7" spans="1:6" s="845" customFormat="1" ht="16.5" thickBot="1">
      <c r="A7" s="849" t="s">
        <v>515</v>
      </c>
      <c r="C7" s="845">
        <f>63102117+2525630.59+31936517.14</f>
        <v>97564264.73</v>
      </c>
      <c r="D7" s="845">
        <f>4433608+1001+11797027.13</f>
        <v>16231636.13</v>
      </c>
      <c r="E7" s="845">
        <f>2846155+677235-721285+5402445.01-5753841</f>
        <v>2450709.01</v>
      </c>
      <c r="F7" s="850">
        <f>+C7-D7-E7</f>
        <v>78881919.59</v>
      </c>
    </row>
    <row r="8" spans="1:6" s="845" customFormat="1" ht="16.5" thickTop="1">
      <c r="A8" s="846"/>
      <c r="B8" s="846"/>
      <c r="C8" s="846"/>
      <c r="D8" s="846"/>
      <c r="E8" s="848"/>
      <c r="F8" s="846"/>
    </row>
    <row r="9" spans="1:6" s="845" customFormat="1" ht="15.75">
      <c r="A9" s="846"/>
      <c r="B9" s="846"/>
      <c r="C9" s="846"/>
      <c r="D9" s="846"/>
      <c r="E9" s="848"/>
      <c r="F9" s="846"/>
    </row>
    <row r="10" spans="1:6" s="845" customFormat="1" ht="15.75">
      <c r="A10" s="846"/>
      <c r="B10" s="846"/>
      <c r="C10" s="846"/>
      <c r="D10" s="846"/>
      <c r="E10" s="848"/>
      <c r="F10" s="846"/>
    </row>
    <row r="11" spans="1:6" s="845" customFormat="1" ht="15.75">
      <c r="A11" s="846"/>
      <c r="B11" s="846"/>
      <c r="C11" s="846"/>
      <c r="D11" s="846"/>
      <c r="E11" s="848"/>
      <c r="F11" s="846"/>
    </row>
    <row r="12" s="845" customFormat="1" ht="15.75">
      <c r="A12" s="849" t="s">
        <v>516</v>
      </c>
    </row>
    <row r="13" spans="2:6" s="845" customFormat="1" ht="15.75">
      <c r="B13" s="849" t="s">
        <v>517</v>
      </c>
      <c r="C13" s="845">
        <v>16039714</v>
      </c>
      <c r="F13" s="845">
        <f>+C13-D13-E13</f>
        <v>16039714</v>
      </c>
    </row>
    <row r="14" spans="2:6" s="845" customFormat="1" ht="15.75">
      <c r="B14" s="849" t="s">
        <v>518</v>
      </c>
      <c r="C14" s="852">
        <v>-8358898</v>
      </c>
      <c r="D14" s="845">
        <v>408926</v>
      </c>
      <c r="F14" s="853">
        <f>+C14-D14-E14</f>
        <v>-8767824</v>
      </c>
    </row>
    <row r="15" s="845" customFormat="1" ht="15.75">
      <c r="F15" s="851">
        <f>SUM(F13:F14)</f>
        <v>7271890</v>
      </c>
    </row>
    <row r="16" s="845" customFormat="1" ht="15.75"/>
    <row r="17" s="845" customFormat="1" ht="15.75">
      <c r="A17" s="849" t="s">
        <v>519</v>
      </c>
    </row>
    <row r="18" spans="2:6" s="845" customFormat="1" ht="15.75">
      <c r="B18" s="849" t="s">
        <v>520</v>
      </c>
      <c r="C18" s="845">
        <v>757313087</v>
      </c>
      <c r="D18" s="845">
        <v>110463197</v>
      </c>
      <c r="E18" s="845">
        <f>88992023-39705795</f>
        <v>49286228</v>
      </c>
      <c r="F18" s="845">
        <f>+C18-D18-E18</f>
        <v>597563662</v>
      </c>
    </row>
    <row r="19" spans="2:6" s="845" customFormat="1" ht="15.75">
      <c r="B19" s="849" t="s">
        <v>521</v>
      </c>
      <c r="C19" s="845">
        <v>648640639</v>
      </c>
      <c r="D19" s="845">
        <v>99064100</v>
      </c>
      <c r="E19" s="845">
        <f>85169050-36108942</f>
        <v>49060108</v>
      </c>
      <c r="F19" s="853">
        <f>+C19-D19-E19</f>
        <v>500516431</v>
      </c>
    </row>
    <row r="20" s="845" customFormat="1" ht="15.75">
      <c r="F20" s="851">
        <f>+F18-F19</f>
        <v>97047231</v>
      </c>
    </row>
    <row r="21" spans="1:6" s="845" customFormat="1" ht="16.5" thickBot="1">
      <c r="A21" s="849" t="s">
        <v>522</v>
      </c>
      <c r="F21" s="854">
        <f>+F20-F15</f>
        <v>89775341</v>
      </c>
    </row>
    <row r="22" s="845" customFormat="1" ht="16.5" thickTop="1"/>
  </sheetData>
  <mergeCells count="3">
    <mergeCell ref="B1:F1"/>
    <mergeCell ref="B2:F2"/>
    <mergeCell ref="B3:F3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32"/>
  <sheetViews>
    <sheetView workbookViewId="0" topLeftCell="A11">
      <selection activeCell="F20" sqref="F20"/>
    </sheetView>
  </sheetViews>
  <sheetFormatPr defaultColWidth="9.00390625" defaultRowHeight="15.75"/>
  <cols>
    <col min="1" max="1" width="27.375" style="856" bestFit="1" customWidth="1"/>
    <col min="2" max="5" width="19.00390625" style="856" customWidth="1"/>
    <col min="6" max="6" width="14.50390625" style="856" customWidth="1"/>
    <col min="7" max="16384" width="9.00390625" style="856" customWidth="1"/>
  </cols>
  <sheetData>
    <row r="1" spans="1:4" ht="15.75">
      <c r="A1" s="1037" t="s">
        <v>472</v>
      </c>
      <c r="B1" s="1037"/>
      <c r="C1" s="1037"/>
      <c r="D1" s="1037"/>
    </row>
    <row r="2" spans="1:4" ht="15.75">
      <c r="A2" s="1038" t="s">
        <v>447</v>
      </c>
      <c r="B2" s="1037"/>
      <c r="C2" s="1037"/>
      <c r="D2" s="1037"/>
    </row>
    <row r="3" spans="1:4" ht="15.75">
      <c r="A3" s="1039" t="s">
        <v>523</v>
      </c>
      <c r="B3" s="1037"/>
      <c r="C3" s="1037"/>
      <c r="D3" s="1037"/>
    </row>
    <row r="5" spans="1:6" ht="15.75">
      <c r="A5" s="855"/>
      <c r="B5" s="855" t="s">
        <v>524</v>
      </c>
      <c r="C5" s="855" t="s">
        <v>525</v>
      </c>
      <c r="D5" s="855" t="s">
        <v>526</v>
      </c>
      <c r="E5" s="858" t="s">
        <v>527</v>
      </c>
      <c r="F5" s="860" t="s">
        <v>585</v>
      </c>
    </row>
    <row r="6" spans="1:4" ht="15.75">
      <c r="A6" s="856" t="s">
        <v>528</v>
      </c>
      <c r="B6" s="856">
        <v>8950772.73</v>
      </c>
      <c r="C6" s="856">
        <v>-3697392.35</v>
      </c>
      <c r="D6" s="856">
        <f>SUM(B6:C6)</f>
        <v>5253380.380000001</v>
      </c>
    </row>
    <row r="7" spans="1:4" ht="15.75">
      <c r="A7" s="856" t="s">
        <v>529</v>
      </c>
      <c r="B7" s="856">
        <v>21109116.79</v>
      </c>
      <c r="C7" s="856">
        <v>-12497060.13</v>
      </c>
      <c r="D7" s="856">
        <f aca="true" t="shared" si="0" ref="D7:D17">SUM(B7:C7)</f>
        <v>8612056.659999998</v>
      </c>
    </row>
    <row r="8" spans="1:4" ht="15.75">
      <c r="A8" s="856" t="s">
        <v>530</v>
      </c>
      <c r="B8" s="856">
        <v>2742536.05</v>
      </c>
      <c r="C8" s="856">
        <v>157995.71</v>
      </c>
      <c r="D8" s="856">
        <f t="shared" si="0"/>
        <v>2900531.76</v>
      </c>
    </row>
    <row r="9" spans="1:4" ht="15.75">
      <c r="A9" s="856" t="s">
        <v>531</v>
      </c>
      <c r="B9" s="856">
        <v>227741.61</v>
      </c>
      <c r="C9" s="856">
        <v>1197.4</v>
      </c>
      <c r="D9" s="856">
        <f t="shared" si="0"/>
        <v>228939.00999999998</v>
      </c>
    </row>
    <row r="10" spans="1:4" ht="15.75">
      <c r="A10" s="856" t="s">
        <v>532</v>
      </c>
      <c r="B10" s="856">
        <v>29409811</v>
      </c>
      <c r="C10" s="856">
        <v>-6389266.27</v>
      </c>
      <c r="D10" s="856">
        <f t="shared" si="0"/>
        <v>23020544.73</v>
      </c>
    </row>
    <row r="11" spans="1:4" ht="15.75">
      <c r="A11" s="856" t="s">
        <v>533</v>
      </c>
      <c r="B11" s="856">
        <v>1963518.36</v>
      </c>
      <c r="C11" s="856">
        <v>-205367.89</v>
      </c>
      <c r="D11" s="856">
        <f t="shared" si="0"/>
        <v>1758150.4700000002</v>
      </c>
    </row>
    <row r="12" spans="1:4" ht="15.75">
      <c r="A12" s="856" t="s">
        <v>534</v>
      </c>
      <c r="B12" s="856">
        <v>3056466.01</v>
      </c>
      <c r="C12" s="856">
        <v>-2541705.36</v>
      </c>
      <c r="D12" s="856">
        <f t="shared" si="0"/>
        <v>514760.6499999999</v>
      </c>
    </row>
    <row r="13" spans="1:4" ht="15.75">
      <c r="A13" s="856" t="s">
        <v>535</v>
      </c>
      <c r="B13" s="856">
        <v>2869429.4</v>
      </c>
      <c r="C13" s="856">
        <v>-2405948.09</v>
      </c>
      <c r="D13" s="856">
        <f t="shared" si="0"/>
        <v>463481.31000000006</v>
      </c>
    </row>
    <row r="14" spans="1:4" ht="15.75">
      <c r="A14" s="856" t="s">
        <v>536</v>
      </c>
      <c r="B14" s="856">
        <v>3325536.22</v>
      </c>
      <c r="C14" s="856">
        <v>-1248338.85</v>
      </c>
      <c r="D14" s="856">
        <f t="shared" si="0"/>
        <v>2077197.37</v>
      </c>
    </row>
    <row r="15" spans="1:4" ht="15.75">
      <c r="A15" s="856" t="s">
        <v>537</v>
      </c>
      <c r="B15" s="856">
        <v>10136570.82</v>
      </c>
      <c r="C15" s="856">
        <v>-3061535.31</v>
      </c>
      <c r="D15" s="856">
        <f t="shared" si="0"/>
        <v>7075035.51</v>
      </c>
    </row>
    <row r="16" spans="1:4" ht="15.75">
      <c r="A16" s="856" t="s">
        <v>538</v>
      </c>
      <c r="B16" s="856">
        <v>3924409.05</v>
      </c>
      <c r="C16" s="856">
        <v>-3872276.8</v>
      </c>
      <c r="D16" s="856">
        <f t="shared" si="0"/>
        <v>52132.25</v>
      </c>
    </row>
    <row r="17" spans="1:5" ht="15.75">
      <c r="A17" s="856" t="s">
        <v>539</v>
      </c>
      <c r="B17" s="859">
        <v>1113077.87</v>
      </c>
      <c r="C17" s="859">
        <v>-843476.9</v>
      </c>
      <c r="D17" s="859">
        <f t="shared" si="0"/>
        <v>269600.9700000001</v>
      </c>
      <c r="E17" s="859"/>
    </row>
    <row r="19" spans="2:6" ht="15.75">
      <c r="B19" s="859">
        <f>SUM(B5:B17)</f>
        <v>88828985.91000001</v>
      </c>
      <c r="C19" s="859">
        <f>SUM(C5:C17)</f>
        <v>-36603174.839999996</v>
      </c>
      <c r="D19" s="859">
        <f>SUM(D5:D17)</f>
        <v>52225811.06999999</v>
      </c>
      <c r="E19" s="859">
        <v>2368299.15</v>
      </c>
      <c r="F19" s="856">
        <v>3557551.96</v>
      </c>
    </row>
    <row r="21" ht="15.75">
      <c r="A21" s="860" t="s">
        <v>540</v>
      </c>
    </row>
    <row r="22" spans="1:6" ht="15.75">
      <c r="A22" s="860" t="s">
        <v>541</v>
      </c>
      <c r="B22" s="856">
        <v>59321697.93</v>
      </c>
      <c r="C22" s="856">
        <v>-24733582.11</v>
      </c>
      <c r="D22" s="856">
        <f>+B22+C22</f>
        <v>34588115.82</v>
      </c>
      <c r="E22" s="856">
        <v>1586760.45</v>
      </c>
      <c r="F22" s="856">
        <v>2383559.82</v>
      </c>
    </row>
    <row r="24" ht="15.75">
      <c r="A24" s="860" t="s">
        <v>542</v>
      </c>
    </row>
    <row r="25" ht="15.75">
      <c r="A25" s="860" t="s">
        <v>543</v>
      </c>
    </row>
    <row r="26" ht="15.75">
      <c r="A26" s="860" t="s">
        <v>544</v>
      </c>
    </row>
    <row r="27" ht="15.75">
      <c r="A27" s="860" t="s">
        <v>545</v>
      </c>
    </row>
    <row r="28" ht="15.75">
      <c r="A28" s="860" t="s">
        <v>546</v>
      </c>
    </row>
    <row r="29" spans="1:6" ht="15.75">
      <c r="A29" s="860" t="s">
        <v>547</v>
      </c>
      <c r="B29" s="856">
        <f>ROUND(B22*Ratios!$E50,2)</f>
        <v>126167.57</v>
      </c>
      <c r="C29" s="856">
        <f>ROUND(C22*Ratios!$E50,2)</f>
        <v>-52604.29</v>
      </c>
      <c r="D29" s="856">
        <f>ROUND(D22*Ratios!$E50,2)</f>
        <v>73563.28</v>
      </c>
      <c r="E29" s="856">
        <f>ROUND(E22*Ratios!$E50,2)</f>
        <v>3374.78</v>
      </c>
      <c r="F29" s="856">
        <f>ROUND(F22*Ratios!$E50,2)</f>
        <v>5069.44</v>
      </c>
    </row>
    <row r="30" spans="1:6" ht="15.75">
      <c r="A30" s="860" t="s">
        <v>548</v>
      </c>
      <c r="B30" s="856">
        <f>ROUND(B22*Ratios!$F50,2)</f>
        <v>21304277.41</v>
      </c>
      <c r="C30" s="856">
        <f>ROUND(C22*Ratios!$F50,2)</f>
        <v>-8882603.05</v>
      </c>
      <c r="D30" s="856">
        <f>ROUND(D22*Ratios!$F50,2)</f>
        <v>12421674.37</v>
      </c>
      <c r="E30" s="856">
        <f>ROUND(E22*Ratios!$F50,2)</f>
        <v>569855.31</v>
      </c>
      <c r="F30" s="856">
        <f>ROUND(F22*Ratios!$F50,2)</f>
        <v>856010.89</v>
      </c>
    </row>
    <row r="31" spans="1:6" ht="15.75">
      <c r="A31" s="860" t="s">
        <v>549</v>
      </c>
      <c r="B31" s="859">
        <f>ROUND(B22*Ratios!$G50,2)</f>
        <v>37891252.95</v>
      </c>
      <c r="C31" s="859">
        <f>ROUND(C22*Ratios!$G50,2)</f>
        <v>-15798374.77</v>
      </c>
      <c r="D31" s="859">
        <f>ROUND(D22*Ratios!$G50,2)</f>
        <v>22092878.17</v>
      </c>
      <c r="E31" s="859">
        <f>ROUND(E22*Ratios!$G50,2)</f>
        <v>1013530.36</v>
      </c>
      <c r="F31" s="859">
        <f>ROUND(F22*Ratios!$G50,2)</f>
        <v>1522479.48</v>
      </c>
    </row>
    <row r="32" spans="2:6" ht="15.75">
      <c r="B32" s="856">
        <f>SUM(B29:B31)</f>
        <v>59321697.93000001</v>
      </c>
      <c r="C32" s="856">
        <f>SUM(C29:C31)</f>
        <v>-24733582.11</v>
      </c>
      <c r="D32" s="856">
        <f>SUM(D29:D31)</f>
        <v>34588115.82</v>
      </c>
      <c r="E32" s="856">
        <f>SUM(E29:E31)</f>
        <v>1586760.4500000002</v>
      </c>
      <c r="F32" s="856">
        <f>SUM(F29:F31)</f>
        <v>2383559.81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39"/>
  <sheetViews>
    <sheetView workbookViewId="0" topLeftCell="A1">
      <selection activeCell="C21" sqref="C21:D21"/>
    </sheetView>
  </sheetViews>
  <sheetFormatPr defaultColWidth="9.00390625" defaultRowHeight="15.75"/>
  <cols>
    <col min="1" max="1" width="36.75390625" style="856" customWidth="1"/>
    <col min="2" max="2" width="16.875" style="856" customWidth="1"/>
    <col min="3" max="3" width="17.375" style="856" bestFit="1" customWidth="1"/>
    <col min="4" max="5" width="16.75390625" style="856" customWidth="1"/>
    <col min="6" max="16384" width="9.00390625" style="856" customWidth="1"/>
  </cols>
  <sheetData>
    <row r="1" spans="1:4" ht="15.75">
      <c r="A1" s="1037" t="s">
        <v>472</v>
      </c>
      <c r="B1" s="1037"/>
      <c r="C1" s="1037"/>
      <c r="D1" s="1037"/>
    </row>
    <row r="2" spans="1:4" ht="15.75">
      <c r="A2" s="1037" t="s">
        <v>550</v>
      </c>
      <c r="B2" s="1037"/>
      <c r="C2" s="1037"/>
      <c r="D2" s="1037"/>
    </row>
    <row r="3" spans="1:4" ht="15.75">
      <c r="A3" s="1039" t="s">
        <v>523</v>
      </c>
      <c r="B3" s="1037"/>
      <c r="C3" s="1037"/>
      <c r="D3" s="1037"/>
    </row>
    <row r="5" spans="2:5" s="855" customFormat="1" ht="15.75">
      <c r="B5" s="855" t="s">
        <v>524</v>
      </c>
      <c r="C5" s="855" t="s">
        <v>525</v>
      </c>
      <c r="D5" s="855" t="s">
        <v>526</v>
      </c>
      <c r="E5" s="858" t="s">
        <v>527</v>
      </c>
    </row>
    <row r="6" ht="15.75">
      <c r="A6" s="856" t="s">
        <v>551</v>
      </c>
    </row>
    <row r="7" ht="15.75">
      <c r="A7" s="856" t="s">
        <v>552</v>
      </c>
    </row>
    <row r="8" spans="1:5" ht="15.75">
      <c r="A8" s="860" t="s">
        <v>553</v>
      </c>
      <c r="B8" s="856">
        <v>9371.19</v>
      </c>
      <c r="C8" s="856">
        <v>-3748.48</v>
      </c>
      <c r="D8" s="856">
        <f>SUM(B8:C8)</f>
        <v>5622.710000000001</v>
      </c>
      <c r="E8" s="856">
        <v>1874.24</v>
      </c>
    </row>
    <row r="9" spans="1:4" ht="15.75">
      <c r="A9" s="860" t="s">
        <v>554</v>
      </c>
      <c r="B9" s="856">
        <v>125142.03</v>
      </c>
      <c r="D9" s="856">
        <f>SUM(B9:C9)</f>
        <v>125142.03</v>
      </c>
    </row>
    <row r="10" spans="1:4" ht="15.75">
      <c r="A10" s="860" t="s">
        <v>555</v>
      </c>
      <c r="B10" s="856">
        <v>93171.64</v>
      </c>
      <c r="D10" s="856">
        <f>SUM(B10:C10)</f>
        <v>93171.64</v>
      </c>
    </row>
    <row r="11" spans="1:5" ht="15.75">
      <c r="A11" s="860" t="s">
        <v>556</v>
      </c>
      <c r="B11" s="859">
        <v>24025</v>
      </c>
      <c r="C11" s="859">
        <v>-4805</v>
      </c>
      <c r="D11" s="859">
        <f>SUM(B11:C11)</f>
        <v>19220</v>
      </c>
      <c r="E11" s="859">
        <v>4805</v>
      </c>
    </row>
    <row r="12" spans="2:5" ht="15.75">
      <c r="B12" s="856">
        <f>SUM(B8:B11)</f>
        <v>251709.86</v>
      </c>
      <c r="C12" s="856">
        <f>SUM(C8:C11)</f>
        <v>-8553.48</v>
      </c>
      <c r="D12" s="856">
        <f>SUM(D8:D11)</f>
        <v>243156.38</v>
      </c>
      <c r="E12" s="856">
        <f>SUM(E8:E11)</f>
        <v>6679.24</v>
      </c>
    </row>
    <row r="14" ht="15.75">
      <c r="A14" s="856" t="s">
        <v>557</v>
      </c>
    </row>
    <row r="15" spans="1:5" ht="15.75">
      <c r="A15" s="856" t="s">
        <v>558</v>
      </c>
      <c r="B15" s="856">
        <v>3230.05</v>
      </c>
      <c r="C15" s="856">
        <v>-1292.02</v>
      </c>
      <c r="D15" s="856">
        <f>SUM(B15:C15)</f>
        <v>1938.0300000000002</v>
      </c>
      <c r="E15" s="856">
        <v>646.01</v>
      </c>
    </row>
    <row r="16" spans="1:5" ht="15.75">
      <c r="A16" s="860" t="s">
        <v>559</v>
      </c>
      <c r="B16" s="856">
        <v>12111.91</v>
      </c>
      <c r="C16" s="856">
        <v>-2422.38</v>
      </c>
      <c r="D16" s="856">
        <f>SUM(B16:C16)</f>
        <v>9689.529999999999</v>
      </c>
      <c r="E16" s="856">
        <v>2422.38</v>
      </c>
    </row>
    <row r="17" spans="1:5" ht="15.75">
      <c r="A17" s="860" t="s">
        <v>560</v>
      </c>
      <c r="B17" s="856">
        <v>35496.57</v>
      </c>
      <c r="C17" s="856">
        <v>-14198.62</v>
      </c>
      <c r="D17" s="856">
        <f>SUM(B17:C17)</f>
        <v>21297.949999999997</v>
      </c>
      <c r="E17" s="856">
        <v>7099.31</v>
      </c>
    </row>
    <row r="18" spans="1:5" ht="15.75">
      <c r="A18" s="860" t="s">
        <v>561</v>
      </c>
      <c r="B18" s="859">
        <v>5112.56</v>
      </c>
      <c r="C18" s="859"/>
      <c r="D18" s="859">
        <f>SUM(B18:C18)</f>
        <v>5112.56</v>
      </c>
      <c r="E18" s="859"/>
    </row>
    <row r="19" spans="2:5" ht="15.75">
      <c r="B19" s="861">
        <f>SUM(B15:B18)</f>
        <v>55951.09</v>
      </c>
      <c r="C19" s="861">
        <f>SUM(C15:C18)</f>
        <v>-17913.02</v>
      </c>
      <c r="D19" s="861">
        <f>SUM(D15:D18)</f>
        <v>38038.06999999999</v>
      </c>
      <c r="E19" s="861">
        <f>SUM(E15:E18)</f>
        <v>10167.7</v>
      </c>
    </row>
    <row r="20" spans="1:5" ht="16.5" thickBot="1">
      <c r="A20" s="860" t="s">
        <v>562</v>
      </c>
      <c r="B20" s="862">
        <f>+B12+B19</f>
        <v>307660.94999999995</v>
      </c>
      <c r="C20" s="862">
        <f>+C12+C19</f>
        <v>-26466.5</v>
      </c>
      <c r="D20" s="862">
        <f>+D12+D19</f>
        <v>281194.45</v>
      </c>
      <c r="E20" s="862">
        <f>+E12+E19</f>
        <v>16846.940000000002</v>
      </c>
    </row>
    <row r="21" ht="16.5" thickTop="1"/>
    <row r="24" spans="1:5" ht="15.75">
      <c r="A24" s="860" t="s">
        <v>563</v>
      </c>
      <c r="B24" s="863">
        <f>ROUND(444863943.11/(444863943.11+788086539.28),4)</f>
        <v>0.3608</v>
      </c>
      <c r="C24" s="863">
        <f>ROUND(444863943.11/(444863943.11+788086539.28),4)</f>
        <v>0.3608</v>
      </c>
      <c r="D24" s="863">
        <f>ROUND(444863943.11/(444863943.11+788086539.28),4)</f>
        <v>0.3608</v>
      </c>
      <c r="E24" s="863">
        <f>ROUND(444863943.11/(444863943.11+788086539.28),4)</f>
        <v>0.3608</v>
      </c>
    </row>
    <row r="25" spans="1:5" ht="15.75">
      <c r="A25" s="860" t="s">
        <v>564</v>
      </c>
      <c r="B25" s="856">
        <f>ROUND(B19*B24,2)</f>
        <v>20187.15</v>
      </c>
      <c r="C25" s="856">
        <f>ROUND(C19*C24,2)</f>
        <v>-6463.02</v>
      </c>
      <c r="D25" s="856">
        <f>ROUND(D19*D24,2)</f>
        <v>13724.14</v>
      </c>
      <c r="E25" s="856">
        <f>ROUND(E19*E24,2)</f>
        <v>3668.51</v>
      </c>
    </row>
    <row r="27" spans="1:5" ht="15.75">
      <c r="A27" s="860" t="s">
        <v>565</v>
      </c>
      <c r="B27" s="863">
        <f>ROUND(788086539.28/(444863943.11+788086539.28),4)</f>
        <v>0.6392</v>
      </c>
      <c r="C27" s="863">
        <f>ROUND(788086539.28/(444863943.11+788086539.28),4)</f>
        <v>0.6392</v>
      </c>
      <c r="D27" s="863">
        <f>ROUND(788086539.28/(444863943.11+788086539.28),4)</f>
        <v>0.6392</v>
      </c>
      <c r="E27" s="863">
        <f>ROUND(788086539.28/(444863943.11+788086539.28),4)</f>
        <v>0.6392</v>
      </c>
    </row>
    <row r="28" spans="1:5" ht="15.75">
      <c r="A28" s="860" t="s">
        <v>564</v>
      </c>
      <c r="B28" s="861">
        <f>ROUND(B19*B27,2)</f>
        <v>35763.94</v>
      </c>
      <c r="C28" s="861">
        <f>ROUND(C19*C27,2)</f>
        <v>-11450</v>
      </c>
      <c r="D28" s="861">
        <f>ROUND(D19*D27,2)</f>
        <v>24313.93</v>
      </c>
      <c r="E28" s="861">
        <f>ROUND(E19*E27,2)</f>
        <v>6499.19</v>
      </c>
    </row>
    <row r="29" spans="1:5" ht="15.75">
      <c r="A29" s="860"/>
      <c r="B29" s="864"/>
      <c r="C29" s="864"/>
      <c r="D29" s="864"/>
      <c r="E29" s="864"/>
    </row>
    <row r="31" spans="1:5" ht="15.75">
      <c r="A31" s="860" t="s">
        <v>566</v>
      </c>
      <c r="B31" s="856">
        <f>+B12+B25</f>
        <v>271897.01</v>
      </c>
      <c r="C31" s="856">
        <f>+C12+C25</f>
        <v>-15016.5</v>
      </c>
      <c r="D31" s="856">
        <f>+D12+D25</f>
        <v>256880.52000000002</v>
      </c>
      <c r="E31" s="856">
        <f>+E12+E25</f>
        <v>10347.75</v>
      </c>
    </row>
    <row r="32" ht="15.75">
      <c r="A32" s="860"/>
    </row>
    <row r="33" ht="15.75">
      <c r="A33" s="860" t="s">
        <v>567</v>
      </c>
    </row>
    <row r="34" spans="1:5" ht="15.75">
      <c r="A34" s="860" t="s">
        <v>568</v>
      </c>
      <c r="B34" s="859">
        <v>868284.23</v>
      </c>
      <c r="C34" s="859">
        <v>-347718.83</v>
      </c>
      <c r="D34" s="859">
        <f>SUM(B34:C34)</f>
        <v>520565.39999999997</v>
      </c>
      <c r="E34" s="859">
        <v>29001</v>
      </c>
    </row>
    <row r="35" spans="1:5" ht="16.5" thickBot="1">
      <c r="A35" s="860" t="s">
        <v>569</v>
      </c>
      <c r="B35" s="862">
        <f>SUM(B31:B34)</f>
        <v>1140181.24</v>
      </c>
      <c r="C35" s="862">
        <f>SUM(C31:C34)</f>
        <v>-362735.33</v>
      </c>
      <c r="D35" s="862">
        <f>SUM(D31:D34)</f>
        <v>777445.9199999999</v>
      </c>
      <c r="E35" s="862">
        <f>SUM(E31:E34)</f>
        <v>39348.75</v>
      </c>
    </row>
    <row r="36" ht="16.5" thickTop="1"/>
    <row r="38" spans="1:5" ht="15.75">
      <c r="A38" s="860" t="s">
        <v>570</v>
      </c>
      <c r="B38" s="859">
        <f>+B28</f>
        <v>35763.94</v>
      </c>
      <c r="C38" s="859">
        <f>+C28</f>
        <v>-11450</v>
      </c>
      <c r="D38" s="859">
        <f>+D28</f>
        <v>24313.93</v>
      </c>
      <c r="E38" s="859">
        <f>+E28</f>
        <v>6499.19</v>
      </c>
    </row>
    <row r="39" spans="1:5" ht="16.5" thickBot="1">
      <c r="A39" s="860" t="s">
        <v>571</v>
      </c>
      <c r="B39" s="862">
        <f>SUM(B38)</f>
        <v>35763.94</v>
      </c>
      <c r="C39" s="862">
        <f>SUM(C38)</f>
        <v>-11450</v>
      </c>
      <c r="D39" s="862">
        <f>SUM(D38)</f>
        <v>24313.93</v>
      </c>
      <c r="E39" s="862">
        <f>SUM(E38)</f>
        <v>6499.19</v>
      </c>
    </row>
    <row r="40" ht="16.5" thickTop="1"/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F28"/>
  <sheetViews>
    <sheetView workbookViewId="0" topLeftCell="A1">
      <selection activeCell="C22" sqref="C22"/>
    </sheetView>
  </sheetViews>
  <sheetFormatPr defaultColWidth="9.00390625" defaultRowHeight="15.75"/>
  <cols>
    <col min="1" max="1" width="40.625" style="856" bestFit="1" customWidth="1"/>
    <col min="2" max="2" width="12.625" style="856" bestFit="1" customWidth="1"/>
    <col min="3" max="5" width="14.375" style="856" bestFit="1" customWidth="1"/>
    <col min="6" max="6" width="56.875" style="856" bestFit="1" customWidth="1"/>
    <col min="7" max="16384" width="9.00390625" style="856" customWidth="1"/>
  </cols>
  <sheetData>
    <row r="1" spans="1:5" ht="15.75">
      <c r="A1" s="1037" t="s">
        <v>472</v>
      </c>
      <c r="B1" s="1037"/>
      <c r="C1" s="1037"/>
      <c r="D1" s="1037"/>
      <c r="E1" s="1037"/>
    </row>
    <row r="2" spans="1:5" ht="15.75">
      <c r="A2" s="1038" t="s">
        <v>496</v>
      </c>
      <c r="B2" s="1037"/>
      <c r="C2" s="1037"/>
      <c r="D2" s="1037"/>
      <c r="E2" s="1037"/>
    </row>
    <row r="3" spans="1:5" ht="15.75">
      <c r="A3" s="1039" t="s">
        <v>597</v>
      </c>
      <c r="B3" s="1037"/>
      <c r="C3" s="1037"/>
      <c r="D3" s="1037"/>
      <c r="E3" s="1037"/>
    </row>
    <row r="5" spans="2:5" s="855" customFormat="1" ht="15.75">
      <c r="B5" s="855" t="s">
        <v>15</v>
      </c>
      <c r="C5" s="855" t="s">
        <v>16</v>
      </c>
      <c r="D5" s="855" t="s">
        <v>280</v>
      </c>
      <c r="E5" s="855" t="s">
        <v>14</v>
      </c>
    </row>
    <row r="7" spans="1:6" ht="15.75">
      <c r="A7" s="856" t="str">
        <f>+'[1]Regulatory Assets'!B6</f>
        <v>FAS 109 - MPC Electric</v>
      </c>
      <c r="D7" s="856">
        <f>+E7</f>
        <v>9012885</v>
      </c>
      <c r="E7" s="856">
        <f>+'[1]Regulatory Assets'!C6</f>
        <v>9012885</v>
      </c>
      <c r="F7" s="860" t="s">
        <v>598</v>
      </c>
    </row>
    <row r="8" spans="1:6" ht="15.75">
      <c r="A8" s="856" t="str">
        <f>+'[1]Regulatory Assets'!B13</f>
        <v>Property Tax Tracker</v>
      </c>
      <c r="C8" s="856">
        <f>ROUND('[5]Sch 1- Rate Base '!$G$26/('[5]Sch 1- Rate Base '!$G$26+'[5]Sch 1- Rate Base '!$G$30)*E8,2)</f>
        <v>1334430.11</v>
      </c>
      <c r="D8" s="856">
        <f>ROUND('[5]Sch 1- Rate Base '!$G$30/('[5]Sch 1- Rate Base '!$G$25+'[5]Sch 1- Rate Base '!$G$30)*E8,2)</f>
        <v>2373383.89</v>
      </c>
      <c r="E8" s="856">
        <f>+'[1]Regulatory Assets'!C13</f>
        <v>3707814</v>
      </c>
      <c r="F8" s="860" t="s">
        <v>599</v>
      </c>
    </row>
    <row r="9" spans="1:6" ht="15.75">
      <c r="A9" s="856" t="str">
        <f>+'[1]Regulatory Assets'!B14</f>
        <v>Unbilled CTC QF</v>
      </c>
      <c r="B9" s="856">
        <f>+E9</f>
        <v>-1548.0800000000745</v>
      </c>
      <c r="E9" s="856">
        <f>+'[1]Regulatory Assets'!C14</f>
        <v>-1548.0800000000745</v>
      </c>
      <c r="F9" s="860" t="s">
        <v>600</v>
      </c>
    </row>
    <row r="10" spans="1:6" ht="15.75">
      <c r="A10" s="856" t="str">
        <f>+'[1]Regulatory Assets'!B16</f>
        <v>Basin Creek</v>
      </c>
      <c r="B10" s="856">
        <f>+E10</f>
        <v>553590</v>
      </c>
      <c r="E10" s="856">
        <f>+'[1]Regulatory Assets'!C16</f>
        <v>553590</v>
      </c>
      <c r="F10" s="860" t="s">
        <v>601</v>
      </c>
    </row>
    <row r="11" spans="1:5" ht="15.75">
      <c r="A11" s="856" t="str">
        <f>+'[1]Regulatory Assets'!B21</f>
        <v>Customer Education &amp; Pilot Program</v>
      </c>
      <c r="D11" s="856">
        <f>+E11</f>
        <v>29027.77</v>
      </c>
      <c r="E11" s="856">
        <f>+'[1]Regulatory Assets'!C21</f>
        <v>29027.77</v>
      </c>
    </row>
    <row r="12" spans="1:6" ht="15.75">
      <c r="A12" s="856" t="str">
        <f>+'[1]Regulatory Assets'!B22</f>
        <v>SAP Development Costs - Electric</v>
      </c>
      <c r="B12" s="856">
        <f>ROUND(E12*'[5]Ratios'!$E$16,2)</f>
        <v>25930.17</v>
      </c>
      <c r="C12" s="856">
        <f>ROUND(E12*'[5]Ratios'!$F$16,2)</f>
        <v>487909.63</v>
      </c>
      <c r="D12" s="856">
        <f>ROUND(E12*'[5]Ratios'!$G$16,2)</f>
        <v>1227343.79</v>
      </c>
      <c r="E12" s="856">
        <f>+'[1]Regulatory Assets'!C22</f>
        <v>1741183.6</v>
      </c>
      <c r="F12" s="860" t="s">
        <v>602</v>
      </c>
    </row>
    <row r="13" spans="1:6" ht="15.75">
      <c r="A13" s="856" t="str">
        <f>+'[1]Regulatory Assets'!B34</f>
        <v>PSC &amp; Consumer Counsel based on MPSC filing</v>
      </c>
      <c r="D13" s="856">
        <f>+E13</f>
        <v>400787</v>
      </c>
      <c r="E13" s="856">
        <f>+'[1]Regulatory Assets'!C34</f>
        <v>400787</v>
      </c>
      <c r="F13" s="860" t="s">
        <v>603</v>
      </c>
    </row>
    <row r="14" spans="1:6" ht="15.75">
      <c r="A14" s="856" t="str">
        <f>+'[1]Regulatory Assets'!B35</f>
        <v>Compensated Absences - contra</v>
      </c>
      <c r="B14" s="856">
        <f>ROUND(E14*'[5]Ratios'!$E$16,2)</f>
        <v>-2813.79</v>
      </c>
      <c r="C14" s="856">
        <f>ROUND(E14*'[5]Ratios'!$F$16,2)</f>
        <v>-52945.08</v>
      </c>
      <c r="D14" s="856">
        <f>ROUND(E14*'[5]Ratios'!$G$16,2)</f>
        <v>-133184.13</v>
      </c>
      <c r="E14" s="856">
        <f>+'[1]Regulatory Assets'!C35</f>
        <v>-188943</v>
      </c>
      <c r="F14" s="860" t="s">
        <v>604</v>
      </c>
    </row>
    <row r="15" spans="1:6" ht="15.75">
      <c r="A15" s="856" t="str">
        <f>+'[1]Regulatory Assets'!B36</f>
        <v>Compensated Absences </v>
      </c>
      <c r="B15" s="856">
        <f>ROUND(E15*'[5]Ratios'!$E$16,2)</f>
        <v>49895.79</v>
      </c>
      <c r="C15" s="856">
        <f>ROUND(E15*'[5]Ratios'!$F$16,2)</f>
        <v>938853.52</v>
      </c>
      <c r="D15" s="856">
        <f>ROUND(E15*'[5]Ratios'!$G$16,2)</f>
        <v>2361699.7</v>
      </c>
      <c r="E15" s="856">
        <f>+'[1]Regulatory Assets'!C36</f>
        <v>3350449</v>
      </c>
      <c r="F15" s="860" t="s">
        <v>604</v>
      </c>
    </row>
    <row r="16" spans="1:6" ht="15.75">
      <c r="A16" s="856" t="str">
        <f>+'[1]Regulatory Assets'!B37</f>
        <v>Fas 106</v>
      </c>
      <c r="B16" s="856">
        <f>ROUND(E16*'[5]Ratios'!$E$16,2)</f>
        <v>295169.6</v>
      </c>
      <c r="C16" s="856">
        <f>ROUND(E16*'[5]Ratios'!$F$16,2)</f>
        <v>5553996.44</v>
      </c>
      <c r="D16" s="856">
        <f>ROUND(E16*'[5]Ratios'!$G$16,2)</f>
        <v>13971158.96</v>
      </c>
      <c r="E16" s="856">
        <f>+'[1]Regulatory Assets'!C37</f>
        <v>19820325</v>
      </c>
      <c r="F16" s="860" t="s">
        <v>605</v>
      </c>
    </row>
    <row r="17" spans="1:6" ht="15.75">
      <c r="A17" s="856" t="str">
        <f>+'[1]Regulatory Assets'!B38</f>
        <v>Fas 112</v>
      </c>
      <c r="B17" s="856">
        <f>ROUND(E17*'[5]Ratios'!$E$16,2)</f>
        <v>39957.77</v>
      </c>
      <c r="C17" s="856">
        <f>ROUND(E17*'[5]Ratios'!$F$16,2)</f>
        <v>751857</v>
      </c>
      <c r="D17" s="856">
        <f>ROUND(E17*'[5]Ratios'!$G$16,2)</f>
        <v>1891307.23</v>
      </c>
      <c r="E17" s="856">
        <f>+'[1]Regulatory Assets'!C38</f>
        <v>2683122</v>
      </c>
      <c r="F17" s="860" t="s">
        <v>605</v>
      </c>
    </row>
    <row r="18" spans="1:6" ht="15.75">
      <c r="A18" s="856" t="str">
        <f>+'[1]Regulatory Assets'!B39</f>
        <v>Pension</v>
      </c>
      <c r="B18" s="859">
        <f>ROUND(E18*'[5]Ratios'!$E$16,2)</f>
        <v>788338.59</v>
      </c>
      <c r="C18" s="859">
        <f>ROUND(E18*'[5]Ratios'!$F$16,2)</f>
        <v>14833606.69</v>
      </c>
      <c r="D18" s="859">
        <f>ROUND(E18*'[5]Ratios'!$G$16,2)</f>
        <v>37314153.71</v>
      </c>
      <c r="E18" s="859">
        <f>+'[1]Regulatory Assets'!C39</f>
        <v>52936099</v>
      </c>
      <c r="F18" s="860" t="s">
        <v>605</v>
      </c>
    </row>
    <row r="20" spans="2:5" ht="15.75">
      <c r="B20" s="856">
        <f>SUM(B7:B19)</f>
        <v>1748520.0499999998</v>
      </c>
      <c r="C20" s="856">
        <f>SUM(C7:C19)</f>
        <v>23847708.310000002</v>
      </c>
      <c r="D20" s="856">
        <f>SUM(D7:D19)</f>
        <v>68448562.92</v>
      </c>
      <c r="E20" s="856">
        <f>SUM(E7:E19)</f>
        <v>94044791.28999999</v>
      </c>
    </row>
    <row r="21" ht="15.75">
      <c r="E21" s="856">
        <f>SUM(B20:D20)-E20</f>
        <v>-0.009999990463256836</v>
      </c>
    </row>
    <row r="23" ht="15.75">
      <c r="A23" s="860" t="s">
        <v>606</v>
      </c>
    </row>
    <row r="24" ht="15.75">
      <c r="A24" s="860" t="s">
        <v>607</v>
      </c>
    </row>
    <row r="25" spans="1:5" ht="15.75">
      <c r="A25" s="860" t="s">
        <v>608</v>
      </c>
      <c r="B25" s="856">
        <f>ROUND(E25*'[5]Ratios'!$E$16,2)</f>
        <v>-570444.25</v>
      </c>
      <c r="C25" s="856">
        <f>ROUND(E25*'[5]Ratios'!$F$16,2)</f>
        <v>-10733643.69</v>
      </c>
      <c r="D25" s="856">
        <f>ROUND(E25*'[5]Ratios'!$G$16,2)</f>
        <v>-27000637.06</v>
      </c>
      <c r="E25" s="856">
        <f>-ROUND(55514094*0.69,0)</f>
        <v>-38304725</v>
      </c>
    </row>
    <row r="26" spans="1:5" ht="15.75">
      <c r="A26" s="860" t="s">
        <v>609</v>
      </c>
      <c r="B26" s="856">
        <f>ROUND(E26*'[5]Ratios'!$E$16,2)</f>
        <v>-3437.3</v>
      </c>
      <c r="C26" s="856">
        <f>ROUND(E26*'[5]Ratios'!$F$16,2)</f>
        <v>-64677.22</v>
      </c>
      <c r="D26" s="856">
        <f>ROUND(E26*'[5]Ratios'!$G$16,2)</f>
        <v>-162696.48</v>
      </c>
      <c r="E26" s="856">
        <f>-ROUND(334508*0.69,0)</f>
        <v>-230811</v>
      </c>
    </row>
    <row r="27" spans="1:5" ht="15.75">
      <c r="A27" s="860" t="s">
        <v>610</v>
      </c>
      <c r="B27" s="859"/>
      <c r="C27" s="859">
        <v>-655754</v>
      </c>
      <c r="D27" s="859"/>
      <c r="E27" s="859">
        <f>SUM(B27:D27)</f>
        <v>-655754</v>
      </c>
    </row>
    <row r="28" spans="2:5" ht="15.75">
      <c r="B28" s="856">
        <f>SUM(B25:B27)</f>
        <v>-573881.55</v>
      </c>
      <c r="C28" s="856">
        <f>SUM(C25:C27)</f>
        <v>-11454074.91</v>
      </c>
      <c r="D28" s="856">
        <f>SUM(D25:D27)</f>
        <v>-27163333.54</v>
      </c>
      <c r="E28" s="856">
        <f>SUM(E25:E27)</f>
        <v>-39191290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5"/>
  <sheetViews>
    <sheetView workbookViewId="0" topLeftCell="A1">
      <selection activeCell="E26" sqref="E24:E26"/>
    </sheetView>
  </sheetViews>
  <sheetFormatPr defaultColWidth="9.00390625" defaultRowHeight="15.75"/>
  <cols>
    <col min="1" max="1" width="37.00390625" style="856" customWidth="1"/>
    <col min="2" max="2" width="9.00390625" style="856" customWidth="1"/>
    <col min="3" max="6" width="12.75390625" style="856" customWidth="1"/>
    <col min="7" max="16384" width="9.00390625" style="856" customWidth="1"/>
  </cols>
  <sheetData>
    <row r="1" spans="1:6" ht="15.75">
      <c r="A1" s="1037" t="s">
        <v>472</v>
      </c>
      <c r="B1" s="1037"/>
      <c r="C1" s="1037"/>
      <c r="D1" s="1037"/>
      <c r="E1" s="1037"/>
      <c r="F1" s="1037"/>
    </row>
    <row r="2" spans="1:6" ht="15.75">
      <c r="A2" s="1038" t="s">
        <v>496</v>
      </c>
      <c r="B2" s="1037"/>
      <c r="C2" s="1037"/>
      <c r="D2" s="1037"/>
      <c r="E2" s="1037"/>
      <c r="F2" s="1037"/>
    </row>
    <row r="3" spans="1:6" ht="15.75">
      <c r="A3" s="1039" t="s">
        <v>597</v>
      </c>
      <c r="B3" s="1037"/>
      <c r="C3" s="1037"/>
      <c r="D3" s="1037"/>
      <c r="E3" s="1037"/>
      <c r="F3" s="1037"/>
    </row>
    <row r="4" spans="3:6" ht="15.75">
      <c r="C4" s="855" t="s">
        <v>15</v>
      </c>
      <c r="D4" s="855" t="s">
        <v>16</v>
      </c>
      <c r="E4" s="855" t="s">
        <v>280</v>
      </c>
      <c r="F4" s="855" t="s">
        <v>14</v>
      </c>
    </row>
    <row r="5" spans="1:7" ht="15.75">
      <c r="A5" s="856" t="str">
        <f>+'[1]Regulatory Liabilities'!B36</f>
        <v>PSC &amp; Consumer Counsel based on MPSC filing</v>
      </c>
      <c r="E5" s="856">
        <f>+F5</f>
        <v>594301</v>
      </c>
      <c r="F5" s="856">
        <f>+'[1]Regulatory Liabilities'!C36</f>
        <v>594301</v>
      </c>
      <c r="G5" s="860" t="s">
        <v>603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13"/>
  <sheetViews>
    <sheetView workbookViewId="0" topLeftCell="A1">
      <selection activeCell="C21" sqref="C21"/>
    </sheetView>
  </sheetViews>
  <sheetFormatPr defaultColWidth="9.00390625" defaultRowHeight="15.75"/>
  <cols>
    <col min="1" max="1" width="37.875" style="856" customWidth="1"/>
    <col min="2" max="5" width="14.375" style="856" customWidth="1"/>
    <col min="6" max="16384" width="9.00390625" style="856" customWidth="1"/>
  </cols>
  <sheetData>
    <row r="1" spans="1:5" ht="15.75">
      <c r="A1" s="1037" t="s">
        <v>472</v>
      </c>
      <c r="B1" s="1037"/>
      <c r="C1" s="1037"/>
      <c r="D1" s="1037"/>
      <c r="E1" s="1037"/>
    </row>
    <row r="2" spans="1:5" ht="15.75">
      <c r="A2" s="1038" t="s">
        <v>572</v>
      </c>
      <c r="B2" s="1038"/>
      <c r="C2" s="1037"/>
      <c r="D2" s="1037"/>
      <c r="E2" s="1037"/>
    </row>
    <row r="3" spans="1:5" ht="15.75">
      <c r="A3" s="1038" t="s">
        <v>573</v>
      </c>
      <c r="B3" s="1038"/>
      <c r="C3" s="1037"/>
      <c r="D3" s="1037"/>
      <c r="E3" s="1037"/>
    </row>
    <row r="5" spans="2:5" s="855" customFormat="1" ht="15.75">
      <c r="B5" s="857" t="s">
        <v>15</v>
      </c>
      <c r="C5" s="857" t="s">
        <v>16</v>
      </c>
      <c r="D5" s="857" t="s">
        <v>280</v>
      </c>
      <c r="E5" s="857" t="s">
        <v>14</v>
      </c>
    </row>
    <row r="6" spans="1:6" ht="15.75">
      <c r="A6" s="856" t="s">
        <v>574</v>
      </c>
      <c r="B6" s="856">
        <f>ROUND($E6*'[5]Ratios'!E$16,2)</f>
        <v>144189.65</v>
      </c>
      <c r="C6" s="856">
        <f>ROUND($E6*'[5]Ratios'!F$16,2)</f>
        <v>2713114.16</v>
      </c>
      <c r="D6" s="856">
        <f>ROUND($E6*'[5]Ratios'!G$16,2)</f>
        <v>6824878.19</v>
      </c>
      <c r="E6" s="856">
        <v>9682182</v>
      </c>
      <c r="F6" s="860" t="s">
        <v>575</v>
      </c>
    </row>
    <row r="7" spans="1:6" ht="15.75">
      <c r="A7" s="856" t="s">
        <v>576</v>
      </c>
      <c r="B7" s="856">
        <f>+E7</f>
        <v>329324</v>
      </c>
      <c r="E7" s="856">
        <v>329324</v>
      </c>
      <c r="F7" s="860" t="s">
        <v>577</v>
      </c>
    </row>
    <row r="8" spans="1:6" ht="15.75">
      <c r="A8" s="856" t="s">
        <v>578</v>
      </c>
      <c r="B8" s="856">
        <f>ROUND($E8*'[5]Ratios'!E53,2)</f>
        <v>921.73</v>
      </c>
      <c r="C8" s="856">
        <f>ROUND($E8*'[5]Ratios'!F53,2)</f>
        <v>158473.23</v>
      </c>
      <c r="D8" s="856">
        <f>ROUND($E8*'[5]Ratios'!G53,2)</f>
        <v>281291.03</v>
      </c>
      <c r="E8" s="856">
        <v>440686</v>
      </c>
      <c r="F8" s="860" t="s">
        <v>579</v>
      </c>
    </row>
    <row r="9" spans="1:6" ht="15.75">
      <c r="A9" s="856" t="s">
        <v>580</v>
      </c>
      <c r="B9" s="856">
        <f>ROUND($E9*'[5]Ratios'!E$16,2)</f>
        <v>-540.23</v>
      </c>
      <c r="C9" s="856">
        <f>ROUND($E9*'[5]Ratios'!F$16,2)</f>
        <v>-10165.16</v>
      </c>
      <c r="D9" s="856">
        <f>ROUND($E9*'[5]Ratios'!G$16,2)</f>
        <v>-25570.61</v>
      </c>
      <c r="E9" s="856">
        <v>-36276</v>
      </c>
      <c r="F9" s="860" t="s">
        <v>575</v>
      </c>
    </row>
    <row r="10" spans="1:6" ht="15.75">
      <c r="A10" s="856" t="s">
        <v>581</v>
      </c>
      <c r="D10" s="856">
        <f>+E10</f>
        <v>-3579322</v>
      </c>
      <c r="E10" s="856">
        <v>-3579322</v>
      </c>
      <c r="F10" s="860" t="s">
        <v>577</v>
      </c>
    </row>
    <row r="11" spans="1:6" ht="15.75">
      <c r="A11" s="856" t="s">
        <v>582</v>
      </c>
      <c r="B11" s="859">
        <f>ROUND($E11*'[5]Ratios'!E$16,2)</f>
        <v>6482.54</v>
      </c>
      <c r="C11" s="859">
        <f>ROUND($E11*'[5]Ratios'!F$16,2)</f>
        <v>121977.44</v>
      </c>
      <c r="D11" s="859">
        <f>ROUND($E11*'[5]Ratios'!G$16,2)</f>
        <v>306836.02</v>
      </c>
      <c r="E11" s="859">
        <v>435296</v>
      </c>
      <c r="F11" s="860" t="s">
        <v>575</v>
      </c>
    </row>
    <row r="13" spans="2:5" ht="15.75">
      <c r="B13" s="856">
        <f>SUM(B6:B12)</f>
        <v>480377.69</v>
      </c>
      <c r="C13" s="856">
        <f>SUM(C6:C12)</f>
        <v>2983399.67</v>
      </c>
      <c r="D13" s="856">
        <f>SUM(D6:D12)</f>
        <v>3808112.6300000004</v>
      </c>
      <c r="E13" s="856">
        <f>SUM(E6:E12)</f>
        <v>7271890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42"/>
  <sheetViews>
    <sheetView workbookViewId="0" topLeftCell="D23">
      <selection activeCell="H43" sqref="H43"/>
    </sheetView>
  </sheetViews>
  <sheetFormatPr defaultColWidth="9.00390625" defaultRowHeight="15.75"/>
  <cols>
    <col min="1" max="1" width="13.625" style="0" customWidth="1"/>
    <col min="2" max="2" width="11.25390625" style="0" customWidth="1"/>
    <col min="3" max="8" width="15.625" style="0" bestFit="1" customWidth="1"/>
    <col min="9" max="9" width="16.25390625" style="0" bestFit="1" customWidth="1"/>
    <col min="10" max="10" width="15.625" style="0" customWidth="1"/>
  </cols>
  <sheetData>
    <row r="1" spans="3:10" ht="19.5" thickTop="1">
      <c r="C1" s="1008" t="s">
        <v>89</v>
      </c>
      <c r="D1" s="1009"/>
      <c r="E1" s="1009"/>
      <c r="F1" s="1009"/>
      <c r="G1" s="1009"/>
      <c r="H1" s="1009"/>
      <c r="I1" s="1009"/>
      <c r="J1" s="1010"/>
    </row>
    <row r="2" spans="3:10" ht="15.75">
      <c r="C2" s="1011" t="s">
        <v>91</v>
      </c>
      <c r="D2" s="953"/>
      <c r="E2" s="953"/>
      <c r="F2" s="953"/>
      <c r="G2" s="953"/>
      <c r="H2" s="953"/>
      <c r="I2" s="953"/>
      <c r="J2" s="1012"/>
    </row>
    <row r="3" spans="3:10" ht="15.75">
      <c r="C3" s="1013" t="s">
        <v>400</v>
      </c>
      <c r="D3" s="950"/>
      <c r="E3" s="950"/>
      <c r="F3" s="950"/>
      <c r="G3" s="950"/>
      <c r="H3" s="950"/>
      <c r="I3" s="950"/>
      <c r="J3" s="1014"/>
    </row>
    <row r="4" spans="3:10" ht="16.5" thickBot="1">
      <c r="C4" s="1015" t="s">
        <v>412</v>
      </c>
      <c r="D4" s="1016"/>
      <c r="E4" s="1016"/>
      <c r="F4" s="1016"/>
      <c r="G4" s="1016"/>
      <c r="H4" s="1016"/>
      <c r="I4" s="1016"/>
      <c r="J4" s="1017"/>
    </row>
    <row r="5" spans="1:10" ht="16.5" thickBot="1">
      <c r="A5" s="494"/>
      <c r="B5" s="494"/>
      <c r="C5" s="493"/>
      <c r="D5" s="494"/>
      <c r="E5" s="494"/>
      <c r="F5" s="494"/>
      <c r="G5" s="494"/>
      <c r="H5" s="494"/>
      <c r="I5" s="494"/>
      <c r="J5" s="877"/>
    </row>
    <row r="6" spans="1:10" ht="16.5" thickBot="1">
      <c r="A6" s="474" t="s">
        <v>167</v>
      </c>
      <c r="B6" s="474"/>
      <c r="C6" s="998" t="s">
        <v>587</v>
      </c>
      <c r="D6" s="999"/>
      <c r="E6" s="998" t="s">
        <v>588</v>
      </c>
      <c r="F6" s="999"/>
      <c r="G6" s="1040" t="s">
        <v>589</v>
      </c>
      <c r="H6" s="1041"/>
      <c r="I6" s="1040" t="s">
        <v>590</v>
      </c>
      <c r="J6" s="1041"/>
    </row>
    <row r="7" spans="1:10" ht="16.5" thickBot="1">
      <c r="A7" s="464" t="s">
        <v>431</v>
      </c>
      <c r="B7" s="464" t="s">
        <v>311</v>
      </c>
      <c r="C7" s="1000"/>
      <c r="D7" s="1001"/>
      <c r="E7" s="1000"/>
      <c r="F7" s="1001"/>
      <c r="G7" s="1042"/>
      <c r="H7" s="1043"/>
      <c r="I7" s="1044"/>
      <c r="J7" s="1045"/>
    </row>
    <row r="8" spans="1:10" ht="17.25" thickBot="1" thickTop="1">
      <c r="A8" s="467" t="s">
        <v>430</v>
      </c>
      <c r="B8" s="499" t="s">
        <v>312</v>
      </c>
      <c r="C8" s="500" t="s">
        <v>413</v>
      </c>
      <c r="D8" s="501" t="s">
        <v>414</v>
      </c>
      <c r="E8" s="500" t="s">
        <v>413</v>
      </c>
      <c r="F8" s="501" t="s">
        <v>414</v>
      </c>
      <c r="G8" s="500" t="s">
        <v>413</v>
      </c>
      <c r="H8" s="501" t="s">
        <v>414</v>
      </c>
      <c r="I8" s="905" t="s">
        <v>413</v>
      </c>
      <c r="J8" s="905" t="s">
        <v>414</v>
      </c>
    </row>
    <row r="9" spans="1:10" ht="16.5" thickBot="1">
      <c r="A9" s="906" t="s">
        <v>415</v>
      </c>
      <c r="B9" s="907" t="s">
        <v>427</v>
      </c>
      <c r="C9" s="908">
        <f>+'[6]PP &amp; OSS WorkSheet'!C9</f>
        <v>21452392</v>
      </c>
      <c r="D9" s="908">
        <f>+'[6]PP &amp; OSS WorkSheet'!D9</f>
        <v>286516</v>
      </c>
      <c r="E9" s="908">
        <f>+'[6]PP &amp; OSS WorkSheet'!E9</f>
        <v>0</v>
      </c>
      <c r="F9" s="908">
        <f>+'[6]PP &amp; OSS WorkSheet'!F9</f>
        <v>0</v>
      </c>
      <c r="G9" s="908">
        <f>+'[6]PP &amp; OSS WorkSheet'!G9</f>
        <v>0</v>
      </c>
      <c r="H9" s="908">
        <f>+'[6]PP &amp; OSS WorkSheet'!H9</f>
        <v>0</v>
      </c>
      <c r="I9" s="872">
        <f>C9+E9+G9</f>
        <v>21452392</v>
      </c>
      <c r="J9" s="873">
        <f>D9+F9+H9</f>
        <v>286516</v>
      </c>
    </row>
    <row r="10" spans="1:10" ht="16.5" thickBot="1">
      <c r="A10" s="910" t="s">
        <v>416</v>
      </c>
      <c r="B10" s="911" t="s">
        <v>427</v>
      </c>
      <c r="C10" s="908">
        <f>+'[6]PP &amp; OSS WorkSheet'!C10</f>
        <v>118386444</v>
      </c>
      <c r="D10" s="908">
        <f>+'[6]PP &amp; OSS WorkSheet'!D10</f>
        <v>3536694</v>
      </c>
      <c r="E10" s="908">
        <f>+'[6]PP &amp; OSS WorkSheet'!E10</f>
        <v>0</v>
      </c>
      <c r="F10" s="908">
        <f>+'[6]PP &amp; OSS WorkSheet'!F10</f>
        <v>0</v>
      </c>
      <c r="G10" s="908">
        <f>+'[6]PP &amp; OSS WorkSheet'!G10</f>
        <v>0</v>
      </c>
      <c r="H10" s="908">
        <f>+'[6]PP &amp; OSS WorkSheet'!H10</f>
        <v>0</v>
      </c>
      <c r="I10" s="872">
        <f>C10+E10+G10</f>
        <v>118386444</v>
      </c>
      <c r="J10" s="874">
        <f>D10+F10+H10</f>
        <v>3536694</v>
      </c>
    </row>
    <row r="11" spans="1:10" ht="16.5" thickBot="1">
      <c r="A11" s="910" t="s">
        <v>417</v>
      </c>
      <c r="B11" s="911" t="s">
        <v>427</v>
      </c>
      <c r="C11" s="908">
        <f>+'[6]PP &amp; OSS WorkSheet'!C11</f>
        <v>0</v>
      </c>
      <c r="D11" s="908">
        <f>+'[6]PP &amp; OSS WorkSheet'!D11</f>
        <v>0</v>
      </c>
      <c r="E11" s="908">
        <f>+'[6]PP &amp; OSS WorkSheet'!E11</f>
        <v>0</v>
      </c>
      <c r="F11" s="908">
        <f>+'[6]PP &amp; OSS WorkSheet'!F11</f>
        <v>0</v>
      </c>
      <c r="G11" s="908">
        <f>+'[6]PP &amp; OSS WorkSheet'!G11</f>
        <v>0</v>
      </c>
      <c r="H11" s="908">
        <f>+'[6]PP &amp; OSS WorkSheet'!H11</f>
        <v>0</v>
      </c>
      <c r="I11" s="872">
        <f aca="true" t="shared" si="0" ref="I11:J18">C11+E11+G11</f>
        <v>0</v>
      </c>
      <c r="J11" s="874">
        <f t="shared" si="0"/>
        <v>0</v>
      </c>
    </row>
    <row r="12" spans="1:10" ht="16.5" thickBot="1">
      <c r="A12" s="910" t="s">
        <v>418</v>
      </c>
      <c r="B12" s="911" t="s">
        <v>427</v>
      </c>
      <c r="C12" s="908">
        <f>+'[6]PP &amp; OSS WorkSheet'!C12</f>
        <v>67809171</v>
      </c>
      <c r="D12" s="908">
        <f>+'[6]PP &amp; OSS WorkSheet'!D12</f>
        <v>1385455</v>
      </c>
      <c r="E12" s="908">
        <f>+'[6]PP &amp; OSS WorkSheet'!E12</f>
        <v>0</v>
      </c>
      <c r="F12" s="908">
        <f>+'[6]PP &amp; OSS WorkSheet'!F12</f>
        <v>0</v>
      </c>
      <c r="G12" s="908">
        <f>+'[6]PP &amp; OSS WorkSheet'!G12</f>
        <v>35727099.34</v>
      </c>
      <c r="H12" s="908">
        <f>+'[6]PP &amp; OSS WorkSheet'!H12</f>
        <v>770701</v>
      </c>
      <c r="I12" s="872">
        <f t="shared" si="0"/>
        <v>103536270.34</v>
      </c>
      <c r="J12" s="874">
        <f t="shared" si="0"/>
        <v>2156156</v>
      </c>
    </row>
    <row r="13" spans="1:10" ht="16.5" thickBot="1">
      <c r="A13" s="910" t="s">
        <v>419</v>
      </c>
      <c r="B13" s="911" t="s">
        <v>427</v>
      </c>
      <c r="C13" s="908">
        <f>+'[6]PP &amp; OSS WorkSheet'!C13</f>
        <v>73872005</v>
      </c>
      <c r="D13" s="908">
        <f>+'[6]PP &amp; OSS WorkSheet'!D13</f>
        <v>1290616</v>
      </c>
      <c r="E13" s="908">
        <f>+'[6]PP &amp; OSS WorkSheet'!E13</f>
        <v>-6152851</v>
      </c>
      <c r="F13" s="908">
        <f>+'[6]PP &amp; OSS WorkSheet'!F13</f>
        <v>0</v>
      </c>
      <c r="G13" s="908">
        <f>+'[6]PP &amp; OSS WorkSheet'!G13</f>
        <v>0</v>
      </c>
      <c r="H13" s="908">
        <f>+'[6]PP &amp; OSS WorkSheet'!H13</f>
        <v>0</v>
      </c>
      <c r="I13" s="872">
        <f t="shared" si="0"/>
        <v>67719154</v>
      </c>
      <c r="J13" s="874">
        <f t="shared" si="0"/>
        <v>1290616</v>
      </c>
    </row>
    <row r="14" spans="1:10" ht="16.5" thickBot="1">
      <c r="A14" s="910" t="s">
        <v>420</v>
      </c>
      <c r="B14" s="911" t="s">
        <v>427</v>
      </c>
      <c r="C14" s="908">
        <f>+'[6]PP &amp; OSS WorkSheet'!C14</f>
        <v>-956972</v>
      </c>
      <c r="D14" s="908">
        <f>+'[6]PP &amp; OSS WorkSheet'!D14</f>
        <v>3719</v>
      </c>
      <c r="E14" s="908">
        <f>+'[6]PP &amp; OSS WorkSheet'!E14</f>
        <v>1074948</v>
      </c>
      <c r="F14" s="908">
        <f>+'[6]PP &amp; OSS WorkSheet'!F14</f>
        <v>0</v>
      </c>
      <c r="G14" s="908">
        <f>+'[6]PP &amp; OSS WorkSheet'!G14</f>
        <v>0</v>
      </c>
      <c r="H14" s="908">
        <f>+'[6]PP &amp; OSS WorkSheet'!H14</f>
        <v>0</v>
      </c>
      <c r="I14" s="872">
        <f t="shared" si="0"/>
        <v>117976</v>
      </c>
      <c r="J14" s="874">
        <f t="shared" si="0"/>
        <v>3719</v>
      </c>
    </row>
    <row r="15" spans="1:10" ht="16.5" thickBot="1">
      <c r="A15" s="910" t="s">
        <v>421</v>
      </c>
      <c r="B15" s="911" t="s">
        <v>427</v>
      </c>
      <c r="C15" s="908">
        <f>+'[6]PP &amp; OSS WorkSheet'!C15</f>
        <v>4877160</v>
      </c>
      <c r="D15" s="908">
        <f>+'[6]PP &amp; OSS WorkSheet'!D15</f>
        <v>800</v>
      </c>
      <c r="E15" s="908">
        <f>+'[6]PP &amp; OSS WorkSheet'!E15</f>
        <v>-552874</v>
      </c>
      <c r="F15" s="908">
        <f>+'[6]PP &amp; OSS WorkSheet'!F15</f>
        <v>0</v>
      </c>
      <c r="G15" s="908">
        <f>+'[6]PP &amp; OSS WorkSheet'!G15</f>
        <v>0</v>
      </c>
      <c r="H15" s="908">
        <f>+'[6]PP &amp; OSS WorkSheet'!H15</f>
        <v>0</v>
      </c>
      <c r="I15" s="872">
        <f t="shared" si="0"/>
        <v>4324286</v>
      </c>
      <c r="J15" s="874">
        <f t="shared" si="0"/>
        <v>800</v>
      </c>
    </row>
    <row r="16" spans="1:10" ht="16.5" thickBot="1">
      <c r="A16" s="910" t="s">
        <v>422</v>
      </c>
      <c r="B16" s="911" t="s">
        <v>427</v>
      </c>
      <c r="C16" s="908">
        <f>+'[6]PP &amp; OSS WorkSheet'!C16</f>
        <v>100610</v>
      </c>
      <c r="D16" s="908">
        <f>+'[6]PP &amp; OSS WorkSheet'!D16</f>
        <v>1922</v>
      </c>
      <c r="E16" s="908">
        <f>+'[6]PP &amp; OSS WorkSheet'!E16</f>
        <v>0</v>
      </c>
      <c r="F16" s="908">
        <f>+'[6]PP &amp; OSS WorkSheet'!F16</f>
        <v>0</v>
      </c>
      <c r="G16" s="908">
        <f>+'[6]PP &amp; OSS WorkSheet'!G16</f>
        <v>0</v>
      </c>
      <c r="H16" s="908">
        <f>+'[6]PP &amp; OSS WorkSheet'!H16</f>
        <v>0</v>
      </c>
      <c r="I16" s="872">
        <f t="shared" si="0"/>
        <v>100610</v>
      </c>
      <c r="J16" s="874">
        <f t="shared" si="0"/>
        <v>1922</v>
      </c>
    </row>
    <row r="17" spans="1:10" ht="16.5" thickBot="1">
      <c r="A17" s="910" t="s">
        <v>423</v>
      </c>
      <c r="B17" s="911" t="s">
        <v>427</v>
      </c>
      <c r="C17" s="908">
        <f>+'[6]PP &amp; OSS WorkSheet'!C17</f>
        <v>0</v>
      </c>
      <c r="D17" s="908">
        <f>+'[6]PP &amp; OSS WorkSheet'!D17</f>
        <v>0</v>
      </c>
      <c r="E17" s="908">
        <f>+'[6]PP &amp; OSS WorkSheet'!E17</f>
        <v>0</v>
      </c>
      <c r="F17" s="908">
        <f>+'[6]PP &amp; OSS WorkSheet'!F17</f>
        <v>0</v>
      </c>
      <c r="G17" s="908">
        <f>+'[6]PP &amp; OSS WorkSheet'!G17</f>
        <v>0</v>
      </c>
      <c r="H17" s="908">
        <f>+'[6]PP &amp; OSS WorkSheet'!H17</f>
        <v>0</v>
      </c>
      <c r="I17" s="872">
        <f t="shared" si="0"/>
        <v>0</v>
      </c>
      <c r="J17" s="874">
        <f t="shared" si="0"/>
        <v>0</v>
      </c>
    </row>
    <row r="18" spans="1:10" ht="16.5" thickBot="1">
      <c r="A18" s="910" t="s">
        <v>424</v>
      </c>
      <c r="B18" s="911" t="s">
        <v>427</v>
      </c>
      <c r="C18" s="908">
        <f>+'[6]PP &amp; OSS WorkSheet'!C18</f>
        <v>0</v>
      </c>
      <c r="D18" s="908">
        <f>+'[6]PP &amp; OSS WorkSheet'!D18</f>
        <v>0</v>
      </c>
      <c r="E18" s="908">
        <f>+'[6]PP &amp; OSS WorkSheet'!E18</f>
        <v>0</v>
      </c>
      <c r="F18" s="908">
        <f>+'[6]PP &amp; OSS WorkSheet'!F18</f>
        <v>0</v>
      </c>
      <c r="G18" s="908">
        <f>+'[6]PP &amp; OSS WorkSheet'!G18</f>
        <v>0</v>
      </c>
      <c r="H18" s="908">
        <f>+'[6]PP &amp; OSS WorkSheet'!H18</f>
        <v>0</v>
      </c>
      <c r="I18" s="872">
        <f t="shared" si="0"/>
        <v>0</v>
      </c>
      <c r="J18" s="874">
        <f t="shared" si="0"/>
        <v>0</v>
      </c>
    </row>
    <row r="19" spans="1:10" ht="16.5" thickBot="1">
      <c r="A19" s="910" t="s">
        <v>425</v>
      </c>
      <c r="B19" s="914"/>
      <c r="C19" s="908">
        <f>+'[6]PP &amp; OSS WorkSheet'!C19</f>
        <v>285540810</v>
      </c>
      <c r="D19" s="908">
        <f>+'[6]PP &amp; OSS WorkSheet'!D19</f>
        <v>6505722</v>
      </c>
      <c r="E19" s="908">
        <f>+'[6]PP &amp; OSS WorkSheet'!E19</f>
        <v>-5630777</v>
      </c>
      <c r="F19" s="908">
        <f>+'[6]PP &amp; OSS WorkSheet'!F19</f>
        <v>0</v>
      </c>
      <c r="G19" s="908">
        <f>+'[6]PP &amp; OSS WorkSheet'!G19</f>
        <v>35727099.34</v>
      </c>
      <c r="H19" s="908">
        <f>+'[6]PP &amp; OSS WorkSheet'!H19</f>
        <v>770701</v>
      </c>
      <c r="I19" s="915">
        <f>SUM(I9:I18)</f>
        <v>315637132.34000003</v>
      </c>
      <c r="J19" s="916">
        <f>SUM(J9:J18)</f>
        <v>7276423</v>
      </c>
    </row>
    <row r="20" spans="1:9" ht="16.5" thickTop="1">
      <c r="A20" s="155" t="s">
        <v>591</v>
      </c>
      <c r="B20" s="496"/>
      <c r="C20" s="917">
        <v>9115555</v>
      </c>
      <c r="D20" s="918">
        <v>99359</v>
      </c>
      <c r="E20" s="919"/>
      <c r="F20" s="494"/>
      <c r="G20" s="919"/>
      <c r="H20" s="494"/>
      <c r="I20" s="920"/>
    </row>
    <row r="21" spans="1:9" ht="15.75">
      <c r="A21" s="155" t="s">
        <v>592</v>
      </c>
      <c r="B21" s="496"/>
      <c r="C21" s="921"/>
      <c r="D21" s="922">
        <f>-D16</f>
        <v>-1922</v>
      </c>
      <c r="E21" s="919"/>
      <c r="F21" s="494"/>
      <c r="G21" s="919"/>
      <c r="H21" s="494"/>
      <c r="I21" s="920"/>
    </row>
    <row r="22" spans="1:9" ht="16.5" thickBot="1">
      <c r="A22" s="155" t="s">
        <v>593</v>
      </c>
      <c r="B22" s="496"/>
      <c r="C22" s="923">
        <f>C19+C20-C21</f>
        <v>294656365</v>
      </c>
      <c r="D22" s="924">
        <f>D19+D20+D21</f>
        <v>6603159</v>
      </c>
      <c r="E22" s="925"/>
      <c r="F22" s="494"/>
      <c r="G22" s="925"/>
      <c r="H22" s="494"/>
      <c r="I22" s="920"/>
    </row>
    <row r="23" ht="17.25" thickBot="1" thickTop="1"/>
    <row r="24" spans="1:10" ht="16.5" thickBot="1">
      <c r="A24" s="474" t="s">
        <v>167</v>
      </c>
      <c r="B24" s="474"/>
      <c r="C24" s="998" t="s">
        <v>594</v>
      </c>
      <c r="D24" s="999"/>
      <c r="E24" s="998" t="s">
        <v>588</v>
      </c>
      <c r="F24" s="999"/>
      <c r="G24" s="1040" t="s">
        <v>595</v>
      </c>
      <c r="H24" s="1041"/>
      <c r="I24" s="1040" t="s">
        <v>596</v>
      </c>
      <c r="J24" s="1041"/>
    </row>
    <row r="25" spans="1:10" ht="16.5" thickBot="1">
      <c r="A25" s="464" t="s">
        <v>431</v>
      </c>
      <c r="B25" s="464" t="s">
        <v>311</v>
      </c>
      <c r="C25" s="1000"/>
      <c r="D25" s="1001"/>
      <c r="E25" s="1000"/>
      <c r="F25" s="1001"/>
      <c r="G25" s="1042"/>
      <c r="H25" s="1043"/>
      <c r="I25" s="1044"/>
      <c r="J25" s="1045"/>
    </row>
    <row r="26" spans="1:10" ht="16.5" thickBot="1">
      <c r="A26" s="467" t="s">
        <v>430</v>
      </c>
      <c r="B26" s="467" t="s">
        <v>312</v>
      </c>
      <c r="C26" s="500" t="s">
        <v>413</v>
      </c>
      <c r="D26" s="501" t="s">
        <v>414</v>
      </c>
      <c r="E26" s="500" t="s">
        <v>413</v>
      </c>
      <c r="F26" s="501" t="s">
        <v>414</v>
      </c>
      <c r="G26" s="500" t="s">
        <v>413</v>
      </c>
      <c r="H26" s="501" t="s">
        <v>414</v>
      </c>
      <c r="I26" s="500" t="s">
        <v>413</v>
      </c>
      <c r="J26" s="501" t="s">
        <v>414</v>
      </c>
    </row>
    <row r="27" spans="1:10" ht="15.75">
      <c r="A27" s="906" t="s">
        <v>415</v>
      </c>
      <c r="B27" s="907" t="s">
        <v>426</v>
      </c>
      <c r="C27" s="908"/>
      <c r="D27" s="909"/>
      <c r="E27" s="908"/>
      <c r="F27" s="909"/>
      <c r="G27" s="908"/>
      <c r="H27" s="909"/>
      <c r="I27" s="872">
        <f>C27+E27+G27</f>
        <v>0</v>
      </c>
      <c r="J27" s="873">
        <f>D27+F27+H27</f>
        <v>0</v>
      </c>
    </row>
    <row r="28" spans="1:10" ht="15.75">
      <c r="A28" s="910" t="s">
        <v>416</v>
      </c>
      <c r="B28" s="911" t="s">
        <v>426</v>
      </c>
      <c r="C28" s="912"/>
      <c r="D28" s="913"/>
      <c r="E28" s="912"/>
      <c r="F28" s="913"/>
      <c r="G28" s="912"/>
      <c r="H28" s="913"/>
      <c r="I28" s="872">
        <f>C28+E28+G28</f>
        <v>0</v>
      </c>
      <c r="J28" s="874">
        <f>D28+F28+H28</f>
        <v>0</v>
      </c>
    </row>
    <row r="29" spans="1:10" ht="15.75">
      <c r="A29" s="910" t="s">
        <v>417</v>
      </c>
      <c r="B29" s="911" t="s">
        <v>426</v>
      </c>
      <c r="C29" s="912"/>
      <c r="D29" s="913"/>
      <c r="E29" s="912"/>
      <c r="F29" s="913"/>
      <c r="G29" s="912"/>
      <c r="H29" s="913"/>
      <c r="I29" s="872">
        <f aca="true" t="shared" si="1" ref="I29:J36">C29+E29+G29</f>
        <v>0</v>
      </c>
      <c r="J29" s="874">
        <f t="shared" si="1"/>
        <v>0</v>
      </c>
    </row>
    <row r="30" spans="1:10" ht="15.75">
      <c r="A30" s="910" t="s">
        <v>418</v>
      </c>
      <c r="B30" s="911" t="s">
        <v>426</v>
      </c>
      <c r="C30" s="912">
        <f>+'[6]PP &amp; OSS WorkSheet'!C30</f>
        <v>47268920</v>
      </c>
      <c r="D30" s="912">
        <f>+'[6]PP &amp; OSS WorkSheet'!D30</f>
        <v>1266962</v>
      </c>
      <c r="E30" s="912">
        <f>+'[6]PP &amp; OSS WorkSheet'!E30</f>
        <v>0</v>
      </c>
      <c r="F30" s="912">
        <f>+'[6]PP &amp; OSS WorkSheet'!F30</f>
        <v>0</v>
      </c>
      <c r="G30" s="912">
        <f>+'[6]PP &amp; OSS WorkSheet'!G30</f>
        <v>70957.87</v>
      </c>
      <c r="H30" s="912">
        <f>+'[6]PP &amp; OSS WorkSheet'!H30</f>
        <v>868</v>
      </c>
      <c r="I30" s="872">
        <f t="shared" si="1"/>
        <v>47339877.87</v>
      </c>
      <c r="J30" s="874">
        <f t="shared" si="1"/>
        <v>1267830</v>
      </c>
    </row>
    <row r="31" spans="1:10" ht="15.75">
      <c r="A31" s="910" t="s">
        <v>419</v>
      </c>
      <c r="B31" s="911" t="s">
        <v>426</v>
      </c>
      <c r="C31" s="912">
        <f>+'[6]PP &amp; OSS WorkSheet'!C31</f>
        <v>39146813</v>
      </c>
      <c r="D31" s="912">
        <f>+'[6]PP &amp; OSS WorkSheet'!D31</f>
        <v>723917</v>
      </c>
      <c r="E31" s="912">
        <f>+'[6]PP &amp; OSS WorkSheet'!E31</f>
        <v>-39146813</v>
      </c>
      <c r="F31" s="912">
        <f>+'[6]PP &amp; OSS WorkSheet'!F31</f>
        <v>-723917</v>
      </c>
      <c r="G31" s="912">
        <f>+'[6]PP &amp; OSS WorkSheet'!G31</f>
        <v>0</v>
      </c>
      <c r="H31" s="912">
        <f>+'[6]PP &amp; OSS WorkSheet'!H31</f>
        <v>0</v>
      </c>
      <c r="I31" s="872">
        <f t="shared" si="1"/>
        <v>0</v>
      </c>
      <c r="J31" s="874">
        <f t="shared" si="1"/>
        <v>0</v>
      </c>
    </row>
    <row r="32" spans="1:10" ht="15.75">
      <c r="A32" s="910" t="s">
        <v>420</v>
      </c>
      <c r="B32" s="911" t="s">
        <v>426</v>
      </c>
      <c r="C32" s="912">
        <f>+'[6]PP &amp; OSS WorkSheet'!C32</f>
        <v>383012</v>
      </c>
      <c r="D32" s="912">
        <f>+'[6]PP &amp; OSS WorkSheet'!D32</f>
        <v>8759</v>
      </c>
      <c r="E32" s="912">
        <f>+'[6]PP &amp; OSS WorkSheet'!E32</f>
        <v>-383012</v>
      </c>
      <c r="F32" s="912">
        <f>+'[6]PP &amp; OSS WorkSheet'!F32</f>
        <v>-8759</v>
      </c>
      <c r="G32" s="912">
        <f>+'[6]PP &amp; OSS WorkSheet'!G32</f>
        <v>0</v>
      </c>
      <c r="H32" s="912">
        <f>+'[6]PP &amp; OSS WorkSheet'!H32</f>
        <v>0</v>
      </c>
      <c r="I32" s="872">
        <f t="shared" si="1"/>
        <v>0</v>
      </c>
      <c r="J32" s="874">
        <f t="shared" si="1"/>
        <v>0</v>
      </c>
    </row>
    <row r="33" spans="1:10" ht="15.75">
      <c r="A33" s="910" t="s">
        <v>421</v>
      </c>
      <c r="B33" s="911" t="s">
        <v>426</v>
      </c>
      <c r="C33" s="912">
        <f>+'[6]PP &amp; OSS WorkSheet'!C33</f>
        <v>9530284</v>
      </c>
      <c r="D33" s="912">
        <f>+'[6]PP &amp; OSS WorkSheet'!D33</f>
        <v>225</v>
      </c>
      <c r="E33" s="912">
        <f>+'[6]PP &amp; OSS WorkSheet'!E33</f>
        <v>-9530284</v>
      </c>
      <c r="F33" s="912">
        <f>+'[6]PP &amp; OSS WorkSheet'!F33</f>
        <v>-225</v>
      </c>
      <c r="G33" s="912">
        <f>+'[6]PP &amp; OSS WorkSheet'!G33</f>
        <v>0</v>
      </c>
      <c r="H33" s="912">
        <f>+'[6]PP &amp; OSS WorkSheet'!H33</f>
        <v>0</v>
      </c>
      <c r="I33" s="872">
        <f t="shared" si="1"/>
        <v>0</v>
      </c>
      <c r="J33" s="874">
        <f t="shared" si="1"/>
        <v>0</v>
      </c>
    </row>
    <row r="34" spans="1:10" ht="15.75">
      <c r="A34" s="910" t="s">
        <v>422</v>
      </c>
      <c r="B34" s="911" t="s">
        <v>426</v>
      </c>
      <c r="C34" s="912"/>
      <c r="D34" s="913"/>
      <c r="E34" s="912"/>
      <c r="F34" s="913"/>
      <c r="G34" s="912"/>
      <c r="H34" s="913"/>
      <c r="I34" s="872">
        <f t="shared" si="1"/>
        <v>0</v>
      </c>
      <c r="J34" s="874">
        <f t="shared" si="1"/>
        <v>0</v>
      </c>
    </row>
    <row r="35" spans="1:10" ht="15.75">
      <c r="A35" s="910" t="s">
        <v>423</v>
      </c>
      <c r="B35" s="911" t="s">
        <v>426</v>
      </c>
      <c r="C35" s="912"/>
      <c r="D35" s="913"/>
      <c r="E35" s="912"/>
      <c r="F35" s="913"/>
      <c r="G35" s="912"/>
      <c r="H35" s="913"/>
      <c r="I35" s="872">
        <f t="shared" si="1"/>
        <v>0</v>
      </c>
      <c r="J35" s="874">
        <f t="shared" si="1"/>
        <v>0</v>
      </c>
    </row>
    <row r="36" spans="1:10" ht="15.75">
      <c r="A36" s="910" t="s">
        <v>424</v>
      </c>
      <c r="B36" s="911" t="s">
        <v>426</v>
      </c>
      <c r="C36" s="912"/>
      <c r="D36" s="913"/>
      <c r="E36" s="912"/>
      <c r="F36" s="913"/>
      <c r="G36" s="912"/>
      <c r="H36" s="913"/>
      <c r="I36" s="872">
        <f t="shared" si="1"/>
        <v>0</v>
      </c>
      <c r="J36" s="874">
        <f t="shared" si="1"/>
        <v>0</v>
      </c>
    </row>
    <row r="37" spans="1:10" ht="16.5" thickBot="1">
      <c r="A37" s="926" t="s">
        <v>425</v>
      </c>
      <c r="B37" s="927"/>
      <c r="C37" s="928">
        <f aca="true" t="shared" si="2" ref="C37:J37">SUM(C27:C36)</f>
        <v>96329029</v>
      </c>
      <c r="D37" s="929">
        <f t="shared" si="2"/>
        <v>1999863</v>
      </c>
      <c r="E37" s="928">
        <f t="shared" si="2"/>
        <v>-49060109</v>
      </c>
      <c r="F37" s="929">
        <f t="shared" si="2"/>
        <v>-732901</v>
      </c>
      <c r="G37" s="928">
        <f t="shared" si="2"/>
        <v>70957.87</v>
      </c>
      <c r="H37" s="929">
        <f t="shared" si="2"/>
        <v>868</v>
      </c>
      <c r="I37" s="930">
        <f t="shared" si="2"/>
        <v>47339877.87</v>
      </c>
      <c r="J37" s="880">
        <f t="shared" si="2"/>
        <v>1267830</v>
      </c>
    </row>
    <row r="38" spans="1:10" ht="16.5" thickTop="1">
      <c r="A38" s="155" t="s">
        <v>591</v>
      </c>
      <c r="B38" s="496"/>
      <c r="C38" s="931">
        <f>38069+9425482</f>
        <v>9463551</v>
      </c>
      <c r="D38" s="932">
        <f>843+247403</f>
        <v>248246</v>
      </c>
      <c r="E38" s="919"/>
      <c r="F38" s="494"/>
      <c r="G38" s="919"/>
      <c r="H38" s="494"/>
      <c r="I38" s="920"/>
      <c r="J38" s="933"/>
    </row>
    <row r="39" spans="1:10" ht="16.5" thickBot="1">
      <c r="A39" s="155" t="s">
        <v>593</v>
      </c>
      <c r="B39" s="496"/>
      <c r="C39" s="934">
        <f>C37+C38</f>
        <v>105792580</v>
      </c>
      <c r="D39" s="935">
        <f>D37+D38</f>
        <v>2248109</v>
      </c>
      <c r="E39" s="925"/>
      <c r="F39" s="494"/>
      <c r="G39" s="925"/>
      <c r="H39" s="494"/>
      <c r="I39" s="920"/>
      <c r="J39" s="920"/>
    </row>
    <row r="40" ht="16.5" thickTop="1"/>
    <row r="42" ht="15.75">
      <c r="I42" s="936"/>
    </row>
  </sheetData>
  <mergeCells count="12">
    <mergeCell ref="C1:J1"/>
    <mergeCell ref="C2:J2"/>
    <mergeCell ref="C3:J3"/>
    <mergeCell ref="C4:J4"/>
    <mergeCell ref="C6:D7"/>
    <mergeCell ref="E6:F7"/>
    <mergeCell ref="G6:H7"/>
    <mergeCell ref="I6:J7"/>
    <mergeCell ref="C24:D25"/>
    <mergeCell ref="E24:F25"/>
    <mergeCell ref="G24:H25"/>
    <mergeCell ref="I24:J2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F25"/>
  <sheetViews>
    <sheetView zoomScaleSheetLayoutView="75" workbookViewId="0" topLeftCell="A1">
      <selection activeCell="C8" sqref="C8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6" t="s">
        <v>89</v>
      </c>
      <c r="B1" s="298"/>
      <c r="C1" s="298"/>
      <c r="D1" s="298"/>
      <c r="E1" s="298"/>
      <c r="F1" s="354"/>
    </row>
    <row r="2" spans="1:6" ht="15.75">
      <c r="A2" s="230" t="s">
        <v>91</v>
      </c>
      <c r="B2" s="135"/>
      <c r="C2" s="135"/>
      <c r="D2" s="135"/>
      <c r="E2" s="135"/>
      <c r="F2" s="355"/>
    </row>
    <row r="3" spans="1:6" ht="15.75">
      <c r="A3" s="232" t="s">
        <v>400</v>
      </c>
      <c r="B3" s="136"/>
      <c r="C3" s="202"/>
      <c r="D3" s="20"/>
      <c r="E3" s="203"/>
      <c r="F3" s="233"/>
    </row>
    <row r="4" spans="1:6" ht="12" customHeight="1" thickBot="1">
      <c r="A4" s="479"/>
      <c r="B4" s="136"/>
      <c r="C4" s="202"/>
      <c r="D4" s="20"/>
      <c r="E4" s="203"/>
      <c r="F4" s="233"/>
    </row>
    <row r="5" spans="1:6" ht="16.5" thickBot="1">
      <c r="A5" s="479"/>
      <c r="B5" s="711" t="s">
        <v>460</v>
      </c>
      <c r="C5" s="976" t="s">
        <v>472</v>
      </c>
      <c r="D5" s="942"/>
      <c r="E5" s="943"/>
      <c r="F5" s="233"/>
    </row>
    <row r="6" spans="1:6" ht="16.5" thickBot="1">
      <c r="A6" s="479"/>
      <c r="B6" s="711" t="s">
        <v>462</v>
      </c>
      <c r="C6" s="977">
        <v>39052</v>
      </c>
      <c r="D6" s="942"/>
      <c r="E6" s="943"/>
      <c r="F6" s="233"/>
    </row>
    <row r="7" spans="1:6" ht="15.75">
      <c r="A7" s="479"/>
      <c r="B7" s="711" t="s">
        <v>463</v>
      </c>
      <c r="C7" s="978">
        <v>39575</v>
      </c>
      <c r="D7" s="942"/>
      <c r="E7" s="943"/>
      <c r="F7" s="233"/>
    </row>
    <row r="8" spans="1:6" s="721" customFormat="1" ht="15.75">
      <c r="A8" s="719"/>
      <c r="B8" s="720"/>
      <c r="C8" s="258"/>
      <c r="D8" s="258"/>
      <c r="E8" s="258"/>
      <c r="F8" s="233"/>
    </row>
    <row r="9" spans="1:6" ht="15.75">
      <c r="A9" s="479" t="s">
        <v>265</v>
      </c>
      <c r="B9" s="136"/>
      <c r="C9" s="202"/>
      <c r="D9" s="20"/>
      <c r="E9" s="203"/>
      <c r="F9" s="233"/>
    </row>
    <row r="10" spans="1:6" ht="17.25" customHeight="1" thickBot="1">
      <c r="A10" s="973" t="s">
        <v>470</v>
      </c>
      <c r="B10" s="974"/>
      <c r="C10" s="974"/>
      <c r="D10" s="974"/>
      <c r="E10" s="974"/>
      <c r="F10" s="975"/>
    </row>
    <row r="11" spans="1:6" ht="15.75">
      <c r="A11" s="979" t="s">
        <v>12</v>
      </c>
      <c r="B11" s="959"/>
      <c r="C11" s="967" t="s">
        <v>14</v>
      </c>
      <c r="D11" s="964" t="s">
        <v>15</v>
      </c>
      <c r="E11" s="964" t="s">
        <v>16</v>
      </c>
      <c r="F11" s="473" t="s">
        <v>10</v>
      </c>
    </row>
    <row r="12" spans="1:6" ht="16.5" thickBot="1">
      <c r="A12" s="980"/>
      <c r="B12" s="963"/>
      <c r="C12" s="948"/>
      <c r="D12" s="966"/>
      <c r="E12" s="966"/>
      <c r="F12" s="469" t="s">
        <v>17</v>
      </c>
    </row>
    <row r="13" spans="1:6" ht="15.75">
      <c r="A13" s="356" t="s">
        <v>186</v>
      </c>
      <c r="B13" s="49"/>
      <c r="C13" s="54"/>
      <c r="D13" s="204"/>
      <c r="E13" s="204"/>
      <c r="F13" s="357"/>
    </row>
    <row r="14" spans="1:6" ht="15.75">
      <c r="A14" s="358"/>
      <c r="B14" s="571" t="s">
        <v>187</v>
      </c>
      <c r="C14" s="781">
        <f>'Sch 3 - Expenses'!G36</f>
        <v>326350577.34000003</v>
      </c>
      <c r="D14" s="781">
        <f>'Sch 3 - Expenses'!H36</f>
        <v>326350577.34000003</v>
      </c>
      <c r="E14" s="781">
        <f>'Sch 3 - Expenses'!I36</f>
        <v>0</v>
      </c>
      <c r="F14" s="782">
        <f>'Sch 3 - Expenses'!J36</f>
        <v>0</v>
      </c>
    </row>
    <row r="15" spans="1:6" ht="15.75">
      <c r="A15" s="358"/>
      <c r="B15" s="571" t="s">
        <v>266</v>
      </c>
      <c r="C15" s="781">
        <f>'Sch 3 - Expenses'!G42</f>
        <v>18891375</v>
      </c>
      <c r="D15" s="781">
        <f>'Sch 3 - Expenses'!H42</f>
        <v>0</v>
      </c>
      <c r="E15" s="781">
        <f>'Sch 3 - Expenses'!I42</f>
        <v>18891375</v>
      </c>
      <c r="F15" s="782">
        <f>'Sch 3 - Expenses'!J42</f>
        <v>0</v>
      </c>
    </row>
    <row r="16" spans="1:6" ht="15.75">
      <c r="A16" s="358"/>
      <c r="B16" s="571" t="s">
        <v>288</v>
      </c>
      <c r="C16" s="781">
        <f>'Sch 3 - Expenses'!G47</f>
        <v>27759804</v>
      </c>
      <c r="D16" s="781">
        <f>'Sch 3 - Expenses'!H47</f>
        <v>0</v>
      </c>
      <c r="E16" s="781">
        <f>'Sch 3 - Expenses'!I47</f>
        <v>0</v>
      </c>
      <c r="F16" s="782">
        <f>'Sch 3 - Expenses'!J47</f>
        <v>27759804</v>
      </c>
    </row>
    <row r="17" spans="1:6" ht="15.75">
      <c r="A17" s="358"/>
      <c r="B17" s="571" t="s">
        <v>309</v>
      </c>
      <c r="C17" s="781">
        <f>'Sch 3 - Expenses'!G55</f>
        <v>12512936</v>
      </c>
      <c r="D17" s="781">
        <f>'Sch 3 - Expenses'!H55</f>
        <v>0</v>
      </c>
      <c r="E17" s="781">
        <f>'Sch 3 - Expenses'!I55</f>
        <v>0</v>
      </c>
      <c r="F17" s="782">
        <f>'Sch 3 - Expenses'!J55</f>
        <v>12512936</v>
      </c>
    </row>
    <row r="18" spans="1:6" ht="15.75">
      <c r="A18" s="358"/>
      <c r="B18" s="571" t="s">
        <v>188</v>
      </c>
      <c r="C18" s="781">
        <f>'Sch 3 - Expenses'!G75</f>
        <v>39448159</v>
      </c>
      <c r="D18" s="781">
        <f>'Sch 3 - Expenses'!H75</f>
        <v>360733.20082902536</v>
      </c>
      <c r="E18" s="781">
        <f>'Sch 3 - Expenses'!I75</f>
        <v>7680407.671978084</v>
      </c>
      <c r="F18" s="782">
        <f>'Sch 3 - Expenses'!J75</f>
        <v>31407018.1271929</v>
      </c>
    </row>
    <row r="19" spans="1:6" ht="15.75">
      <c r="A19" s="358"/>
      <c r="B19" s="571" t="s">
        <v>409</v>
      </c>
      <c r="C19" s="781">
        <f>'Sch 3 - Expenses'!G16+'Sch 3 - Expenses'!G20+'Sch 3 - Expenses'!G27+'Sch 3 - Expenses'!G31+'Sch 3 - Expenses'!G34+'Sch 3 - Expenses'!G35</f>
        <v>319076654.34000003</v>
      </c>
      <c r="D19" s="781">
        <f>'Sch 3 - Expenses'!H16+'Sch 3 - Expenses'!H20+'Sch 3 - Expenses'!H27+'Sch 3 - Expenses'!H31+'Sch 3 - Expenses'!H34+'Sch 3 - Expenses'!H35</f>
        <v>319076654.34000003</v>
      </c>
      <c r="E19" s="781">
        <f>'Sch 3 - Expenses'!I16+'Sch 3 - Expenses'!I20+'Sch 3 - Expenses'!I27+'Sch 3 - Expenses'!I31+'Sch 3 - Expenses'!I34+'Sch 3 - Expenses'!I35</f>
        <v>0</v>
      </c>
      <c r="F19" s="782">
        <f>'Sch 3 - Expenses'!J16+'Sch 3 - Expenses'!J20+'Sch 3 - Expenses'!J27+'Sch 3 - Expenses'!J31+'Sch 3 - Expenses'!J34+'Sch 3 - Expenses'!J35</f>
        <v>0</v>
      </c>
    </row>
    <row r="20" spans="1:6" ht="15.75">
      <c r="A20" s="323" t="s">
        <v>190</v>
      </c>
      <c r="B20" s="49"/>
      <c r="C20" s="667">
        <f>SUM(C14:C18)-C19</f>
        <v>105886197</v>
      </c>
      <c r="D20" s="667">
        <f>SUM(D14:D18)-D19</f>
        <v>7634656.200829029</v>
      </c>
      <c r="E20" s="667">
        <f>SUM(E14:E18)-E19</f>
        <v>26571782.671978086</v>
      </c>
      <c r="F20" s="668">
        <f>SUM(F14:F18)-F19</f>
        <v>71679758.1271929</v>
      </c>
    </row>
    <row r="21" spans="1:6" ht="15.75">
      <c r="A21" s="359"/>
      <c r="B21" s="49"/>
      <c r="C21" s="204"/>
      <c r="D21" s="204"/>
      <c r="E21" s="204"/>
      <c r="F21" s="360"/>
    </row>
    <row r="22" spans="1:6" ht="15.75">
      <c r="A22" s="234" t="s">
        <v>191</v>
      </c>
      <c r="B22" s="132"/>
      <c r="C22" s="205"/>
      <c r="D22" s="205"/>
      <c r="E22" s="205"/>
      <c r="F22" s="361"/>
    </row>
    <row r="23" spans="1:6" ht="15.75">
      <c r="A23" s="238" t="s">
        <v>189</v>
      </c>
      <c r="B23" s="104"/>
      <c r="C23" s="667">
        <f>C20/8</f>
        <v>13235774.625</v>
      </c>
      <c r="D23" s="667">
        <f>D20/8</f>
        <v>954332.0251036286</v>
      </c>
      <c r="E23" s="667">
        <f>E20/8</f>
        <v>3321472.833997261</v>
      </c>
      <c r="F23" s="668">
        <f>F20/8</f>
        <v>8959969.765899112</v>
      </c>
    </row>
    <row r="24" spans="1:6" ht="15.75">
      <c r="A24" s="322"/>
      <c r="B24" s="128"/>
      <c r="C24" s="153"/>
      <c r="D24" s="153"/>
      <c r="E24" s="153"/>
      <c r="F24" s="346"/>
    </row>
    <row r="25" spans="1:6" ht="16.5" thickBot="1">
      <c r="A25" s="290"/>
      <c r="B25" s="291"/>
      <c r="C25" s="291"/>
      <c r="D25" s="291"/>
      <c r="E25" s="291"/>
      <c r="F25" s="292"/>
    </row>
    <row r="26" ht="16.5" thickTop="1"/>
  </sheetData>
  <mergeCells count="8">
    <mergeCell ref="A11:B12"/>
    <mergeCell ref="C11:C12"/>
    <mergeCell ref="D11:D12"/>
    <mergeCell ref="E11:E12"/>
    <mergeCell ref="A10:F10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Q129"/>
  <sheetViews>
    <sheetView showZeros="0" view="pageBreakPreview" zoomScaleSheetLayoutView="100" workbookViewId="0" topLeftCell="A1">
      <selection activeCell="D5" sqref="D5:F7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6" t="s">
        <v>89</v>
      </c>
      <c r="B1" s="362"/>
      <c r="C1" s="362"/>
      <c r="D1" s="362"/>
      <c r="E1" s="362"/>
      <c r="F1" s="363"/>
      <c r="G1" s="363"/>
      <c r="H1" s="364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30" t="s">
        <v>91</v>
      </c>
      <c r="B2" s="135"/>
      <c r="C2" s="135"/>
      <c r="D2" s="135"/>
      <c r="E2" s="135"/>
      <c r="F2" s="207"/>
      <c r="G2" s="207"/>
      <c r="H2" s="365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32" t="s">
        <v>400</v>
      </c>
      <c r="B3" s="135"/>
      <c r="C3" s="135"/>
      <c r="D3" s="135"/>
      <c r="E3" s="135"/>
      <c r="F3" s="207"/>
      <c r="G3" s="207"/>
      <c r="H3" s="365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32"/>
      <c r="B4" s="135"/>
      <c r="C4" s="135"/>
      <c r="D4" s="135"/>
      <c r="E4" s="135"/>
      <c r="F4" s="207"/>
      <c r="G4" s="207"/>
      <c r="H4" s="365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32"/>
      <c r="B5" s="135"/>
      <c r="C5" s="711" t="s">
        <v>460</v>
      </c>
      <c r="D5" s="941" t="s">
        <v>583</v>
      </c>
      <c r="E5" s="942"/>
      <c r="F5" s="943"/>
      <c r="G5" s="207"/>
      <c r="H5" s="365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32"/>
      <c r="B6" s="135"/>
      <c r="C6" s="711" t="s">
        <v>462</v>
      </c>
      <c r="D6" s="944">
        <v>39052</v>
      </c>
      <c r="E6" s="945"/>
      <c r="F6" s="946"/>
      <c r="G6" s="207"/>
      <c r="H6" s="365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32"/>
      <c r="B7" s="135"/>
      <c r="C7" s="711" t="s">
        <v>463</v>
      </c>
      <c r="D7" s="937">
        <v>39575</v>
      </c>
      <c r="E7" s="938"/>
      <c r="F7" s="939"/>
      <c r="G7" s="207"/>
      <c r="H7" s="365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79" t="s">
        <v>267</v>
      </c>
      <c r="B8" s="143"/>
      <c r="C8" s="143"/>
      <c r="D8" s="143"/>
      <c r="E8" s="143"/>
      <c r="F8" s="143"/>
      <c r="G8" s="143"/>
      <c r="H8" s="319"/>
      <c r="I8" s="494"/>
      <c r="J8" s="494"/>
      <c r="K8" s="494"/>
      <c r="L8" s="63"/>
      <c r="M8" s="56"/>
      <c r="N8" s="65"/>
      <c r="O8" s="14"/>
      <c r="P8" s="14"/>
      <c r="Q8" s="14"/>
    </row>
    <row r="9" spans="1:17" s="1" customFormat="1" ht="6.75" customHeight="1" thickBot="1">
      <c r="A9" s="372"/>
      <c r="B9" s="337"/>
      <c r="C9" s="337"/>
      <c r="D9" s="337"/>
      <c r="E9" s="337"/>
      <c r="F9" s="337"/>
      <c r="G9" s="337"/>
      <c r="H9" s="338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6"/>
      <c r="B10" s="517"/>
      <c r="C10" s="517"/>
      <c r="D10" s="523" t="s">
        <v>437</v>
      </c>
      <c r="E10" s="518"/>
      <c r="F10" s="509"/>
      <c r="G10" s="509"/>
      <c r="H10" s="510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516"/>
      <c r="B11" s="517"/>
      <c r="C11" s="517"/>
      <c r="D11" s="520" t="s">
        <v>435</v>
      </c>
      <c r="E11" s="656">
        <f>E36</f>
        <v>0.11196</v>
      </c>
      <c r="F11" s="509"/>
      <c r="G11" s="509"/>
      <c r="H11" s="510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519"/>
      <c r="B12" s="517"/>
      <c r="C12" s="517"/>
      <c r="D12" s="521" t="s">
        <v>434</v>
      </c>
      <c r="E12" s="657">
        <f>E91</f>
        <v>0</v>
      </c>
      <c r="F12" s="511"/>
      <c r="G12" s="511"/>
      <c r="H12" s="512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519"/>
      <c r="B13" s="522"/>
      <c r="C13" s="517"/>
      <c r="D13" s="521" t="s">
        <v>450</v>
      </c>
      <c r="E13" s="658">
        <f>E119</f>
        <v>0</v>
      </c>
      <c r="F13" s="143"/>
      <c r="G13" s="143"/>
      <c r="H13" s="319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519"/>
      <c r="B14" s="522"/>
      <c r="C14" s="522"/>
      <c r="D14" s="521" t="s">
        <v>438</v>
      </c>
      <c r="E14" s="788">
        <f>SUM(E11:E13)</f>
        <v>0.11196</v>
      </c>
      <c r="F14" s="513"/>
      <c r="G14" s="513"/>
      <c r="H14" s="514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21"/>
      <c r="B15" s="207"/>
      <c r="C15" s="207"/>
      <c r="D15" s="207"/>
      <c r="E15" s="207"/>
      <c r="F15" s="207"/>
      <c r="G15" s="128"/>
      <c r="H15" s="315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78" t="s">
        <v>356</v>
      </c>
      <c r="B16" s="373"/>
      <c r="C16" s="374"/>
      <c r="D16" s="375"/>
      <c r="E16" s="376"/>
      <c r="F16" s="208" t="s">
        <v>9</v>
      </c>
      <c r="G16" s="145"/>
      <c r="H16" s="366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9"/>
      <c r="B17" s="209"/>
      <c r="C17" s="210"/>
      <c r="D17" s="211"/>
      <c r="E17" s="211"/>
      <c r="F17" s="212"/>
      <c r="G17" s="7"/>
      <c r="H17" s="367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8" t="s">
        <v>168</v>
      </c>
      <c r="B18" s="213"/>
      <c r="C18" s="214"/>
      <c r="D18" s="215"/>
      <c r="E18" s="211"/>
      <c r="F18" s="212"/>
      <c r="G18" s="7"/>
      <c r="H18" s="367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4" t="s">
        <v>376</v>
      </c>
      <c r="B19" s="213"/>
      <c r="C19" s="214"/>
      <c r="D19" s="215"/>
      <c r="E19" s="211"/>
      <c r="F19" s="212"/>
      <c r="G19" s="7"/>
      <c r="H19" s="367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4" t="s">
        <v>377</v>
      </c>
      <c r="B20" s="213"/>
      <c r="C20" s="214"/>
      <c r="D20" s="215"/>
      <c r="E20" s="211"/>
      <c r="F20" s="212"/>
      <c r="G20" s="7"/>
      <c r="H20" s="367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8"/>
      <c r="B21" s="213"/>
      <c r="C21" s="214"/>
      <c r="D21" s="128"/>
      <c r="E21" s="128"/>
      <c r="F21" s="212"/>
      <c r="G21" s="7"/>
      <c r="H21" s="367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8"/>
      <c r="B22" s="985" t="s">
        <v>306</v>
      </c>
      <c r="C22" s="985"/>
      <c r="D22" s="983" t="s">
        <v>305</v>
      </c>
      <c r="E22" s="984"/>
      <c r="F22" s="219"/>
      <c r="G22" s="128"/>
      <c r="H22" s="315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5" t="s">
        <v>88</v>
      </c>
      <c r="B23" s="421" t="s">
        <v>158</v>
      </c>
      <c r="C23" s="421" t="s">
        <v>307</v>
      </c>
      <c r="D23" s="422" t="s">
        <v>304</v>
      </c>
      <c r="E23" s="426" t="s">
        <v>92</v>
      </c>
      <c r="F23" s="216"/>
      <c r="G23" s="128"/>
      <c r="H23" s="315"/>
      <c r="I23" s="9"/>
      <c r="J23" s="9"/>
      <c r="K23" s="9"/>
      <c r="L23" s="9"/>
      <c r="M23" s="9"/>
      <c r="N23" s="9"/>
      <c r="O23" s="9"/>
      <c r="P23" s="14"/>
      <c r="Q23" s="14"/>
    </row>
    <row r="24" spans="1:17" s="524" customFormat="1" ht="15.75" customHeight="1">
      <c r="A24" s="572" t="s">
        <v>93</v>
      </c>
      <c r="B24" s="895">
        <v>261825</v>
      </c>
      <c r="C24" s="573">
        <f>IF($B$28=0,0,B24/$B$28)</f>
        <v>0.42165706030988354</v>
      </c>
      <c r="D24" s="898">
        <v>0.0646</v>
      </c>
      <c r="E24" s="575">
        <f>ROUNDUP(D24*C24,5)</f>
        <v>0.02724</v>
      </c>
      <c r="F24" s="216"/>
      <c r="G24" s="576"/>
      <c r="H24" s="346"/>
      <c r="I24" s="98"/>
      <c r="J24" s="98"/>
      <c r="K24" s="98"/>
      <c r="L24" s="98"/>
      <c r="M24" s="98"/>
      <c r="N24" s="98"/>
      <c r="O24" s="98"/>
      <c r="P24" s="14"/>
      <c r="Q24" s="14"/>
    </row>
    <row r="25" spans="1:17" s="524" customFormat="1" ht="15.75" customHeight="1">
      <c r="A25" s="572" t="s">
        <v>584</v>
      </c>
      <c r="B25" s="895">
        <v>48815</v>
      </c>
      <c r="C25" s="573">
        <f>IF($B$28=0,0,B25/$B$28)</f>
        <v>0.0786143011516355</v>
      </c>
      <c r="D25" s="898">
        <v>0.0854</v>
      </c>
      <c r="E25" s="575">
        <f>ROUNDUP(D25*C25,5)</f>
        <v>0.006719999999999999</v>
      </c>
      <c r="F25" s="216"/>
      <c r="G25" s="576"/>
      <c r="H25" s="346"/>
      <c r="I25" s="98"/>
      <c r="J25" s="98"/>
      <c r="K25" s="98"/>
      <c r="L25" s="98"/>
      <c r="M25" s="98"/>
      <c r="N25" s="98"/>
      <c r="O25" s="98"/>
      <c r="P25" s="14"/>
      <c r="Q25" s="14"/>
    </row>
    <row r="26" spans="1:17" s="524" customFormat="1" ht="15.75" customHeight="1">
      <c r="A26" s="577" t="s">
        <v>94</v>
      </c>
      <c r="B26" s="896">
        <v>43298</v>
      </c>
      <c r="C26" s="578">
        <f>IF($B$28=0,0,B26/$B$28)</f>
        <v>0.069729427660832</v>
      </c>
      <c r="D26" s="899">
        <v>0.064</v>
      </c>
      <c r="E26" s="580">
        <f>ROUNDUP(D26*C26,5)</f>
        <v>0.00447</v>
      </c>
      <c r="F26" s="515"/>
      <c r="G26" s="576"/>
      <c r="H26" s="346"/>
      <c r="I26" s="98"/>
      <c r="J26" s="98"/>
      <c r="K26" s="98"/>
      <c r="L26" s="98"/>
      <c r="M26" s="98"/>
      <c r="N26" s="98"/>
      <c r="O26" s="98"/>
      <c r="P26" s="14"/>
      <c r="Q26" s="14"/>
    </row>
    <row r="27" spans="1:17" s="524" customFormat="1" ht="15.75" customHeight="1">
      <c r="A27" s="577" t="s">
        <v>95</v>
      </c>
      <c r="B27" s="896">
        <v>267005</v>
      </c>
      <c r="C27" s="578">
        <f>IF($B$28=0,0,B27/$B$28)</f>
        <v>0.429999210877649</v>
      </c>
      <c r="D27" s="899">
        <v>0.1075</v>
      </c>
      <c r="E27" s="580">
        <f>ROUNDUP(D27*C27,5)</f>
        <v>0.04623</v>
      </c>
      <c r="F27" s="515"/>
      <c r="G27" s="576"/>
      <c r="H27" s="346"/>
      <c r="I27" s="98"/>
      <c r="J27" s="98"/>
      <c r="K27" s="98"/>
      <c r="L27" s="98"/>
      <c r="M27" s="98"/>
      <c r="N27" s="98"/>
      <c r="O27" s="98"/>
      <c r="P27" s="14"/>
      <c r="Q27" s="14"/>
    </row>
    <row r="28" spans="1:17" s="1" customFormat="1" ht="15.75" customHeight="1" thickBot="1">
      <c r="A28" s="410" t="s">
        <v>316</v>
      </c>
      <c r="B28" s="897">
        <f>SUM(B24:B27)</f>
        <v>620943</v>
      </c>
      <c r="C28" s="588">
        <f>IF($B$28=0,0,B28/$B$28)</f>
        <v>1</v>
      </c>
      <c r="D28" s="589"/>
      <c r="E28" s="590">
        <f>SUM(E24:E27)</f>
        <v>0.08466</v>
      </c>
      <c r="F28" s="216"/>
      <c r="G28" s="508"/>
      <c r="H28" s="315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46"/>
      <c r="B29" s="92"/>
      <c r="C29" s="92"/>
      <c r="D29" s="587"/>
      <c r="E29" s="219"/>
      <c r="F29" s="216"/>
      <c r="G29" s="218"/>
      <c r="H29" s="315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89" t="s">
        <v>96</v>
      </c>
      <c r="B30" s="209"/>
      <c r="C30" s="131"/>
      <c r="D30" s="105"/>
      <c r="E30" s="217"/>
      <c r="F30" s="216"/>
      <c r="G30" s="128"/>
      <c r="H30" s="315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" customHeight="1">
      <c r="A31" s="246"/>
      <c r="B31" s="131"/>
      <c r="C31" s="131"/>
      <c r="D31" s="105"/>
      <c r="E31" s="217"/>
      <c r="F31" s="216"/>
      <c r="G31" s="128"/>
      <c r="H31" s="315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9" t="s">
        <v>230</v>
      </c>
      <c r="B32" s="131"/>
      <c r="C32" s="131"/>
      <c r="D32" s="144">
        <v>0.35</v>
      </c>
      <c r="E32" s="128"/>
      <c r="F32" s="219"/>
      <c r="G32" s="220"/>
      <c r="H32" s="315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 thickBot="1">
      <c r="A33" s="289" t="s">
        <v>256</v>
      </c>
      <c r="B33" s="131"/>
      <c r="C33" s="131"/>
      <c r="D33" s="131"/>
      <c r="E33" s="591">
        <f>(E28-(E24+E25))*(D32/(1-D32))</f>
        <v>0.0273</v>
      </c>
      <c r="F33" s="221"/>
      <c r="G33" s="128"/>
      <c r="H33" s="315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5.75" customHeight="1">
      <c r="A34" s="981" t="s">
        <v>308</v>
      </c>
      <c r="B34" s="982"/>
      <c r="C34" s="982"/>
      <c r="D34" s="982"/>
      <c r="E34" s="982"/>
      <c r="F34" s="222"/>
      <c r="G34" s="128"/>
      <c r="H34" s="315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8" customHeight="1" thickBot="1">
      <c r="A35" s="369"/>
      <c r="B35" s="223"/>
      <c r="C35" s="131"/>
      <c r="D35" s="105"/>
      <c r="E35" s="217"/>
      <c r="F35" s="222"/>
      <c r="G35" s="128"/>
      <c r="H35" s="315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 thickBot="1">
      <c r="A36" s="289" t="s">
        <v>98</v>
      </c>
      <c r="B36" s="223"/>
      <c r="C36" s="131"/>
      <c r="D36" s="105"/>
      <c r="E36" s="659">
        <f>E28+E33</f>
        <v>0.11196</v>
      </c>
      <c r="F36" s="222"/>
      <c r="G36" s="128"/>
      <c r="H36" s="315"/>
      <c r="I36" s="9"/>
      <c r="J36" s="9"/>
      <c r="K36" s="9"/>
      <c r="L36" s="9"/>
      <c r="M36" s="9"/>
      <c r="N36" s="9"/>
      <c r="O36" s="9"/>
      <c r="P36" s="14"/>
      <c r="Q36" s="14"/>
    </row>
    <row r="37" spans="1:17" s="1" customFormat="1" ht="15.75" customHeight="1">
      <c r="A37" s="661" t="s">
        <v>257</v>
      </c>
      <c r="B37" s="223"/>
      <c r="C37" s="131"/>
      <c r="D37" s="105"/>
      <c r="E37" s="217"/>
      <c r="F37" s="222"/>
      <c r="G37" s="128"/>
      <c r="H37" s="315"/>
      <c r="I37" s="9"/>
      <c r="J37" s="9"/>
      <c r="K37" s="9"/>
      <c r="L37" s="9"/>
      <c r="M37" s="9"/>
      <c r="N37" s="9"/>
      <c r="O37" s="9"/>
      <c r="P37" s="14"/>
      <c r="Q37" s="14"/>
    </row>
    <row r="38" spans="1:17" s="12" customFormat="1" ht="15" customHeight="1">
      <c r="A38" s="246"/>
      <c r="B38" s="131"/>
      <c r="C38" s="224"/>
      <c r="D38" s="13"/>
      <c r="E38" s="225"/>
      <c r="F38" s="52"/>
      <c r="G38" s="10"/>
      <c r="H38" s="267"/>
      <c r="I38" s="11"/>
      <c r="J38" s="11"/>
      <c r="K38" s="11"/>
      <c r="L38" s="33"/>
      <c r="M38" s="33"/>
      <c r="N38" s="34"/>
      <c r="O38" s="38"/>
      <c r="P38" s="38"/>
      <c r="Q38" s="38"/>
    </row>
    <row r="39" spans="1:8" ht="15.75" customHeight="1" thickBot="1">
      <c r="A39" s="289" t="s">
        <v>258</v>
      </c>
      <c r="B39" s="209"/>
      <c r="C39" s="131"/>
      <c r="D39" s="105"/>
      <c r="E39" s="148"/>
      <c r="F39" s="149"/>
      <c r="G39" s="149"/>
      <c r="H39" s="297"/>
    </row>
    <row r="40" spans="1:8" ht="15.75" customHeight="1">
      <c r="A40" s="289"/>
      <c r="B40" s="209"/>
      <c r="C40" s="131"/>
      <c r="D40" s="105"/>
      <c r="E40" s="378" t="s">
        <v>14</v>
      </c>
      <c r="F40" s="379" t="s">
        <v>15</v>
      </c>
      <c r="G40" s="379" t="s">
        <v>16</v>
      </c>
      <c r="H40" s="411" t="s">
        <v>17</v>
      </c>
    </row>
    <row r="41" spans="1:8" ht="15.75" customHeight="1">
      <c r="A41" s="246" t="s">
        <v>97</v>
      </c>
      <c r="B41" s="131"/>
      <c r="C41" s="131"/>
      <c r="D41" s="131"/>
      <c r="E41" s="581">
        <f>'Sch 1- Rate Base '!G161</f>
        <v>749787877.625</v>
      </c>
      <c r="F41" s="582">
        <f>'Sch 1- Rate Base '!H161</f>
        <v>3273860.2643525423</v>
      </c>
      <c r="G41" s="582">
        <f>'Sch 1- Rate Base '!I161</f>
        <v>312350399.0897563</v>
      </c>
      <c r="H41" s="583">
        <f>'Sch 1- Rate Base '!J161</f>
        <v>434163618.1508912</v>
      </c>
    </row>
    <row r="42" spans="1:8" ht="15.75" customHeight="1">
      <c r="A42" s="246" t="s">
        <v>98</v>
      </c>
      <c r="B42" s="131"/>
      <c r="C42" s="131"/>
      <c r="D42" s="131"/>
      <c r="E42" s="584">
        <f>$E$36</f>
        <v>0.11196</v>
      </c>
      <c r="F42" s="585">
        <f>$E$36</f>
        <v>0.11196</v>
      </c>
      <c r="G42" s="585">
        <f>$E$36</f>
        <v>0.11196</v>
      </c>
      <c r="H42" s="586">
        <f>$E$36</f>
        <v>0.11196</v>
      </c>
    </row>
    <row r="43" spans="1:8" ht="15.75" customHeight="1" thickBot="1">
      <c r="A43" s="289" t="s">
        <v>261</v>
      </c>
      <c r="B43" s="209"/>
      <c r="C43" s="209"/>
      <c r="D43" s="209"/>
      <c r="E43" s="592">
        <f>E42*E41</f>
        <v>83946250.778895</v>
      </c>
      <c r="F43" s="593">
        <f>F42*F41</f>
        <v>366541.39519691066</v>
      </c>
      <c r="G43" s="593">
        <f>G42*G41</f>
        <v>34970750.68208912</v>
      </c>
      <c r="H43" s="594">
        <f>H42*H41</f>
        <v>48608958.68817378</v>
      </c>
    </row>
    <row r="44" spans="1:8" ht="15" customHeight="1">
      <c r="A44" s="660" t="s">
        <v>231</v>
      </c>
      <c r="B44" s="128"/>
      <c r="C44" s="128"/>
      <c r="D44" s="128"/>
      <c r="E44" s="128"/>
      <c r="F44" s="128"/>
      <c r="G44" s="128"/>
      <c r="H44" s="315"/>
    </row>
    <row r="45" spans="1:8" ht="15.75">
      <c r="A45" s="322"/>
      <c r="B45" s="128"/>
      <c r="C45" s="128"/>
      <c r="D45" s="128"/>
      <c r="E45" s="128"/>
      <c r="F45" s="128"/>
      <c r="G45" s="128"/>
      <c r="H45" s="315"/>
    </row>
    <row r="46" spans="1:8" ht="16.5" thickBot="1">
      <c r="A46" s="371"/>
      <c r="B46" s="291"/>
      <c r="C46" s="291"/>
      <c r="D46" s="291"/>
      <c r="E46" s="291"/>
      <c r="F46" s="291"/>
      <c r="G46" s="291"/>
      <c r="H46" s="292"/>
    </row>
    <row r="47" spans="1:8" ht="17.25" thickBot="1" thickTop="1">
      <c r="A47" s="321"/>
      <c r="B47" s="207"/>
      <c r="C47" s="207"/>
      <c r="D47" s="207"/>
      <c r="E47" s="207"/>
      <c r="F47" s="207"/>
      <c r="G47" s="128"/>
      <c r="H47" s="315"/>
    </row>
    <row r="48" spans="1:8" ht="24.75" customHeight="1" thickBot="1">
      <c r="A48" s="478" t="s">
        <v>355</v>
      </c>
      <c r="B48" s="373"/>
      <c r="C48" s="374"/>
      <c r="D48" s="375"/>
      <c r="E48" s="376"/>
      <c r="F48" s="208" t="s">
        <v>9</v>
      </c>
      <c r="G48" s="145"/>
      <c r="H48" s="366"/>
    </row>
    <row r="49" spans="1:9" ht="18.75">
      <c r="A49" s="289" t="s">
        <v>357</v>
      </c>
      <c r="B49" s="209"/>
      <c r="C49" s="210"/>
      <c r="D49" s="211"/>
      <c r="E49" s="211"/>
      <c r="F49" s="212"/>
      <c r="G49" s="7"/>
      <c r="H49" s="367"/>
      <c r="I49" s="15"/>
    </row>
    <row r="50" spans="1:9" ht="15.75">
      <c r="A50" s="368" t="s">
        <v>358</v>
      </c>
      <c r="B50" s="213"/>
      <c r="C50" s="214"/>
      <c r="D50" s="215"/>
      <c r="E50" s="211"/>
      <c r="F50" s="212"/>
      <c r="G50" s="7"/>
      <c r="H50" s="367"/>
      <c r="I50" s="18"/>
    </row>
    <row r="51" spans="1:8" ht="16.5" thickBot="1">
      <c r="A51" s="368"/>
      <c r="B51" s="213"/>
      <c r="C51" s="214"/>
      <c r="D51" s="128"/>
      <c r="E51" s="128"/>
      <c r="F51" s="436"/>
      <c r="G51" s="211"/>
      <c r="H51" s="476"/>
    </row>
    <row r="52" spans="1:8" ht="15.75">
      <c r="A52" s="408"/>
      <c r="B52" s="985" t="s">
        <v>306</v>
      </c>
      <c r="C52" s="985"/>
      <c r="D52" s="983" t="s">
        <v>305</v>
      </c>
      <c r="E52" s="984"/>
      <c r="F52" s="506" t="s">
        <v>433</v>
      </c>
      <c r="G52" s="502" t="s">
        <v>367</v>
      </c>
      <c r="H52" s="503"/>
    </row>
    <row r="53" spans="1:8" ht="16.5" thickBot="1">
      <c r="A53" s="425" t="s">
        <v>88</v>
      </c>
      <c r="B53" s="421" t="s">
        <v>158</v>
      </c>
      <c r="C53" s="421" t="s">
        <v>307</v>
      </c>
      <c r="D53" s="422" t="s">
        <v>304</v>
      </c>
      <c r="E53" s="426" t="s">
        <v>92</v>
      </c>
      <c r="F53" s="507" t="s">
        <v>368</v>
      </c>
      <c r="G53" s="504" t="s">
        <v>369</v>
      </c>
      <c r="H53" s="505"/>
    </row>
    <row r="54" spans="1:8" ht="16.5" thickBot="1">
      <c r="A54" s="595" t="s">
        <v>93</v>
      </c>
      <c r="B54" s="707"/>
      <c r="C54" s="598">
        <f>IF($B$57=0,0,B54/$B$57)</f>
        <v>0</v>
      </c>
      <c r="D54" s="599"/>
      <c r="E54" s="600">
        <f>ROUNDUP(D54*C54,5)</f>
        <v>0</v>
      </c>
      <c r="F54" s="613" t="str">
        <f>IF(B76=0,"0",B76/$B$79)</f>
        <v>0</v>
      </c>
      <c r="G54" s="614">
        <f>E54*$F$54</f>
        <v>0</v>
      </c>
      <c r="H54" s="615">
        <f>C54*$F$54</f>
        <v>0</v>
      </c>
    </row>
    <row r="55" spans="1:8" ht="15.75">
      <c r="A55" s="596" t="s">
        <v>94</v>
      </c>
      <c r="B55" s="650"/>
      <c r="C55" s="573">
        <f>IF($B$57=0,0,B55/$B$57)</f>
        <v>0</v>
      </c>
      <c r="D55" s="579"/>
      <c r="E55" s="580">
        <f>ROUNDUP(D55*C55,5)</f>
        <v>0</v>
      </c>
      <c r="F55" s="616"/>
      <c r="G55" s="617">
        <f>E55*$F$54</f>
        <v>0</v>
      </c>
      <c r="H55" s="618">
        <f>C55*$F$54</f>
        <v>0</v>
      </c>
    </row>
    <row r="56" spans="1:8" ht="15.75">
      <c r="A56" s="596" t="s">
        <v>95</v>
      </c>
      <c r="B56" s="650"/>
      <c r="C56" s="573">
        <f>IF($B$57=0,0,B56/$B$57)</f>
        <v>0</v>
      </c>
      <c r="D56" s="579"/>
      <c r="E56" s="580">
        <f>ROUNDUP(D56*C56,5)</f>
        <v>0</v>
      </c>
      <c r="F56" s="616"/>
      <c r="G56" s="617">
        <f>E56*$F$54</f>
        <v>0</v>
      </c>
      <c r="H56" s="618">
        <f>C56*$F$54</f>
        <v>0</v>
      </c>
    </row>
    <row r="57" spans="1:8" ht="16.5" thickBot="1">
      <c r="A57" s="597" t="s">
        <v>316</v>
      </c>
      <c r="B57" s="706">
        <f>SUM(B54:B56)</f>
        <v>0</v>
      </c>
      <c r="C57" s="710">
        <f>SUM(C54:C56)</f>
        <v>0</v>
      </c>
      <c r="D57" s="589"/>
      <c r="E57" s="619">
        <f>SUM(E54:E56)</f>
        <v>0</v>
      </c>
      <c r="F57" s="620"/>
      <c r="G57" s="621">
        <f>SUM(G54:G56)</f>
        <v>0</v>
      </c>
      <c r="H57" s="622">
        <f>SUM(H54:H56)</f>
        <v>0</v>
      </c>
    </row>
    <row r="58" spans="1:8" ht="15.75">
      <c r="A58" s="246"/>
      <c r="B58" s="131"/>
      <c r="C58" s="131"/>
      <c r="D58" s="105"/>
      <c r="E58" s="217"/>
      <c r="F58" s="477"/>
      <c r="G58" s="414"/>
      <c r="H58" s="413"/>
    </row>
    <row r="59" spans="1:8" ht="15.75">
      <c r="A59" s="368" t="s">
        <v>359</v>
      </c>
      <c r="B59" s="213"/>
      <c r="C59" s="214"/>
      <c r="D59" s="215"/>
      <c r="E59" s="211"/>
      <c r="F59" s="477"/>
      <c r="G59" s="414"/>
      <c r="H59" s="413"/>
    </row>
    <row r="60" spans="1:8" ht="16.5" thickBot="1">
      <c r="A60" s="368"/>
      <c r="B60" s="213"/>
      <c r="C60" s="214"/>
      <c r="D60" s="128"/>
      <c r="E60" s="128"/>
      <c r="F60" s="477"/>
      <c r="G60" s="414"/>
      <c r="H60" s="413"/>
    </row>
    <row r="61" spans="1:8" ht="16.5" thickBot="1">
      <c r="A61" s="427" t="s">
        <v>88</v>
      </c>
      <c r="B61" s="428" t="s">
        <v>158</v>
      </c>
      <c r="C61" s="428" t="s">
        <v>307</v>
      </c>
      <c r="D61" s="429" t="s">
        <v>304</v>
      </c>
      <c r="E61" s="430" t="s">
        <v>92</v>
      </c>
      <c r="F61" s="477"/>
      <c r="G61" s="414"/>
      <c r="H61" s="413"/>
    </row>
    <row r="62" spans="1:8" ht="16.5" thickBot="1">
      <c r="A62" s="419" t="s">
        <v>93</v>
      </c>
      <c r="B62" s="708"/>
      <c r="C62" s="573">
        <f>IF($B$65=0,0,B62/$B$65)</f>
        <v>0</v>
      </c>
      <c r="D62" s="574"/>
      <c r="E62" s="600">
        <f>ROUNDUP(D62*C62,5)</f>
        <v>0</v>
      </c>
      <c r="F62" s="613" t="str">
        <f>IF(B77=0,"0",B77/$B$79)</f>
        <v>0</v>
      </c>
      <c r="G62" s="614">
        <f>E62*$F$62</f>
        <v>0</v>
      </c>
      <c r="H62" s="615">
        <f>C62*$F$62</f>
        <v>0</v>
      </c>
    </row>
    <row r="63" spans="1:8" ht="15.75">
      <c r="A63" s="409" t="s">
        <v>94</v>
      </c>
      <c r="B63" s="709"/>
      <c r="C63" s="578">
        <f>IF($B$65=0,0,B63/$B$65)</f>
        <v>0</v>
      </c>
      <c r="D63" s="579"/>
      <c r="E63" s="580">
        <f>ROUNDUP(D63*C63,5)</f>
        <v>0</v>
      </c>
      <c r="F63" s="616"/>
      <c r="G63" s="617">
        <f>E63*$F$62</f>
        <v>0</v>
      </c>
      <c r="H63" s="618">
        <f>C63*$F$62</f>
        <v>0</v>
      </c>
    </row>
    <row r="64" spans="1:8" ht="15.75">
      <c r="A64" s="409" t="s">
        <v>95</v>
      </c>
      <c r="B64" s="709"/>
      <c r="C64" s="573">
        <f>IF($B$65=0,0,B64/$B$65)</f>
        <v>0</v>
      </c>
      <c r="D64" s="579"/>
      <c r="E64" s="580">
        <f>ROUNDUP(D64*C64,5)</f>
        <v>0</v>
      </c>
      <c r="F64" s="616"/>
      <c r="G64" s="617">
        <f>E64*$F$62</f>
        <v>0</v>
      </c>
      <c r="H64" s="618">
        <f>C64*$F$62</f>
        <v>0</v>
      </c>
    </row>
    <row r="65" spans="1:8" ht="16.5" thickBot="1">
      <c r="A65" s="410" t="s">
        <v>316</v>
      </c>
      <c r="B65" s="706">
        <f>SUM(B62:B64)</f>
        <v>0</v>
      </c>
      <c r="C65" s="710">
        <f>SUM(C62:C64)</f>
        <v>0</v>
      </c>
      <c r="D65" s="589"/>
      <c r="E65" s="590">
        <f>SUM(E62:E64)</f>
        <v>0</v>
      </c>
      <c r="F65" s="620"/>
      <c r="G65" s="621">
        <f>SUM(G62:G64)</f>
        <v>0</v>
      </c>
      <c r="H65" s="622">
        <f>SUM(H62:H64)</f>
        <v>0</v>
      </c>
    </row>
    <row r="66" spans="1:8" ht="15.75">
      <c r="A66" s="246"/>
      <c r="B66" s="131"/>
      <c r="C66" s="131"/>
      <c r="D66" s="105"/>
      <c r="E66" s="217"/>
      <c r="F66" s="477"/>
      <c r="G66" s="414"/>
      <c r="H66" s="413"/>
    </row>
    <row r="67" spans="1:8" ht="15.75">
      <c r="A67" s="368" t="s">
        <v>360</v>
      </c>
      <c r="B67" s="213"/>
      <c r="C67" s="214"/>
      <c r="D67" s="215"/>
      <c r="E67" s="211"/>
      <c r="F67" s="477"/>
      <c r="G67" s="414"/>
      <c r="H67" s="413"/>
    </row>
    <row r="68" spans="1:8" ht="16.5" thickBot="1">
      <c r="A68" s="368"/>
      <c r="B68" s="213"/>
      <c r="C68" s="214"/>
      <c r="D68" s="128"/>
      <c r="E68" s="128"/>
      <c r="F68" s="477"/>
      <c r="G68" s="414"/>
      <c r="H68" s="413"/>
    </row>
    <row r="69" spans="1:8" ht="16.5" thickBot="1">
      <c r="A69" s="427" t="s">
        <v>88</v>
      </c>
      <c r="B69" s="428" t="s">
        <v>158</v>
      </c>
      <c r="C69" s="428" t="s">
        <v>307</v>
      </c>
      <c r="D69" s="429" t="s">
        <v>304</v>
      </c>
      <c r="E69" s="430" t="s">
        <v>92</v>
      </c>
      <c r="F69" s="477"/>
      <c r="G69" s="414"/>
      <c r="H69" s="413"/>
    </row>
    <row r="70" spans="1:8" ht="16.5" thickBot="1">
      <c r="A70" s="419" t="s">
        <v>93</v>
      </c>
      <c r="B70" s="708"/>
      <c r="C70" s="573">
        <f>IF($B$73=0,0,B70/$B$73)</f>
        <v>0</v>
      </c>
      <c r="D70" s="632"/>
      <c r="E70" s="633">
        <f>ROUNDUP(D70*C70,5)</f>
        <v>0</v>
      </c>
      <c r="F70" s="634" t="str">
        <f>IF(B78=0,"0",B78/$B$79)</f>
        <v>0</v>
      </c>
      <c r="G70" s="635">
        <f>E70*$F$70</f>
        <v>0</v>
      </c>
      <c r="H70" s="636">
        <f>C70*$F$70</f>
        <v>0</v>
      </c>
    </row>
    <row r="71" spans="1:8" ht="15.75">
      <c r="A71" s="409" t="s">
        <v>94</v>
      </c>
      <c r="B71" s="709"/>
      <c r="C71" s="573">
        <f>IF($B$73=0,0,B71/$B$73)</f>
        <v>0</v>
      </c>
      <c r="D71" s="637"/>
      <c r="E71" s="638">
        <f>ROUNDUP(D71*C71,5)</f>
        <v>0</v>
      </c>
      <c r="F71" s="639"/>
      <c r="G71" s="640">
        <f>E71*$F$70</f>
        <v>0</v>
      </c>
      <c r="H71" s="641">
        <f>C71*$F$70</f>
        <v>0</v>
      </c>
    </row>
    <row r="72" spans="1:8" ht="15.75">
      <c r="A72" s="409" t="s">
        <v>95</v>
      </c>
      <c r="B72" s="709"/>
      <c r="C72" s="573">
        <f>IF($B$73=0,0,B72/$B$73)</f>
        <v>0</v>
      </c>
      <c r="D72" s="637"/>
      <c r="E72" s="638">
        <f>ROUNDUP(D72*C72,5)</f>
        <v>0</v>
      </c>
      <c r="F72" s="639"/>
      <c r="G72" s="640">
        <f>E72*$F$70</f>
        <v>0</v>
      </c>
      <c r="H72" s="641">
        <f>C72*$F$70</f>
        <v>0</v>
      </c>
    </row>
    <row r="73" spans="1:8" ht="16.5" thickBot="1">
      <c r="A73" s="410" t="s">
        <v>316</v>
      </c>
      <c r="B73" s="706">
        <f>SUM(B70:B72)</f>
        <v>0</v>
      </c>
      <c r="C73" s="710">
        <f>SUM(C70:C72)</f>
        <v>0</v>
      </c>
      <c r="D73" s="642"/>
      <c r="E73" s="643">
        <f>SUM(E70:E72)</f>
        <v>0</v>
      </c>
      <c r="F73" s="644"/>
      <c r="G73" s="645">
        <f>SUM(G70:G72)</f>
        <v>0</v>
      </c>
      <c r="H73" s="646">
        <f>SUM(H70:H72)</f>
        <v>0</v>
      </c>
    </row>
    <row r="74" spans="1:8" ht="16.5" thickBot="1">
      <c r="A74" s="246"/>
      <c r="B74" s="131"/>
      <c r="C74" s="131"/>
      <c r="D74" s="105"/>
      <c r="E74" s="217"/>
      <c r="F74" s="477"/>
      <c r="G74" s="414"/>
      <c r="H74" s="413"/>
    </row>
    <row r="75" spans="1:8" ht="16.5" thickBot="1">
      <c r="A75" s="433" t="s">
        <v>366</v>
      </c>
      <c r="B75" s="431" t="s">
        <v>361</v>
      </c>
      <c r="C75" s="431" t="s">
        <v>362</v>
      </c>
      <c r="D75" s="432" t="s">
        <v>364</v>
      </c>
      <c r="E75" s="430" t="s">
        <v>363</v>
      </c>
      <c r="F75" s="477"/>
      <c r="G75" s="414"/>
      <c r="H75" s="533"/>
    </row>
    <row r="76" spans="1:8" ht="15.75">
      <c r="A76" s="424"/>
      <c r="B76" s="623"/>
      <c r="C76" s="574">
        <f>E57</f>
        <v>0</v>
      </c>
      <c r="D76" s="624">
        <f>C76*F54</f>
        <v>0</v>
      </c>
      <c r="E76" s="625">
        <f>$D$79*B76</f>
        <v>0</v>
      </c>
      <c r="F76" s="626"/>
      <c r="G76" s="627">
        <f>G57</f>
        <v>0</v>
      </c>
      <c r="H76" s="601"/>
    </row>
    <row r="77" spans="1:8" ht="15.75">
      <c r="A77" s="412"/>
      <c r="B77" s="628"/>
      <c r="C77" s="579">
        <f>E65</f>
        <v>0</v>
      </c>
      <c r="D77" s="624">
        <f>C77*F62</f>
        <v>0</v>
      </c>
      <c r="E77" s="629">
        <f>$D$79*B77</f>
        <v>0</v>
      </c>
      <c r="F77" s="630"/>
      <c r="G77" s="631">
        <f>G65</f>
        <v>0</v>
      </c>
      <c r="H77" s="602"/>
    </row>
    <row r="78" spans="1:8" ht="16.5" thickBot="1">
      <c r="A78" s="412"/>
      <c r="B78" s="628"/>
      <c r="C78" s="579">
        <f>E73</f>
        <v>0</v>
      </c>
      <c r="D78" s="624">
        <f>C78*F70</f>
        <v>0</v>
      </c>
      <c r="E78" s="629">
        <f>$D$79*B78</f>
        <v>0</v>
      </c>
      <c r="F78" s="630"/>
      <c r="G78" s="631">
        <f>G73</f>
        <v>0</v>
      </c>
      <c r="H78" s="602"/>
    </row>
    <row r="79" spans="1:8" ht="16.5" thickBot="1">
      <c r="A79" s="410" t="s">
        <v>14</v>
      </c>
      <c r="B79" s="607">
        <f>SUM(B76:B78)</f>
        <v>0</v>
      </c>
      <c r="C79" s="608"/>
      <c r="D79" s="609">
        <f>SUM(D76:D78)</f>
        <v>0</v>
      </c>
      <c r="E79" s="610">
        <f>SUM(E76:E78)</f>
        <v>0</v>
      </c>
      <c r="F79" s="611">
        <f>SUM(F54:F78)</f>
        <v>0</v>
      </c>
      <c r="G79" s="612">
        <f>SUM(G76:G78)</f>
        <v>0</v>
      </c>
      <c r="H79" s="602"/>
    </row>
    <row r="80" spans="1:8" ht="16.5" thickBot="1">
      <c r="A80" s="276"/>
      <c r="B80" s="405"/>
      <c r="C80" s="405"/>
      <c r="D80" s="293"/>
      <c r="E80" s="294"/>
      <c r="F80" s="406"/>
      <c r="G80" s="407"/>
      <c r="H80" s="292"/>
    </row>
    <row r="81" spans="1:8" ht="17.25" thickBot="1" thickTop="1">
      <c r="A81" s="722"/>
      <c r="B81" s="723"/>
      <c r="C81" s="723"/>
      <c r="D81" s="724"/>
      <c r="E81" s="725"/>
      <c r="F81" s="726"/>
      <c r="G81" s="727"/>
      <c r="H81" s="728"/>
    </row>
    <row r="82" spans="1:12" ht="24.75" customHeight="1" thickBot="1">
      <c r="A82" s="478" t="s">
        <v>365</v>
      </c>
      <c r="B82" s="373"/>
      <c r="C82" s="374"/>
      <c r="D82" s="375"/>
      <c r="E82" s="376"/>
      <c r="F82" s="216"/>
      <c r="G82" s="218"/>
      <c r="H82" s="315"/>
      <c r="J82"/>
      <c r="K82"/>
      <c r="L82"/>
    </row>
    <row r="83" spans="1:12" ht="15.75">
      <c r="A83" s="246"/>
      <c r="B83" s="131"/>
      <c r="C83" s="131"/>
      <c r="D83" s="105"/>
      <c r="E83" s="217"/>
      <c r="F83" s="216"/>
      <c r="G83" s="218"/>
      <c r="H83" s="315"/>
      <c r="J83"/>
      <c r="K83"/>
      <c r="L83"/>
    </row>
    <row r="84" spans="1:12" ht="15.75">
      <c r="A84" s="246"/>
      <c r="B84" s="131"/>
      <c r="C84" s="131"/>
      <c r="D84" s="105"/>
      <c r="E84" s="217"/>
      <c r="F84" s="216"/>
      <c r="G84" s="218"/>
      <c r="H84" s="315"/>
      <c r="J84"/>
      <c r="K84"/>
      <c r="L84"/>
    </row>
    <row r="85" spans="1:12" ht="15.75">
      <c r="A85" s="289" t="s">
        <v>96</v>
      </c>
      <c r="B85" s="209"/>
      <c r="C85" s="131"/>
      <c r="D85" s="105"/>
      <c r="E85" s="217"/>
      <c r="F85" s="216"/>
      <c r="G85" s="128"/>
      <c r="H85" s="315"/>
      <c r="J85"/>
      <c r="K85"/>
      <c r="L85"/>
    </row>
    <row r="86" spans="1:12" ht="15.75">
      <c r="A86" s="246"/>
      <c r="B86" s="131"/>
      <c r="C86" s="131"/>
      <c r="D86" s="105"/>
      <c r="E86" s="217"/>
      <c r="F86" s="216"/>
      <c r="G86" s="128"/>
      <c r="H86" s="315"/>
      <c r="J86"/>
      <c r="K86"/>
      <c r="L86"/>
    </row>
    <row r="87" spans="1:12" ht="16.5" thickBot="1">
      <c r="A87" s="289" t="s">
        <v>230</v>
      </c>
      <c r="B87" s="131"/>
      <c r="C87" s="131"/>
      <c r="D87" s="144">
        <v>0.35</v>
      </c>
      <c r="E87" s="153"/>
      <c r="F87" s="219"/>
      <c r="G87" s="220"/>
      <c r="H87" s="315"/>
      <c r="J87"/>
      <c r="K87"/>
      <c r="L87"/>
    </row>
    <row r="88" spans="1:12" ht="16.5" thickBot="1">
      <c r="A88" s="289" t="s">
        <v>256</v>
      </c>
      <c r="B88" s="131"/>
      <c r="C88" s="131"/>
      <c r="D88" s="131"/>
      <c r="E88" s="787">
        <f>(G79-(G54+G62+G70))*(D87/(1-D87))</f>
        <v>0</v>
      </c>
      <c r="F88" s="1"/>
      <c r="G88" s="128"/>
      <c r="H88" s="315"/>
      <c r="J88"/>
      <c r="K88"/>
      <c r="L88"/>
    </row>
    <row r="89" spans="1:12" ht="15.75">
      <c r="A89" s="981" t="s">
        <v>308</v>
      </c>
      <c r="B89" s="982"/>
      <c r="C89" s="982"/>
      <c r="D89" s="982"/>
      <c r="E89" s="982"/>
      <c r="F89" s="222"/>
      <c r="G89" s="128"/>
      <c r="H89" s="315"/>
      <c r="J89"/>
      <c r="K89"/>
      <c r="L89"/>
    </row>
    <row r="90" spans="1:8" ht="16.5" thickBot="1">
      <c r="A90" s="369"/>
      <c r="B90" s="223"/>
      <c r="C90" s="131"/>
      <c r="D90" s="105"/>
      <c r="E90" s="217"/>
      <c r="F90" s="222"/>
      <c r="G90" s="128"/>
      <c r="H90" s="315"/>
    </row>
    <row r="91" spans="1:8" ht="16.5" thickBot="1">
      <c r="A91" s="246" t="s">
        <v>98</v>
      </c>
      <c r="B91" s="223"/>
      <c r="C91" s="131"/>
      <c r="D91" s="105"/>
      <c r="E91" s="787">
        <f>G79+E88</f>
        <v>0</v>
      </c>
      <c r="F91" s="1"/>
      <c r="G91" s="128"/>
      <c r="H91" s="315"/>
    </row>
    <row r="92" spans="1:8" ht="15.75">
      <c r="A92" s="662" t="s">
        <v>257</v>
      </c>
      <c r="B92" s="223"/>
      <c r="C92" s="131"/>
      <c r="D92" s="105"/>
      <c r="E92" s="217"/>
      <c r="F92" s="222"/>
      <c r="G92" s="128"/>
      <c r="H92" s="315"/>
    </row>
    <row r="93" spans="1:8" ht="15.75">
      <c r="A93" s="246"/>
      <c r="B93" s="131"/>
      <c r="C93" s="224"/>
      <c r="D93" s="13"/>
      <c r="E93" s="225"/>
      <c r="F93" s="52"/>
      <c r="G93" s="10"/>
      <c r="H93" s="267"/>
    </row>
    <row r="94" spans="1:8" ht="16.5" thickBot="1">
      <c r="A94" s="289" t="s">
        <v>258</v>
      </c>
      <c r="B94" s="209"/>
      <c r="C94" s="131"/>
      <c r="D94" s="105"/>
      <c r="E94" s="148"/>
      <c r="F94" s="149"/>
      <c r="G94" s="149"/>
      <c r="H94" s="297"/>
    </row>
    <row r="95" spans="1:8" ht="15.75">
      <c r="A95" s="289"/>
      <c r="B95" s="209"/>
      <c r="C95" s="131"/>
      <c r="D95" s="105"/>
      <c r="E95" s="378" t="s">
        <v>14</v>
      </c>
      <c r="F95" s="379" t="s">
        <v>15</v>
      </c>
      <c r="G95" s="379" t="s">
        <v>16</v>
      </c>
      <c r="H95" s="411" t="s">
        <v>17</v>
      </c>
    </row>
    <row r="96" spans="1:8" ht="15.75">
      <c r="A96" s="246"/>
      <c r="B96" s="131"/>
      <c r="C96" s="131"/>
      <c r="D96" s="131"/>
      <c r="E96" s="603"/>
      <c r="F96" s="604"/>
      <c r="G96" s="604"/>
      <c r="H96" s="605"/>
    </row>
    <row r="97" spans="1:8" ht="15.75">
      <c r="A97" s="246" t="s">
        <v>97</v>
      </c>
      <c r="B97" s="131"/>
      <c r="C97" s="131"/>
      <c r="D97" s="131"/>
      <c r="E97" s="606">
        <f>'Sch 1- Rate Base '!G161</f>
        <v>749787877.625</v>
      </c>
      <c r="F97" s="263">
        <f>'Sch 1- Rate Base '!H161</f>
        <v>3273860.2643525423</v>
      </c>
      <c r="G97" s="263">
        <f>'Sch 1- Rate Base '!I161</f>
        <v>312350399.0897563</v>
      </c>
      <c r="H97" s="264">
        <f>'Sch 1- Rate Base '!J161</f>
        <v>434163618.1508912</v>
      </c>
    </row>
    <row r="98" spans="1:8" ht="15.75">
      <c r="A98" s="246" t="s">
        <v>98</v>
      </c>
      <c r="B98" s="131"/>
      <c r="C98" s="131"/>
      <c r="D98" s="131"/>
      <c r="E98" s="584">
        <f>$E$91</f>
        <v>0</v>
      </c>
      <c r="F98" s="585">
        <f>$E$91</f>
        <v>0</v>
      </c>
      <c r="G98" s="585">
        <f>$E$91</f>
        <v>0</v>
      </c>
      <c r="H98" s="586">
        <f>$E$91</f>
        <v>0</v>
      </c>
    </row>
    <row r="99" spans="1:8" ht="16.5" thickBot="1">
      <c r="A99" s="289" t="s">
        <v>261</v>
      </c>
      <c r="B99" s="209"/>
      <c r="C99" s="209"/>
      <c r="D99" s="209"/>
      <c r="E99" s="592">
        <f>E98*E97</f>
        <v>0</v>
      </c>
      <c r="F99" s="593">
        <f>F98*F97</f>
        <v>0</v>
      </c>
      <c r="G99" s="593">
        <f>G98*G97</f>
        <v>0</v>
      </c>
      <c r="H99" s="594">
        <f>H98*H97</f>
        <v>0</v>
      </c>
    </row>
    <row r="100" spans="1:8" ht="16.5" thickBot="1">
      <c r="A100" s="729" t="s">
        <v>231</v>
      </c>
      <c r="B100" s="291"/>
      <c r="C100" s="291"/>
      <c r="D100" s="291"/>
      <c r="E100" s="291"/>
      <c r="F100" s="291"/>
      <c r="G100" s="291"/>
      <c r="H100" s="292"/>
    </row>
    <row r="101" spans="1:8" ht="17.25" thickBot="1" thickTop="1">
      <c r="A101" s="321"/>
      <c r="B101" s="207"/>
      <c r="C101" s="207"/>
      <c r="D101" s="207"/>
      <c r="E101" s="207"/>
      <c r="F101" s="207"/>
      <c r="G101" s="128"/>
      <c r="H101" s="315"/>
    </row>
    <row r="102" spans="1:8" ht="24.75" customHeight="1" thickBot="1">
      <c r="A102" s="478" t="s">
        <v>449</v>
      </c>
      <c r="B102" s="373"/>
      <c r="C102" s="374"/>
      <c r="D102" s="375"/>
      <c r="E102" s="376"/>
      <c r="F102" s="208" t="s">
        <v>9</v>
      </c>
      <c r="G102" s="145"/>
      <c r="H102" s="366"/>
    </row>
    <row r="103" spans="1:8" ht="15.75">
      <c r="A103" s="289"/>
      <c r="B103" s="209"/>
      <c r="C103" s="210"/>
      <c r="D103" s="211"/>
      <c r="E103" s="211"/>
      <c r="F103" s="212"/>
      <c r="G103" s="7"/>
      <c r="H103" s="367"/>
    </row>
    <row r="104" spans="1:8" ht="15.75">
      <c r="A104" s="368" t="s">
        <v>378</v>
      </c>
      <c r="B104" s="213"/>
      <c r="C104" s="214"/>
      <c r="D104" s="215"/>
      <c r="E104" s="211"/>
      <c r="F104" s="212"/>
      <c r="G104" s="7"/>
      <c r="H104" s="367"/>
    </row>
    <row r="105" spans="1:8" ht="15.75">
      <c r="A105" s="404"/>
      <c r="B105" s="213"/>
      <c r="C105" s="214"/>
      <c r="D105" s="215"/>
      <c r="E105" s="211"/>
      <c r="F105" s="212"/>
      <c r="G105" s="7"/>
      <c r="H105" s="367"/>
    </row>
    <row r="106" spans="1:8" ht="15.75">
      <c r="A106" s="404"/>
      <c r="B106" s="213"/>
      <c r="C106" s="214"/>
      <c r="D106" s="215"/>
      <c r="E106" s="211"/>
      <c r="F106" s="212"/>
      <c r="G106" s="7"/>
      <c r="H106" s="367"/>
    </row>
    <row r="107" spans="1:8" ht="16.5" thickBot="1">
      <c r="A107" s="368"/>
      <c r="B107" s="213"/>
      <c r="C107" s="214"/>
      <c r="D107" s="128"/>
      <c r="E107" s="128"/>
      <c r="F107" s="212"/>
      <c r="G107" s="7"/>
      <c r="H107" s="367"/>
    </row>
    <row r="108" spans="1:8" ht="15.75">
      <c r="A108" s="408"/>
      <c r="B108" s="377" t="s">
        <v>383</v>
      </c>
      <c r="C108" s="377" t="s">
        <v>379</v>
      </c>
      <c r="D108" s="377" t="s">
        <v>379</v>
      </c>
      <c r="E108" s="415" t="s">
        <v>384</v>
      </c>
      <c r="F108" s="418" t="s">
        <v>385</v>
      </c>
      <c r="G108"/>
      <c r="H108" s="315"/>
    </row>
    <row r="109" spans="1:8" ht="16.5" thickBot="1">
      <c r="A109" s="420" t="s">
        <v>381</v>
      </c>
      <c r="B109" s="421" t="s">
        <v>158</v>
      </c>
      <c r="C109" s="421" t="s">
        <v>382</v>
      </c>
      <c r="D109" s="421" t="s">
        <v>387</v>
      </c>
      <c r="E109" s="422" t="s">
        <v>380</v>
      </c>
      <c r="F109" s="423" t="s">
        <v>386</v>
      </c>
      <c r="G109"/>
      <c r="H109" s="315"/>
    </row>
    <row r="110" spans="1:8" ht="15.75">
      <c r="A110" s="419"/>
      <c r="B110" s="647"/>
      <c r="C110" s="648"/>
      <c r="D110" s="648"/>
      <c r="E110" s="574"/>
      <c r="F110" s="649">
        <f>E110*B110</f>
        <v>0</v>
      </c>
      <c r="G110"/>
      <c r="H110" s="315"/>
    </row>
    <row r="111" spans="1:8" ht="15.75">
      <c r="A111" s="409"/>
      <c r="B111" s="650"/>
      <c r="C111" s="648"/>
      <c r="D111" s="648"/>
      <c r="E111" s="579"/>
      <c r="F111" s="649">
        <f aca="true" t="shared" si="0" ref="F111:F118">E111*B111</f>
        <v>0</v>
      </c>
      <c r="G111"/>
      <c r="H111" s="315"/>
    </row>
    <row r="112" spans="1:8" ht="15.75">
      <c r="A112" s="409"/>
      <c r="B112" s="650"/>
      <c r="C112" s="648"/>
      <c r="D112" s="648"/>
      <c r="E112" s="579"/>
      <c r="F112" s="649">
        <f t="shared" si="0"/>
        <v>0</v>
      </c>
      <c r="G112"/>
      <c r="H112" s="315"/>
    </row>
    <row r="113" spans="1:8" ht="15.75">
      <c r="A113" s="409"/>
      <c r="B113" s="650"/>
      <c r="C113" s="648"/>
      <c r="D113" s="648"/>
      <c r="E113" s="579"/>
      <c r="F113" s="649">
        <f t="shared" si="0"/>
        <v>0</v>
      </c>
      <c r="G113"/>
      <c r="H113" s="315"/>
    </row>
    <row r="114" spans="1:8" ht="15.75">
      <c r="A114" s="409"/>
      <c r="B114" s="650"/>
      <c r="C114" s="648"/>
      <c r="D114" s="648"/>
      <c r="E114" s="579"/>
      <c r="F114" s="649">
        <f t="shared" si="0"/>
        <v>0</v>
      </c>
      <c r="G114"/>
      <c r="H114" s="315"/>
    </row>
    <row r="115" spans="1:8" ht="15.75">
      <c r="A115" s="409"/>
      <c r="B115" s="650"/>
      <c r="C115" s="648"/>
      <c r="D115" s="648"/>
      <c r="E115" s="579"/>
      <c r="F115" s="649">
        <f t="shared" si="0"/>
        <v>0</v>
      </c>
      <c r="G115"/>
      <c r="H115" s="315"/>
    </row>
    <row r="116" spans="1:8" ht="15.75">
      <c r="A116" s="409"/>
      <c r="B116" s="650"/>
      <c r="C116" s="648"/>
      <c r="D116" s="648"/>
      <c r="E116" s="579"/>
      <c r="F116" s="649">
        <f t="shared" si="0"/>
        <v>0</v>
      </c>
      <c r="G116"/>
      <c r="H116" s="315"/>
    </row>
    <row r="117" spans="1:8" ht="15.75">
      <c r="A117" s="409"/>
      <c r="B117" s="650"/>
      <c r="C117" s="648"/>
      <c r="D117" s="648"/>
      <c r="E117" s="579"/>
      <c r="F117" s="649">
        <f t="shared" si="0"/>
        <v>0</v>
      </c>
      <c r="G117"/>
      <c r="H117" s="315"/>
    </row>
    <row r="118" spans="1:8" ht="15.75">
      <c r="A118" s="409"/>
      <c r="B118" s="650"/>
      <c r="C118" s="648"/>
      <c r="D118" s="648"/>
      <c r="E118" s="579"/>
      <c r="F118" s="649">
        <f t="shared" si="0"/>
        <v>0</v>
      </c>
      <c r="G118"/>
      <c r="H118" s="315"/>
    </row>
    <row r="119" spans="1:8" ht="16.5" thickBot="1">
      <c r="A119" s="410" t="s">
        <v>388</v>
      </c>
      <c r="B119" s="783">
        <f>SUM(B110:B118)</f>
        <v>0</v>
      </c>
      <c r="C119" s="784"/>
      <c r="D119" s="589"/>
      <c r="E119" s="785">
        <f>IF(B119=0,0,F119/B119)</f>
        <v>0</v>
      </c>
      <c r="F119" s="786">
        <f>SUM(F110:F118)</f>
        <v>0</v>
      </c>
      <c r="G119"/>
      <c r="H119" s="315"/>
    </row>
    <row r="120" spans="1:8" ht="15.75">
      <c r="A120" s="246"/>
      <c r="B120" s="131"/>
      <c r="C120" s="131"/>
      <c r="D120" s="105"/>
      <c r="E120" s="217"/>
      <c r="F120" s="216"/>
      <c r="G120" s="218"/>
      <c r="H120" s="315"/>
    </row>
    <row r="121" spans="1:8" ht="15.75">
      <c r="A121" s="246"/>
      <c r="B121" s="131"/>
      <c r="C121" s="224"/>
      <c r="D121" s="13"/>
      <c r="E121" s="225"/>
      <c r="F121" s="52"/>
      <c r="G121" s="10"/>
      <c r="H121" s="267"/>
    </row>
    <row r="122" spans="1:8" ht="16.5" thickBot="1">
      <c r="A122" s="289" t="s">
        <v>389</v>
      </c>
      <c r="B122" s="209"/>
      <c r="C122" s="131"/>
      <c r="D122" s="105"/>
      <c r="E122" s="148"/>
      <c r="F122" s="149"/>
      <c r="G122" s="149"/>
      <c r="H122" s="297"/>
    </row>
    <row r="123" spans="1:8" ht="15.75">
      <c r="A123" s="289"/>
      <c r="B123" s="209"/>
      <c r="C123" s="131"/>
      <c r="D123" s="105"/>
      <c r="E123" s="378" t="s">
        <v>14</v>
      </c>
      <c r="F123" s="379" t="s">
        <v>15</v>
      </c>
      <c r="G123" s="379" t="s">
        <v>16</v>
      </c>
      <c r="H123" s="411" t="s">
        <v>17</v>
      </c>
    </row>
    <row r="124" spans="1:8" ht="15.75">
      <c r="A124" s="289" t="s">
        <v>97</v>
      </c>
      <c r="B124" s="131"/>
      <c r="C124" s="131"/>
      <c r="D124" s="131"/>
      <c r="E124" s="651">
        <f>'Sch 1- Rate Base '!G161</f>
        <v>749787877.625</v>
      </c>
      <c r="F124" s="582">
        <f>'Sch 1- Rate Base '!H161</f>
        <v>3273860.2643525423</v>
      </c>
      <c r="G124" s="652">
        <f>'Sch 1- Rate Base '!I161</f>
        <v>312350399.0897563</v>
      </c>
      <c r="H124" s="583">
        <f>'Sch 1- Rate Base '!J161</f>
        <v>434163618.1508912</v>
      </c>
    </row>
    <row r="125" spans="1:8" ht="15.75">
      <c r="A125" s="289" t="s">
        <v>388</v>
      </c>
      <c r="B125" s="131"/>
      <c r="C125" s="131"/>
      <c r="D125" s="131"/>
      <c r="E125" s="653">
        <f>$E$119</f>
        <v>0</v>
      </c>
      <c r="F125" s="654">
        <f>$E$119</f>
        <v>0</v>
      </c>
      <c r="G125" s="654">
        <f>$E$119</f>
        <v>0</v>
      </c>
      <c r="H125" s="655">
        <f>$E$119</f>
        <v>0</v>
      </c>
    </row>
    <row r="126" spans="1:8" ht="16.5" thickBot="1">
      <c r="A126" s="289" t="s">
        <v>436</v>
      </c>
      <c r="B126" s="209"/>
      <c r="C126" s="209"/>
      <c r="D126" s="209"/>
      <c r="E126" s="592">
        <f>E125*E124</f>
        <v>0</v>
      </c>
      <c r="F126" s="593">
        <f>F125*F124</f>
        <v>0</v>
      </c>
      <c r="G126" s="593">
        <f>G125*G124</f>
        <v>0</v>
      </c>
      <c r="H126" s="594">
        <f>H125*H124</f>
        <v>0</v>
      </c>
    </row>
    <row r="127" spans="1:8" ht="15.75">
      <c r="A127" s="370"/>
      <c r="B127" s="128"/>
      <c r="C127" s="128"/>
      <c r="D127" s="128"/>
      <c r="E127" s="128"/>
      <c r="F127" s="128"/>
      <c r="G127" s="128"/>
      <c r="H127" s="315"/>
    </row>
    <row r="128" spans="1:8" ht="15.75">
      <c r="A128" s="322"/>
      <c r="B128" s="128"/>
      <c r="C128" s="128"/>
      <c r="D128" s="128"/>
      <c r="E128" s="128"/>
      <c r="F128" s="128"/>
      <c r="G128" s="128"/>
      <c r="H128" s="315"/>
    </row>
    <row r="129" spans="1:8" ht="16.5" thickBot="1">
      <c r="A129" s="371"/>
      <c r="B129" s="291"/>
      <c r="C129" s="291"/>
      <c r="D129" s="291"/>
      <c r="E129" s="291"/>
      <c r="F129" s="291"/>
      <c r="G129" s="291"/>
      <c r="H129" s="292"/>
    </row>
    <row r="130" ht="16.5" thickTop="1"/>
  </sheetData>
  <sheetProtection/>
  <mergeCells count="9">
    <mergeCell ref="D5:F5"/>
    <mergeCell ref="D6:F6"/>
    <mergeCell ref="D7:F7"/>
    <mergeCell ref="A89:E89"/>
    <mergeCell ref="D22:E22"/>
    <mergeCell ref="B22:C22"/>
    <mergeCell ref="A34:E34"/>
    <mergeCell ref="B52:C52"/>
    <mergeCell ref="D52:E52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6" max="7" man="1"/>
    <brk id="80" max="7" man="1"/>
    <brk id="10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O113"/>
  <sheetViews>
    <sheetView view="pageBreakPreview" zoomScale="60" workbookViewId="0" topLeftCell="A67">
      <selection activeCell="G76" sqref="G76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6.625" style="110" bestFit="1" customWidth="1"/>
    <col min="8" max="8" width="17.25390625" style="9" bestFit="1" customWidth="1"/>
    <col min="9" max="9" width="16.375" style="9" bestFit="1" customWidth="1"/>
    <col min="10" max="10" width="16.625" style="9" bestFit="1" customWidth="1"/>
    <col min="11" max="11" width="10.125" style="9" bestFit="1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27"/>
      <c r="C1" s="227"/>
      <c r="D1" s="227"/>
      <c r="E1" s="227"/>
      <c r="F1" s="227"/>
      <c r="G1" s="228"/>
      <c r="H1" s="227"/>
      <c r="I1" s="227"/>
      <c r="J1" s="229"/>
    </row>
    <row r="2" spans="1:15" ht="15.75">
      <c r="A2" s="230" t="s">
        <v>91</v>
      </c>
      <c r="B2" s="76"/>
      <c r="C2" s="76"/>
      <c r="D2" s="76"/>
      <c r="E2" s="76"/>
      <c r="F2" s="76"/>
      <c r="G2" s="111"/>
      <c r="H2" s="76"/>
      <c r="I2" s="76"/>
      <c r="J2" s="231"/>
      <c r="L2"/>
      <c r="M2"/>
      <c r="N2"/>
      <c r="O2"/>
    </row>
    <row r="3" spans="1:15" ht="15.75">
      <c r="A3" s="232" t="s">
        <v>400</v>
      </c>
      <c r="B3" s="2"/>
      <c r="C3" s="3"/>
      <c r="D3" s="3"/>
      <c r="E3" s="4"/>
      <c r="F3" s="4"/>
      <c r="G3" s="112"/>
      <c r="H3" s="6"/>
      <c r="I3" s="19"/>
      <c r="J3" s="233"/>
      <c r="L3"/>
      <c r="M3"/>
      <c r="N3"/>
      <c r="O3"/>
    </row>
    <row r="4" spans="1:15" ht="10.5" customHeight="1" thickBot="1">
      <c r="A4" s="232"/>
      <c r="B4" s="2"/>
      <c r="C4" s="3"/>
      <c r="D4" s="3"/>
      <c r="E4" s="4"/>
      <c r="F4" s="4"/>
      <c r="G4" s="112"/>
      <c r="H4" s="6"/>
      <c r="I4" s="19"/>
      <c r="J4" s="233"/>
      <c r="L4"/>
      <c r="M4"/>
      <c r="N4"/>
      <c r="O4"/>
    </row>
    <row r="5" spans="1:15" ht="15.75">
      <c r="A5" s="232"/>
      <c r="B5" s="2"/>
      <c r="C5" s="3"/>
      <c r="D5" s="711" t="s">
        <v>460</v>
      </c>
      <c r="E5" s="941" t="s">
        <v>583</v>
      </c>
      <c r="F5" s="942"/>
      <c r="G5" s="943"/>
      <c r="H5" s="6"/>
      <c r="I5" s="19"/>
      <c r="J5" s="233"/>
      <c r="L5"/>
      <c r="M5"/>
      <c r="N5"/>
      <c r="O5"/>
    </row>
    <row r="6" spans="1:15" ht="15.75">
      <c r="A6" s="232"/>
      <c r="B6" s="2"/>
      <c r="C6" s="3"/>
      <c r="D6" s="711" t="s">
        <v>462</v>
      </c>
      <c r="E6" s="944">
        <v>39052</v>
      </c>
      <c r="F6" s="945"/>
      <c r="G6" s="946"/>
      <c r="H6" s="6"/>
      <c r="I6" s="19"/>
      <c r="J6" s="233"/>
      <c r="L6"/>
      <c r="M6"/>
      <c r="N6"/>
      <c r="O6"/>
    </row>
    <row r="7" spans="1:15" ht="16.5" thickBot="1">
      <c r="A7" s="232"/>
      <c r="B7" s="2"/>
      <c r="C7" s="3"/>
      <c r="D7" s="711" t="s">
        <v>463</v>
      </c>
      <c r="E7" s="937">
        <v>39575</v>
      </c>
      <c r="F7" s="938"/>
      <c r="G7" s="939"/>
      <c r="H7" s="6"/>
      <c r="I7" s="19"/>
      <c r="J7" s="233"/>
      <c r="L7"/>
      <c r="M7"/>
      <c r="N7"/>
      <c r="O7"/>
    </row>
    <row r="8" spans="1:15" s="80" customFormat="1" ht="9" customHeight="1">
      <c r="A8" s="732"/>
      <c r="B8" s="3"/>
      <c r="C8" s="3"/>
      <c r="D8" s="720"/>
      <c r="E8" s="258"/>
      <c r="F8" s="258"/>
      <c r="G8" s="258"/>
      <c r="H8" s="6"/>
      <c r="I8" s="733"/>
      <c r="J8" s="233"/>
      <c r="L8" s="721"/>
      <c r="M8" s="721"/>
      <c r="N8" s="721"/>
      <c r="O8" s="721"/>
    </row>
    <row r="9" spans="1:15" ht="15.75">
      <c r="A9" s="479" t="s">
        <v>117</v>
      </c>
      <c r="B9" s="2"/>
      <c r="C9" s="3"/>
      <c r="D9" s="3"/>
      <c r="E9" s="4"/>
      <c r="F9" s="4"/>
      <c r="G9" s="112"/>
      <c r="H9" s="6"/>
      <c r="I9" s="19"/>
      <c r="J9" s="233"/>
      <c r="L9"/>
      <c r="M9"/>
      <c r="N9"/>
      <c r="O9"/>
    </row>
    <row r="10" spans="1:15" ht="7.5" customHeight="1" thickBot="1">
      <c r="A10" s="479"/>
      <c r="B10" s="2"/>
      <c r="C10" s="3"/>
      <c r="D10" s="3"/>
      <c r="E10" s="4"/>
      <c r="F10" s="4"/>
      <c r="G10" s="112"/>
      <c r="H10" s="6"/>
      <c r="I10" s="19"/>
      <c r="J10" s="233"/>
      <c r="L10"/>
      <c r="M10"/>
      <c r="N10"/>
      <c r="O10"/>
    </row>
    <row r="11" spans="1:15" ht="17.25" thickBot="1" thickTop="1">
      <c r="A11" s="986" t="s">
        <v>12</v>
      </c>
      <c r="B11" s="987"/>
      <c r="C11" s="470" t="s">
        <v>167</v>
      </c>
      <c r="D11" s="470"/>
      <c r="E11" s="534" t="s">
        <v>351</v>
      </c>
      <c r="F11" s="535"/>
      <c r="G11" s="991" t="s">
        <v>14</v>
      </c>
      <c r="H11" s="994" t="s">
        <v>15</v>
      </c>
      <c r="I11" s="994" t="s">
        <v>16</v>
      </c>
      <c r="J11" s="471"/>
      <c r="L11"/>
      <c r="M11"/>
      <c r="N11"/>
      <c r="O11"/>
    </row>
    <row r="12" spans="1:15" ht="16.5" thickBot="1">
      <c r="A12" s="988"/>
      <c r="B12" s="961"/>
      <c r="C12" s="464" t="s">
        <v>311</v>
      </c>
      <c r="D12" s="465" t="s">
        <v>8</v>
      </c>
      <c r="E12" s="461" t="s">
        <v>13</v>
      </c>
      <c r="F12" s="462"/>
      <c r="G12" s="992"/>
      <c r="H12" s="965"/>
      <c r="I12" s="965"/>
      <c r="J12" s="450" t="s">
        <v>10</v>
      </c>
      <c r="L12"/>
      <c r="M12"/>
      <c r="N12"/>
      <c r="O12"/>
    </row>
    <row r="13" spans="1:15" ht="16.5" thickBot="1">
      <c r="A13" s="989"/>
      <c r="B13" s="990"/>
      <c r="C13" s="451" t="s">
        <v>312</v>
      </c>
      <c r="D13" s="472" t="s">
        <v>238</v>
      </c>
      <c r="E13" s="453" t="s">
        <v>349</v>
      </c>
      <c r="F13" s="453" t="s">
        <v>350</v>
      </c>
      <c r="G13" s="993"/>
      <c r="H13" s="995"/>
      <c r="I13" s="995"/>
      <c r="J13" s="456" t="s">
        <v>17</v>
      </c>
      <c r="L13"/>
      <c r="M13"/>
      <c r="N13"/>
      <c r="O13"/>
    </row>
    <row r="14" spans="1:15" ht="16.5" thickTop="1">
      <c r="A14" s="234" t="s">
        <v>130</v>
      </c>
      <c r="B14" s="49"/>
      <c r="C14" s="43"/>
      <c r="D14" s="43"/>
      <c r="E14" s="43"/>
      <c r="F14" s="43"/>
      <c r="G14" s="256"/>
      <c r="H14" s="32"/>
      <c r="I14" s="32"/>
      <c r="J14" s="257"/>
      <c r="L14"/>
      <c r="M14"/>
      <c r="N14"/>
      <c r="O14"/>
    </row>
    <row r="15" spans="1:15" ht="15.75">
      <c r="A15" s="235"/>
      <c r="B15" s="116" t="s">
        <v>131</v>
      </c>
      <c r="C15" s="259"/>
      <c r="D15" s="259"/>
      <c r="E15" s="259"/>
      <c r="F15" s="259"/>
      <c r="G15" s="256"/>
      <c r="H15" s="32"/>
      <c r="I15" s="32"/>
      <c r="J15" s="257"/>
      <c r="L15"/>
      <c r="M15"/>
      <c r="N15"/>
      <c r="O15"/>
    </row>
    <row r="16" spans="1:15" ht="15" customHeight="1">
      <c r="A16" s="236"/>
      <c r="B16" s="93" t="s">
        <v>245</v>
      </c>
      <c r="C16" s="261" t="s">
        <v>107</v>
      </c>
      <c r="D16" s="262">
        <v>501</v>
      </c>
      <c r="E16" s="262" t="s">
        <v>394</v>
      </c>
      <c r="F16" s="262"/>
      <c r="G16" s="351">
        <v>3288385</v>
      </c>
      <c r="H16" s="351">
        <f>VLOOKUP($E16,Ratio,2,FALSE)*$G16</f>
        <v>3288385</v>
      </c>
      <c r="I16" s="351">
        <f>VLOOKUP($E16,Ratio,3,FALSE)*$G16</f>
        <v>0</v>
      </c>
      <c r="J16" s="381">
        <f>VLOOKUP($E16,Ratio,4,FALSE)*$G16</f>
        <v>0</v>
      </c>
      <c r="L16"/>
      <c r="M16"/>
      <c r="N16"/>
      <c r="O16"/>
    </row>
    <row r="17" spans="1:10" ht="15" customHeight="1">
      <c r="A17" s="236"/>
      <c r="B17" s="93" t="s">
        <v>246</v>
      </c>
      <c r="C17" s="261" t="s">
        <v>107</v>
      </c>
      <c r="D17" s="262" t="s">
        <v>124</v>
      </c>
      <c r="E17" s="262" t="s">
        <v>394</v>
      </c>
      <c r="F17" s="262"/>
      <c r="G17" s="870"/>
      <c r="H17" s="351">
        <f>VLOOKUP($E17,Ratio,2,FALSE)*$G17</f>
        <v>0</v>
      </c>
      <c r="I17" s="351">
        <f>VLOOKUP($E17,Ratio,3,FALSE)*$G17</f>
        <v>0</v>
      </c>
      <c r="J17" s="381">
        <f>VLOOKUP($E17,Ratio,4,FALSE)*$G17</f>
        <v>0</v>
      </c>
    </row>
    <row r="18" spans="1:10" ht="15" customHeight="1">
      <c r="A18" s="236"/>
      <c r="B18" s="93" t="s">
        <v>247</v>
      </c>
      <c r="C18" s="261" t="s">
        <v>107</v>
      </c>
      <c r="D18" s="262" t="s">
        <v>248</v>
      </c>
      <c r="E18" s="262" t="s">
        <v>394</v>
      </c>
      <c r="F18" s="262"/>
      <c r="G18" s="870"/>
      <c r="H18" s="351">
        <f>VLOOKUP($E18,Ratio,2,FALSE)*$G18</f>
        <v>0</v>
      </c>
      <c r="I18" s="351">
        <f>VLOOKUP($E18,Ratio,3,FALSE)*$G18</f>
        <v>0</v>
      </c>
      <c r="J18" s="381">
        <f>VLOOKUP($E18,Ratio,4,FALSE)*$G18</f>
        <v>0</v>
      </c>
    </row>
    <row r="19" spans="1:10" ht="15.75">
      <c r="A19" s="236"/>
      <c r="B19" s="117" t="s">
        <v>132</v>
      </c>
      <c r="C19" s="85"/>
      <c r="D19" s="259"/>
      <c r="E19" s="260"/>
      <c r="F19" s="260"/>
      <c r="G19" s="871"/>
      <c r="H19" s="670"/>
      <c r="I19" s="670"/>
      <c r="J19" s="671"/>
    </row>
    <row r="20" spans="1:10" ht="15" customHeight="1">
      <c r="A20" s="236"/>
      <c r="B20" s="93" t="s">
        <v>120</v>
      </c>
      <c r="C20" s="261" t="s">
        <v>107</v>
      </c>
      <c r="D20" s="262">
        <v>518</v>
      </c>
      <c r="E20" s="262" t="s">
        <v>394</v>
      </c>
      <c r="F20" s="262"/>
      <c r="G20" s="870"/>
      <c r="H20" s="351">
        <f>VLOOKUP($E20,Ratio,2,FALSE)*$G20</f>
        <v>0</v>
      </c>
      <c r="I20" s="351">
        <f>VLOOKUP($E20,Ratio,3,FALSE)*$G20</f>
        <v>0</v>
      </c>
      <c r="J20" s="381">
        <f>VLOOKUP($E20,Ratio,4,FALSE)*$G20</f>
        <v>0</v>
      </c>
    </row>
    <row r="21" spans="1:10" ht="15" customHeight="1">
      <c r="A21" s="236"/>
      <c r="B21" s="86" t="s">
        <v>250</v>
      </c>
      <c r="C21" s="261" t="s">
        <v>107</v>
      </c>
      <c r="D21" s="262" t="s">
        <v>125</v>
      </c>
      <c r="E21" s="262" t="s">
        <v>394</v>
      </c>
      <c r="F21" s="262"/>
      <c r="G21" s="870"/>
      <c r="H21" s="351">
        <f>VLOOKUP($E21,Ratio,2,FALSE)*$G21</f>
        <v>0</v>
      </c>
      <c r="I21" s="351">
        <f>VLOOKUP($E21,Ratio,3,FALSE)*$G21</f>
        <v>0</v>
      </c>
      <c r="J21" s="381">
        <f>VLOOKUP($E21,Ratio,4,FALSE)*$G21</f>
        <v>0</v>
      </c>
    </row>
    <row r="22" spans="1:10" ht="15" customHeight="1">
      <c r="A22" s="236"/>
      <c r="B22" s="81" t="s">
        <v>57</v>
      </c>
      <c r="C22" s="261" t="s">
        <v>107</v>
      </c>
      <c r="D22" s="262" t="s">
        <v>58</v>
      </c>
      <c r="E22" s="265" t="s">
        <v>394</v>
      </c>
      <c r="F22" s="265"/>
      <c r="G22" s="870"/>
      <c r="H22" s="351">
        <f>VLOOKUP($E22,Ratio,2,FALSE)*$G22</f>
        <v>0</v>
      </c>
      <c r="I22" s="351">
        <f>VLOOKUP($E22,Ratio,3,FALSE)*$G22</f>
        <v>0</v>
      </c>
      <c r="J22" s="381">
        <f>VLOOKUP($E22,Ratio,4,FALSE)*$G22</f>
        <v>0</v>
      </c>
    </row>
    <row r="23" spans="1:10" ht="15.75">
      <c r="A23" s="236"/>
      <c r="B23" s="117" t="s">
        <v>133</v>
      </c>
      <c r="C23" s="85"/>
      <c r="D23" s="259"/>
      <c r="E23" s="260"/>
      <c r="F23" s="260"/>
      <c r="G23" s="871"/>
      <c r="H23" s="670"/>
      <c r="I23" s="670"/>
      <c r="J23" s="671"/>
    </row>
    <row r="24" spans="1:10" ht="15" customHeight="1">
      <c r="A24" s="236"/>
      <c r="B24" s="86" t="s">
        <v>121</v>
      </c>
      <c r="C24" s="261" t="s">
        <v>107</v>
      </c>
      <c r="D24" s="262" t="s">
        <v>59</v>
      </c>
      <c r="E24" s="265" t="s">
        <v>394</v>
      </c>
      <c r="F24" s="265"/>
      <c r="G24" s="870"/>
      <c r="H24" s="351">
        <f>VLOOKUP($E24,Ratio,2,FALSE)*$G24</f>
        <v>0</v>
      </c>
      <c r="I24" s="351">
        <f>VLOOKUP($E24,Ratio,3,FALSE)*$G24</f>
        <v>0</v>
      </c>
      <c r="J24" s="381">
        <f>VLOOKUP($E24,Ratio,4,FALSE)*$G24</f>
        <v>0</v>
      </c>
    </row>
    <row r="25" spans="1:10" ht="15" customHeight="1">
      <c r="A25" s="236"/>
      <c r="B25" s="86" t="s">
        <v>122</v>
      </c>
      <c r="C25" s="261" t="s">
        <v>107</v>
      </c>
      <c r="D25" s="262" t="s">
        <v>60</v>
      </c>
      <c r="E25" s="265" t="s">
        <v>394</v>
      </c>
      <c r="F25" s="265"/>
      <c r="G25" s="870"/>
      <c r="H25" s="351">
        <f>VLOOKUP($E25,Ratio,2,FALSE)*$G25</f>
        <v>0</v>
      </c>
      <c r="I25" s="351">
        <f>VLOOKUP($E25,Ratio,3,FALSE)*$G25</f>
        <v>0</v>
      </c>
      <c r="J25" s="381">
        <f>VLOOKUP($E25,Ratio,4,FALSE)*$G25</f>
        <v>0</v>
      </c>
    </row>
    <row r="26" spans="1:10" ht="15.75">
      <c r="A26" s="236"/>
      <c r="B26" s="117" t="s">
        <v>134</v>
      </c>
      <c r="C26" s="85"/>
      <c r="D26" s="259"/>
      <c r="E26" s="260"/>
      <c r="F26" s="260"/>
      <c r="G26" s="871"/>
      <c r="H26" s="670"/>
      <c r="I26" s="670"/>
      <c r="J26" s="671"/>
    </row>
    <row r="27" spans="1:13" ht="15" customHeight="1">
      <c r="A27" s="236"/>
      <c r="B27" s="93" t="s">
        <v>123</v>
      </c>
      <c r="C27" s="261" t="s">
        <v>107</v>
      </c>
      <c r="D27" s="262">
        <v>547</v>
      </c>
      <c r="E27" s="262" t="s">
        <v>394</v>
      </c>
      <c r="F27" s="262"/>
      <c r="G27" s="870">
        <v>151137</v>
      </c>
      <c r="H27" s="351">
        <f>VLOOKUP($E27,Ratio,2,FALSE)*$G27</f>
        <v>151137</v>
      </c>
      <c r="I27" s="351">
        <f>VLOOKUP($E27,Ratio,3,FALSE)*$G27</f>
        <v>0</v>
      </c>
      <c r="J27" s="381">
        <f>VLOOKUP($E27,Ratio,4,FALSE)*$G27</f>
        <v>0</v>
      </c>
      <c r="K27"/>
      <c r="L27"/>
      <c r="M27"/>
    </row>
    <row r="28" spans="1:13" ht="15" customHeight="1">
      <c r="A28" s="236"/>
      <c r="B28" s="86" t="s">
        <v>249</v>
      </c>
      <c r="C28" s="261" t="s">
        <v>107</v>
      </c>
      <c r="D28" s="262" t="s">
        <v>126</v>
      </c>
      <c r="E28" s="265" t="s">
        <v>394</v>
      </c>
      <c r="F28" s="265"/>
      <c r="G28" s="870">
        <v>21120</v>
      </c>
      <c r="H28" s="351">
        <f>VLOOKUP($E28,Ratio,2,FALSE)*$G28</f>
        <v>21120</v>
      </c>
      <c r="I28" s="351">
        <f>VLOOKUP($E28,Ratio,3,FALSE)*$G28</f>
        <v>0</v>
      </c>
      <c r="J28" s="381">
        <f>VLOOKUP($E28,Ratio,4,FALSE)*$G28</f>
        <v>0</v>
      </c>
      <c r="K28"/>
      <c r="L28"/>
      <c r="M28"/>
    </row>
    <row r="29" spans="1:13" ht="15" customHeight="1">
      <c r="A29" s="236"/>
      <c r="B29" s="86" t="s">
        <v>251</v>
      </c>
      <c r="C29" s="261" t="s">
        <v>107</v>
      </c>
      <c r="D29" s="262" t="s">
        <v>127</v>
      </c>
      <c r="E29" s="265" t="s">
        <v>394</v>
      </c>
      <c r="F29" s="265"/>
      <c r="G29" s="870">
        <v>45610</v>
      </c>
      <c r="H29" s="351">
        <f>VLOOKUP($E29,Ratio,2,FALSE)*$G29</f>
        <v>45610</v>
      </c>
      <c r="I29" s="351">
        <f>VLOOKUP($E29,Ratio,3,FALSE)*$G29</f>
        <v>0</v>
      </c>
      <c r="J29" s="381">
        <f>VLOOKUP($E29,Ratio,4,FALSE)*$G29</f>
        <v>0</v>
      </c>
      <c r="K29"/>
      <c r="L29"/>
      <c r="M29"/>
    </row>
    <row r="30" spans="1:13" ht="15.75">
      <c r="A30" s="236"/>
      <c r="B30" s="117" t="s">
        <v>128</v>
      </c>
      <c r="C30" s="85"/>
      <c r="D30" s="259"/>
      <c r="E30" s="260"/>
      <c r="F30" s="260"/>
      <c r="G30" s="669"/>
      <c r="H30" s="670"/>
      <c r="I30" s="670"/>
      <c r="J30" s="671"/>
      <c r="K30"/>
      <c r="L30"/>
      <c r="M30"/>
    </row>
    <row r="31" spans="1:10" ht="15" customHeight="1">
      <c r="A31" s="237"/>
      <c r="B31" s="82" t="s">
        <v>252</v>
      </c>
      <c r="C31" s="261" t="s">
        <v>107</v>
      </c>
      <c r="D31" s="261">
        <v>555</v>
      </c>
      <c r="E31" s="261" t="s">
        <v>394</v>
      </c>
      <c r="F31" s="261"/>
      <c r="G31" s="789">
        <f>'PP &amp; OSS WorkSheet'!D21</f>
        <v>315637132.34000003</v>
      </c>
      <c r="H31" s="351">
        <f>VLOOKUP($E31,Ratio,2,FALSE)*$G31</f>
        <v>315637132.34000003</v>
      </c>
      <c r="I31" s="351">
        <f>VLOOKUP($E31,Ratio,3,FALSE)*$G31</f>
        <v>0</v>
      </c>
      <c r="J31" s="381">
        <f>VLOOKUP($E31,Ratio,4,FALSE)*$G31</f>
        <v>0</v>
      </c>
    </row>
    <row r="32" spans="1:10" ht="15" customHeight="1">
      <c r="A32" s="236"/>
      <c r="B32" s="84" t="s">
        <v>129</v>
      </c>
      <c r="C32" s="261" t="s">
        <v>107</v>
      </c>
      <c r="D32" s="261">
        <v>556</v>
      </c>
      <c r="E32" s="266" t="s">
        <v>394</v>
      </c>
      <c r="F32" s="266"/>
      <c r="G32" s="663"/>
      <c r="H32" s="351">
        <f>VLOOKUP($E32,Ratio,2,FALSE)*$G32</f>
        <v>0</v>
      </c>
      <c r="I32" s="351">
        <f>VLOOKUP($E32,Ratio,3,FALSE)*$G32</f>
        <v>0</v>
      </c>
      <c r="J32" s="381">
        <f>VLOOKUP($E32,Ratio,4,FALSE)*$G32</f>
        <v>0</v>
      </c>
    </row>
    <row r="33" spans="1:10" ht="15" customHeight="1">
      <c r="A33" s="236"/>
      <c r="B33" s="84" t="s">
        <v>253</v>
      </c>
      <c r="C33" s="261" t="s">
        <v>107</v>
      </c>
      <c r="D33" s="261">
        <v>557</v>
      </c>
      <c r="E33" s="266" t="s">
        <v>394</v>
      </c>
      <c r="F33" s="266"/>
      <c r="G33" s="870">
        <v>7207193</v>
      </c>
      <c r="H33" s="351">
        <f>VLOOKUP($E33,Ratio,2,FALSE)*$G33</f>
        <v>7207193</v>
      </c>
      <c r="I33" s="351">
        <f>VLOOKUP($E33,Ratio,3,FALSE)*$G33</f>
        <v>0</v>
      </c>
      <c r="J33" s="381">
        <f>VLOOKUP($E33,Ratio,4,FALSE)*$G33</f>
        <v>0</v>
      </c>
    </row>
    <row r="34" spans="1:10" ht="15" customHeight="1">
      <c r="A34" s="237"/>
      <c r="B34" s="82" t="s">
        <v>87</v>
      </c>
      <c r="C34" s="261">
        <v>327</v>
      </c>
      <c r="D34" s="261">
        <v>555</v>
      </c>
      <c r="E34" s="261" t="s">
        <v>394</v>
      </c>
      <c r="F34" s="261"/>
      <c r="G34" s="663"/>
      <c r="H34" s="351">
        <f>VLOOKUP($E34,Ratio,2,FALSE)*$G34</f>
        <v>0</v>
      </c>
      <c r="I34" s="351">
        <f>VLOOKUP($E34,Ratio,3,FALSE)*$G34</f>
        <v>0</v>
      </c>
      <c r="J34" s="381">
        <f>VLOOKUP($E34,Ratio,4,FALSE)*$G34</f>
        <v>0</v>
      </c>
    </row>
    <row r="35" spans="1:10" ht="15" customHeight="1">
      <c r="A35" s="237"/>
      <c r="B35" s="84" t="s">
        <v>269</v>
      </c>
      <c r="C35" s="261"/>
      <c r="D35" s="266"/>
      <c r="E35" s="266" t="s">
        <v>407</v>
      </c>
      <c r="F35" s="266"/>
      <c r="G35" s="663"/>
      <c r="H35" s="351">
        <f>VLOOKUP($E35,Ratio,2,FALSE)*$G35</f>
        <v>0</v>
      </c>
      <c r="I35" s="351">
        <f>VLOOKUP($E35,Ratio,3,FALSE)*$G35</f>
        <v>0</v>
      </c>
      <c r="J35" s="381">
        <f>VLOOKUP($E35,Ratio,4,FALSE)*$G35</f>
        <v>0</v>
      </c>
    </row>
    <row r="36" spans="1:10" ht="15.75">
      <c r="A36" s="238" t="s">
        <v>61</v>
      </c>
      <c r="B36" s="91"/>
      <c r="C36" s="666"/>
      <c r="D36" s="666"/>
      <c r="E36" s="666"/>
      <c r="F36" s="666"/>
      <c r="G36" s="667">
        <f>SUM(G16:G35)</f>
        <v>326350577.34000003</v>
      </c>
      <c r="H36" s="667">
        <f>SUM(H16:H35)</f>
        <v>326350577.34000003</v>
      </c>
      <c r="I36" s="678">
        <f>SUM(I16:I35)</f>
        <v>0</v>
      </c>
      <c r="J36" s="668">
        <f>SUM(J16:J35)</f>
        <v>0</v>
      </c>
    </row>
    <row r="37" spans="1:10" ht="15" customHeight="1">
      <c r="A37" s="239"/>
      <c r="B37" s="91"/>
      <c r="C37" s="126"/>
      <c r="D37" s="85"/>
      <c r="E37" s="51"/>
      <c r="F37" s="51"/>
      <c r="G37" s="490"/>
      <c r="H37" s="204"/>
      <c r="I37" s="204"/>
      <c r="J37" s="360"/>
    </row>
    <row r="38" spans="1:10" ht="15.75">
      <c r="A38" s="240" t="s">
        <v>268</v>
      </c>
      <c r="B38" s="91"/>
      <c r="C38" s="126"/>
      <c r="D38" s="83"/>
      <c r="E38" s="91"/>
      <c r="F38" s="91"/>
      <c r="G38" s="490"/>
      <c r="H38" s="204"/>
      <c r="I38" s="204"/>
      <c r="J38" s="360"/>
    </row>
    <row r="39" spans="1:10" ht="15" customHeight="1">
      <c r="A39" s="237"/>
      <c r="B39" s="84" t="s">
        <v>399</v>
      </c>
      <c r="C39" s="261" t="s">
        <v>107</v>
      </c>
      <c r="D39" s="266" t="s">
        <v>62</v>
      </c>
      <c r="E39" s="266" t="s">
        <v>393</v>
      </c>
      <c r="F39" s="266"/>
      <c r="G39" s="870">
        <v>5375034</v>
      </c>
      <c r="H39" s="351">
        <f>VLOOKUP($E39,Ratio,2,FALSE)*$G39</f>
        <v>0</v>
      </c>
      <c r="I39" s="351">
        <f>VLOOKUP($E39,Ratio,3,FALSE)*$G39</f>
        <v>5375034</v>
      </c>
      <c r="J39" s="381">
        <f>VLOOKUP($E39,Ratio,4,FALSE)*$G39</f>
        <v>0</v>
      </c>
    </row>
    <row r="40" spans="1:10" ht="15" customHeight="1">
      <c r="A40" s="237"/>
      <c r="B40" s="84" t="s">
        <v>135</v>
      </c>
      <c r="C40" s="261" t="s">
        <v>107</v>
      </c>
      <c r="D40" s="266" t="s">
        <v>146</v>
      </c>
      <c r="E40" s="266" t="s">
        <v>393</v>
      </c>
      <c r="F40" s="266"/>
      <c r="G40" s="870">
        <v>8173157</v>
      </c>
      <c r="H40" s="351">
        <f>VLOOKUP($E40,Ratio,2,FALSE)*$G40</f>
        <v>0</v>
      </c>
      <c r="I40" s="351">
        <f>VLOOKUP($E40,Ratio,3,FALSE)*$G40</f>
        <v>8173157</v>
      </c>
      <c r="J40" s="381">
        <f>VLOOKUP($E40,Ratio,4,FALSE)*$G40</f>
        <v>0</v>
      </c>
    </row>
    <row r="41" spans="1:10" ht="15" customHeight="1">
      <c r="A41" s="237"/>
      <c r="B41" s="84" t="s">
        <v>136</v>
      </c>
      <c r="C41" s="261" t="s">
        <v>107</v>
      </c>
      <c r="D41" s="266" t="s">
        <v>145</v>
      </c>
      <c r="E41" s="266" t="s">
        <v>393</v>
      </c>
      <c r="F41" s="266"/>
      <c r="G41" s="870">
        <v>5343184</v>
      </c>
      <c r="H41" s="351">
        <f>VLOOKUP($E41,Ratio,2,FALSE)*$G41</f>
        <v>0</v>
      </c>
      <c r="I41" s="351">
        <f>VLOOKUP($E41,Ratio,3,FALSE)*$G41</f>
        <v>5343184</v>
      </c>
      <c r="J41" s="381">
        <f>VLOOKUP($E41,Ratio,4,FALSE)*$G41</f>
        <v>0</v>
      </c>
    </row>
    <row r="42" spans="1:10" ht="15.75">
      <c r="A42" s="238" t="s">
        <v>63</v>
      </c>
      <c r="B42" s="91"/>
      <c r="C42" s="666"/>
      <c r="D42" s="666"/>
      <c r="E42" s="666"/>
      <c r="F42" s="666"/>
      <c r="G42" s="881">
        <f>SUM(G39:G41)</f>
        <v>18891375</v>
      </c>
      <c r="H42" s="667">
        <f>SUM(H39:H41)</f>
        <v>0</v>
      </c>
      <c r="I42" s="667">
        <f>SUM(I39:I41)</f>
        <v>18891375</v>
      </c>
      <c r="J42" s="668">
        <f>SUM(J39:J41)</f>
        <v>0</v>
      </c>
    </row>
    <row r="43" spans="1:10" ht="16.5" thickBot="1">
      <c r="A43" s="271"/>
      <c r="B43" s="272"/>
      <c r="C43" s="273"/>
      <c r="D43" s="274"/>
      <c r="E43" s="275"/>
      <c r="F43" s="275"/>
      <c r="G43" s="882"/>
      <c r="H43" s="664"/>
      <c r="I43" s="664"/>
      <c r="J43" s="665"/>
    </row>
    <row r="44" spans="1:10" ht="15" customHeight="1" thickTop="1">
      <c r="A44" s="240" t="s">
        <v>64</v>
      </c>
      <c r="B44" s="91"/>
      <c r="C44" s="126"/>
      <c r="D44" s="83"/>
      <c r="E44" s="91"/>
      <c r="F44" s="91"/>
      <c r="G44" s="871"/>
      <c r="H44" s="204"/>
      <c r="I44" s="204"/>
      <c r="J44" s="360"/>
    </row>
    <row r="45" spans="1:10" ht="15" customHeight="1">
      <c r="A45" s="237"/>
      <c r="B45" s="84" t="s">
        <v>137</v>
      </c>
      <c r="C45" s="261" t="s">
        <v>107</v>
      </c>
      <c r="D45" s="266" t="s">
        <v>65</v>
      </c>
      <c r="E45" s="266" t="s">
        <v>392</v>
      </c>
      <c r="F45" s="266"/>
      <c r="G45" s="883">
        <v>13558310</v>
      </c>
      <c r="H45" s="351">
        <f>VLOOKUP($E45,Ratio,2,FALSE)*$G45</f>
        <v>0</v>
      </c>
      <c r="I45" s="351">
        <f>VLOOKUP($E45,Ratio,3,FALSE)*$G45</f>
        <v>0</v>
      </c>
      <c r="J45" s="381">
        <f>VLOOKUP($E45,Ratio,4,FALSE)*$G45</f>
        <v>13558310</v>
      </c>
    </row>
    <row r="46" spans="1:10" ht="15" customHeight="1">
      <c r="A46" s="237"/>
      <c r="B46" s="84" t="s">
        <v>136</v>
      </c>
      <c r="C46" s="261" t="s">
        <v>107</v>
      </c>
      <c r="D46" s="266" t="s">
        <v>66</v>
      </c>
      <c r="E46" s="266" t="s">
        <v>392</v>
      </c>
      <c r="F46" s="266"/>
      <c r="G46" s="883">
        <v>14201494</v>
      </c>
      <c r="H46" s="351">
        <f>VLOOKUP($E46,Ratio,2,FALSE)*$G46</f>
        <v>0</v>
      </c>
      <c r="I46" s="351">
        <f>VLOOKUP($E46,Ratio,3,FALSE)*$G46</f>
        <v>0</v>
      </c>
      <c r="J46" s="381">
        <f>VLOOKUP($E46,Ratio,4,FALSE)*$G46</f>
        <v>14201494</v>
      </c>
    </row>
    <row r="47" spans="1:10" ht="15" customHeight="1">
      <c r="A47" s="238" t="s">
        <v>67</v>
      </c>
      <c r="B47" s="91"/>
      <c r="C47" s="666"/>
      <c r="D47" s="666"/>
      <c r="E47" s="666"/>
      <c r="F47" s="666"/>
      <c r="G47" s="881">
        <f>SUM(G45:G46)</f>
        <v>27759804</v>
      </c>
      <c r="H47" s="667">
        <f>SUM(H45:H46)</f>
        <v>0</v>
      </c>
      <c r="I47" s="667">
        <f>SUM(I45:I46)</f>
        <v>0</v>
      </c>
      <c r="J47" s="668">
        <f>SUM(J45:J46)</f>
        <v>27759804</v>
      </c>
    </row>
    <row r="48" spans="1:10" ht="9.75" customHeight="1">
      <c r="A48" s="241"/>
      <c r="B48" s="91"/>
      <c r="C48" s="85"/>
      <c r="D48" s="85"/>
      <c r="E48" s="85"/>
      <c r="F48" s="85"/>
      <c r="G48" s="884"/>
      <c r="H48" s="109"/>
      <c r="I48" s="109"/>
      <c r="J48" s="325"/>
    </row>
    <row r="49" spans="1:10" ht="15" customHeight="1">
      <c r="A49" s="240" t="s">
        <v>68</v>
      </c>
      <c r="B49" s="91"/>
      <c r="C49" s="85"/>
      <c r="D49" s="85"/>
      <c r="E49" s="85"/>
      <c r="F49" s="85"/>
      <c r="G49" s="884"/>
      <c r="H49" s="109"/>
      <c r="I49" s="109"/>
      <c r="J49" s="325"/>
    </row>
    <row r="50" spans="1:10" ht="15" customHeight="1">
      <c r="A50" s="237"/>
      <c r="B50" s="84" t="s">
        <v>138</v>
      </c>
      <c r="C50" s="261" t="s">
        <v>107</v>
      </c>
      <c r="D50" s="262" t="s">
        <v>69</v>
      </c>
      <c r="E50" s="262" t="s">
        <v>392</v>
      </c>
      <c r="F50" s="262"/>
      <c r="G50" s="870">
        <v>8115487</v>
      </c>
      <c r="H50" s="351">
        <f>VLOOKUP($E50,Ratio,2,FALSE)*$G50</f>
        <v>0</v>
      </c>
      <c r="I50" s="351">
        <f>VLOOKUP($E50,Ratio,3,FALSE)*$G50</f>
        <v>0</v>
      </c>
      <c r="J50" s="381">
        <f>VLOOKUP($E50,Ratio,4,FALSE)*$G50</f>
        <v>8115487</v>
      </c>
    </row>
    <row r="51" spans="1:10" ht="15" customHeight="1">
      <c r="A51" s="237"/>
      <c r="B51" s="84" t="s">
        <v>323</v>
      </c>
      <c r="C51" s="261" t="s">
        <v>107</v>
      </c>
      <c r="D51" s="262" t="s">
        <v>395</v>
      </c>
      <c r="E51" s="262" t="s">
        <v>392</v>
      </c>
      <c r="F51" s="434"/>
      <c r="G51" s="870"/>
      <c r="H51" s="351">
        <f>VLOOKUP($E51,Ratio,2,FALSE)*$G51</f>
        <v>0</v>
      </c>
      <c r="I51" s="351">
        <f>VLOOKUP($E51,Ratio,3,FALSE)*$G51</f>
        <v>0</v>
      </c>
      <c r="J51" s="381">
        <f>VLOOKUP($E51,Ratio,4,FALSE)*$G51</f>
        <v>0</v>
      </c>
    </row>
    <row r="52" spans="1:14" ht="15" customHeight="1">
      <c r="A52" s="237"/>
      <c r="B52" s="84" t="s">
        <v>467</v>
      </c>
      <c r="C52" s="261" t="s">
        <v>107</v>
      </c>
      <c r="D52" s="262">
        <v>908</v>
      </c>
      <c r="E52" s="262" t="s">
        <v>2</v>
      </c>
      <c r="F52" s="262" t="s">
        <v>2</v>
      </c>
      <c r="G52" s="870">
        <v>2364425</v>
      </c>
      <c r="H52" s="351"/>
      <c r="I52" s="351"/>
      <c r="J52" s="381">
        <f>IF($E52="DIRECT",$N52,VLOOKUP($E52,Ratio,4,FALSE)*$G52)</f>
        <v>2364425</v>
      </c>
      <c r="N52" s="893">
        <f>+G52</f>
        <v>2364425</v>
      </c>
    </row>
    <row r="53" spans="1:10" ht="15" customHeight="1">
      <c r="A53" s="237"/>
      <c r="B53" s="84" t="s">
        <v>323</v>
      </c>
      <c r="C53" s="261" t="s">
        <v>107</v>
      </c>
      <c r="D53" s="262" t="s">
        <v>396</v>
      </c>
      <c r="E53" s="262" t="s">
        <v>392</v>
      </c>
      <c r="F53" s="434"/>
      <c r="G53" s="870">
        <f>499894+647724</f>
        <v>1147618</v>
      </c>
      <c r="H53" s="351">
        <f>VLOOKUP($E53,Ratio,2,FALSE)*$G53</f>
        <v>0</v>
      </c>
      <c r="I53" s="351">
        <f>VLOOKUP($E53,Ratio,3,FALSE)*$G53</f>
        <v>0</v>
      </c>
      <c r="J53" s="381">
        <f>VLOOKUP($E53,Ratio,4,FALSE)*$G53</f>
        <v>1147618</v>
      </c>
    </row>
    <row r="54" spans="1:10" ht="15" customHeight="1">
      <c r="A54" s="237"/>
      <c r="B54" s="84" t="s">
        <v>397</v>
      </c>
      <c r="C54" s="261" t="s">
        <v>107</v>
      </c>
      <c r="D54" s="262" t="s">
        <v>398</v>
      </c>
      <c r="E54" s="265" t="s">
        <v>392</v>
      </c>
      <c r="F54" s="265"/>
      <c r="G54" s="870">
        <v>885406</v>
      </c>
      <c r="H54" s="351">
        <f>VLOOKUP($E54,Ratio,2,FALSE)*$G54</f>
        <v>0</v>
      </c>
      <c r="I54" s="351">
        <f>VLOOKUP($E54,Ratio,3,FALSE)*$G54</f>
        <v>0</v>
      </c>
      <c r="J54" s="381">
        <f>VLOOKUP($E54,Ratio,4,FALSE)*$G54</f>
        <v>885406</v>
      </c>
    </row>
    <row r="55" spans="1:10" ht="15" customHeight="1">
      <c r="A55" s="238" t="s">
        <v>70</v>
      </c>
      <c r="B55" s="91"/>
      <c r="C55" s="666"/>
      <c r="D55" s="666"/>
      <c r="E55" s="666"/>
      <c r="F55" s="666"/>
      <c r="G55" s="881">
        <f>SUM(G50:G54)</f>
        <v>12512936</v>
      </c>
      <c r="H55" s="667">
        <f>SUM(H50:H54)</f>
        <v>0</v>
      </c>
      <c r="I55" s="667">
        <f>SUM(I50:I54)</f>
        <v>0</v>
      </c>
      <c r="J55" s="668">
        <f>SUM(J50:J54)</f>
        <v>12512936</v>
      </c>
    </row>
    <row r="56" spans="1:10" ht="9.75" customHeight="1">
      <c r="A56" s="239"/>
      <c r="B56" s="91"/>
      <c r="C56" s="85"/>
      <c r="D56" s="83"/>
      <c r="E56" s="83"/>
      <c r="F56" s="83"/>
      <c r="G56" s="884"/>
      <c r="H56" s="109"/>
      <c r="I56" s="109"/>
      <c r="J56" s="325"/>
    </row>
    <row r="57" spans="1:10" ht="15" customHeight="1">
      <c r="A57" s="240" t="s">
        <v>71</v>
      </c>
      <c r="B57" s="91"/>
      <c r="C57" s="126"/>
      <c r="D57" s="83"/>
      <c r="E57" s="91"/>
      <c r="F57" s="91"/>
      <c r="G57" s="871"/>
      <c r="H57" s="204"/>
      <c r="I57" s="204"/>
      <c r="J57" s="360"/>
    </row>
    <row r="58" spans="1:10" ht="15" customHeight="1">
      <c r="A58" s="242"/>
      <c r="B58" s="118" t="s">
        <v>154</v>
      </c>
      <c r="C58" s="126"/>
      <c r="D58" s="83"/>
      <c r="E58" s="91"/>
      <c r="F58" s="91"/>
      <c r="G58" s="871"/>
      <c r="H58" s="204"/>
      <c r="I58" s="204"/>
      <c r="J58" s="360"/>
    </row>
    <row r="59" spans="1:10" ht="15" customHeight="1">
      <c r="A59" s="237"/>
      <c r="B59" s="86" t="s">
        <v>195</v>
      </c>
      <c r="C59" s="261" t="s">
        <v>107</v>
      </c>
      <c r="D59" s="262">
        <v>920</v>
      </c>
      <c r="E59" s="262" t="s">
        <v>7</v>
      </c>
      <c r="F59" s="262"/>
      <c r="G59" s="870">
        <v>13190325</v>
      </c>
      <c r="H59" s="351">
        <f aca="true" t="shared" si="0" ref="H59:H72">VLOOKUP($E59,Ratio,2,FALSE)*$G59</f>
        <v>196433.85996396138</v>
      </c>
      <c r="I59" s="351">
        <f aca="true" t="shared" si="1" ref="I59:I72">VLOOKUP($E59,Ratio,3,FALSE)*$G59</f>
        <v>3696156.2509149937</v>
      </c>
      <c r="J59" s="381">
        <f aca="true" t="shared" si="2" ref="J59:J72">VLOOKUP($E59,Ratio,4,FALSE)*$G59</f>
        <v>9297734.889121046</v>
      </c>
    </row>
    <row r="60" spans="1:10" ht="15" customHeight="1">
      <c r="A60" s="237"/>
      <c r="B60" s="86" t="s">
        <v>196</v>
      </c>
      <c r="C60" s="261" t="s">
        <v>107</v>
      </c>
      <c r="D60" s="262">
        <v>921</v>
      </c>
      <c r="E60" s="262" t="s">
        <v>7</v>
      </c>
      <c r="F60" s="262"/>
      <c r="G60" s="870">
        <v>3968078</v>
      </c>
      <c r="H60" s="351">
        <f t="shared" si="0"/>
        <v>59093.68254217208</v>
      </c>
      <c r="I60" s="351">
        <f t="shared" si="1"/>
        <v>1111923.8004990981</v>
      </c>
      <c r="J60" s="381">
        <f t="shared" si="2"/>
        <v>2797060.5169587303</v>
      </c>
    </row>
    <row r="61" spans="1:10" ht="15" customHeight="1">
      <c r="A61" s="237"/>
      <c r="B61" s="86" t="s">
        <v>197</v>
      </c>
      <c r="C61" s="261" t="s">
        <v>107</v>
      </c>
      <c r="D61" s="262">
        <v>922</v>
      </c>
      <c r="E61" s="265" t="s">
        <v>7</v>
      </c>
      <c r="F61" s="265"/>
      <c r="G61" s="870">
        <v>3691830</v>
      </c>
      <c r="H61" s="351">
        <f t="shared" si="0"/>
        <v>54979.72318580107</v>
      </c>
      <c r="I61" s="351">
        <f t="shared" si="1"/>
        <v>1034514.3528924042</v>
      </c>
      <c r="J61" s="381">
        <f t="shared" si="2"/>
        <v>2602335.923921795</v>
      </c>
    </row>
    <row r="62" spans="1:10" ht="15" customHeight="1">
      <c r="A62" s="237"/>
      <c r="B62" s="86" t="s">
        <v>198</v>
      </c>
      <c r="C62" s="261" t="s">
        <v>107</v>
      </c>
      <c r="D62" s="262">
        <v>923</v>
      </c>
      <c r="E62" s="265" t="s">
        <v>7</v>
      </c>
      <c r="F62" s="265"/>
      <c r="G62" s="870">
        <v>4042391</v>
      </c>
      <c r="H62" s="351">
        <f t="shared" si="0"/>
        <v>60200.37168254594</v>
      </c>
      <c r="I62" s="351">
        <f t="shared" si="1"/>
        <v>1132747.5830423066</v>
      </c>
      <c r="J62" s="381">
        <f t="shared" si="2"/>
        <v>2849443.045275148</v>
      </c>
    </row>
    <row r="63" spans="1:10" ht="15" customHeight="1">
      <c r="A63" s="237"/>
      <c r="B63" s="86" t="s">
        <v>199</v>
      </c>
      <c r="C63" s="261" t="s">
        <v>107</v>
      </c>
      <c r="D63" s="262">
        <v>924</v>
      </c>
      <c r="E63" s="262" t="s">
        <v>18</v>
      </c>
      <c r="F63" s="262"/>
      <c r="G63" s="870">
        <v>523235</v>
      </c>
      <c r="H63" s="351">
        <f t="shared" si="0"/>
        <v>1093.5542079876734</v>
      </c>
      <c r="I63" s="351">
        <f t="shared" si="1"/>
        <v>188169.58244321786</v>
      </c>
      <c r="J63" s="381">
        <f t="shared" si="2"/>
        <v>333971.86334879446</v>
      </c>
    </row>
    <row r="64" spans="1:10" ht="15" customHeight="1">
      <c r="A64" s="237"/>
      <c r="B64" s="86" t="s">
        <v>139</v>
      </c>
      <c r="C64" s="261" t="s">
        <v>107</v>
      </c>
      <c r="D64" s="262">
        <v>925</v>
      </c>
      <c r="E64" s="265" t="s">
        <v>7</v>
      </c>
      <c r="F64" s="265"/>
      <c r="G64" s="870">
        <v>2681978</v>
      </c>
      <c r="H64" s="351">
        <f t="shared" si="0"/>
        <v>39940.73617431149</v>
      </c>
      <c r="I64" s="351">
        <f t="shared" si="1"/>
        <v>751536.4291263856</v>
      </c>
      <c r="J64" s="381">
        <f t="shared" si="2"/>
        <v>1890500.8346993031</v>
      </c>
    </row>
    <row r="65" spans="1:10" ht="15" customHeight="1">
      <c r="A65" s="237"/>
      <c r="B65" s="86" t="s">
        <v>140</v>
      </c>
      <c r="C65" s="261" t="s">
        <v>107</v>
      </c>
      <c r="D65" s="262">
        <v>926</v>
      </c>
      <c r="E65" s="262" t="s">
        <v>7</v>
      </c>
      <c r="F65" s="262"/>
      <c r="G65" s="870">
        <v>3543720</v>
      </c>
      <c r="H65" s="351">
        <f t="shared" si="0"/>
        <v>52774.02931553917</v>
      </c>
      <c r="I65" s="351">
        <f t="shared" si="1"/>
        <v>993011.3798934052</v>
      </c>
      <c r="J65" s="381">
        <f t="shared" si="2"/>
        <v>2497934.590791056</v>
      </c>
    </row>
    <row r="66" spans="1:10" ht="15" customHeight="1">
      <c r="A66" s="237"/>
      <c r="B66" s="86" t="s">
        <v>141</v>
      </c>
      <c r="C66" s="261" t="s">
        <v>107</v>
      </c>
      <c r="D66" s="262">
        <v>927</v>
      </c>
      <c r="E66" s="262" t="s">
        <v>392</v>
      </c>
      <c r="F66" s="262"/>
      <c r="G66" s="870"/>
      <c r="H66" s="351">
        <f t="shared" si="0"/>
        <v>0</v>
      </c>
      <c r="I66" s="351">
        <f t="shared" si="1"/>
        <v>0</v>
      </c>
      <c r="J66" s="381">
        <f t="shared" si="2"/>
        <v>0</v>
      </c>
    </row>
    <row r="67" spans="1:10" ht="15" customHeight="1">
      <c r="A67" s="237"/>
      <c r="B67" s="86" t="s">
        <v>143</v>
      </c>
      <c r="C67" s="261" t="s">
        <v>107</v>
      </c>
      <c r="D67" s="262">
        <v>928</v>
      </c>
      <c r="E67" s="265" t="s">
        <v>392</v>
      </c>
      <c r="F67" s="265"/>
      <c r="G67" s="870">
        <f>337150+783728</f>
        <v>1120878</v>
      </c>
      <c r="H67" s="351">
        <f t="shared" si="0"/>
        <v>0</v>
      </c>
      <c r="I67" s="351">
        <f t="shared" si="1"/>
        <v>0</v>
      </c>
      <c r="J67" s="381">
        <f t="shared" si="2"/>
        <v>1120878</v>
      </c>
    </row>
    <row r="68" spans="1:10" ht="15" customHeight="1">
      <c r="A68" s="237"/>
      <c r="B68" s="86" t="s">
        <v>200</v>
      </c>
      <c r="C68" s="261" t="s">
        <v>107</v>
      </c>
      <c r="D68" s="262">
        <v>929</v>
      </c>
      <c r="E68" s="262" t="s">
        <v>18</v>
      </c>
      <c r="F68" s="262"/>
      <c r="G68" s="870"/>
      <c r="H68" s="351">
        <f t="shared" si="0"/>
        <v>0</v>
      </c>
      <c r="I68" s="351">
        <f t="shared" si="1"/>
        <v>0</v>
      </c>
      <c r="J68" s="381">
        <f t="shared" si="2"/>
        <v>0</v>
      </c>
    </row>
    <row r="69" spans="1:10" ht="15" customHeight="1">
      <c r="A69" s="237"/>
      <c r="B69" s="86" t="s">
        <v>201</v>
      </c>
      <c r="C69" s="261" t="s">
        <v>107</v>
      </c>
      <c r="D69" s="262">
        <v>930.1</v>
      </c>
      <c r="E69" s="262" t="s">
        <v>392</v>
      </c>
      <c r="F69" s="262"/>
      <c r="G69" s="870">
        <v>9131</v>
      </c>
      <c r="H69" s="351">
        <f t="shared" si="0"/>
        <v>0</v>
      </c>
      <c r="I69" s="351">
        <f t="shared" si="1"/>
        <v>0</v>
      </c>
      <c r="J69" s="381">
        <f t="shared" si="2"/>
        <v>9131</v>
      </c>
    </row>
    <row r="70" spans="1:10" ht="15" customHeight="1">
      <c r="A70" s="237"/>
      <c r="B70" s="86" t="s">
        <v>142</v>
      </c>
      <c r="C70" s="261" t="s">
        <v>107</v>
      </c>
      <c r="D70" s="262">
        <v>930.2</v>
      </c>
      <c r="E70" s="265" t="s">
        <v>392</v>
      </c>
      <c r="F70" s="265"/>
      <c r="G70" s="870">
        <f>1370835+9317415</f>
        <v>10688250</v>
      </c>
      <c r="H70" s="351">
        <f t="shared" si="0"/>
        <v>0</v>
      </c>
      <c r="I70" s="351">
        <f t="shared" si="1"/>
        <v>0</v>
      </c>
      <c r="J70" s="381">
        <f t="shared" si="2"/>
        <v>10688250</v>
      </c>
    </row>
    <row r="71" spans="1:10" ht="15" customHeight="1">
      <c r="A71" s="237"/>
      <c r="B71" s="86" t="s">
        <v>72</v>
      </c>
      <c r="C71" s="261" t="s">
        <v>107</v>
      </c>
      <c r="D71" s="262">
        <v>931</v>
      </c>
      <c r="E71" s="262" t="s">
        <v>392</v>
      </c>
      <c r="F71" s="262"/>
      <c r="G71" s="870">
        <v>992736</v>
      </c>
      <c r="H71" s="351">
        <f t="shared" si="0"/>
        <v>0</v>
      </c>
      <c r="I71" s="351">
        <f t="shared" si="1"/>
        <v>0</v>
      </c>
      <c r="J71" s="381">
        <f t="shared" si="2"/>
        <v>992736</v>
      </c>
    </row>
    <row r="72" spans="1:10" ht="15" customHeight="1">
      <c r="A72" s="237"/>
      <c r="B72" s="86" t="s">
        <v>255</v>
      </c>
      <c r="C72" s="261" t="s">
        <v>254</v>
      </c>
      <c r="D72" s="262">
        <v>933</v>
      </c>
      <c r="E72" s="262" t="s">
        <v>392</v>
      </c>
      <c r="F72" s="262"/>
      <c r="G72" s="870"/>
      <c r="H72" s="351">
        <f t="shared" si="0"/>
        <v>0</v>
      </c>
      <c r="I72" s="351">
        <f t="shared" si="1"/>
        <v>0</v>
      </c>
      <c r="J72" s="381">
        <f t="shared" si="2"/>
        <v>0</v>
      </c>
    </row>
    <row r="73" spans="1:10" ht="15" customHeight="1">
      <c r="A73" s="237"/>
      <c r="B73" s="118" t="s">
        <v>155</v>
      </c>
      <c r="C73" s="85"/>
      <c r="D73" s="83"/>
      <c r="E73" s="83"/>
      <c r="F73" s="83"/>
      <c r="G73" s="885"/>
      <c r="H73" s="672"/>
      <c r="I73" s="672"/>
      <c r="J73" s="673"/>
    </row>
    <row r="74" spans="1:10" ht="15" customHeight="1">
      <c r="A74" s="237"/>
      <c r="B74" s="84" t="s">
        <v>6</v>
      </c>
      <c r="C74" s="261" t="s">
        <v>107</v>
      </c>
      <c r="D74" s="262">
        <v>935</v>
      </c>
      <c r="E74" s="262" t="s">
        <v>5</v>
      </c>
      <c r="F74" s="262"/>
      <c r="G74" s="870">
        <v>2379267</v>
      </c>
      <c r="H74" s="351">
        <f>VLOOKUP($E74,Ratio,2,FALSE)*$G74</f>
        <v>6176.69012830866</v>
      </c>
      <c r="I74" s="351">
        <f>VLOOKUP($E74,Ratio,3,FALSE)*$G74</f>
        <v>841376.9989510811</v>
      </c>
      <c r="J74" s="381">
        <f>VLOOKUP($E74,Ratio,4,FALSE)*$G74</f>
        <v>1531713.3109206106</v>
      </c>
    </row>
    <row r="75" spans="1:10" ht="15" customHeight="1">
      <c r="A75" s="238" t="s">
        <v>73</v>
      </c>
      <c r="B75" s="100"/>
      <c r="C75" s="666"/>
      <c r="D75" s="666"/>
      <c r="E75" s="666"/>
      <c r="F75" s="666"/>
      <c r="G75" s="881">
        <f>SUM(G59:G60,G62:G67,G69:G72,G74)-G61-G68</f>
        <v>39448159</v>
      </c>
      <c r="H75" s="881">
        <f>SUM(H59:H60,H62:H67,H69:H72,H74)-H61-H68</f>
        <v>360733.20082902536</v>
      </c>
      <c r="I75" s="881">
        <f>SUM(I59:I60,I62:I67,I69:I72,I74)-I61-I68</f>
        <v>7680407.671978084</v>
      </c>
      <c r="J75" s="881">
        <f>SUM(J59:J60,J62:J67,J69:J72,J74)-J61-J68</f>
        <v>31407018.1271929</v>
      </c>
    </row>
    <row r="76" spans="1:10" s="80" customFormat="1" ht="9.75" customHeight="1" thickBot="1">
      <c r="A76" s="276"/>
      <c r="B76" s="277"/>
      <c r="C76" s="251"/>
      <c r="D76" s="278"/>
      <c r="E76" s="278"/>
      <c r="F76" s="278"/>
      <c r="G76" s="886"/>
      <c r="H76" s="674"/>
      <c r="I76" s="674"/>
      <c r="J76" s="675"/>
    </row>
    <row r="77" spans="1:10" s="80" customFormat="1" ht="16.5" thickTop="1">
      <c r="A77" s="238" t="s">
        <v>74</v>
      </c>
      <c r="B77" s="100"/>
      <c r="C77" s="679"/>
      <c r="D77" s="679"/>
      <c r="E77" s="679"/>
      <c r="F77" s="679"/>
      <c r="G77" s="887">
        <f>G36+G42+G47+G55+G75</f>
        <v>424962851.34000003</v>
      </c>
      <c r="H77" s="684">
        <f>H36+H42+H47+H55+H75</f>
        <v>326711310.54082906</v>
      </c>
      <c r="I77" s="684">
        <f>I36+I42+I47+I55+I75</f>
        <v>26571782.671978086</v>
      </c>
      <c r="J77" s="685">
        <f>J36+J42+J47+J55+J75</f>
        <v>71679758.1271929</v>
      </c>
    </row>
    <row r="78" spans="1:14" s="80" customFormat="1" ht="16.5" thickBot="1">
      <c r="A78" s="243" t="s">
        <v>144</v>
      </c>
      <c r="B78" s="137"/>
      <c r="C78" s="138"/>
      <c r="D78" s="139"/>
      <c r="E78" s="84"/>
      <c r="F78" s="84"/>
      <c r="G78" s="888"/>
      <c r="H78" s="730"/>
      <c r="I78" s="730"/>
      <c r="J78" s="731"/>
      <c r="L78" s="721"/>
      <c r="M78" s="721"/>
      <c r="N78" s="721"/>
    </row>
    <row r="79" spans="1:14" ht="15.75">
      <c r="A79" s="244"/>
      <c r="B79" s="140"/>
      <c r="C79" s="138"/>
      <c r="D79" s="141"/>
      <c r="E79" s="141"/>
      <c r="F79" s="141"/>
      <c r="G79" s="889"/>
      <c r="H79" s="676"/>
      <c r="I79" s="676"/>
      <c r="J79" s="677"/>
      <c r="L79" s="964" t="s">
        <v>15</v>
      </c>
      <c r="M79" s="964" t="s">
        <v>16</v>
      </c>
      <c r="N79" s="445"/>
    </row>
    <row r="80" spans="1:14" ht="15.75">
      <c r="A80" s="240" t="s">
        <v>75</v>
      </c>
      <c r="B80" s="146"/>
      <c r="C80" s="165"/>
      <c r="D80" s="165"/>
      <c r="E80" s="165"/>
      <c r="F80" s="165"/>
      <c r="G80" s="890"/>
      <c r="H80" s="676"/>
      <c r="I80" s="676"/>
      <c r="J80" s="677"/>
      <c r="L80" s="965"/>
      <c r="M80" s="965"/>
      <c r="N80" s="450" t="s">
        <v>10</v>
      </c>
    </row>
    <row r="81" spans="1:14" ht="16.5" thickBot="1">
      <c r="A81" s="237"/>
      <c r="B81" s="84" t="s">
        <v>370</v>
      </c>
      <c r="C81" s="261">
        <v>336</v>
      </c>
      <c r="D81" s="269">
        <v>404</v>
      </c>
      <c r="E81" s="266" t="s">
        <v>392</v>
      </c>
      <c r="F81" s="417" t="s">
        <v>9</v>
      </c>
      <c r="G81" s="870"/>
      <c r="H81" s="351">
        <f>VLOOKUP($E81,Ratio,2,FALSE)*$G81</f>
        <v>0</v>
      </c>
      <c r="I81" s="351">
        <f>VLOOKUP($E81,Ratio,3,FALSE)*$G81</f>
        <v>0</v>
      </c>
      <c r="J81" s="381">
        <f>VLOOKUP($E81,Ratio,4,FALSE)*$G81</f>
        <v>0</v>
      </c>
      <c r="L81" s="966"/>
      <c r="M81" s="966"/>
      <c r="N81" s="469" t="s">
        <v>17</v>
      </c>
    </row>
    <row r="82" spans="1:14" ht="15.75">
      <c r="A82" s="237"/>
      <c r="B82" s="84" t="s">
        <v>371</v>
      </c>
      <c r="C82" s="261">
        <v>336</v>
      </c>
      <c r="D82" s="269">
        <v>404</v>
      </c>
      <c r="E82" s="266" t="s">
        <v>2</v>
      </c>
      <c r="F82" s="417" t="s">
        <v>11</v>
      </c>
      <c r="G82" s="870"/>
      <c r="H82" s="351">
        <f>IF($E82="DIRECT",$L82,VLOOKUP($E82,Ratio,2,FALSE)*$G82)</f>
        <v>0</v>
      </c>
      <c r="I82" s="351">
        <f>IF($E82="DIRECT",$M82,VLOOKUP($E82,Ratio,3,FALSE)*$G82)</f>
        <v>0</v>
      </c>
      <c r="J82" s="381">
        <f>IF($E82="DIRECT",$N82,VLOOKUP($E82,Ratio,4,FALSE)*$G82)</f>
        <v>0</v>
      </c>
      <c r="L82" s="351"/>
      <c r="M82" s="351"/>
      <c r="N82" s="381"/>
    </row>
    <row r="83" spans="1:14" ht="15.75">
      <c r="A83" s="237"/>
      <c r="B83" s="84" t="s">
        <v>401</v>
      </c>
      <c r="C83" s="261">
        <v>336</v>
      </c>
      <c r="D83" s="269">
        <v>404</v>
      </c>
      <c r="E83" s="266" t="s">
        <v>2</v>
      </c>
      <c r="F83" s="417" t="s">
        <v>392</v>
      </c>
      <c r="G83" s="870">
        <f>+N83+M83</f>
        <v>45847.94</v>
      </c>
      <c r="H83" s="351">
        <f>IF($E83="DIRECT",$L83,VLOOKUP($E83,Ratio,2,FALSE)*$G83)</f>
        <v>0</v>
      </c>
      <c r="I83" s="351">
        <f>IF($E83="DIRECT",$M83,VLOOKUP($E83,Ratio,3,FALSE)*$G83)</f>
        <v>39348.75</v>
      </c>
      <c r="J83" s="381">
        <f>IF($E83="DIRECT",$N83,VLOOKUP($E83,Ratio,4,FALSE)*$G83)</f>
        <v>6499.19</v>
      </c>
      <c r="L83" s="351"/>
      <c r="M83" s="891">
        <f>+'Intangible Plant'!E35</f>
        <v>39348.75</v>
      </c>
      <c r="N83" s="892">
        <f>+'Intangible Plant'!E39</f>
        <v>6499.19</v>
      </c>
    </row>
    <row r="84" spans="1:14" ht="15.75">
      <c r="A84" s="237"/>
      <c r="B84" s="84" t="s">
        <v>0</v>
      </c>
      <c r="C84" s="261">
        <v>336</v>
      </c>
      <c r="D84" s="269">
        <v>403</v>
      </c>
      <c r="E84" s="262" t="s">
        <v>394</v>
      </c>
      <c r="F84" s="262"/>
      <c r="G84" s="870"/>
      <c r="H84" s="351">
        <f aca="true" t="shared" si="3" ref="H84:H91">VLOOKUP($E84,Ratio,2,FALSE)*$G84</f>
        <v>0</v>
      </c>
      <c r="I84" s="351">
        <f aca="true" t="shared" si="4" ref="I84:I91">VLOOKUP($E84,Ratio,3,FALSE)*$G84</f>
        <v>0</v>
      </c>
      <c r="J84" s="381">
        <f aca="true" t="shared" si="5" ref="J84:J91">VLOOKUP($E84,Ratio,4,FALSE)*$G84</f>
        <v>0</v>
      </c>
      <c r="L84"/>
      <c r="M84"/>
      <c r="N84"/>
    </row>
    <row r="85" spans="1:10" ht="15.75">
      <c r="A85" s="237"/>
      <c r="B85" s="84" t="s">
        <v>1</v>
      </c>
      <c r="C85" s="261">
        <v>336</v>
      </c>
      <c r="D85" s="269">
        <v>403</v>
      </c>
      <c r="E85" s="262" t="s">
        <v>394</v>
      </c>
      <c r="F85" s="262"/>
      <c r="G85" s="870"/>
      <c r="H85" s="351">
        <f t="shared" si="3"/>
        <v>0</v>
      </c>
      <c r="I85" s="351">
        <f t="shared" si="4"/>
        <v>0</v>
      </c>
      <c r="J85" s="381">
        <f t="shared" si="5"/>
        <v>0</v>
      </c>
    </row>
    <row r="86" spans="1:10" ht="15.75">
      <c r="A86" s="237"/>
      <c r="B86" s="84" t="s">
        <v>147</v>
      </c>
      <c r="C86" s="261">
        <v>336</v>
      </c>
      <c r="D86" s="269">
        <v>403</v>
      </c>
      <c r="E86" s="262" t="s">
        <v>394</v>
      </c>
      <c r="F86" s="262"/>
      <c r="G86" s="870"/>
      <c r="H86" s="351">
        <f t="shared" si="3"/>
        <v>0</v>
      </c>
      <c r="I86" s="351">
        <f t="shared" si="4"/>
        <v>0</v>
      </c>
      <c r="J86" s="381">
        <f t="shared" si="5"/>
        <v>0</v>
      </c>
    </row>
    <row r="87" spans="1:10" ht="15.75">
      <c r="A87" s="237"/>
      <c r="B87" s="84" t="s">
        <v>148</v>
      </c>
      <c r="C87" s="261">
        <v>336</v>
      </c>
      <c r="D87" s="269">
        <v>403</v>
      </c>
      <c r="E87" s="262" t="s">
        <v>394</v>
      </c>
      <c r="F87" s="262"/>
      <c r="G87" s="870"/>
      <c r="H87" s="351">
        <f t="shared" si="3"/>
        <v>0</v>
      </c>
      <c r="I87" s="351">
        <f t="shared" si="4"/>
        <v>0</v>
      </c>
      <c r="J87" s="381">
        <f t="shared" si="5"/>
        <v>0</v>
      </c>
    </row>
    <row r="88" spans="1:10" ht="15.75">
      <c r="A88" s="237"/>
      <c r="B88" s="84" t="s">
        <v>47</v>
      </c>
      <c r="C88" s="261">
        <v>336</v>
      </c>
      <c r="D88" s="269">
        <v>403</v>
      </c>
      <c r="E88" s="262" t="s">
        <v>394</v>
      </c>
      <c r="F88" s="262"/>
      <c r="G88" s="870">
        <v>107690</v>
      </c>
      <c r="H88" s="351">
        <f t="shared" si="3"/>
        <v>107690</v>
      </c>
      <c r="I88" s="351">
        <f t="shared" si="4"/>
        <v>0</v>
      </c>
      <c r="J88" s="381">
        <f t="shared" si="5"/>
        <v>0</v>
      </c>
    </row>
    <row r="89" spans="1:10" ht="15.75">
      <c r="A89" s="237"/>
      <c r="B89" s="84" t="s">
        <v>263</v>
      </c>
      <c r="C89" s="261">
        <v>336</v>
      </c>
      <c r="D89" s="269">
        <v>403</v>
      </c>
      <c r="E89" s="262" t="s">
        <v>393</v>
      </c>
      <c r="F89" s="262"/>
      <c r="G89" s="870">
        <v>12426976</v>
      </c>
      <c r="H89" s="351">
        <f t="shared" si="3"/>
        <v>0</v>
      </c>
      <c r="I89" s="351">
        <f t="shared" si="4"/>
        <v>12426976</v>
      </c>
      <c r="J89" s="381">
        <f t="shared" si="5"/>
        <v>0</v>
      </c>
    </row>
    <row r="90" spans="1:10" ht="15.75">
      <c r="A90" s="237"/>
      <c r="B90" s="84" t="s">
        <v>48</v>
      </c>
      <c r="C90" s="261">
        <v>336</v>
      </c>
      <c r="D90" s="269">
        <v>403</v>
      </c>
      <c r="E90" s="262" t="s">
        <v>392</v>
      </c>
      <c r="F90" s="262"/>
      <c r="G90" s="870">
        <v>28567724</v>
      </c>
      <c r="H90" s="351">
        <f t="shared" si="3"/>
        <v>0</v>
      </c>
      <c r="I90" s="351">
        <f t="shared" si="4"/>
        <v>0</v>
      </c>
      <c r="J90" s="381">
        <f t="shared" si="5"/>
        <v>28567724</v>
      </c>
    </row>
    <row r="91" spans="1:10" ht="15.75">
      <c r="A91" s="237"/>
      <c r="B91" s="84" t="s">
        <v>4</v>
      </c>
      <c r="C91" s="261">
        <v>336</v>
      </c>
      <c r="D91" s="269">
        <v>403</v>
      </c>
      <c r="E91" s="262" t="s">
        <v>3</v>
      </c>
      <c r="F91" s="262"/>
      <c r="G91" s="870">
        <v>3320747</v>
      </c>
      <c r="H91" s="351">
        <f t="shared" si="3"/>
        <v>4673.507537920539</v>
      </c>
      <c r="I91" s="351">
        <f t="shared" si="4"/>
        <v>1189376.012574746</v>
      </c>
      <c r="J91" s="381">
        <f t="shared" si="5"/>
        <v>2126697.4798873332</v>
      </c>
    </row>
    <row r="92" spans="1:14" ht="15.75">
      <c r="A92" s="237"/>
      <c r="B92" s="84" t="s">
        <v>149</v>
      </c>
      <c r="C92" s="261">
        <v>336</v>
      </c>
      <c r="D92" s="270">
        <v>403</v>
      </c>
      <c r="E92" s="262" t="s">
        <v>2</v>
      </c>
      <c r="F92" s="262" t="s">
        <v>2</v>
      </c>
      <c r="G92" s="870">
        <v>1586760</v>
      </c>
      <c r="H92" s="351">
        <f>IF($E92="DIRECT",$L92,VLOOKUP($E92,Ratio,2,FALSE)*$G92)</f>
        <v>3374.78</v>
      </c>
      <c r="I92" s="351">
        <f>IF($E92="DIRECT",$M92,VLOOKUP($E92,Ratio,3,FALSE)*$G92)</f>
        <v>569855.31</v>
      </c>
      <c r="J92" s="381">
        <f>IF($E92="DIRECT",$N92,VLOOKUP($E92,Ratio,4,FALSE)*$G92)</f>
        <v>1013530.36</v>
      </c>
      <c r="L92" s="891">
        <f>+'Common Plant'!E29</f>
        <v>3374.78</v>
      </c>
      <c r="M92" s="891">
        <f>+'Common Plant'!E30</f>
        <v>569855.31</v>
      </c>
      <c r="N92" s="891">
        <f>+'Common Plant'!E31</f>
        <v>1013530.36</v>
      </c>
    </row>
    <row r="93" spans="1:14" ht="15.75">
      <c r="A93" s="237"/>
      <c r="B93" s="84" t="s">
        <v>149</v>
      </c>
      <c r="C93" s="261">
        <v>336</v>
      </c>
      <c r="D93" s="270">
        <v>404</v>
      </c>
      <c r="E93" s="262" t="s">
        <v>2</v>
      </c>
      <c r="F93" s="262" t="s">
        <v>2</v>
      </c>
      <c r="G93" s="870">
        <v>2383559</v>
      </c>
      <c r="H93" s="351">
        <f>IF($E93="DIRECT",$L93,VLOOKUP($E93,Ratio,2,FALSE)*$G93)</f>
        <v>5069.44</v>
      </c>
      <c r="I93" s="351">
        <f>IF($E93="DIRECT",$M93,VLOOKUP($E93,Ratio,3,FALSE)*$G93)</f>
        <v>856010.89</v>
      </c>
      <c r="J93" s="381">
        <f>IF($E93="DIRECT",$N93,VLOOKUP($E93,Ratio,4,FALSE)*$G93)</f>
        <v>1522479.48</v>
      </c>
      <c r="L93" s="891">
        <f>+'Common Plant'!F29</f>
        <v>5069.44</v>
      </c>
      <c r="M93" s="891">
        <f>+'Common Plant'!F30</f>
        <v>856010.89</v>
      </c>
      <c r="N93" s="891">
        <f>+'Common Plant'!F31</f>
        <v>1522479.48</v>
      </c>
    </row>
    <row r="94" spans="1:10" ht="15.75">
      <c r="A94" s="237"/>
      <c r="B94" s="84" t="s">
        <v>451</v>
      </c>
      <c r="C94" s="261">
        <v>336</v>
      </c>
      <c r="D94" s="270">
        <v>403.1</v>
      </c>
      <c r="E94" s="262" t="s">
        <v>2</v>
      </c>
      <c r="F94" s="262" t="s">
        <v>2</v>
      </c>
      <c r="G94" s="870"/>
      <c r="H94" s="351"/>
      <c r="I94" s="351"/>
      <c r="J94" s="381"/>
    </row>
    <row r="95" spans="1:10" ht="15.75">
      <c r="A95" s="237"/>
      <c r="B95" s="84" t="s">
        <v>452</v>
      </c>
      <c r="C95" s="261">
        <v>336</v>
      </c>
      <c r="D95" s="270">
        <v>404</v>
      </c>
      <c r="E95" s="262" t="s">
        <v>2</v>
      </c>
      <c r="F95" s="262" t="s">
        <v>2</v>
      </c>
      <c r="G95" s="870"/>
      <c r="H95" s="351"/>
      <c r="I95" s="351"/>
      <c r="J95" s="381"/>
    </row>
    <row r="96" spans="1:13" ht="15.75">
      <c r="A96" s="237"/>
      <c r="B96" s="84" t="s">
        <v>226</v>
      </c>
      <c r="C96" s="261" t="s">
        <v>104</v>
      </c>
      <c r="D96" s="270">
        <v>114</v>
      </c>
      <c r="E96" s="262" t="s">
        <v>2</v>
      </c>
      <c r="F96" s="262" t="s">
        <v>2</v>
      </c>
      <c r="G96" s="870">
        <v>94914</v>
      </c>
      <c r="H96" s="351"/>
      <c r="I96" s="351">
        <f>IF($E96="DIRECT",$M96,VLOOKUP($E96,Ratio,3,FALSE)*$G96)</f>
        <v>94914</v>
      </c>
      <c r="J96" s="381"/>
      <c r="M96" s="893">
        <f>+G96</f>
        <v>94914</v>
      </c>
    </row>
    <row r="97" spans="1:10" ht="15.75">
      <c r="A97" s="238" t="s">
        <v>49</v>
      </c>
      <c r="B97" s="100"/>
      <c r="C97" s="686"/>
      <c r="D97" s="686"/>
      <c r="E97" s="686"/>
      <c r="F97" s="686"/>
      <c r="G97" s="881">
        <f>SUM(G81:G96)</f>
        <v>48534217.94</v>
      </c>
      <c r="H97" s="667">
        <f>SUM(H81:H96)</f>
        <v>120807.72753792054</v>
      </c>
      <c r="I97" s="667">
        <f>SUM(I81:I96)</f>
        <v>15176480.962574746</v>
      </c>
      <c r="J97" s="668">
        <f>SUM(J81:J96)</f>
        <v>33236930.509887334</v>
      </c>
    </row>
    <row r="98" spans="1:10" ht="15.75">
      <c r="A98" s="245"/>
      <c r="B98" s="100"/>
      <c r="C98" s="268"/>
      <c r="D98" s="52"/>
      <c r="E98" s="91"/>
      <c r="F98" s="91"/>
      <c r="G98" s="871"/>
      <c r="H98" s="491"/>
      <c r="I98" s="491"/>
      <c r="J98" s="492"/>
    </row>
    <row r="99" spans="1:10" ht="15.75">
      <c r="A99" s="246"/>
      <c r="B99" s="131"/>
      <c r="C99" s="131"/>
      <c r="D99" s="131"/>
      <c r="E99" s="131"/>
      <c r="F99" s="131"/>
      <c r="G99" s="871"/>
      <c r="H99" s="153"/>
      <c r="I99" s="153"/>
      <c r="J99" s="346"/>
    </row>
    <row r="100" spans="1:10" ht="15.75">
      <c r="A100" s="248" t="s">
        <v>85</v>
      </c>
      <c r="B100" s="50"/>
      <c r="C100" s="686"/>
      <c r="D100" s="686"/>
      <c r="E100" s="686"/>
      <c r="F100" s="686"/>
      <c r="G100" s="827">
        <f>G77+G97</f>
        <v>473497069.28000003</v>
      </c>
      <c r="H100" s="667">
        <f>H77+H97</f>
        <v>326832118.268367</v>
      </c>
      <c r="I100" s="667">
        <f>I77+I97</f>
        <v>41748263.63455284</v>
      </c>
      <c r="J100" s="668">
        <f>J77+J97</f>
        <v>104916688.63708024</v>
      </c>
    </row>
    <row r="101" spans="1:10" ht="16.5" thickBot="1">
      <c r="A101" s="249" t="s">
        <v>439</v>
      </c>
      <c r="B101" s="250"/>
      <c r="C101" s="251"/>
      <c r="D101" s="251"/>
      <c r="E101" s="251"/>
      <c r="F101" s="251"/>
      <c r="G101" s="252"/>
      <c r="H101" s="253"/>
      <c r="I101" s="253"/>
      <c r="J101" s="254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0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0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9">
    <mergeCell ref="H11:H13"/>
    <mergeCell ref="I11:I13"/>
    <mergeCell ref="L79:L81"/>
    <mergeCell ref="M79:M81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1"/>
  <headerFooter alignWithMargins="0">
    <oddFooter>&amp;L&amp;F&amp;CPage &amp;P of &amp;N&amp;R&amp;D</oddFooter>
  </headerFooter>
  <rowBreaks count="2" manualBreakCount="2">
    <brk id="43" max="255" man="1"/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E39"/>
  <sheetViews>
    <sheetView workbookViewId="0" topLeftCell="A2">
      <selection activeCell="E26" sqref="E26:E35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</cols>
  <sheetData>
    <row r="1" spans="1:5" ht="19.5" thickTop="1">
      <c r="A1" s="1008" t="s">
        <v>89</v>
      </c>
      <c r="B1" s="1009"/>
      <c r="C1" s="1009"/>
      <c r="D1" s="1009"/>
      <c r="E1" s="1010"/>
    </row>
    <row r="2" spans="1:5" ht="15.75">
      <c r="A2" s="1011" t="s">
        <v>91</v>
      </c>
      <c r="B2" s="953"/>
      <c r="C2" s="953"/>
      <c r="D2" s="953"/>
      <c r="E2" s="1012"/>
    </row>
    <row r="3" spans="1:5" ht="16.5" thickBot="1">
      <c r="A3" s="1013" t="s">
        <v>400</v>
      </c>
      <c r="B3" s="950"/>
      <c r="C3" s="950"/>
      <c r="D3" s="950"/>
      <c r="E3" s="1014"/>
    </row>
    <row r="4" spans="1:5" ht="15.75">
      <c r="A4" s="527"/>
      <c r="B4" s="711" t="s">
        <v>460</v>
      </c>
      <c r="C4" s="976" t="s">
        <v>472</v>
      </c>
      <c r="D4" s="943"/>
      <c r="E4" s="775"/>
    </row>
    <row r="5" spans="1:5" ht="15.75">
      <c r="A5" s="527"/>
      <c r="B5" s="711" t="s">
        <v>462</v>
      </c>
      <c r="C5" s="944">
        <v>39052</v>
      </c>
      <c r="D5" s="946"/>
      <c r="E5" s="775"/>
    </row>
    <row r="6" spans="1:5" ht="16.5" thickBot="1">
      <c r="A6" s="527"/>
      <c r="B6" s="711" t="s">
        <v>463</v>
      </c>
      <c r="C6" s="937">
        <v>39575</v>
      </c>
      <c r="D6" s="939"/>
      <c r="E6" s="775"/>
    </row>
    <row r="7" spans="1:5" ht="16.5" thickBot="1">
      <c r="A7" s="1015" t="s">
        <v>412</v>
      </c>
      <c r="B7" s="1016"/>
      <c r="C7" s="1016"/>
      <c r="D7" s="1016"/>
      <c r="E7" s="1017"/>
    </row>
    <row r="8" spans="1:5" ht="16.5" thickBot="1">
      <c r="A8" s="497"/>
      <c r="B8" s="474" t="s">
        <v>315</v>
      </c>
      <c r="C8" s="474"/>
      <c r="D8" s="1002" t="s">
        <v>428</v>
      </c>
      <c r="E8" s="1003"/>
    </row>
    <row r="9" spans="1:5" ht="16.5" thickBot="1">
      <c r="A9" s="493"/>
      <c r="B9" s="464" t="s">
        <v>431</v>
      </c>
      <c r="C9" s="464" t="s">
        <v>311</v>
      </c>
      <c r="D9" s="1004"/>
      <c r="E9" s="1005"/>
    </row>
    <row r="10" spans="1:5" ht="16.5" thickBot="1">
      <c r="A10" s="498"/>
      <c r="B10" s="467" t="s">
        <v>430</v>
      </c>
      <c r="C10" s="499" t="s">
        <v>312</v>
      </c>
      <c r="D10" s="500" t="s">
        <v>413</v>
      </c>
      <c r="E10" s="501" t="s">
        <v>414</v>
      </c>
    </row>
    <row r="11" spans="1:5" ht="15.75">
      <c r="A11" s="493"/>
      <c r="B11" s="687" t="s">
        <v>415</v>
      </c>
      <c r="C11" s="688" t="s">
        <v>427</v>
      </c>
      <c r="D11" s="872">
        <f>+'PP &amp; OSS Reconciliation'!I9</f>
        <v>21452392</v>
      </c>
      <c r="E11" s="872">
        <f>+'PP &amp; OSS Reconciliation'!J9</f>
        <v>286516</v>
      </c>
    </row>
    <row r="12" spans="1:5" ht="15.75">
      <c r="A12" s="493"/>
      <c r="B12" s="689" t="s">
        <v>416</v>
      </c>
      <c r="C12" s="690" t="s">
        <v>427</v>
      </c>
      <c r="D12" s="872">
        <f>+'PP &amp; OSS Reconciliation'!I10</f>
        <v>118386444</v>
      </c>
      <c r="E12" s="872">
        <f>+'PP &amp; OSS Reconciliation'!J10</f>
        <v>3536694</v>
      </c>
    </row>
    <row r="13" spans="1:5" ht="15.75">
      <c r="A13" s="493"/>
      <c r="B13" s="689" t="s">
        <v>417</v>
      </c>
      <c r="C13" s="690" t="s">
        <v>427</v>
      </c>
      <c r="D13" s="872">
        <f>+'PP &amp; OSS Reconciliation'!I11</f>
        <v>0</v>
      </c>
      <c r="E13" s="872">
        <f>+'PP &amp; OSS Reconciliation'!J11</f>
        <v>0</v>
      </c>
    </row>
    <row r="14" spans="1:5" ht="15.75">
      <c r="A14" s="493"/>
      <c r="B14" s="689" t="s">
        <v>418</v>
      </c>
      <c r="C14" s="690" t="s">
        <v>427</v>
      </c>
      <c r="D14" s="872">
        <f>+'PP &amp; OSS Reconciliation'!I12</f>
        <v>103536270.34</v>
      </c>
      <c r="E14" s="872">
        <f>+'PP &amp; OSS Reconciliation'!J12</f>
        <v>2156156</v>
      </c>
    </row>
    <row r="15" spans="1:5" ht="15.75">
      <c r="A15" s="493"/>
      <c r="B15" s="689" t="s">
        <v>419</v>
      </c>
      <c r="C15" s="690" t="s">
        <v>427</v>
      </c>
      <c r="D15" s="872">
        <f>+'PP &amp; OSS Reconciliation'!I13</f>
        <v>67719154</v>
      </c>
      <c r="E15" s="872">
        <f>+'PP &amp; OSS Reconciliation'!J13</f>
        <v>1290616</v>
      </c>
    </row>
    <row r="16" spans="1:5" ht="15.75">
      <c r="A16" s="493"/>
      <c r="B16" s="689" t="s">
        <v>420</v>
      </c>
      <c r="C16" s="690" t="s">
        <v>427</v>
      </c>
      <c r="D16" s="872">
        <f>+'PP &amp; OSS Reconciliation'!I14</f>
        <v>117976</v>
      </c>
      <c r="E16" s="872">
        <f>+'PP &amp; OSS Reconciliation'!J14</f>
        <v>3719</v>
      </c>
    </row>
    <row r="17" spans="1:5" ht="15.75">
      <c r="A17" s="493"/>
      <c r="B17" s="689" t="s">
        <v>421</v>
      </c>
      <c r="C17" s="690" t="s">
        <v>427</v>
      </c>
      <c r="D17" s="872">
        <f>+'PP &amp; OSS Reconciliation'!I15</f>
        <v>4324286</v>
      </c>
      <c r="E17" s="872">
        <f>+'PP &amp; OSS Reconciliation'!J15</f>
        <v>800</v>
      </c>
    </row>
    <row r="18" spans="1:5" ht="15.75">
      <c r="A18" s="493"/>
      <c r="B18" s="689" t="s">
        <v>422</v>
      </c>
      <c r="C18" s="690" t="s">
        <v>427</v>
      </c>
      <c r="D18" s="872">
        <f>+'PP &amp; OSS Reconciliation'!I16</f>
        <v>100610</v>
      </c>
      <c r="E18" s="872">
        <f>+'PP &amp; OSS Reconciliation'!J16</f>
        <v>1922</v>
      </c>
    </row>
    <row r="19" spans="1:5" ht="15.75">
      <c r="A19" s="493"/>
      <c r="B19" s="689" t="s">
        <v>423</v>
      </c>
      <c r="C19" s="690" t="s">
        <v>427</v>
      </c>
      <c r="D19" s="872">
        <f>+'PP &amp; OSS Reconciliation'!I17</f>
        <v>0</v>
      </c>
      <c r="E19" s="872">
        <f>+'PP &amp; OSS Reconciliation'!J17</f>
        <v>0</v>
      </c>
    </row>
    <row r="20" spans="1:5" ht="15.75">
      <c r="A20" s="493"/>
      <c r="B20" s="689" t="s">
        <v>424</v>
      </c>
      <c r="C20" s="690" t="s">
        <v>427</v>
      </c>
      <c r="D20" s="872">
        <f>+'PP &amp; OSS Reconciliation'!I18</f>
        <v>0</v>
      </c>
      <c r="E20" s="872">
        <f>+'PP &amp; OSS Reconciliation'!J18</f>
        <v>0</v>
      </c>
    </row>
    <row r="21" spans="1:5" ht="15.75">
      <c r="A21" s="493"/>
      <c r="B21" s="1006" t="s">
        <v>425</v>
      </c>
      <c r="C21" s="1007"/>
      <c r="D21" s="875">
        <f>SUM(D11:D20)</f>
        <v>315637132.34000003</v>
      </c>
      <c r="E21" s="876">
        <f>SUM(E11:E20)</f>
        <v>7276423</v>
      </c>
    </row>
    <row r="22" spans="1:5" ht="16.5" thickBot="1">
      <c r="A22" s="493"/>
      <c r="B22" s="494"/>
      <c r="C22" s="496"/>
      <c r="D22" s="494"/>
      <c r="E22" s="877"/>
    </row>
    <row r="23" spans="1:5" ht="16.5" thickBot="1">
      <c r="A23" s="497"/>
      <c r="B23" s="474" t="s">
        <v>315</v>
      </c>
      <c r="C23" s="474"/>
      <c r="D23" s="998" t="s">
        <v>99</v>
      </c>
      <c r="E23" s="999"/>
    </row>
    <row r="24" spans="1:5" ht="16.5" thickBot="1">
      <c r="A24" s="493"/>
      <c r="B24" s="464" t="s">
        <v>431</v>
      </c>
      <c r="C24" s="464" t="s">
        <v>311</v>
      </c>
      <c r="D24" s="1000"/>
      <c r="E24" s="1001"/>
    </row>
    <row r="25" spans="1:5" ht="16.5" thickBot="1">
      <c r="A25" s="498"/>
      <c r="B25" s="467" t="s">
        <v>430</v>
      </c>
      <c r="C25" s="467" t="s">
        <v>312</v>
      </c>
      <c r="D25" s="500" t="s">
        <v>413</v>
      </c>
      <c r="E25" s="501" t="s">
        <v>414</v>
      </c>
    </row>
    <row r="26" spans="1:5" ht="16.5" thickBot="1">
      <c r="A26" s="493"/>
      <c r="B26" s="687" t="s">
        <v>415</v>
      </c>
      <c r="C26" s="688" t="s">
        <v>426</v>
      </c>
      <c r="D26" s="878">
        <f>+'PP &amp; OSS Reconciliation'!I27</f>
        <v>0</v>
      </c>
      <c r="E26" s="878">
        <f>+'PP &amp; OSS Reconciliation'!J27</f>
        <v>0</v>
      </c>
    </row>
    <row r="27" spans="1:5" ht="16.5" thickBot="1">
      <c r="A27" s="493"/>
      <c r="B27" s="689" t="s">
        <v>416</v>
      </c>
      <c r="C27" s="690" t="s">
        <v>426</v>
      </c>
      <c r="D27" s="878">
        <f>+'PP &amp; OSS Reconciliation'!I28</f>
        <v>0</v>
      </c>
      <c r="E27" s="878">
        <f>+'PP &amp; OSS Reconciliation'!J28</f>
        <v>0</v>
      </c>
    </row>
    <row r="28" spans="1:5" ht="16.5" thickBot="1">
      <c r="A28" s="493"/>
      <c r="B28" s="689" t="s">
        <v>417</v>
      </c>
      <c r="C28" s="690" t="s">
        <v>426</v>
      </c>
      <c r="D28" s="878">
        <f>+'PP &amp; OSS Reconciliation'!I29</f>
        <v>0</v>
      </c>
      <c r="E28" s="878">
        <f>+'PP &amp; OSS Reconciliation'!J29</f>
        <v>0</v>
      </c>
    </row>
    <row r="29" spans="1:5" ht="16.5" thickBot="1">
      <c r="A29" s="493"/>
      <c r="B29" s="689" t="s">
        <v>418</v>
      </c>
      <c r="C29" s="690" t="s">
        <v>426</v>
      </c>
      <c r="D29" s="878">
        <f>+'PP &amp; OSS Reconciliation'!I30</f>
        <v>47339877.87</v>
      </c>
      <c r="E29" s="878">
        <f>+'PP &amp; OSS Reconciliation'!J30</f>
        <v>1267830</v>
      </c>
    </row>
    <row r="30" spans="1:5" ht="16.5" thickBot="1">
      <c r="A30" s="493"/>
      <c r="B30" s="689" t="s">
        <v>419</v>
      </c>
      <c r="C30" s="690" t="s">
        <v>426</v>
      </c>
      <c r="D30" s="878">
        <f>+'PP &amp; OSS Reconciliation'!I31</f>
        <v>0</v>
      </c>
      <c r="E30" s="878">
        <f>+'PP &amp; OSS Reconciliation'!J31</f>
        <v>0</v>
      </c>
    </row>
    <row r="31" spans="1:5" ht="16.5" thickBot="1">
      <c r="A31" s="493"/>
      <c r="B31" s="689" t="s">
        <v>420</v>
      </c>
      <c r="C31" s="690" t="s">
        <v>426</v>
      </c>
      <c r="D31" s="878">
        <f>+'PP &amp; OSS Reconciliation'!I32</f>
        <v>0</v>
      </c>
      <c r="E31" s="878">
        <f>+'PP &amp; OSS Reconciliation'!J32</f>
        <v>0</v>
      </c>
    </row>
    <row r="32" spans="1:5" ht="16.5" thickBot="1">
      <c r="A32" s="493"/>
      <c r="B32" s="689" t="s">
        <v>421</v>
      </c>
      <c r="C32" s="690" t="s">
        <v>426</v>
      </c>
      <c r="D32" s="878">
        <f>+'PP &amp; OSS Reconciliation'!I33</f>
        <v>0</v>
      </c>
      <c r="E32" s="878">
        <f>+'PP &amp; OSS Reconciliation'!J33</f>
        <v>0</v>
      </c>
    </row>
    <row r="33" spans="1:5" ht="16.5" thickBot="1">
      <c r="A33" s="493"/>
      <c r="B33" s="689" t="s">
        <v>422</v>
      </c>
      <c r="C33" s="690" t="s">
        <v>426</v>
      </c>
      <c r="D33" s="878">
        <f>+'PP &amp; OSS Reconciliation'!I34</f>
        <v>0</v>
      </c>
      <c r="E33" s="878">
        <f>+'PP &amp; OSS Reconciliation'!J34</f>
        <v>0</v>
      </c>
    </row>
    <row r="34" spans="1:5" ht="16.5" thickBot="1">
      <c r="A34" s="493"/>
      <c r="B34" s="689" t="s">
        <v>423</v>
      </c>
      <c r="C34" s="690" t="s">
        <v>426</v>
      </c>
      <c r="D34" s="878">
        <f>+'PP &amp; OSS Reconciliation'!I35</f>
        <v>0</v>
      </c>
      <c r="E34" s="878">
        <f>+'PP &amp; OSS Reconciliation'!J35</f>
        <v>0</v>
      </c>
    </row>
    <row r="35" spans="1:5" ht="15.75">
      <c r="A35" s="493"/>
      <c r="B35" s="689" t="s">
        <v>424</v>
      </c>
      <c r="C35" s="690" t="s">
        <v>426</v>
      </c>
      <c r="D35" s="878">
        <f>+'PP &amp; OSS Reconciliation'!I36</f>
        <v>0</v>
      </c>
      <c r="E35" s="878">
        <f>+'PP &amp; OSS Reconciliation'!J36</f>
        <v>0</v>
      </c>
    </row>
    <row r="36" spans="1:5" ht="16.5" thickBot="1">
      <c r="A36" s="495"/>
      <c r="B36" s="996" t="s">
        <v>425</v>
      </c>
      <c r="C36" s="997"/>
      <c r="D36" s="879">
        <f>SUM(D26:D35)</f>
        <v>47339877.87</v>
      </c>
      <c r="E36" s="880">
        <f>SUM(E26:E35)</f>
        <v>1267830</v>
      </c>
    </row>
    <row r="37" ht="16.5" thickTop="1"/>
    <row r="39" ht="15.75">
      <c r="E39" s="721"/>
    </row>
  </sheetData>
  <sheetProtection/>
  <mergeCells count="11">
    <mergeCell ref="A1:E1"/>
    <mergeCell ref="A2:E2"/>
    <mergeCell ref="A3:E3"/>
    <mergeCell ref="A7:E7"/>
    <mergeCell ref="B36:C36"/>
    <mergeCell ref="C4:D4"/>
    <mergeCell ref="C5:D5"/>
    <mergeCell ref="C6:D6"/>
    <mergeCell ref="D23:E24"/>
    <mergeCell ref="D8:E9"/>
    <mergeCell ref="B21:C21"/>
  </mergeCells>
  <printOptions horizontalCentered="1"/>
  <pageMargins left="0.7" right="0.7" top="0.75" bottom="0.75" header="0.3" footer="0.3"/>
  <pageSetup horizontalDpi="600" verticalDpi="600" orientation="portrait" scale="90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41"/>
  <sheetViews>
    <sheetView zoomScaleSheetLayoutView="100" workbookViewId="0" topLeftCell="A1">
      <selection activeCell="E5" sqref="E5:G7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1008" t="s">
        <v>89</v>
      </c>
      <c r="B1" s="1009"/>
      <c r="C1" s="1009"/>
      <c r="D1" s="1009"/>
      <c r="E1" s="1009"/>
      <c r="F1" s="1009"/>
      <c r="G1" s="1009"/>
      <c r="H1" s="1009"/>
      <c r="I1" s="1010"/>
    </row>
    <row r="2" spans="1:9" ht="19.5" customHeight="1">
      <c r="A2" s="1011" t="s">
        <v>91</v>
      </c>
      <c r="B2" s="953"/>
      <c r="C2" s="953"/>
      <c r="D2" s="953"/>
      <c r="E2" s="953"/>
      <c r="F2" s="953"/>
      <c r="G2" s="953"/>
      <c r="H2" s="953"/>
      <c r="I2" s="1012"/>
    </row>
    <row r="3" spans="1:9" ht="19.5" customHeight="1">
      <c r="A3" s="1013" t="s">
        <v>400</v>
      </c>
      <c r="B3" s="950"/>
      <c r="C3" s="950"/>
      <c r="D3" s="950"/>
      <c r="E3" s="950"/>
      <c r="F3" s="950"/>
      <c r="G3" s="950"/>
      <c r="H3" s="950"/>
      <c r="I3" s="1014"/>
    </row>
    <row r="4" spans="1:9" ht="12" customHeight="1" thickBot="1">
      <c r="A4" s="527"/>
      <c r="B4" s="296"/>
      <c r="C4" s="296"/>
      <c r="D4" s="296"/>
      <c r="E4" s="296"/>
      <c r="F4" s="296"/>
      <c r="G4" s="296"/>
      <c r="H4" s="296"/>
      <c r="I4" s="528"/>
    </row>
    <row r="5" spans="1:9" ht="15.75" customHeight="1">
      <c r="A5" s="527"/>
      <c r="B5" s="296"/>
      <c r="C5" s="296"/>
      <c r="D5" s="711" t="s">
        <v>460</v>
      </c>
      <c r="E5" s="941" t="s">
        <v>583</v>
      </c>
      <c r="F5" s="942"/>
      <c r="G5" s="943"/>
      <c r="H5" s="296"/>
      <c r="I5" s="528"/>
    </row>
    <row r="6" spans="1:9" ht="15.75" customHeight="1">
      <c r="A6" s="527"/>
      <c r="B6" s="296"/>
      <c r="C6" s="296"/>
      <c r="D6" s="711" t="s">
        <v>462</v>
      </c>
      <c r="E6" s="944">
        <v>39052</v>
      </c>
      <c r="F6" s="945"/>
      <c r="G6" s="946"/>
      <c r="H6" s="296"/>
      <c r="I6" s="528"/>
    </row>
    <row r="7" spans="1:9" ht="15.75" customHeight="1" thickBot="1">
      <c r="A7" s="527"/>
      <c r="B7" s="296"/>
      <c r="C7" s="296"/>
      <c r="D7" s="711" t="s">
        <v>463</v>
      </c>
      <c r="E7" s="937">
        <v>39575</v>
      </c>
      <c r="F7" s="938"/>
      <c r="G7" s="939"/>
      <c r="H7" s="296"/>
      <c r="I7" s="528"/>
    </row>
    <row r="8" spans="1:9" ht="11.25" customHeight="1">
      <c r="A8" s="527"/>
      <c r="B8" s="296"/>
      <c r="C8" s="296"/>
      <c r="D8" s="296"/>
      <c r="E8" s="296"/>
      <c r="F8" s="296"/>
      <c r="G8" s="296"/>
      <c r="H8" s="296"/>
      <c r="I8" s="528"/>
    </row>
    <row r="9" spans="1:9" ht="19.5" customHeight="1">
      <c r="A9" s="1021" t="s">
        <v>180</v>
      </c>
      <c r="B9" s="1022"/>
      <c r="C9" s="1022"/>
      <c r="D9" s="1022"/>
      <c r="E9" s="1022"/>
      <c r="F9" s="1022"/>
      <c r="G9" s="1022"/>
      <c r="H9" s="1022"/>
      <c r="I9" s="1023"/>
    </row>
    <row r="10" spans="1:9" ht="9.75" customHeight="1" thickBot="1">
      <c r="A10" s="734"/>
      <c r="B10" s="735"/>
      <c r="C10" s="532"/>
      <c r="D10" s="532"/>
      <c r="E10" s="735"/>
      <c r="F10" s="735"/>
      <c r="G10" s="735"/>
      <c r="H10" s="735"/>
      <c r="I10" s="736"/>
    </row>
    <row r="11" spans="1:9" ht="16.5" thickBot="1">
      <c r="A11" s="979" t="s">
        <v>12</v>
      </c>
      <c r="B11" s="959"/>
      <c r="C11" s="463" t="s">
        <v>315</v>
      </c>
      <c r="D11" s="463"/>
      <c r="E11" s="1018" t="s">
        <v>443</v>
      </c>
      <c r="F11" s="967" t="s">
        <v>14</v>
      </c>
      <c r="G11" s="964" t="s">
        <v>15</v>
      </c>
      <c r="H11" s="964" t="s">
        <v>16</v>
      </c>
      <c r="I11" s="737"/>
    </row>
    <row r="12" spans="1:9" ht="15.75">
      <c r="A12" s="988"/>
      <c r="B12" s="961"/>
      <c r="C12" s="464" t="s">
        <v>311</v>
      </c>
      <c r="D12" s="465" t="s">
        <v>8</v>
      </c>
      <c r="E12" s="1019"/>
      <c r="F12" s="947"/>
      <c r="G12" s="965"/>
      <c r="H12" s="965"/>
      <c r="I12" s="450" t="s">
        <v>10</v>
      </c>
    </row>
    <row r="13" spans="1:9" ht="16.5" thickBot="1">
      <c r="A13" s="980"/>
      <c r="B13" s="963"/>
      <c r="C13" s="467" t="s">
        <v>312</v>
      </c>
      <c r="D13" s="468" t="s">
        <v>238</v>
      </c>
      <c r="E13" s="1020"/>
      <c r="F13" s="948"/>
      <c r="G13" s="966"/>
      <c r="H13" s="966"/>
      <c r="I13" s="469" t="s">
        <v>17</v>
      </c>
    </row>
    <row r="14" spans="1:9" ht="15.75">
      <c r="A14" s="295"/>
      <c r="B14" s="224"/>
      <c r="C14" s="296"/>
      <c r="D14" s="258"/>
      <c r="E14" s="258"/>
      <c r="F14" s="148"/>
      <c r="G14" s="149"/>
      <c r="H14" s="149"/>
      <c r="I14" s="297"/>
    </row>
    <row r="15" spans="1:9" ht="15.75" customHeight="1">
      <c r="A15" s="286" t="s">
        <v>181</v>
      </c>
      <c r="B15" s="279"/>
      <c r="C15" s="217"/>
      <c r="D15" s="280"/>
      <c r="E15" s="281"/>
      <c r="F15" s="282"/>
      <c r="G15" s="283"/>
      <c r="H15" s="283"/>
      <c r="I15" s="287"/>
    </row>
    <row r="16" spans="1:9" ht="15.75" customHeight="1">
      <c r="A16" s="246"/>
      <c r="B16" s="587" t="s">
        <v>232</v>
      </c>
      <c r="C16" s="738">
        <v>262</v>
      </c>
      <c r="D16" s="739">
        <v>409.1</v>
      </c>
      <c r="E16" s="266" t="s">
        <v>392</v>
      </c>
      <c r="F16" s="900">
        <v>20490886</v>
      </c>
      <c r="G16" s="351">
        <f>VLOOKUP($E16,Ratio,2,FALSE)*$F16</f>
        <v>0</v>
      </c>
      <c r="H16" s="351">
        <f>VLOOKUP($E16,Ratio,3,FALSE)*$F16</f>
        <v>0</v>
      </c>
      <c r="I16" s="381">
        <f>VLOOKUP($E16,Ratio,4,FALSE)*$F16</f>
        <v>20490886</v>
      </c>
    </row>
    <row r="17" spans="1:9" ht="15.75" customHeight="1">
      <c r="A17" s="246"/>
      <c r="B17" s="587" t="s">
        <v>182</v>
      </c>
      <c r="C17" s="740">
        <v>262</v>
      </c>
      <c r="D17" s="741">
        <v>408.1</v>
      </c>
      <c r="E17" s="266" t="s">
        <v>7</v>
      </c>
      <c r="F17" s="901">
        <v>2815525</v>
      </c>
      <c r="G17" s="351">
        <f>VLOOKUP($E17,Ratio,2,FALSE)*$F17</f>
        <v>41929.55394010628</v>
      </c>
      <c r="H17" s="351">
        <f>VLOOKUP($E17,Ratio,3,FALSE)*$F17</f>
        <v>788958.5986969569</v>
      </c>
      <c r="I17" s="381">
        <f>VLOOKUP($E17,Ratio,4,FALSE)*$F17</f>
        <v>1984636.8473629372</v>
      </c>
    </row>
    <row r="18" spans="1:9" ht="15.75" customHeight="1">
      <c r="A18" s="246"/>
      <c r="B18" s="587" t="s">
        <v>183</v>
      </c>
      <c r="C18" s="740">
        <v>262</v>
      </c>
      <c r="D18" s="741">
        <v>408.1</v>
      </c>
      <c r="E18" s="266" t="s">
        <v>392</v>
      </c>
      <c r="F18" s="901">
        <v>11172</v>
      </c>
      <c r="G18" s="351">
        <f>VLOOKUP($E18,Ratio,2,FALSE)*$F18</f>
        <v>0</v>
      </c>
      <c r="H18" s="351">
        <f>VLOOKUP($E18,Ratio,3,FALSE)*$F18</f>
        <v>0</v>
      </c>
      <c r="I18" s="381">
        <f>VLOOKUP($E18,Ratio,4,FALSE)*$F18</f>
        <v>11172</v>
      </c>
    </row>
    <row r="19" spans="1:9" ht="15.75" customHeight="1">
      <c r="A19" s="288" t="s">
        <v>234</v>
      </c>
      <c r="B19" s="99"/>
      <c r="C19" s="790"/>
      <c r="D19" s="791"/>
      <c r="E19" s="792"/>
      <c r="F19" s="667">
        <f>SUM(F16:F18)</f>
        <v>23317583</v>
      </c>
      <c r="G19" s="667">
        <f>SUM(G16:G18)</f>
        <v>41929.55394010628</v>
      </c>
      <c r="H19" s="667">
        <f>SUM(H16:H18)</f>
        <v>788958.5986969569</v>
      </c>
      <c r="I19" s="668">
        <f>SUM(I16:I18)</f>
        <v>22486694.847362936</v>
      </c>
    </row>
    <row r="20" spans="1:9" ht="15.75" customHeight="1">
      <c r="A20" s="288"/>
      <c r="B20" s="99"/>
      <c r="C20" s="217"/>
      <c r="D20" s="280"/>
      <c r="E20" s="281"/>
      <c r="F20" s="742"/>
      <c r="G20" s="742"/>
      <c r="H20" s="742"/>
      <c r="I20" s="743"/>
    </row>
    <row r="21" spans="1:11" ht="15.75" customHeight="1">
      <c r="A21" s="289" t="s">
        <v>235</v>
      </c>
      <c r="B21" s="105"/>
      <c r="C21" s="284"/>
      <c r="D21" s="285"/>
      <c r="E21" s="281"/>
      <c r="F21" s="744"/>
      <c r="G21" s="744"/>
      <c r="H21" s="744"/>
      <c r="I21" s="745"/>
      <c r="K21" s="748"/>
    </row>
    <row r="22" spans="1:9" ht="15.75" customHeight="1">
      <c r="A22" s="246"/>
      <c r="B22" s="587" t="s">
        <v>454</v>
      </c>
      <c r="C22" s="738">
        <v>262</v>
      </c>
      <c r="D22" s="739">
        <v>408.1</v>
      </c>
      <c r="E22" s="266" t="s">
        <v>18</v>
      </c>
      <c r="F22" s="663">
        <f>49773313+107138</f>
        <v>49880451</v>
      </c>
      <c r="G22" s="351">
        <f>VLOOKUP($E22,Ratio,2,FALSE)*$F22</f>
        <v>104249.48080188243</v>
      </c>
      <c r="H22" s="351">
        <f>VLOOKUP($E22,Ratio,3,FALSE)*$F22</f>
        <v>17938371.165440746</v>
      </c>
      <c r="I22" s="381">
        <f>VLOOKUP($E22,Ratio,4,FALSE)*$F22</f>
        <v>31837830.353757374</v>
      </c>
    </row>
    <row r="23" spans="1:9" ht="15.75" customHeight="1">
      <c r="A23" s="246"/>
      <c r="B23" s="587" t="s">
        <v>184</v>
      </c>
      <c r="C23" s="740">
        <v>262</v>
      </c>
      <c r="D23" s="741">
        <v>408.1</v>
      </c>
      <c r="E23" s="266" t="s">
        <v>7</v>
      </c>
      <c r="F23" s="663">
        <v>14588</v>
      </c>
      <c r="G23" s="351">
        <f aca="true" t="shared" si="0" ref="G23:G28">VLOOKUP($E23,Ratio,2,FALSE)*$F23</f>
        <v>217.2484111766972</v>
      </c>
      <c r="H23" s="351">
        <f aca="true" t="shared" si="1" ref="H23:H28">VLOOKUP($E23,Ratio,3,FALSE)*$F23</f>
        <v>4087.8088590196166</v>
      </c>
      <c r="I23" s="381">
        <f aca="true" t="shared" si="2" ref="I23:I28">VLOOKUP($E23,Ratio,4,FALSE)*$F23</f>
        <v>10282.942729803686</v>
      </c>
    </row>
    <row r="24" spans="1:9" ht="15.75" customHeight="1">
      <c r="A24" s="246"/>
      <c r="B24" s="587" t="s">
        <v>455</v>
      </c>
      <c r="C24" s="740">
        <v>262</v>
      </c>
      <c r="D24" s="741">
        <v>409.1</v>
      </c>
      <c r="E24" s="266" t="s">
        <v>392</v>
      </c>
      <c r="F24" s="663">
        <v>2568678</v>
      </c>
      <c r="G24" s="351">
        <f>VLOOKUP($E24,Ratio,2,FALSE)*$F24</f>
        <v>0</v>
      </c>
      <c r="H24" s="351">
        <f>VLOOKUP($E24,Ratio,3,FALSE)*$F24</f>
        <v>0</v>
      </c>
      <c r="I24" s="381">
        <f>VLOOKUP($E24,Ratio,4,FALSE)*$F24</f>
        <v>2568678</v>
      </c>
    </row>
    <row r="25" spans="1:9" ht="15.75" customHeight="1">
      <c r="A25" s="246"/>
      <c r="B25" s="587" t="s">
        <v>456</v>
      </c>
      <c r="C25" s="738">
        <v>262</v>
      </c>
      <c r="D25" s="739">
        <v>408.1</v>
      </c>
      <c r="E25" s="266" t="s">
        <v>392</v>
      </c>
      <c r="F25" s="663">
        <v>5337</v>
      </c>
      <c r="G25" s="351">
        <f t="shared" si="0"/>
        <v>0</v>
      </c>
      <c r="H25" s="351">
        <f t="shared" si="1"/>
        <v>0</v>
      </c>
      <c r="I25" s="381">
        <f t="shared" si="2"/>
        <v>5337</v>
      </c>
    </row>
    <row r="26" spans="1:9" ht="15.75" customHeight="1">
      <c r="A26" s="246"/>
      <c r="B26" s="587" t="s">
        <v>185</v>
      </c>
      <c r="C26" s="740">
        <v>262</v>
      </c>
      <c r="D26" s="741">
        <v>408.1</v>
      </c>
      <c r="E26" s="266" t="s">
        <v>392</v>
      </c>
      <c r="F26" s="663">
        <v>1655658</v>
      </c>
      <c r="G26" s="351">
        <f t="shared" si="0"/>
        <v>0</v>
      </c>
      <c r="H26" s="351">
        <f t="shared" si="1"/>
        <v>0</v>
      </c>
      <c r="I26" s="381">
        <f t="shared" si="2"/>
        <v>1655658</v>
      </c>
    </row>
    <row r="27" spans="1:9" ht="15.75" customHeight="1">
      <c r="A27" s="246"/>
      <c r="B27" s="587" t="s">
        <v>457</v>
      </c>
      <c r="C27" s="738">
        <v>262</v>
      </c>
      <c r="D27" s="739">
        <v>408.1</v>
      </c>
      <c r="E27" s="266" t="s">
        <v>392</v>
      </c>
      <c r="F27" s="663"/>
      <c r="G27" s="351">
        <f t="shared" si="0"/>
        <v>0</v>
      </c>
      <c r="H27" s="351">
        <f t="shared" si="1"/>
        <v>0</v>
      </c>
      <c r="I27" s="381">
        <f t="shared" si="2"/>
        <v>0</v>
      </c>
    </row>
    <row r="28" spans="1:9" ht="15.75" customHeight="1">
      <c r="A28" s="246"/>
      <c r="B28" s="587" t="s">
        <v>17</v>
      </c>
      <c r="C28" s="740">
        <v>262</v>
      </c>
      <c r="D28" s="741">
        <v>408.1</v>
      </c>
      <c r="E28" s="266" t="s">
        <v>392</v>
      </c>
      <c r="F28" s="663">
        <f>812+1359199+79613</f>
        <v>1439624</v>
      </c>
      <c r="G28" s="351">
        <f t="shared" si="0"/>
        <v>0</v>
      </c>
      <c r="H28" s="351">
        <f t="shared" si="1"/>
        <v>0</v>
      </c>
      <c r="I28" s="381">
        <f t="shared" si="2"/>
        <v>1439624</v>
      </c>
    </row>
    <row r="29" spans="1:9" ht="15.75" customHeight="1">
      <c r="A29" s="288" t="s">
        <v>233</v>
      </c>
      <c r="B29" s="105"/>
      <c r="C29" s="790"/>
      <c r="D29" s="791"/>
      <c r="E29" s="792"/>
      <c r="F29" s="667">
        <f>SUM(F22:F28)</f>
        <v>55564336</v>
      </c>
      <c r="G29" s="667">
        <f>SUM(G22:G28)</f>
        <v>104466.72921305912</v>
      </c>
      <c r="H29" s="667">
        <f>SUM(H22:H28)</f>
        <v>17942458.974299766</v>
      </c>
      <c r="I29" s="668">
        <f>SUM(I22:I28)</f>
        <v>37517410.29648718</v>
      </c>
    </row>
    <row r="30" spans="1:9" ht="15.75" customHeight="1">
      <c r="A30" s="288"/>
      <c r="B30" s="105"/>
      <c r="C30" s="284"/>
      <c r="D30" s="285"/>
      <c r="E30" s="281"/>
      <c r="F30" s="746"/>
      <c r="G30" s="746"/>
      <c r="H30" s="746"/>
      <c r="I30" s="747"/>
    </row>
    <row r="31" spans="1:9" ht="15.75" customHeight="1">
      <c r="A31" s="288" t="s">
        <v>458</v>
      </c>
      <c r="B31" s="105"/>
      <c r="C31" s="790"/>
      <c r="D31" s="791"/>
      <c r="E31" s="792"/>
      <c r="F31" s="667">
        <f>F29+F19</f>
        <v>78881919</v>
      </c>
      <c r="G31" s="667">
        <f>G29+G19</f>
        <v>146396.2831531654</v>
      </c>
      <c r="H31" s="667">
        <f>H29+H19</f>
        <v>18731417.572996724</v>
      </c>
      <c r="I31" s="668">
        <f>I29+I19</f>
        <v>60004105.14385012</v>
      </c>
    </row>
    <row r="32" spans="1:9" ht="15.75" customHeight="1">
      <c r="A32" s="288"/>
      <c r="B32" s="105"/>
      <c r="C32" s="284"/>
      <c r="D32" s="285"/>
      <c r="E32" s="281"/>
      <c r="F32" s="416"/>
      <c r="G32" s="416"/>
      <c r="H32" s="416"/>
      <c r="I32" s="902"/>
    </row>
    <row r="33" spans="1:11" ht="15.75" customHeight="1" thickBot="1">
      <c r="A33" s="290"/>
      <c r="B33" s="291"/>
      <c r="C33" s="291"/>
      <c r="D33" s="291"/>
      <c r="E33" s="291"/>
      <c r="F33" s="291"/>
      <c r="G33" s="291"/>
      <c r="H33" s="291"/>
      <c r="I33" s="292"/>
      <c r="K33" s="98"/>
    </row>
    <row r="34" spans="1:11" ht="16.5" thickTop="1">
      <c r="A34" s="98"/>
      <c r="B34" s="98"/>
      <c r="C34" s="98"/>
      <c r="D34" s="98"/>
      <c r="E34" s="98"/>
      <c r="F34" s="98"/>
      <c r="G34" s="98"/>
      <c r="H34" s="98"/>
      <c r="I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K35" s="98"/>
    </row>
    <row r="36" spans="1:11" ht="15.75">
      <c r="A36" s="98"/>
      <c r="B36" s="98"/>
      <c r="C36" s="98"/>
      <c r="D36" s="98"/>
      <c r="E36" s="98"/>
      <c r="F36" s="98"/>
      <c r="G36" s="98"/>
      <c r="H36" s="98"/>
      <c r="I36" s="98"/>
      <c r="K36" s="98"/>
    </row>
    <row r="37" spans="1:11" ht="15.75">
      <c r="A37" s="98"/>
      <c r="B37" s="98"/>
      <c r="C37" s="98"/>
      <c r="D37" s="98"/>
      <c r="E37" s="98"/>
      <c r="F37" s="98"/>
      <c r="G37" s="98"/>
      <c r="H37" s="98"/>
      <c r="I37" s="98"/>
      <c r="K37" s="98"/>
    </row>
    <row r="38" spans="1:11" ht="15.75">
      <c r="A38" s="98"/>
      <c r="B38" s="98"/>
      <c r="C38" s="98"/>
      <c r="D38" s="98"/>
      <c r="E38" s="98"/>
      <c r="F38" s="98"/>
      <c r="G38" s="98"/>
      <c r="H38" s="98"/>
      <c r="I38" s="98"/>
      <c r="K38" s="98"/>
    </row>
    <row r="39" spans="1:11" ht="15.75">
      <c r="A39" s="98"/>
      <c r="B39" s="98"/>
      <c r="C39" s="98"/>
      <c r="D39" s="98"/>
      <c r="E39" s="98"/>
      <c r="F39" s="98"/>
      <c r="G39" s="98"/>
      <c r="H39" s="98"/>
      <c r="I39" s="98"/>
      <c r="K39" s="98"/>
    </row>
    <row r="40" spans="1:11" ht="15.75">
      <c r="A40" s="98"/>
      <c r="B40" s="98"/>
      <c r="C40" s="98"/>
      <c r="D40" s="98"/>
      <c r="E40" s="98"/>
      <c r="F40" s="98"/>
      <c r="G40" s="98"/>
      <c r="H40" s="98"/>
      <c r="I40" s="98"/>
      <c r="K40" s="98"/>
    </row>
    <row r="41" spans="1:11" ht="15.75">
      <c r="A41" s="98"/>
      <c r="B41" s="98"/>
      <c r="C41" s="98"/>
      <c r="D41" s="98"/>
      <c r="E41" s="98"/>
      <c r="F41" s="98"/>
      <c r="G41" s="98"/>
      <c r="H41" s="98"/>
      <c r="I41" s="98"/>
      <c r="K41" s="98"/>
    </row>
  </sheetData>
  <mergeCells count="12">
    <mergeCell ref="A1:I1"/>
    <mergeCell ref="A2:I2"/>
    <mergeCell ref="A3:I3"/>
    <mergeCell ref="A9:I9"/>
    <mergeCell ref="E5:G5"/>
    <mergeCell ref="E6:G6"/>
    <mergeCell ref="E7:G7"/>
    <mergeCell ref="A11:B13"/>
    <mergeCell ref="F11:F13"/>
    <mergeCell ref="G11:G13"/>
    <mergeCell ref="H11:H13"/>
    <mergeCell ref="E11:E13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&amp;L&amp;F
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N71"/>
  <sheetViews>
    <sheetView workbookViewId="0" topLeftCell="B1">
      <selection activeCell="E5" sqref="E5:G7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98"/>
      <c r="C1" s="227"/>
      <c r="D1" s="227"/>
      <c r="E1" s="227"/>
      <c r="F1" s="227"/>
      <c r="G1" s="227"/>
      <c r="H1" s="227"/>
      <c r="I1" s="227"/>
      <c r="J1" s="229"/>
    </row>
    <row r="2" spans="1:10" ht="15.75">
      <c r="A2" s="230" t="s">
        <v>91</v>
      </c>
      <c r="B2" s="135"/>
      <c r="C2" s="76"/>
      <c r="D2" s="76"/>
      <c r="E2" s="76"/>
      <c r="F2" s="76"/>
      <c r="G2" s="76"/>
      <c r="H2" s="76"/>
      <c r="I2" s="76"/>
      <c r="J2" s="231"/>
    </row>
    <row r="3" spans="1:10" ht="15.75">
      <c r="A3" s="232" t="s">
        <v>400</v>
      </c>
      <c r="B3" s="136"/>
      <c r="C3" s="3"/>
      <c r="D3" s="3"/>
      <c r="E3" s="4"/>
      <c r="F3" s="4"/>
      <c r="G3" s="5"/>
      <c r="H3" s="6"/>
      <c r="I3" s="19"/>
      <c r="J3" s="233"/>
    </row>
    <row r="4" spans="1:10" ht="13.5" customHeight="1" thickBot="1">
      <c r="A4" s="232"/>
      <c r="B4" s="136"/>
      <c r="C4" s="3"/>
      <c r="D4" s="3"/>
      <c r="E4" s="4"/>
      <c r="F4" s="4"/>
      <c r="G4" s="5"/>
      <c r="H4" s="6"/>
      <c r="I4" s="19"/>
      <c r="J4" s="233"/>
    </row>
    <row r="5" spans="1:10" ht="15.75" customHeight="1">
      <c r="A5" s="232"/>
      <c r="B5" s="136"/>
      <c r="C5" s="3"/>
      <c r="D5" s="711" t="s">
        <v>460</v>
      </c>
      <c r="E5" s="941" t="s">
        <v>583</v>
      </c>
      <c r="F5" s="942"/>
      <c r="G5" s="943"/>
      <c r="H5" s="6"/>
      <c r="I5" s="19"/>
      <c r="J5" s="233"/>
    </row>
    <row r="6" spans="1:10" ht="15.75" customHeight="1">
      <c r="A6" s="232"/>
      <c r="B6" s="136"/>
      <c r="C6" s="3"/>
      <c r="D6" s="711" t="s">
        <v>462</v>
      </c>
      <c r="E6" s="944">
        <v>39052</v>
      </c>
      <c r="F6" s="945"/>
      <c r="G6" s="946"/>
      <c r="H6" s="6"/>
      <c r="I6" s="19"/>
      <c r="J6" s="233"/>
    </row>
    <row r="7" spans="1:10" ht="15.75" customHeight="1" thickBot="1">
      <c r="A7" s="232"/>
      <c r="B7" s="136"/>
      <c r="C7" s="3"/>
      <c r="D7" s="711" t="s">
        <v>463</v>
      </c>
      <c r="E7" s="937">
        <v>39575</v>
      </c>
      <c r="F7" s="938"/>
      <c r="G7" s="939"/>
      <c r="H7" s="6"/>
      <c r="I7" s="19"/>
      <c r="J7" s="233"/>
    </row>
    <row r="8" spans="1:10" ht="9.75" customHeight="1">
      <c r="A8" s="232"/>
      <c r="B8" s="136"/>
      <c r="C8" s="3"/>
      <c r="D8" s="3"/>
      <c r="E8" s="4"/>
      <c r="F8" s="4"/>
      <c r="G8" s="5"/>
      <c r="H8" s="6"/>
      <c r="I8" s="19"/>
      <c r="J8" s="233"/>
    </row>
    <row r="9" spans="1:14" ht="15.75">
      <c r="A9" s="479" t="s">
        <v>192</v>
      </c>
      <c r="B9" s="136"/>
      <c r="C9" s="3"/>
      <c r="D9" s="3"/>
      <c r="E9" s="4"/>
      <c r="F9" s="4"/>
      <c r="G9" s="5"/>
      <c r="H9" s="6"/>
      <c r="I9" s="19"/>
      <c r="J9" s="233"/>
      <c r="L9"/>
      <c r="M9"/>
      <c r="N9"/>
    </row>
    <row r="10" spans="1:14" ht="9" customHeight="1" thickBot="1">
      <c r="A10" s="255"/>
      <c r="B10" s="136"/>
      <c r="C10" s="3"/>
      <c r="D10" s="3"/>
      <c r="E10" s="4"/>
      <c r="F10" s="4"/>
      <c r="G10" s="5"/>
      <c r="H10" s="6"/>
      <c r="I10" s="19"/>
      <c r="J10" s="233"/>
      <c r="L10"/>
      <c r="M10"/>
      <c r="N10"/>
    </row>
    <row r="11" spans="1:14" ht="16.5" thickBot="1">
      <c r="A11" s="979" t="s">
        <v>12</v>
      </c>
      <c r="B11" s="959"/>
      <c r="C11" s="457" t="s">
        <v>315</v>
      </c>
      <c r="D11" s="458"/>
      <c r="E11" s="459" t="s">
        <v>351</v>
      </c>
      <c r="F11" s="460"/>
      <c r="G11" s="443"/>
      <c r="H11" s="444"/>
      <c r="I11" s="444"/>
      <c r="J11" s="445"/>
      <c r="L11"/>
      <c r="M11"/>
      <c r="N11"/>
    </row>
    <row r="12" spans="1:14" ht="16.5" thickBot="1">
      <c r="A12" s="988"/>
      <c r="B12" s="961"/>
      <c r="C12" s="446" t="s">
        <v>311</v>
      </c>
      <c r="D12" s="447" t="s">
        <v>8</v>
      </c>
      <c r="E12" s="461" t="s">
        <v>13</v>
      </c>
      <c r="F12" s="462"/>
      <c r="G12" s="448" t="s">
        <v>9</v>
      </c>
      <c r="H12" s="449"/>
      <c r="I12" s="449"/>
      <c r="J12" s="450" t="s">
        <v>10</v>
      </c>
      <c r="L12"/>
      <c r="M12"/>
      <c r="N12"/>
    </row>
    <row r="13" spans="1:14" ht="16.5" thickBot="1">
      <c r="A13" s="989"/>
      <c r="B13" s="990"/>
      <c r="C13" s="451" t="s">
        <v>312</v>
      </c>
      <c r="D13" s="452" t="s">
        <v>238</v>
      </c>
      <c r="E13" s="453" t="s">
        <v>349</v>
      </c>
      <c r="F13" s="453" t="s">
        <v>350</v>
      </c>
      <c r="G13" s="454" t="s">
        <v>14</v>
      </c>
      <c r="H13" s="455" t="s">
        <v>15</v>
      </c>
      <c r="I13" s="455" t="s">
        <v>16</v>
      </c>
      <c r="J13" s="456" t="s">
        <v>17</v>
      </c>
      <c r="L13"/>
      <c r="M13"/>
      <c r="N13"/>
    </row>
    <row r="14" spans="1:14" ht="16.5" thickTop="1">
      <c r="A14" s="299" t="s">
        <v>76</v>
      </c>
      <c r="B14" s="48"/>
      <c r="C14" s="77"/>
      <c r="D14" s="42"/>
      <c r="E14" s="10"/>
      <c r="F14" s="10"/>
      <c r="G14" s="11"/>
      <c r="H14" s="11"/>
      <c r="I14" s="11"/>
      <c r="J14" s="267"/>
      <c r="L14"/>
      <c r="M14"/>
      <c r="N14"/>
    </row>
    <row r="15" spans="1:10" s="98" customFormat="1" ht="12.75">
      <c r="A15" s="749"/>
      <c r="B15" s="81" t="s">
        <v>453</v>
      </c>
      <c r="C15" s="750">
        <v>114</v>
      </c>
      <c r="D15" s="265">
        <v>407.4</v>
      </c>
      <c r="E15" s="266" t="s">
        <v>2</v>
      </c>
      <c r="F15" s="266" t="s">
        <v>392</v>
      </c>
      <c r="G15" s="751"/>
      <c r="H15" s="351">
        <f>IF($E15="DIRECT",$L15,VLOOKUP($E15,Ratio,2,FALSE)*$G15)</f>
        <v>0</v>
      </c>
      <c r="I15" s="351">
        <f>IF($E15="DIRECT",$M15,VLOOKUP($E15,Ratio,3,FALSE)*$G15)</f>
        <v>0</v>
      </c>
      <c r="J15" s="381">
        <f>IF($E15="DIRECT",$N15,VLOOKUP($E15,Ratio,4,FALSE)*$G15)</f>
        <v>0</v>
      </c>
    </row>
    <row r="16" spans="1:14" s="98" customFormat="1" ht="13.5">
      <c r="A16" s="749"/>
      <c r="B16" s="764" t="s">
        <v>465</v>
      </c>
      <c r="C16" s="750">
        <v>114</v>
      </c>
      <c r="D16" s="265">
        <v>407.3</v>
      </c>
      <c r="E16" s="266" t="s">
        <v>2</v>
      </c>
      <c r="F16" s="266" t="s">
        <v>392</v>
      </c>
      <c r="G16" s="751">
        <f>+'Regulatory Debits'!E13</f>
        <v>7271890</v>
      </c>
      <c r="H16" s="351">
        <f>IF($E16="DIRECT",$L16,VLOOKUP($E16,Ratio,2,FALSE)*$G16)</f>
        <v>480377.69</v>
      </c>
      <c r="I16" s="351">
        <f>IF($E16="DIRECT",$M16,VLOOKUP($E16,Ratio,3,FALSE)*$G16)</f>
        <v>2983399.67</v>
      </c>
      <c r="J16" s="381">
        <f>IF($E16="DIRECT",$N16,VLOOKUP($E16,Ratio,4,FALSE)*$G16)</f>
        <v>3808112.6300000004</v>
      </c>
      <c r="L16" s="351">
        <f>+'Regulatory Debits'!B13</f>
        <v>480377.69</v>
      </c>
      <c r="M16" s="351">
        <f>+'Regulatory Debits'!C13</f>
        <v>2983399.67</v>
      </c>
      <c r="N16" s="351">
        <f>+'Regulatory Debits'!D13</f>
        <v>3808112.6300000004</v>
      </c>
    </row>
    <row r="17" spans="1:10" s="98" customFormat="1" ht="12.75">
      <c r="A17" s="235"/>
      <c r="B17" s="86" t="s">
        <v>390</v>
      </c>
      <c r="C17" s="750">
        <v>114</v>
      </c>
      <c r="D17" s="265">
        <v>411.6</v>
      </c>
      <c r="E17" s="266" t="s">
        <v>2</v>
      </c>
      <c r="F17" s="266" t="s">
        <v>392</v>
      </c>
      <c r="G17" s="751"/>
      <c r="H17" s="351">
        <f>IF($E17="DIRECT",$L17,VLOOKUP($E17,Ratio,2,FALSE)*$G17)</f>
        <v>0</v>
      </c>
      <c r="I17" s="351">
        <f>IF($E17="DIRECT",$M17,VLOOKUP($E17,Ratio,3,FALSE)*$G17)</f>
        <v>0</v>
      </c>
      <c r="J17" s="381">
        <f>IF($E17="DIRECT",$N17,VLOOKUP($E17,Ratio,4,FALSE)*$G17)</f>
        <v>0</v>
      </c>
    </row>
    <row r="18" spans="1:10" s="98" customFormat="1" ht="13.5">
      <c r="A18" s="235"/>
      <c r="B18" s="765" t="s">
        <v>466</v>
      </c>
      <c r="C18" s="750">
        <v>114</v>
      </c>
      <c r="D18" s="265" t="s">
        <v>77</v>
      </c>
      <c r="E18" s="266" t="s">
        <v>2</v>
      </c>
      <c r="F18" s="266" t="s">
        <v>392</v>
      </c>
      <c r="G18" s="751"/>
      <c r="H18" s="351">
        <f>IF($E18="DIRECT",$L18,VLOOKUP($E18,Ratio,2,FALSE)*$G18)</f>
        <v>0</v>
      </c>
      <c r="I18" s="351">
        <f>IF($E18="DIRECT",$M18,VLOOKUP($E18,Ratio,3,FALSE)*$G18)</f>
        <v>0</v>
      </c>
      <c r="J18" s="381">
        <f>IF($E18="DIRECT",$N18,VLOOKUP($E18,Ratio,4,FALSE)*$G18)</f>
        <v>0</v>
      </c>
    </row>
    <row r="19" spans="1:10" s="98" customFormat="1" ht="12.75">
      <c r="A19" s="235"/>
      <c r="B19" s="86" t="s">
        <v>391</v>
      </c>
      <c r="C19" s="750">
        <v>114</v>
      </c>
      <c r="D19" s="265">
        <v>411.8</v>
      </c>
      <c r="E19" s="261" t="s">
        <v>394</v>
      </c>
      <c r="F19" s="261"/>
      <c r="G19" s="751"/>
      <c r="H19" s="751">
        <f>VLOOKUP($E19,Ratio,2,FALSE)*$G19</f>
        <v>0</v>
      </c>
      <c r="I19" s="751">
        <f>VLOOKUP($E19,Ratio,3,FALSE)*$G19</f>
        <v>0</v>
      </c>
      <c r="J19" s="752">
        <f>VLOOKUP($E19,Ratio,4,FALSE)*$G19</f>
        <v>0</v>
      </c>
    </row>
    <row r="20" spans="1:10" s="98" customFormat="1" ht="13.5">
      <c r="A20" s="235"/>
      <c r="B20" s="765" t="s">
        <v>464</v>
      </c>
      <c r="C20" s="750">
        <v>114</v>
      </c>
      <c r="D20" s="265">
        <v>411.9</v>
      </c>
      <c r="E20" s="261" t="s">
        <v>394</v>
      </c>
      <c r="F20" s="261"/>
      <c r="G20" s="751"/>
      <c r="H20" s="751">
        <f>VLOOKUP($E20,Ratio,2,FALSE)*$G20</f>
        <v>0</v>
      </c>
      <c r="I20" s="751">
        <f>VLOOKUP($E20,Ratio,3,FALSE)*$G20</f>
        <v>0</v>
      </c>
      <c r="J20" s="752">
        <f>VLOOKUP($E20,Ratio,4,FALSE)*$G20</f>
        <v>0</v>
      </c>
    </row>
    <row r="21" spans="1:10" s="98" customFormat="1" ht="12.75">
      <c r="A21" s="235"/>
      <c r="B21" s="86" t="s">
        <v>408</v>
      </c>
      <c r="C21" s="750">
        <v>114</v>
      </c>
      <c r="D21" s="265">
        <v>421</v>
      </c>
      <c r="E21" s="261" t="s">
        <v>2</v>
      </c>
      <c r="F21" s="261" t="s">
        <v>394</v>
      </c>
      <c r="G21" s="751"/>
      <c r="H21" s="351">
        <f>IF($E21="DIRECT",$L21,VLOOKUP($E21,Ratio,2,FALSE)*$G21)</f>
        <v>0</v>
      </c>
      <c r="I21" s="351">
        <f>IF($E21="DIRECT",$M21,VLOOKUP($E21,Ratio,3,FALSE)*$G21)</f>
        <v>0</v>
      </c>
      <c r="J21" s="381">
        <f>IF($E21="DIRECT",$N21,VLOOKUP($E21,Ratio,4,FALSE)*$G21)</f>
        <v>0</v>
      </c>
    </row>
    <row r="22" spans="1:14" ht="15.75">
      <c r="A22" s="300" t="s">
        <v>84</v>
      </c>
      <c r="B22" s="316"/>
      <c r="C22" s="755"/>
      <c r="D22" s="756"/>
      <c r="E22" s="757"/>
      <c r="F22" s="757"/>
      <c r="G22" s="758">
        <f>G15-G16+G17-G18+G19-G20+G21</f>
        <v>-7271890</v>
      </c>
      <c r="H22" s="758">
        <f>H15-H16+H17-H18+H19-H20+H21</f>
        <v>-480377.69</v>
      </c>
      <c r="I22" s="758">
        <f>I15-I16+I17-I18+I19-I20+I21</f>
        <v>-2983399.67</v>
      </c>
      <c r="J22" s="759">
        <f>J15-J16+J17-J18+J19-J20+J21</f>
        <v>-3808112.6300000004</v>
      </c>
      <c r="L22"/>
      <c r="M22"/>
      <c r="N22"/>
    </row>
    <row r="23" spans="1:14" ht="15.75">
      <c r="A23" s="301"/>
      <c r="B23" s="316"/>
      <c r="C23" s="94"/>
      <c r="D23" s="94"/>
      <c r="E23" s="94"/>
      <c r="F23" s="94"/>
      <c r="G23" s="317"/>
      <c r="H23" s="317"/>
      <c r="I23" s="317"/>
      <c r="J23" s="318"/>
      <c r="L23"/>
      <c r="M23"/>
      <c r="N23"/>
    </row>
    <row r="24" spans="1:14" ht="15.75">
      <c r="A24" s="302" t="s">
        <v>317</v>
      </c>
      <c r="B24" s="316"/>
      <c r="C24" s="94"/>
      <c r="D24" s="94"/>
      <c r="E24" s="94"/>
      <c r="F24" s="94"/>
      <c r="G24" s="317"/>
      <c r="H24" s="317"/>
      <c r="I24" s="317"/>
      <c r="J24" s="318"/>
      <c r="L24"/>
      <c r="M24"/>
      <c r="N24"/>
    </row>
    <row r="25" spans="1:10" s="98" customFormat="1" ht="12.75">
      <c r="A25" s="303"/>
      <c r="B25" s="84" t="s">
        <v>99</v>
      </c>
      <c r="C25" s="753">
        <v>310</v>
      </c>
      <c r="D25" s="266">
        <v>447</v>
      </c>
      <c r="E25" s="261" t="s">
        <v>394</v>
      </c>
      <c r="F25" s="261"/>
      <c r="G25" s="825">
        <f>'PP &amp; OSS WorkSheet'!D36</f>
        <v>47339877.87</v>
      </c>
      <c r="H25" s="751">
        <f>VLOOKUP($E25,Ratio,2,FALSE)*$G25</f>
        <v>47339877.87</v>
      </c>
      <c r="I25" s="751">
        <f>VLOOKUP($E25,Ratio,3,FALSE)*$G25</f>
        <v>0</v>
      </c>
      <c r="J25" s="752">
        <f>VLOOKUP($E25,Ratio,4,FALSE)*$G25</f>
        <v>0</v>
      </c>
    </row>
    <row r="26" spans="1:14" ht="15.75">
      <c r="A26" s="248" t="s">
        <v>100</v>
      </c>
      <c r="B26" s="106"/>
      <c r="C26" s="755"/>
      <c r="D26" s="756"/>
      <c r="E26" s="757"/>
      <c r="F26" s="757"/>
      <c r="G26" s="758">
        <f>SUM(G25)</f>
        <v>47339877.87</v>
      </c>
      <c r="H26" s="758">
        <f>SUM(H25)</f>
        <v>47339877.87</v>
      </c>
      <c r="I26" s="758">
        <f>SUM(I25)</f>
        <v>0</v>
      </c>
      <c r="J26" s="759">
        <f>SUM(J25)</f>
        <v>0</v>
      </c>
      <c r="L26"/>
      <c r="M26"/>
      <c r="N26"/>
    </row>
    <row r="27" spans="1:14" ht="15.75">
      <c r="A27" s="304"/>
      <c r="B27" s="106"/>
      <c r="C27" s="94"/>
      <c r="D27" s="94"/>
      <c r="E27" s="94"/>
      <c r="F27" s="94"/>
      <c r="G27" s="317"/>
      <c r="H27" s="317"/>
      <c r="I27" s="317"/>
      <c r="J27" s="318"/>
      <c r="L27"/>
      <c r="M27"/>
      <c r="N27"/>
    </row>
    <row r="28" spans="1:14" ht="15.75">
      <c r="A28" s="305" t="s">
        <v>78</v>
      </c>
      <c r="B28" s="106"/>
      <c r="C28" s="94"/>
      <c r="D28" s="94"/>
      <c r="E28" s="94"/>
      <c r="F28" s="94"/>
      <c r="G28" s="317"/>
      <c r="H28" s="317"/>
      <c r="I28" s="317"/>
      <c r="J28" s="318"/>
      <c r="L28"/>
      <c r="M28"/>
      <c r="N28"/>
    </row>
    <row r="29" spans="1:10" s="98" customFormat="1" ht="12.75">
      <c r="A29" s="754"/>
      <c r="B29" s="92" t="s">
        <v>171</v>
      </c>
      <c r="C29" s="753">
        <v>300</v>
      </c>
      <c r="D29" s="266">
        <v>450</v>
      </c>
      <c r="E29" s="261" t="s">
        <v>392</v>
      </c>
      <c r="F29" s="261"/>
      <c r="G29" s="751">
        <v>8000</v>
      </c>
      <c r="H29" s="751">
        <f aca="true" t="shared" si="0" ref="H29:H35">VLOOKUP($E29,Ratio,2,FALSE)*$G29</f>
        <v>0</v>
      </c>
      <c r="I29" s="751">
        <f aca="true" t="shared" si="1" ref="I29:I35">VLOOKUP($E29,Ratio,3,FALSE)*$G29</f>
        <v>0</v>
      </c>
      <c r="J29" s="752">
        <f aca="true" t="shared" si="2" ref="J29:J35">VLOOKUP($E29,Ratio,4,FALSE)*$G29</f>
        <v>8000</v>
      </c>
    </row>
    <row r="30" spans="1:10" s="98" customFormat="1" ht="12.75">
      <c r="A30" s="754"/>
      <c r="B30" s="92" t="s">
        <v>176</v>
      </c>
      <c r="C30" s="753">
        <v>300</v>
      </c>
      <c r="D30" s="266" t="s">
        <v>79</v>
      </c>
      <c r="E30" s="261" t="s">
        <v>392</v>
      </c>
      <c r="F30" s="261"/>
      <c r="G30" s="751"/>
      <c r="H30" s="751">
        <f t="shared" si="0"/>
        <v>0</v>
      </c>
      <c r="I30" s="751">
        <f t="shared" si="1"/>
        <v>0</v>
      </c>
      <c r="J30" s="752">
        <f t="shared" si="2"/>
        <v>0</v>
      </c>
    </row>
    <row r="31" spans="1:10" s="98" customFormat="1" ht="12.75">
      <c r="A31" s="754"/>
      <c r="B31" s="92" t="s">
        <v>175</v>
      </c>
      <c r="C31" s="753">
        <v>300</v>
      </c>
      <c r="D31" s="266" t="s">
        <v>80</v>
      </c>
      <c r="E31" s="261" t="s">
        <v>394</v>
      </c>
      <c r="F31" s="261"/>
      <c r="G31" s="751"/>
      <c r="H31" s="751">
        <f t="shared" si="0"/>
        <v>0</v>
      </c>
      <c r="I31" s="751">
        <f t="shared" si="1"/>
        <v>0</v>
      </c>
      <c r="J31" s="752">
        <f t="shared" si="2"/>
        <v>0</v>
      </c>
    </row>
    <row r="32" spans="1:10" s="98" customFormat="1" ht="12.75">
      <c r="A32" s="754"/>
      <c r="B32" s="92" t="s">
        <v>174</v>
      </c>
      <c r="C32" s="753">
        <v>300</v>
      </c>
      <c r="D32" s="266" t="s">
        <v>81</v>
      </c>
      <c r="E32" s="261" t="s">
        <v>19</v>
      </c>
      <c r="F32" s="261"/>
      <c r="G32" s="751">
        <v>2321729</v>
      </c>
      <c r="H32" s="751">
        <f t="shared" si="0"/>
        <v>0</v>
      </c>
      <c r="I32" s="751">
        <f t="shared" si="1"/>
        <v>835582.659649629</v>
      </c>
      <c r="J32" s="752">
        <f t="shared" si="2"/>
        <v>1486146.340350371</v>
      </c>
    </row>
    <row r="33" spans="1:10" s="98" customFormat="1" ht="12.75">
      <c r="A33" s="754"/>
      <c r="B33" s="92" t="s">
        <v>173</v>
      </c>
      <c r="C33" s="753">
        <v>300</v>
      </c>
      <c r="D33" s="266">
        <v>455</v>
      </c>
      <c r="E33" s="261" t="s">
        <v>392</v>
      </c>
      <c r="F33" s="261"/>
      <c r="G33" s="751"/>
      <c r="H33" s="751">
        <f t="shared" si="0"/>
        <v>0</v>
      </c>
      <c r="I33" s="751">
        <f t="shared" si="1"/>
        <v>0</v>
      </c>
      <c r="J33" s="752">
        <f t="shared" si="2"/>
        <v>0</v>
      </c>
    </row>
    <row r="34" spans="1:14" s="98" customFormat="1" ht="12.75">
      <c r="A34" s="754"/>
      <c r="B34" s="92" t="s">
        <v>172</v>
      </c>
      <c r="C34" s="753">
        <v>300</v>
      </c>
      <c r="D34" s="266" t="s">
        <v>82</v>
      </c>
      <c r="E34" s="261" t="s">
        <v>2</v>
      </c>
      <c r="F34" s="261" t="s">
        <v>394</v>
      </c>
      <c r="G34" s="751">
        <v>12394297</v>
      </c>
      <c r="H34" s="351">
        <f>IF($E34="DIRECT",$L34,VLOOKUP($E34,Ratio,2,FALSE)*$G34)</f>
        <v>1014520</v>
      </c>
      <c r="I34" s="351">
        <f>IF($E34="DIRECT",$M34,VLOOKUP($E34,Ratio,3,FALSE)*$G34)</f>
        <v>9925393</v>
      </c>
      <c r="J34" s="381">
        <f>IF($E34="DIRECT",$N34,VLOOKUP($E34,Ratio,4,FALSE)*$G34)</f>
        <v>1454384</v>
      </c>
      <c r="L34" s="351">
        <v>1014520</v>
      </c>
      <c r="M34" s="351">
        <v>9925393</v>
      </c>
      <c r="N34" s="351">
        <v>1454384</v>
      </c>
    </row>
    <row r="35" spans="1:10" s="98" customFormat="1" ht="12.75">
      <c r="A35" s="754"/>
      <c r="B35" s="92" t="s">
        <v>270</v>
      </c>
      <c r="C35" s="753">
        <v>330</v>
      </c>
      <c r="D35" s="261">
        <v>456.1</v>
      </c>
      <c r="E35" s="261" t="s">
        <v>393</v>
      </c>
      <c r="F35" s="261"/>
      <c r="G35" s="751">
        <v>34983334</v>
      </c>
      <c r="H35" s="751">
        <f t="shared" si="0"/>
        <v>0</v>
      </c>
      <c r="I35" s="751">
        <f t="shared" si="1"/>
        <v>34983334</v>
      </c>
      <c r="J35" s="752">
        <f t="shared" si="2"/>
        <v>0</v>
      </c>
    </row>
    <row r="36" spans="1:10" s="98" customFormat="1" ht="12.75">
      <c r="A36" s="303"/>
      <c r="B36" s="92"/>
      <c r="C36" s="126"/>
      <c r="D36" s="83"/>
      <c r="E36" s="85"/>
      <c r="F36" s="85"/>
      <c r="G36" s="109"/>
      <c r="H36" s="109"/>
      <c r="I36" s="109"/>
      <c r="J36" s="325"/>
    </row>
    <row r="37" spans="1:10" ht="15.75">
      <c r="A37" s="248" t="s">
        <v>83</v>
      </c>
      <c r="B37" s="106"/>
      <c r="C37" s="760"/>
      <c r="D37" s="761"/>
      <c r="E37" s="761"/>
      <c r="F37" s="762"/>
      <c r="G37" s="758">
        <f>SUM(G29:G36)</f>
        <v>49707360</v>
      </c>
      <c r="H37" s="758">
        <f>SUM(H29:H36)</f>
        <v>1014520</v>
      </c>
      <c r="I37" s="758">
        <f>SUM(I29:I36)</f>
        <v>45744309.659649625</v>
      </c>
      <c r="J37" s="759">
        <f>SUM(J29:J36)</f>
        <v>2948530.340350371</v>
      </c>
    </row>
    <row r="38" spans="1:10" ht="15.75">
      <c r="A38" s="307"/>
      <c r="B38" s="106"/>
      <c r="C38" s="94"/>
      <c r="D38" s="94"/>
      <c r="E38" s="94"/>
      <c r="F38" s="94"/>
      <c r="G38" s="317"/>
      <c r="H38" s="317"/>
      <c r="I38" s="317"/>
      <c r="J38" s="318"/>
    </row>
    <row r="39" spans="1:10" ht="15.75">
      <c r="A39" s="248" t="s">
        <v>84</v>
      </c>
      <c r="B39" s="106"/>
      <c r="C39" s="760"/>
      <c r="D39" s="761"/>
      <c r="E39" s="761"/>
      <c r="F39" s="761"/>
      <c r="G39" s="763">
        <f>+G37+G26+G22</f>
        <v>89775347.87</v>
      </c>
      <c r="H39" s="758">
        <f>+H37+H26+H22</f>
        <v>47874020.18</v>
      </c>
      <c r="I39" s="758">
        <f>+I37+I26+I22</f>
        <v>42760909.98964962</v>
      </c>
      <c r="J39" s="759">
        <f>+J37+J26+J22</f>
        <v>-859582.2896496295</v>
      </c>
    </row>
    <row r="40" spans="1:10" s="98" customFormat="1" ht="12.75">
      <c r="A40" s="308" t="s">
        <v>102</v>
      </c>
      <c r="B40" s="51"/>
      <c r="C40" s="92"/>
      <c r="D40" s="92"/>
      <c r="E40" s="92"/>
      <c r="F40" s="92"/>
      <c r="G40" s="153"/>
      <c r="H40" s="153"/>
      <c r="I40" s="153"/>
      <c r="J40" s="346"/>
    </row>
    <row r="41" spans="1:10" ht="15.75">
      <c r="A41" s="309"/>
      <c r="B41" s="12"/>
      <c r="C41" s="12"/>
      <c r="D41" s="12"/>
      <c r="E41" s="12"/>
      <c r="F41" s="12"/>
      <c r="G41" s="1"/>
      <c r="H41" s="1"/>
      <c r="I41" s="1"/>
      <c r="J41" s="247"/>
    </row>
    <row r="42" spans="1:10" ht="16.5" thickBot="1">
      <c r="A42" s="310"/>
      <c r="B42" s="311"/>
      <c r="C42" s="311"/>
      <c r="D42" s="311"/>
      <c r="E42" s="311"/>
      <c r="F42" s="311"/>
      <c r="G42" s="312"/>
      <c r="H42" s="312"/>
      <c r="I42" s="312"/>
      <c r="J42" s="313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0"/>
  </sheetPr>
  <dimension ref="A1:Q71"/>
  <sheetViews>
    <sheetView tabSelected="1" workbookViewId="0" topLeftCell="A40">
      <selection activeCell="D41" sqref="D41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9" customFormat="1" ht="19.5" customHeight="1" thickTop="1">
      <c r="A1" s="1008" t="s">
        <v>89</v>
      </c>
      <c r="B1" s="1009"/>
      <c r="C1" s="1009"/>
      <c r="D1" s="1009"/>
      <c r="E1" s="1009"/>
      <c r="F1" s="1010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1011" t="s">
        <v>91</v>
      </c>
      <c r="B2" s="953"/>
      <c r="C2" s="953"/>
      <c r="D2" s="953"/>
      <c r="E2" s="953"/>
      <c r="F2" s="1012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1013" t="s">
        <v>400</v>
      </c>
      <c r="B3" s="950"/>
      <c r="C3" s="950"/>
      <c r="D3" s="950"/>
      <c r="E3" s="950"/>
      <c r="F3" s="1014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27"/>
      <c r="B4" s="296"/>
      <c r="C4" s="296"/>
      <c r="D4" s="296"/>
      <c r="E4" s="296"/>
      <c r="F4" s="528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7"/>
      <c r="B5" s="711" t="s">
        <v>460</v>
      </c>
      <c r="C5" s="976" t="s">
        <v>472</v>
      </c>
      <c r="D5" s="943"/>
      <c r="E5" s="777"/>
      <c r="F5" s="528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80"/>
      <c r="B6" s="711" t="s">
        <v>462</v>
      </c>
      <c r="C6" s="944">
        <v>39052</v>
      </c>
      <c r="D6" s="946"/>
      <c r="E6" s="777"/>
      <c r="F6" s="528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7"/>
      <c r="B7" s="711" t="s">
        <v>463</v>
      </c>
      <c r="C7" s="937">
        <v>39575</v>
      </c>
      <c r="D7" s="939"/>
      <c r="E7" s="777"/>
      <c r="F7" s="528"/>
      <c r="G7"/>
      <c r="H7"/>
      <c r="I7"/>
      <c r="J7"/>
      <c r="K7"/>
      <c r="L7"/>
      <c r="M7"/>
      <c r="N7"/>
      <c r="O7"/>
      <c r="P7"/>
      <c r="Q7"/>
    </row>
    <row r="8" spans="1:17" s="80" customFormat="1" ht="15.75" customHeight="1">
      <c r="A8" s="776"/>
      <c r="B8" s="720"/>
      <c r="C8" s="258"/>
      <c r="D8" s="258"/>
      <c r="E8" s="258"/>
      <c r="F8" s="339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</row>
    <row r="9" spans="1:17" s="9" customFormat="1" ht="19.5" customHeight="1">
      <c r="A9" s="1024" t="s">
        <v>101</v>
      </c>
      <c r="B9" s="1025"/>
      <c r="C9" s="1025"/>
      <c r="D9" s="1025"/>
      <c r="E9" s="1025"/>
      <c r="F9" s="1026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29"/>
      <c r="B10" s="530"/>
      <c r="C10" s="530"/>
      <c r="D10" s="530"/>
      <c r="E10" s="530"/>
      <c r="F10" s="531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20"/>
      <c r="B11" s="143"/>
      <c r="C11" s="143"/>
      <c r="D11" s="143"/>
      <c r="E11" s="143"/>
      <c r="F11" s="319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22"/>
      <c r="B12" s="1"/>
      <c r="C12" s="440" t="s">
        <v>14</v>
      </c>
      <c r="D12" s="441" t="s">
        <v>15</v>
      </c>
      <c r="E12" s="441" t="s">
        <v>16</v>
      </c>
      <c r="F12" s="442" t="s">
        <v>348</v>
      </c>
    </row>
    <row r="13" spans="1:6" s="9" customFormat="1" ht="16.5" thickBot="1">
      <c r="A13" s="323" t="s">
        <v>85</v>
      </c>
      <c r="B13" s="23"/>
      <c r="C13" s="793">
        <f>'Sch 3 - Expenses'!G100</f>
        <v>473497069.28000003</v>
      </c>
      <c r="D13" s="793">
        <f>'Sch 3 - Expenses'!H100</f>
        <v>326832118.268367</v>
      </c>
      <c r="E13" s="793">
        <f>'Sch 3 - Expenses'!I100</f>
        <v>41748263.63455284</v>
      </c>
      <c r="F13" s="794">
        <f>'Sch 3 - Expenses'!J100</f>
        <v>104916688.63708024</v>
      </c>
    </row>
    <row r="14" spans="1:6" s="9" customFormat="1" ht="15.75">
      <c r="A14" s="324" t="s">
        <v>103</v>
      </c>
      <c r="B14" s="23"/>
      <c r="C14" s="109"/>
      <c r="D14" s="109"/>
      <c r="E14" s="109"/>
      <c r="F14" s="325"/>
    </row>
    <row r="15" spans="1:6" s="9" customFormat="1" ht="16.5" thickBot="1">
      <c r="A15" s="326"/>
      <c r="B15" s="23"/>
      <c r="C15" s="109"/>
      <c r="D15" s="109"/>
      <c r="E15" s="109"/>
      <c r="F15" s="325"/>
    </row>
    <row r="16" spans="1:6" s="9" customFormat="1" ht="16.5" thickBot="1">
      <c r="A16" s="323" t="s">
        <v>261</v>
      </c>
      <c r="B16" s="23"/>
      <c r="C16" s="793">
        <f>IF('Sch 2 -Rate of Return'!E43&gt;0,'Sch 2 -Rate of Return'!E43,IF('Sch 2 -Rate of Return'!E99&gt;0,'Sch 2 -Rate of Return'!E99,IF('Sch 2 -Rate of Return'!E126&gt;0,'Sch 2 -Rate of Return'!E126,0)))</f>
        <v>83946250.778895</v>
      </c>
      <c r="D16" s="793">
        <f>IF('Sch 2 -Rate of Return'!F43&gt;0,'Sch 2 -Rate of Return'!F43,IF('Sch 2 -Rate of Return'!F99&gt;0,'Sch 2 -Rate of Return'!F99,IF('Sch 2 -Rate of Return'!F126&gt;0,'Sch 2 -Rate of Return'!F126,0)))</f>
        <v>366541.39519691066</v>
      </c>
      <c r="E16" s="793">
        <f>IF('Sch 2 -Rate of Return'!G43&gt;0,'Sch 2 -Rate of Return'!G43,IF('Sch 2 -Rate of Return'!G99&gt;0,'Sch 2 -Rate of Return'!G99,IF('Sch 2 -Rate of Return'!G126&gt;0,'Sch 2 -Rate of Return'!G126,0)))</f>
        <v>34970750.68208912</v>
      </c>
      <c r="F16" s="794">
        <f>IF('Sch 2 -Rate of Return'!H43&gt;0,'Sch 2 -Rate of Return'!H43,IF('Sch 2 -Rate of Return'!H99&gt;0,'Sch 2 -Rate of Return'!H99,IF('Sch 2 -Rate of Return'!H126&gt;0,'Sch 2 -Rate of Return'!H126,0)))</f>
        <v>48608958.68817378</v>
      </c>
    </row>
    <row r="17" spans="1:6" s="9" customFormat="1" ht="15.75">
      <c r="A17" s="324" t="s">
        <v>240</v>
      </c>
      <c r="B17" s="23"/>
      <c r="C17" s="109"/>
      <c r="D17" s="109"/>
      <c r="E17" s="109"/>
      <c r="F17" s="325"/>
    </row>
    <row r="18" spans="1:6" s="9" customFormat="1" ht="16.5" thickBot="1">
      <c r="A18" s="326"/>
      <c r="B18" s="23"/>
      <c r="C18" s="109"/>
      <c r="D18" s="109"/>
      <c r="E18" s="109"/>
      <c r="F18" s="325"/>
    </row>
    <row r="19" spans="1:6" s="9" customFormat="1" ht="16.5" thickBot="1">
      <c r="A19" s="323" t="s">
        <v>236</v>
      </c>
      <c r="B19" s="23"/>
      <c r="C19" s="793">
        <f>'Sch 3A - Taxes'!F31</f>
        <v>78881919</v>
      </c>
      <c r="D19" s="793">
        <f>'Sch 3A - Taxes'!G31</f>
        <v>146396.2831531654</v>
      </c>
      <c r="E19" s="793">
        <f>'Sch 3A - Taxes'!H31</f>
        <v>18731417.572996724</v>
      </c>
      <c r="F19" s="794">
        <f>'Sch 3A - Taxes'!I31</f>
        <v>60004105.14385012</v>
      </c>
    </row>
    <row r="20" spans="1:6" s="9" customFormat="1" ht="15.75">
      <c r="A20" s="324" t="s">
        <v>193</v>
      </c>
      <c r="B20" s="23"/>
      <c r="C20" s="109"/>
      <c r="D20" s="109"/>
      <c r="E20" s="109"/>
      <c r="F20" s="325"/>
    </row>
    <row r="21" spans="1:6" s="9" customFormat="1" ht="16.5" thickBot="1">
      <c r="A21" s="326"/>
      <c r="B21" s="23"/>
      <c r="C21" s="109"/>
      <c r="D21" s="109"/>
      <c r="E21" s="109"/>
      <c r="F21" s="325"/>
    </row>
    <row r="22" spans="1:6" s="9" customFormat="1" ht="16.5" thickBot="1">
      <c r="A22" s="323" t="s">
        <v>84</v>
      </c>
      <c r="B22" s="23"/>
      <c r="C22" s="793">
        <f>'Sch 3B - Other Items'!G39</f>
        <v>89775347.87</v>
      </c>
      <c r="D22" s="793">
        <f>'Sch 3B - Other Items'!H39</f>
        <v>47874020.18</v>
      </c>
      <c r="E22" s="793">
        <f>'Sch 3B - Other Items'!I39</f>
        <v>42760909.98964962</v>
      </c>
      <c r="F22" s="794">
        <f>'Sch 3B - Other Items'!J39</f>
        <v>-859582.2896496295</v>
      </c>
    </row>
    <row r="23" spans="1:6" s="9" customFormat="1" ht="15.75">
      <c r="A23" s="324" t="s">
        <v>271</v>
      </c>
      <c r="B23" s="23"/>
      <c r="C23" s="109"/>
      <c r="D23" s="109"/>
      <c r="E23" s="109"/>
      <c r="F23" s="325"/>
    </row>
    <row r="24" spans="1:6" s="9" customFormat="1" ht="16.5" thickBot="1">
      <c r="A24" s="326"/>
      <c r="B24" s="23"/>
      <c r="C24" s="109"/>
      <c r="D24" s="109"/>
      <c r="E24" s="109"/>
      <c r="F24" s="325"/>
    </row>
    <row r="25" spans="1:6" s="9" customFormat="1" ht="16.5" thickBot="1">
      <c r="A25" s="323" t="s">
        <v>86</v>
      </c>
      <c r="B25" s="23"/>
      <c r="C25" s="795">
        <f>C13+C16+C19-C22</f>
        <v>546549891.188895</v>
      </c>
      <c r="D25" s="795">
        <f>D13+D16+D19-D22</f>
        <v>279471035.7667171</v>
      </c>
      <c r="E25" s="795">
        <f>E13+E16+E19-E22</f>
        <v>52689521.89998905</v>
      </c>
      <c r="F25" s="796">
        <f>F13+F16+F19-F22</f>
        <v>214389334.75875378</v>
      </c>
    </row>
    <row r="26" spans="1:9" s="9" customFormat="1" ht="15.75">
      <c r="A26" s="324" t="s">
        <v>237</v>
      </c>
      <c r="B26" s="49"/>
      <c r="C26" s="88"/>
      <c r="D26" s="88"/>
      <c r="E26" s="94"/>
      <c r="F26" s="318"/>
      <c r="G26" s="11"/>
      <c r="H26" s="11"/>
      <c r="I26" s="11"/>
    </row>
    <row r="27" spans="1:6" s="9" customFormat="1" ht="15.75">
      <c r="A27" s="322"/>
      <c r="B27" s="1"/>
      <c r="C27" s="1"/>
      <c r="D27" s="1"/>
      <c r="E27" s="1"/>
      <c r="F27" s="247"/>
    </row>
    <row r="28" spans="1:6" s="9" customFormat="1" ht="16.5" thickBot="1">
      <c r="A28" s="290"/>
      <c r="B28" s="312"/>
      <c r="C28" s="312"/>
      <c r="D28" s="312"/>
      <c r="E28" s="312"/>
      <c r="F28" s="313"/>
    </row>
    <row r="29" spans="1:6" s="9" customFormat="1" ht="16.5" thickTop="1">
      <c r="A29" s="334"/>
      <c r="B29" s="335"/>
      <c r="C29" s="335"/>
      <c r="D29" s="335"/>
      <c r="E29" s="335"/>
      <c r="F29" s="336"/>
    </row>
    <row r="30" spans="1:6" s="9" customFormat="1" ht="16.5" thickBot="1">
      <c r="A30" s="322"/>
      <c r="B30" s="1"/>
      <c r="C30" s="1"/>
      <c r="D30" s="1"/>
      <c r="E30" s="1"/>
      <c r="F30" s="247"/>
    </row>
    <row r="31" spans="1:6" s="9" customFormat="1" ht="16.5" thickBot="1">
      <c r="A31" s="797" t="s">
        <v>272</v>
      </c>
      <c r="B31" s="77"/>
      <c r="C31" s="87"/>
      <c r="D31" s="89"/>
      <c r="E31" s="89"/>
      <c r="F31" s="247"/>
    </row>
    <row r="32" spans="1:9" s="9" customFormat="1" ht="15.75">
      <c r="A32" s="327" t="s">
        <v>163</v>
      </c>
      <c r="B32" s="77"/>
      <c r="C32" s="87"/>
      <c r="D32" s="766">
        <f>D25</f>
        <v>279471035.7667171</v>
      </c>
      <c r="E32" s="89"/>
      <c r="F32" s="328"/>
      <c r="G32" s="26"/>
      <c r="H32" s="26"/>
      <c r="I32" s="26"/>
    </row>
    <row r="33" spans="1:9" s="9" customFormat="1" ht="15.75">
      <c r="A33" s="327" t="s">
        <v>16</v>
      </c>
      <c r="B33" s="77"/>
      <c r="C33" s="87"/>
      <c r="D33" s="767">
        <f>+E25</f>
        <v>52689521.89998905</v>
      </c>
      <c r="E33" s="89"/>
      <c r="F33" s="329"/>
      <c r="G33"/>
      <c r="H33"/>
      <c r="I33" s="25"/>
    </row>
    <row r="34" spans="1:9" s="9" customFormat="1" ht="16.5" thickBot="1">
      <c r="A34" s="327" t="s">
        <v>276</v>
      </c>
      <c r="B34" s="77"/>
      <c r="C34" s="87"/>
      <c r="D34" s="768"/>
      <c r="E34" s="89"/>
      <c r="F34" s="329"/>
      <c r="G34"/>
      <c r="H34"/>
      <c r="I34" s="25"/>
    </row>
    <row r="35" spans="1:9" s="9" customFormat="1" ht="16.5" thickBot="1">
      <c r="A35" s="234" t="s">
        <v>273</v>
      </c>
      <c r="B35" s="77"/>
      <c r="C35" s="87"/>
      <c r="D35" s="795">
        <f>D32+D33-D34</f>
        <v>332160557.66670614</v>
      </c>
      <c r="E35" s="89"/>
      <c r="F35" s="329"/>
      <c r="G35"/>
      <c r="H35"/>
      <c r="I35" s="25"/>
    </row>
    <row r="36" spans="1:9" s="9" customFormat="1" ht="16.5" thickBot="1">
      <c r="A36" s="327"/>
      <c r="B36" s="77"/>
      <c r="C36" s="87"/>
      <c r="D36" s="115"/>
      <c r="E36" s="89"/>
      <c r="F36" s="329"/>
      <c r="G36"/>
      <c r="H36"/>
      <c r="I36" s="78"/>
    </row>
    <row r="37" spans="1:9" s="9" customFormat="1" ht="16.5" thickBot="1">
      <c r="A37" s="797" t="s">
        <v>274</v>
      </c>
      <c r="B37" s="77"/>
      <c r="C37" s="87"/>
      <c r="D37" s="115"/>
      <c r="E37" s="89"/>
      <c r="F37" s="329"/>
      <c r="G37"/>
      <c r="H37"/>
      <c r="I37" s="58"/>
    </row>
    <row r="38" spans="1:9" s="9" customFormat="1" ht="15.75">
      <c r="A38" s="327" t="s">
        <v>164</v>
      </c>
      <c r="B38" s="77"/>
      <c r="C38" s="87"/>
      <c r="D38" s="332">
        <v>5749741</v>
      </c>
      <c r="E38" s="95"/>
      <c r="F38" s="329"/>
      <c r="G38"/>
      <c r="H38"/>
      <c r="I38" s="53"/>
    </row>
    <row r="39" spans="1:9" s="9" customFormat="1" ht="16.5" thickBot="1">
      <c r="A39" s="327" t="s">
        <v>165</v>
      </c>
      <c r="B39" s="77"/>
      <c r="C39" s="87"/>
      <c r="D39" s="333"/>
      <c r="E39" s="95"/>
      <c r="F39" s="329"/>
      <c r="G39"/>
      <c r="H39"/>
      <c r="I39" s="79"/>
    </row>
    <row r="40" spans="1:9" s="9" customFormat="1" ht="16.5" thickBot="1">
      <c r="A40" s="327" t="s">
        <v>277</v>
      </c>
      <c r="B40" s="77"/>
      <c r="C40" s="87"/>
      <c r="D40" s="903">
        <f>D38-D39</f>
        <v>5749741</v>
      </c>
      <c r="E40" s="95"/>
      <c r="F40" s="329"/>
      <c r="G40"/>
      <c r="H40"/>
      <c r="I40" s="53"/>
    </row>
    <row r="41" spans="1:9" s="9" customFormat="1" ht="16.5" thickBot="1">
      <c r="A41" s="327" t="s">
        <v>278</v>
      </c>
      <c r="B41" s="77"/>
      <c r="C41" s="87"/>
      <c r="D41" s="904">
        <f>D40*0.05</f>
        <v>287487.05</v>
      </c>
      <c r="E41" s="96"/>
      <c r="F41" s="329"/>
      <c r="G41"/>
      <c r="H41"/>
      <c r="I41" s="53"/>
    </row>
    <row r="42" spans="1:9" s="9" customFormat="1" ht="16.5" thickBot="1">
      <c r="A42" s="234" t="s">
        <v>275</v>
      </c>
      <c r="B42" s="77"/>
      <c r="C42" s="87"/>
      <c r="D42" s="799">
        <f>D40+D41</f>
        <v>6037228.05</v>
      </c>
      <c r="E42" s="89"/>
      <c r="F42" s="330"/>
      <c r="G42"/>
      <c r="H42"/>
      <c r="I42" s="32"/>
    </row>
    <row r="43" spans="1:6" s="9" customFormat="1" ht="16.5" thickBot="1">
      <c r="A43" s="331"/>
      <c r="B43" s="77"/>
      <c r="C43" s="87"/>
      <c r="D43" s="97"/>
      <c r="E43" s="89"/>
      <c r="F43" s="247"/>
    </row>
    <row r="44" spans="1:6" s="9" customFormat="1" ht="19.5" thickBot="1">
      <c r="A44" s="798" t="s">
        <v>166</v>
      </c>
      <c r="B44" s="150"/>
      <c r="C44" s="151"/>
      <c r="D44" s="800">
        <f>IF(D42=0,"$0",D35/D42)</f>
        <v>55.01871966998267</v>
      </c>
      <c r="E44" s="89"/>
      <c r="F44" s="247"/>
    </row>
    <row r="45" spans="1:6" s="9" customFormat="1" ht="16.5" thickBot="1">
      <c r="A45" s="290"/>
      <c r="B45" s="312"/>
      <c r="C45" s="312"/>
      <c r="D45" s="312"/>
      <c r="E45" s="312"/>
      <c r="F45" s="313"/>
    </row>
    <row r="46" ht="16.5" thickTop="1">
      <c r="A46" s="147"/>
    </row>
    <row r="47" ht="15.75">
      <c r="A47" s="147"/>
    </row>
    <row r="48" ht="15.75">
      <c r="A48" s="147"/>
    </row>
    <row r="49" ht="15.75">
      <c r="A49" s="1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D5"/>
    <mergeCell ref="C6:D6"/>
    <mergeCell ref="C7:D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1"/>
  <sheetViews>
    <sheetView zoomScaleSheetLayoutView="100" workbookViewId="0" topLeftCell="A1">
      <selection activeCell="C5" sqref="C5:E7"/>
    </sheetView>
  </sheetViews>
  <sheetFormatPr defaultColWidth="9.00390625" defaultRowHeight="15.75"/>
  <cols>
    <col min="1" max="1" width="3.875" style="98" customWidth="1"/>
    <col min="2" max="2" width="48.125" style="98" customWidth="1"/>
    <col min="3" max="3" width="14.75390625" style="114" customWidth="1"/>
    <col min="4" max="4" width="24.375" style="98" customWidth="1"/>
    <col min="5" max="5" width="0.12890625" style="98" customWidth="1"/>
    <col min="6" max="16384" width="9.00390625" style="98" customWidth="1"/>
  </cols>
  <sheetData>
    <row r="1" spans="1:4" ht="19.5" thickTop="1">
      <c r="A1" s="1008" t="s">
        <v>89</v>
      </c>
      <c r="B1" s="1009"/>
      <c r="C1" s="1009"/>
      <c r="D1" s="1010"/>
    </row>
    <row r="2" spans="1:4" ht="15.75">
      <c r="A2" s="1011" t="s">
        <v>91</v>
      </c>
      <c r="B2" s="953"/>
      <c r="C2" s="953"/>
      <c r="D2" s="1012"/>
    </row>
    <row r="3" spans="1:4" ht="15.75">
      <c r="A3" s="1013" t="s">
        <v>400</v>
      </c>
      <c r="B3" s="950"/>
      <c r="C3" s="950"/>
      <c r="D3" s="1014"/>
    </row>
    <row r="4" spans="1:4" ht="12.75" customHeight="1" thickBot="1">
      <c r="A4" s="527"/>
      <c r="B4" s="296"/>
      <c r="C4" s="296"/>
      <c r="D4" s="528"/>
    </row>
    <row r="5" spans="1:5" ht="15.75">
      <c r="A5" s="527"/>
      <c r="B5" s="711" t="s">
        <v>460</v>
      </c>
      <c r="C5" s="941" t="s">
        <v>583</v>
      </c>
      <c r="D5" s="942"/>
      <c r="E5" s="943"/>
    </row>
    <row r="6" spans="1:5" ht="15.75">
      <c r="A6" s="527"/>
      <c r="B6" s="711" t="s">
        <v>462</v>
      </c>
      <c r="C6" s="944">
        <v>39052</v>
      </c>
      <c r="D6" s="945"/>
      <c r="E6" s="946"/>
    </row>
    <row r="7" spans="1:5" ht="16.5" thickBot="1">
      <c r="A7" s="527"/>
      <c r="B7" s="711" t="s">
        <v>463</v>
      </c>
      <c r="C7" s="937">
        <v>39575</v>
      </c>
      <c r="D7" s="938"/>
      <c r="E7" s="939"/>
    </row>
    <row r="8" spans="1:4" ht="15.75">
      <c r="A8" s="527"/>
      <c r="B8" s="296"/>
      <c r="C8" s="296"/>
      <c r="D8" s="528"/>
    </row>
    <row r="9" spans="1:5" ht="15.75">
      <c r="A9" s="1024" t="s">
        <v>327</v>
      </c>
      <c r="B9" s="1025"/>
      <c r="C9" s="1025"/>
      <c r="D9" s="1026"/>
      <c r="E9"/>
    </row>
    <row r="10" spans="1:5" s="524" customFormat="1" ht="9" customHeight="1" thickBot="1">
      <c r="A10" s="771"/>
      <c r="B10" s="772"/>
      <c r="C10" s="772"/>
      <c r="D10" s="773"/>
      <c r="E10" s="494"/>
    </row>
    <row r="11" spans="1:5" ht="15.75">
      <c r="A11" s="1030" t="s">
        <v>471</v>
      </c>
      <c r="B11" s="1031"/>
      <c r="C11" s="344" t="s">
        <v>167</v>
      </c>
      <c r="D11" s="1027" t="s">
        <v>158</v>
      </c>
      <c r="E11"/>
    </row>
    <row r="12" spans="1:5" ht="15.75">
      <c r="A12" s="1032"/>
      <c r="B12" s="1033"/>
      <c r="C12" s="314" t="s">
        <v>311</v>
      </c>
      <c r="D12" s="1028"/>
      <c r="E12"/>
    </row>
    <row r="13" spans="1:5" ht="16.5" thickBot="1">
      <c r="A13" s="1034"/>
      <c r="B13" s="1035"/>
      <c r="C13" s="345" t="s">
        <v>312</v>
      </c>
      <c r="D13" s="1029"/>
      <c r="E13"/>
    </row>
    <row r="14" spans="1:5" ht="15.75">
      <c r="A14" s="538" t="s">
        <v>279</v>
      </c>
      <c r="B14" s="154"/>
      <c r="C14" s="296"/>
      <c r="D14" s="339"/>
      <c r="E14"/>
    </row>
    <row r="15" spans="1:4" ht="15.75">
      <c r="A15" s="538" t="s">
        <v>154</v>
      </c>
      <c r="B15" s="154"/>
      <c r="C15" s="347"/>
      <c r="D15" s="340"/>
    </row>
    <row r="16" spans="1:4" ht="12.75">
      <c r="A16" s="539"/>
      <c r="B16" s="769" t="s">
        <v>15</v>
      </c>
      <c r="C16" s="348" t="s">
        <v>328</v>
      </c>
      <c r="D16" s="867">
        <v>522818</v>
      </c>
    </row>
    <row r="17" spans="1:4" ht="12.75">
      <c r="A17" s="539"/>
      <c r="B17" s="769" t="s">
        <v>16</v>
      </c>
      <c r="C17" s="348" t="s">
        <v>328</v>
      </c>
      <c r="D17" s="349">
        <v>3705809</v>
      </c>
    </row>
    <row r="18" spans="1:4" ht="12.75">
      <c r="A18" s="539"/>
      <c r="B18" s="769" t="s">
        <v>280</v>
      </c>
      <c r="C18" s="348" t="s">
        <v>328</v>
      </c>
      <c r="D18" s="349">
        <v>7706480</v>
      </c>
    </row>
    <row r="19" spans="1:4" ht="12.75">
      <c r="A19" s="539"/>
      <c r="B19" s="769" t="s">
        <v>281</v>
      </c>
      <c r="C19" s="348" t="s">
        <v>328</v>
      </c>
      <c r="D19" s="349">
        <v>2259154</v>
      </c>
    </row>
    <row r="20" spans="1:4" ht="12.75">
      <c r="A20" s="539"/>
      <c r="B20" s="769" t="s">
        <v>323</v>
      </c>
      <c r="C20" s="348" t="s">
        <v>328</v>
      </c>
      <c r="D20" s="349">
        <v>2168867</v>
      </c>
    </row>
    <row r="21" spans="1:4" ht="12.75">
      <c r="A21" s="539"/>
      <c r="B21" s="769" t="s">
        <v>283</v>
      </c>
      <c r="C21" s="348" t="s">
        <v>328</v>
      </c>
      <c r="D21" s="349">
        <v>59981</v>
      </c>
    </row>
    <row r="22" spans="1:4" ht="12.75">
      <c r="A22" s="539"/>
      <c r="B22" s="769" t="s">
        <v>284</v>
      </c>
      <c r="C22" s="348" t="s">
        <v>328</v>
      </c>
      <c r="D22" s="349">
        <v>11372633</v>
      </c>
    </row>
    <row r="23" spans="1:9" ht="15.75">
      <c r="A23" s="538" t="s">
        <v>440</v>
      </c>
      <c r="B23" s="155"/>
      <c r="C23" s="770"/>
      <c r="D23" s="868">
        <f>SUM(D16:D22)</f>
        <v>27795742</v>
      </c>
      <c r="I23" s="524"/>
    </row>
    <row r="24" spans="1:9" ht="15.75">
      <c r="A24" s="539"/>
      <c r="B24" s="155"/>
      <c r="C24" s="157"/>
      <c r="D24" s="346"/>
      <c r="I24" s="524"/>
    </row>
    <row r="25" spans="1:9" ht="15.75">
      <c r="A25" s="538" t="s">
        <v>155</v>
      </c>
      <c r="B25" s="154"/>
      <c r="C25" s="158"/>
      <c r="D25" s="346"/>
      <c r="I25" s="524"/>
    </row>
    <row r="26" spans="1:9" ht="12.75">
      <c r="A26" s="539"/>
      <c r="B26" s="769" t="s">
        <v>15</v>
      </c>
      <c r="C26" s="348" t="s">
        <v>328</v>
      </c>
      <c r="D26" s="349">
        <v>18206</v>
      </c>
      <c r="I26" s="524"/>
    </row>
    <row r="27" spans="1:9" ht="12.75">
      <c r="A27" s="539"/>
      <c r="B27" s="769" t="s">
        <v>16</v>
      </c>
      <c r="C27" s="348" t="s">
        <v>328</v>
      </c>
      <c r="D27" s="349">
        <v>2190807</v>
      </c>
      <c r="I27" s="524"/>
    </row>
    <row r="28" spans="1:9" ht="12.75">
      <c r="A28" s="539"/>
      <c r="B28" s="769" t="s">
        <v>280</v>
      </c>
      <c r="C28" s="348" t="s">
        <v>328</v>
      </c>
      <c r="D28" s="349">
        <v>6191052</v>
      </c>
      <c r="I28" s="524"/>
    </row>
    <row r="29" spans="1:9" ht="12.75">
      <c r="A29" s="539"/>
      <c r="B29" s="769" t="s">
        <v>284</v>
      </c>
      <c r="C29" s="348" t="s">
        <v>328</v>
      </c>
      <c r="D29" s="349">
        <v>2050386</v>
      </c>
      <c r="I29" s="524"/>
    </row>
    <row r="30" spans="1:9" ht="15.75">
      <c r="A30" s="538" t="s">
        <v>441</v>
      </c>
      <c r="B30" s="154"/>
      <c r="C30" s="770"/>
      <c r="D30" s="868">
        <f>SUM(D26:D29)</f>
        <v>10450451</v>
      </c>
      <c r="I30" s="524"/>
    </row>
    <row r="31" spans="1:9" ht="15.75">
      <c r="A31" s="538"/>
      <c r="B31" s="154"/>
      <c r="C31" s="158"/>
      <c r="D31" s="346"/>
      <c r="I31" s="524"/>
    </row>
    <row r="32" spans="1:4" ht="15.75">
      <c r="A32" s="538" t="s">
        <v>318</v>
      </c>
      <c r="B32" s="154"/>
      <c r="C32" s="158"/>
      <c r="D32" s="346"/>
    </row>
    <row r="33" spans="1:4" ht="12.75">
      <c r="A33" s="539"/>
      <c r="B33" s="769" t="s">
        <v>319</v>
      </c>
      <c r="C33" s="348" t="s">
        <v>328</v>
      </c>
      <c r="D33" s="349">
        <f>D16+D26</f>
        <v>541024</v>
      </c>
    </row>
    <row r="34" spans="1:4" ht="12.75">
      <c r="A34" s="539"/>
      <c r="B34" s="769" t="s">
        <v>320</v>
      </c>
      <c r="C34" s="348" t="s">
        <v>328</v>
      </c>
      <c r="D34" s="349">
        <f>D17+D27</f>
        <v>5896616</v>
      </c>
    </row>
    <row r="35" spans="1:4" ht="12.75">
      <c r="A35" s="539"/>
      <c r="B35" s="769" t="s">
        <v>321</v>
      </c>
      <c r="C35" s="348" t="s">
        <v>328</v>
      </c>
      <c r="D35" s="349">
        <f>D18+D28</f>
        <v>13897532</v>
      </c>
    </row>
    <row r="36" spans="1:4" ht="12.75">
      <c r="A36" s="539"/>
      <c r="B36" s="769" t="s">
        <v>322</v>
      </c>
      <c r="C36" s="348" t="s">
        <v>328</v>
      </c>
      <c r="D36" s="349">
        <f>D19</f>
        <v>2259154</v>
      </c>
    </row>
    <row r="37" spans="1:4" ht="12.75">
      <c r="A37" s="539"/>
      <c r="B37" s="769" t="s">
        <v>324</v>
      </c>
      <c r="C37" s="348" t="s">
        <v>328</v>
      </c>
      <c r="D37" s="349">
        <f>D20</f>
        <v>2168867</v>
      </c>
    </row>
    <row r="38" spans="1:4" ht="12.75">
      <c r="A38" s="539"/>
      <c r="B38" s="769" t="s">
        <v>325</v>
      </c>
      <c r="C38" s="348" t="s">
        <v>328</v>
      </c>
      <c r="D38" s="349">
        <f>D21</f>
        <v>59981</v>
      </c>
    </row>
    <row r="39" spans="1:4" ht="12.75">
      <c r="A39" s="539"/>
      <c r="B39" s="769" t="s">
        <v>326</v>
      </c>
      <c r="C39" s="348" t="s">
        <v>328</v>
      </c>
      <c r="D39" s="349">
        <f>+D22+D29</f>
        <v>13423019</v>
      </c>
    </row>
    <row r="40" spans="1:4" ht="15.75">
      <c r="A40" s="538" t="s">
        <v>442</v>
      </c>
      <c r="B40" s="155"/>
      <c r="C40" s="770"/>
      <c r="D40" s="869">
        <f>SUM(D33:D39)</f>
        <v>38246193</v>
      </c>
    </row>
    <row r="41" spans="1:4" ht="13.5" thickBot="1">
      <c r="A41" s="540"/>
      <c r="B41" s="341"/>
      <c r="C41" s="342"/>
      <c r="D41" s="343"/>
    </row>
    <row r="42" ht="13.5" thickTop="1"/>
  </sheetData>
  <mergeCells count="9">
    <mergeCell ref="D11:D13"/>
    <mergeCell ref="A11:B13"/>
    <mergeCell ref="A1:D1"/>
    <mergeCell ref="A2:D2"/>
    <mergeCell ref="A3:D3"/>
    <mergeCell ref="A9:D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Average SYstem Cost Template</dc:title>
  <dc:subject>Average System Cost Methodology</dc:subject>
  <dc:creator>BPA</dc:creator>
  <cp:keywords/>
  <dc:description/>
  <cp:lastModifiedBy>Arnold L. Wagner</cp:lastModifiedBy>
  <cp:lastPrinted>2008-05-07T18:56:45Z</cp:lastPrinted>
  <dcterms:created xsi:type="dcterms:W3CDTF">2002-12-16T15:40:56Z</dcterms:created>
  <dcterms:modified xsi:type="dcterms:W3CDTF">2008-05-12T23:24:32Z</dcterms:modified>
  <cp:category/>
  <cp:version/>
  <cp:contentType/>
  <cp:contentStatus/>
</cp:coreProperties>
</file>