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28155" windowHeight="14055" tabRatio="635" activeTab="0"/>
  </bookViews>
  <sheets>
    <sheet name="Variable Expenses Summary" sheetId="1" r:id="rId1"/>
    <sheet name="Salaries &amp; Wages" sheetId="2" r:id="rId2"/>
    <sheet name="Contract Labor" sheetId="3" r:id="rId3"/>
    <sheet name="Employee Benefits" sheetId="4" r:id="rId4"/>
    <sheet name="Professional Fees" sheetId="5" r:id="rId5"/>
    <sheet name="Supplies &amp; Other" sheetId="6" r:id="rId6"/>
    <sheet name="Other Taxes (Sale &amp; Use)" sheetId="7" r:id="rId7"/>
    <sheet name="Contract Services" sheetId="8" r:id="rId8"/>
    <sheet name="Bad Debts" sheetId="9" r:id="rId9"/>
  </sheets>
  <externalReferences>
    <externalReference r:id="rId12"/>
    <externalReference r:id="rId13"/>
    <externalReference r:id="rId14"/>
  </externalReferences>
  <definedNames/>
  <calcPr fullCalcOnLoad="1"/>
</workbook>
</file>

<file path=xl/comments2.xml><?xml version="1.0" encoding="utf-8"?>
<comments xmlns="http://schemas.openxmlformats.org/spreadsheetml/2006/main">
  <authors>
    <author>Deputy Clerk</author>
  </authors>
  <commentList>
    <comment ref="E22" authorId="0">
      <text>
        <r>
          <rPr>
            <sz val="8"/>
            <rFont val="Tahoma"/>
            <family val="0"/>
          </rPr>
          <t>Figure derived from Reese Hospital December 31, 1996 Financial Statement Report.  (Pl. Ex. 137 at HCA/MR 08017.)</t>
        </r>
      </text>
    </comment>
    <comment ref="G22" authorId="0">
      <text>
        <r>
          <rPr>
            <sz val="8"/>
            <rFont val="Tahoma"/>
            <family val="0"/>
          </rPr>
          <t>Figure derived from Reese Hospital December 31, 1997 Financial Statement Report.  (Pl. Ex. 136 at HCA/MR 08014.)</t>
        </r>
      </text>
    </comment>
    <comment ref="I22" authorId="0">
      <text>
        <r>
          <rPr>
            <sz val="8"/>
            <rFont val="Tahoma"/>
            <family val="0"/>
          </rPr>
          <t>Annualized from Reese September and October Projections.  (Pl. Exs. 300 at TRUST/HCA-007580 ; Pl. Ex. 144A at TRUST EXPERT 010801.)</t>
        </r>
      </text>
    </comment>
    <comment ref="E23" authorId="0">
      <text>
        <r>
          <rPr>
            <sz val="8"/>
            <rFont val="Tahoma"/>
            <family val="0"/>
          </rPr>
          <t>Figure from Reese Hospital December 31, 1996 Financial Statement Report subsituted for figured contained in Reese September Projections.  (Pl. Ex. 137 at HCA/MR 08017.)</t>
        </r>
      </text>
    </comment>
    <comment ref="G23" authorId="0">
      <text>
        <r>
          <rPr>
            <sz val="8"/>
            <rFont val="Tahoma"/>
            <family val="0"/>
          </rPr>
          <t>Figure from Reese Hospital December 31, 1997 Financial Statement Report substituted for figure in Reese Hospital September Projections.  (Pl. Ex. 136 at HCA/MR 08014.)</t>
        </r>
      </text>
    </comment>
    <comment ref="G58" authorId="0">
      <text>
        <r>
          <rPr>
            <sz val="8"/>
            <rFont val="Tahoma"/>
            <family val="0"/>
          </rPr>
          <t>Adjusted to reflect Final Projections regarding net patient service revenue for 1999.</t>
        </r>
      </text>
    </comment>
    <comment ref="G59" authorId="0">
      <text>
        <r>
          <rPr>
            <sz val="8"/>
            <rFont val="Tahoma"/>
            <family val="0"/>
          </rPr>
          <t>Adjusted to reflect unreasonableness of Reese Projections regarding cuts in salary-related expenses by averaging Reese Projections with McGladrey Projections.</t>
        </r>
      </text>
    </comment>
    <comment ref="G85" authorId="0">
      <text>
        <r>
          <rPr>
            <sz val="8"/>
            <rFont val="Tahoma"/>
            <family val="0"/>
          </rPr>
          <t>Operational growth percentage rate derived from Final Projections regarding net patient service revenue.</t>
        </r>
      </text>
    </comment>
    <comment ref="G112" authorId="0">
      <text>
        <r>
          <rPr>
            <sz val="8"/>
            <rFont val="Tahoma"/>
            <family val="0"/>
          </rPr>
          <t>Operational growth percentage rate derived from Final Projections regarding net patient service revenue.</t>
        </r>
      </text>
    </comment>
    <comment ref="G139" authorId="0">
      <text>
        <r>
          <rPr>
            <sz val="8"/>
            <rFont val="Tahoma"/>
            <family val="0"/>
          </rPr>
          <t>Operational growth percentage rate derived from Final Projections regarding net patient service revenue.</t>
        </r>
      </text>
    </comment>
    <comment ref="I23" authorId="0">
      <text>
        <r>
          <rPr>
            <sz val="8"/>
            <rFont val="Tahoma"/>
            <family val="0"/>
          </rPr>
          <t>Annualized from Reese October Projections.  (Pl. Ex. 144A at TRUST EXPERT 10801.)</t>
        </r>
      </text>
    </comment>
    <comment ref="K23" authorId="0">
      <text>
        <r>
          <rPr>
            <sz val="8"/>
            <rFont val="Tahoma"/>
            <family val="0"/>
          </rPr>
          <t>Figure derived from Reese October Projections.  (Pl. Ex. 144A at TRUST EXPERT 10801.)</t>
        </r>
      </text>
    </comment>
  </commentList>
</comments>
</file>

<file path=xl/comments3.xml><?xml version="1.0" encoding="utf-8"?>
<comments xmlns="http://schemas.openxmlformats.org/spreadsheetml/2006/main">
  <authors>
    <author>Deputy Clerk</author>
  </authors>
  <commentList>
    <comment ref="I4" authorId="0">
      <text>
        <r>
          <rPr>
            <sz val="8"/>
            <rFont val="Tahoma"/>
            <family val="0"/>
          </rPr>
          <t>Annualized from figure set forth in Reese October Projections.  (Pl. Ex. 144A at TRUST EXPERT 010801.)</t>
        </r>
      </text>
    </comment>
    <comment ref="K4" authorId="0">
      <text>
        <r>
          <rPr>
            <sz val="8"/>
            <rFont val="Tahoma"/>
            <family val="0"/>
          </rPr>
          <t>Figure set forth in Reese October Projections.  (Pl. Ex. 144A at TRUST EXPERT 010801.)</t>
        </r>
      </text>
    </comment>
    <comment ref="I12" authorId="0">
      <text>
        <r>
          <rPr>
            <sz val="8"/>
            <rFont val="Tahoma"/>
            <family val="0"/>
          </rPr>
          <t>Annualized from figure set forth in Reese October Projections.  (Pl. Ex. 144A at TRUST EXPERT 010801.)</t>
        </r>
      </text>
    </comment>
    <comment ref="E10" authorId="0">
      <text>
        <r>
          <rPr>
            <sz val="8"/>
            <rFont val="Tahoma"/>
            <family val="0"/>
          </rPr>
          <t>Figure derived from Reese Hospital December 31, 1996 Financial Statement Report.  (Pl. Ex. 137 at HCA/MR 08017.)</t>
        </r>
      </text>
    </comment>
    <comment ref="G10" authorId="0">
      <text>
        <r>
          <rPr>
            <sz val="8"/>
            <rFont val="Tahoma"/>
            <family val="0"/>
          </rPr>
          <t>Figure derived from Reese Hospital December 31, 1997 Financial Statement Report.  (Pl. Ex. 136 at HCA/MR 08014.)</t>
        </r>
      </text>
    </comment>
    <comment ref="I10" authorId="0">
      <text>
        <r>
          <rPr>
            <sz val="8"/>
            <rFont val="Tahoma"/>
            <family val="0"/>
          </rPr>
          <t>Annualized from Reese September and October Projections.  (Pl. Exs. 300 at TRUST/HCA-007580 ; Pl. Ex. 144A at TRUST EXPERT 010801.)</t>
        </r>
      </text>
    </comment>
    <comment ref="E11" authorId="0">
      <text>
        <r>
          <rPr>
            <sz val="8"/>
            <rFont val="Tahoma"/>
            <family val="0"/>
          </rPr>
          <t>Figure from Reese Hospital December 31, 1996 Financial Statement Report subsituted for figured contained in Reese September Projections.  (Pl. Ex. 137 at HCA/MR 08017.)</t>
        </r>
      </text>
    </comment>
    <comment ref="G11" authorId="0">
      <text>
        <r>
          <rPr>
            <sz val="8"/>
            <rFont val="Tahoma"/>
            <family val="0"/>
          </rPr>
          <t>Figure from Reese Hospital December 31, 1997 Financial Statement Report substituted for figure in Reese Hospital September Projections.  (Pl. Ex. 136 at HCA/MR 08014.)</t>
        </r>
      </text>
    </comment>
    <comment ref="I11" authorId="0">
      <text>
        <r>
          <rPr>
            <sz val="8"/>
            <rFont val="Tahoma"/>
            <family val="0"/>
          </rPr>
          <t>Annualized from Reese October Projections.  (Pl. Ex. 144A at TRUST EXPERT 10801.)</t>
        </r>
      </text>
    </comment>
    <comment ref="K11" authorId="0">
      <text>
        <r>
          <rPr>
            <sz val="8"/>
            <rFont val="Tahoma"/>
            <family val="0"/>
          </rPr>
          <t>Figure derived from Reese October Projections.  (Pl. Ex. 144A at TRUST EXPERT 10801.)</t>
        </r>
      </text>
    </comment>
    <comment ref="K12" authorId="0">
      <text>
        <r>
          <rPr>
            <sz val="8"/>
            <rFont val="Tahoma"/>
            <family val="0"/>
          </rPr>
          <t>Figure set forth in Reese October Projections.  (Pl. Ex. 144A at TRUST EXPERT 010801.)</t>
        </r>
      </text>
    </comment>
    <comment ref="G29" authorId="0">
      <text>
        <r>
          <rPr>
            <sz val="8"/>
            <rFont val="Tahoma"/>
            <family val="0"/>
          </rPr>
          <t>Adjusted to reflect Final Projections regarding net patient service revenue for 1999.</t>
        </r>
      </text>
    </comment>
    <comment ref="G36" authorId="0">
      <text>
        <r>
          <rPr>
            <sz val="8"/>
            <rFont val="Tahoma"/>
            <family val="0"/>
          </rPr>
          <t>Operational growth percentage rate derived from Final Projections regarding net patient service revenue.</t>
        </r>
      </text>
    </comment>
    <comment ref="G43" authorId="0">
      <text>
        <r>
          <rPr>
            <sz val="8"/>
            <rFont val="Tahoma"/>
            <family val="0"/>
          </rPr>
          <t>Operational growth percentage rate derived from Final Projections regarding net patient service revenue.</t>
        </r>
      </text>
    </comment>
    <comment ref="G50" authorId="0">
      <text>
        <r>
          <rPr>
            <sz val="8"/>
            <rFont val="Tahoma"/>
            <family val="0"/>
          </rPr>
          <t>Operational growth percentage rate derived from Final Projections regarding net patient service revenue.</t>
        </r>
      </text>
    </comment>
    <comment ref="I23" authorId="0">
      <text>
        <r>
          <rPr>
            <sz val="8"/>
            <rFont val="Tahoma"/>
            <family val="0"/>
          </rPr>
          <t>Adjusted to reflect delay in implementation of cost-cutting measures by Reese Management Team.</t>
        </r>
      </text>
    </comment>
    <comment ref="I22" authorId="0">
      <text>
        <r>
          <rPr>
            <sz val="8"/>
            <rFont val="Tahoma"/>
            <family val="0"/>
          </rPr>
          <t>Adjusted to reflect Final Projections regarding net patient service revenue for Reese Hospital in 1998.</t>
        </r>
      </text>
    </comment>
  </commentList>
</comments>
</file>

<file path=xl/comments4.xml><?xml version="1.0" encoding="utf-8"?>
<comments xmlns="http://schemas.openxmlformats.org/spreadsheetml/2006/main">
  <authors>
    <author>Deputy Clerk</author>
  </authors>
  <commentList>
    <comment ref="D18" authorId="0">
      <text>
        <r>
          <rPr>
            <sz val="8"/>
            <rFont val="Tahoma"/>
            <family val="0"/>
          </rPr>
          <t>Figure derived from Reese October Projections.  (Pl. Ex. 144A at TRUST EXPERT 10801.)</t>
        </r>
      </text>
    </comment>
    <comment ref="F18" authorId="0">
      <text>
        <r>
          <rPr>
            <sz val="8"/>
            <rFont val="Tahoma"/>
            <family val="0"/>
          </rPr>
          <t>Adjusted to reflect Final Projections regarding salaries and wages.</t>
        </r>
      </text>
    </comment>
    <comment ref="F25" authorId="0">
      <text>
        <r>
          <rPr>
            <sz val="8"/>
            <rFont val="Tahoma"/>
            <family val="0"/>
          </rPr>
          <t>Adjusted to reflect Final Projections regarding salaries and wages.</t>
        </r>
      </text>
    </comment>
    <comment ref="F32" authorId="0">
      <text>
        <r>
          <rPr>
            <sz val="8"/>
            <rFont val="Tahoma"/>
            <family val="2"/>
          </rPr>
          <t>Adjus</t>
        </r>
        <r>
          <rPr>
            <sz val="8"/>
            <rFont val="Tahoma"/>
            <family val="0"/>
          </rPr>
          <t>ted to reflect Final Projections regarding salaries and wages.</t>
        </r>
      </text>
    </comment>
    <comment ref="F39" authorId="0">
      <text>
        <r>
          <rPr>
            <sz val="8"/>
            <rFont val="Tahoma"/>
            <family val="0"/>
          </rPr>
          <t>Adjusted to reflect Final Projections regarding salaries and wages.</t>
        </r>
      </text>
    </comment>
    <comment ref="D25" authorId="0">
      <text>
        <r>
          <rPr>
            <sz val="8"/>
            <rFont val="Tahoma"/>
            <family val="0"/>
          </rPr>
          <t>Figure derived from Reese October Projections.  (Pl. Ex. 144A at TRUST EXPERT 10801.)</t>
        </r>
      </text>
    </comment>
    <comment ref="D32" authorId="0">
      <text>
        <r>
          <rPr>
            <sz val="8"/>
            <rFont val="Tahoma"/>
            <family val="0"/>
          </rPr>
          <t>Figure derived from Reese October Projections.  (Pl. Ex. 144A at TRUST EXPERT 10801.)</t>
        </r>
      </text>
    </comment>
    <comment ref="D39" authorId="0">
      <text>
        <r>
          <rPr>
            <sz val="8"/>
            <rFont val="Tahoma"/>
            <family val="0"/>
          </rPr>
          <t>Figure derived from Reese October Projections.  (Pl. Ex. 144A at TRUST EXPERT 10801.)</t>
        </r>
      </text>
    </comment>
    <comment ref="H39" authorId="0">
      <text>
        <r>
          <rPr>
            <sz val="8"/>
            <rFont val="Tahoma"/>
            <family val="0"/>
          </rPr>
          <t>Adjusted to reflect Final Projections regarding salaries and wages.</t>
        </r>
      </text>
    </comment>
    <comment ref="F11" authorId="0">
      <text>
        <r>
          <rPr>
            <sz val="8"/>
            <rFont val="Tahoma"/>
            <family val="0"/>
          </rPr>
          <t>Adjusted to reflect Final Projections regarding salaries and wages.</t>
        </r>
      </text>
    </comment>
    <comment ref="F12" authorId="0">
      <text>
        <r>
          <rPr>
            <sz val="8"/>
            <rFont val="Tahoma"/>
            <family val="0"/>
          </rPr>
          <t>Adjusted to reflect delay in implementation of cost-cutting measures by Reese Management Team.</t>
        </r>
      </text>
    </comment>
  </commentList>
</comments>
</file>

<file path=xl/comments5.xml><?xml version="1.0" encoding="utf-8"?>
<comments xmlns="http://schemas.openxmlformats.org/spreadsheetml/2006/main">
  <authors>
    <author>Deputy Clerk</author>
  </authors>
  <commentList>
    <comment ref="I6" authorId="0">
      <text>
        <r>
          <rPr>
            <sz val="8"/>
            <rFont val="Tahoma"/>
            <family val="0"/>
          </rPr>
          <t>Adjusted to annualize figures.</t>
        </r>
      </text>
    </comment>
    <comment ref="I33" authorId="0">
      <text>
        <r>
          <rPr>
            <sz val="8"/>
            <rFont val="Tahoma"/>
            <family val="0"/>
          </rPr>
          <t>Adjusted to reflect delay in achievement of Reese Management Team Strategic Assumptions relating to growth of inpatient volume.</t>
        </r>
      </text>
    </comment>
    <comment ref="G50" authorId="0">
      <text>
        <r>
          <rPr>
            <sz val="8"/>
            <rFont val="Tahoma"/>
            <family val="0"/>
          </rPr>
          <t>Reflects the difference between the EIPD rate at the end of 1999 and the average EIPD rate over the course of 1999.</t>
        </r>
      </text>
    </comment>
    <comment ref="I21" authorId="0">
      <text>
        <r>
          <rPr>
            <sz val="8"/>
            <rFont val="Tahoma"/>
            <family val="0"/>
          </rPr>
          <t>Adjusted to reflect delay in implementation of Reese Management Team cost-cutting strategies by averaging estimated annualized 1998 EIPD totals with 1997 EIPD totals (thereby reflecting delay in growth to 1997 patient volume), averaging fees per EIPD projected for 1998 in Reese September Projections with estimated annualized fees per EIPD (calculated by dividing estimated annualized number of EIPDs by annualized professional fees) for 1998 (thereby reflecting delay in implementation of cost-cutting measures over the "stump period" of 1998), then multiplying figures together per the methodology established in the Reese September Projections.  (Pl. Ex. 300 at TRUST/HCA-007628.)</t>
        </r>
      </text>
    </comment>
  </commentList>
</comments>
</file>

<file path=xl/comments6.xml><?xml version="1.0" encoding="utf-8"?>
<comments xmlns="http://schemas.openxmlformats.org/spreadsheetml/2006/main">
  <authors>
    <author>Deputy Clerk</author>
  </authors>
  <commentList>
    <comment ref="I6" authorId="0">
      <text>
        <r>
          <rPr>
            <sz val="8"/>
            <rFont val="Tahoma"/>
            <family val="0"/>
          </rPr>
          <t>Adjusted to annualize figures.</t>
        </r>
      </text>
    </comment>
    <comment ref="I33" authorId="0">
      <text>
        <r>
          <rPr>
            <sz val="8"/>
            <rFont val="Tahoma"/>
            <family val="0"/>
          </rPr>
          <t>Adjusted to reflect delay in achievement of Reese Management Team Strategic Assumptions relating to growth of inpatient volume.</t>
        </r>
      </text>
    </comment>
    <comment ref="G50" authorId="0">
      <text>
        <r>
          <rPr>
            <sz val="8"/>
            <rFont val="Tahoma"/>
            <family val="0"/>
          </rPr>
          <t>Reflects the difference between the EIPD rate at the end of 1999 and the average EIPD rate over the course of 1999.</t>
        </r>
      </text>
    </comment>
    <comment ref="I21" authorId="0">
      <text>
        <r>
          <rPr>
            <sz val="8"/>
            <rFont val="Tahoma"/>
            <family val="0"/>
          </rPr>
          <t>Adjusted to reflect delay in implementation of Reese Management Team cost-cutting strategies by averaging estimated annualized 1998 EIPD totals with 1997 EIPD totals (thereby reflecting delay in growth to 1997 patient volume), averaging fees per EIPD projected for 1998 in Reese September Projections with estimated annualized fees per EIPD (calculated by dividing estimated annualized number of EIPDs by annualized supplies) for 1998 (thereby reflecting delay in implementation of cost-cutting measures over the "stump period" of 1998), then multiplying figures together per the methodology established in the Reese September Projections.  (Pl. Ex. 300 at TRUST/HCA-007628.)</t>
        </r>
      </text>
    </comment>
  </commentList>
</comments>
</file>

<file path=xl/comments7.xml><?xml version="1.0" encoding="utf-8"?>
<comments xmlns="http://schemas.openxmlformats.org/spreadsheetml/2006/main">
  <authors>
    <author>Deputy Clerk</author>
  </authors>
  <commentList>
    <comment ref="I6" authorId="0">
      <text>
        <r>
          <rPr>
            <sz val="8"/>
            <rFont val="Tahoma"/>
            <family val="0"/>
          </rPr>
          <t>Adjusted to annualize figures.</t>
        </r>
      </text>
    </comment>
    <comment ref="I13" authorId="0">
      <text>
        <r>
          <rPr>
            <sz val="8"/>
            <rFont val="Tahoma"/>
            <family val="0"/>
          </rPr>
          <t>Adjusted to annualize figures.</t>
        </r>
      </text>
    </comment>
    <comment ref="I20" authorId="0">
      <text>
        <r>
          <rPr>
            <sz val="8"/>
            <rFont val="Tahoma"/>
            <family val="0"/>
          </rPr>
          <t>Adjusted to annualize figures.</t>
        </r>
      </text>
    </comment>
  </commentList>
</comments>
</file>

<file path=xl/comments8.xml><?xml version="1.0" encoding="utf-8"?>
<comments xmlns="http://schemas.openxmlformats.org/spreadsheetml/2006/main">
  <authors>
    <author>Deputy Clerk</author>
  </authors>
  <commentList>
    <comment ref="I45" authorId="0">
      <text>
        <r>
          <rPr>
            <sz val="8"/>
            <rFont val="Tahoma"/>
            <family val="0"/>
          </rPr>
          <t>Adjusted to reflect delay in achievement of Reese Management Team Strategic Assumptions relating to growth of inpatient volume.</t>
        </r>
      </text>
    </comment>
    <comment ref="G68" authorId="0">
      <text>
        <r>
          <rPr>
            <sz val="8"/>
            <rFont val="Tahoma"/>
            <family val="0"/>
          </rPr>
          <t>Reflects the difference between the EIPD rate at the end of 1999 and the average EIPD rate over the course of 1999.</t>
        </r>
      </text>
    </comment>
    <comment ref="I27" authorId="0">
      <text>
        <r>
          <rPr>
            <sz val="8"/>
            <rFont val="Tahoma"/>
            <family val="0"/>
          </rPr>
          <t>Adjusted to reflect delay in implementation of Reese Management Team cost-cutting strategies by averaging estimated annualized 1998 EIPD totals with 1997 EIPD totals (thereby reflecting delay in growth to 1997 patient volume), averaging fees per EIPD projected for 1998 in Reese September Projections with estimated annualized fees per EIPD (calculated by dividing estimated annualized number of EIPDs by annualized contract services) for 1998 (thereby reflecting delay in implementation of cost-cutting measures over the "stump period" of 1998), then multiplying figures together per the methodology established in the Reese September Projections.  (Pl. Ex. 300 at TRUST/HCA-007630.)</t>
        </r>
      </text>
    </comment>
  </commentList>
</comments>
</file>

<file path=xl/comments9.xml><?xml version="1.0" encoding="utf-8"?>
<comments xmlns="http://schemas.openxmlformats.org/spreadsheetml/2006/main">
  <authors>
    <author>Deputy Clerk</author>
  </authors>
  <commentList>
    <comment ref="I4" authorId="0">
      <text>
        <r>
          <rPr>
            <sz val="8"/>
            <rFont val="Tahoma"/>
            <family val="2"/>
          </rPr>
          <t>Reflects Reese Management Team belief that Reese Corp. would recover more bad debts than HCA had recovered in the past.  (Pl. Ex. 144A at TRUST/HCA-160832.)</t>
        </r>
      </text>
    </comment>
    <comment ref="E9" authorId="0">
      <text>
        <r>
          <rPr>
            <sz val="8"/>
            <rFont val="Tahoma"/>
            <family val="0"/>
          </rPr>
          <t>Figure derived from Reese Hospital December 31, 1996 Financial Statement Report.  (Pl. Ex. 137 at HCA/MR 08017.)</t>
        </r>
      </text>
    </comment>
    <comment ref="G9" authorId="0">
      <text>
        <r>
          <rPr>
            <sz val="8"/>
            <rFont val="Tahoma"/>
            <family val="0"/>
          </rPr>
          <t>Figure derived from Reese Hospital December 31, 1997 Financial Statement Report.  (Pl. Ex. 136 at HCA/MR 08014.)</t>
        </r>
      </text>
    </comment>
    <comment ref="I9" authorId="0">
      <text>
        <r>
          <rPr>
            <sz val="8"/>
            <rFont val="Tahoma"/>
            <family val="0"/>
          </rPr>
          <t>Annualized from Reese September and October Projections.  (Pl. Exs. 300 at TRUST/HCA-007580 ; Pl. Ex. 144A at TRUST EXPERT 010801.)</t>
        </r>
      </text>
    </comment>
    <comment ref="E10" authorId="0">
      <text>
        <r>
          <rPr>
            <sz val="8"/>
            <rFont val="Tahoma"/>
            <family val="0"/>
          </rPr>
          <t>Figure from Reese Hospital December 31, 1996 Financial Statement Report subsituted for figured contained in Reese September Projections.  (Pl. Ex. 137 at HCA/MR 08017.)</t>
        </r>
      </text>
    </comment>
    <comment ref="G10" authorId="0">
      <text>
        <r>
          <rPr>
            <sz val="8"/>
            <rFont val="Tahoma"/>
            <family val="0"/>
          </rPr>
          <t>Figure from Reese Hospital December 31, 1997 Financial Statement Report substituted for figure in Reese Hospital September Projections.  (Pl. Ex. 136 at HCA/MR 08014.)</t>
        </r>
      </text>
    </comment>
    <comment ref="I10" authorId="0">
      <text>
        <r>
          <rPr>
            <sz val="8"/>
            <rFont val="Tahoma"/>
            <family val="0"/>
          </rPr>
          <t>Annualized from Reese October Projections.  (Pl. Ex. 144A at TRUST EXPERT 10801.)</t>
        </r>
      </text>
    </comment>
    <comment ref="K10" authorId="0">
      <text>
        <r>
          <rPr>
            <sz val="8"/>
            <rFont val="Tahoma"/>
            <family val="0"/>
          </rPr>
          <t>Figure derived from Reese October Projections.  (Pl. Ex. 144A at TRUST EXPERT 10801.)</t>
        </r>
      </text>
    </comment>
    <comment ref="G27" authorId="0">
      <text>
        <r>
          <rPr>
            <sz val="8"/>
            <rFont val="Tahoma"/>
            <family val="0"/>
          </rPr>
          <t>Adjusted to reflect Final Projections regarding net patient service revenue for 1999.</t>
        </r>
      </text>
    </comment>
    <comment ref="G34" authorId="0">
      <text>
        <r>
          <rPr>
            <sz val="8"/>
            <rFont val="Tahoma"/>
            <family val="0"/>
          </rPr>
          <t>Adjusted to reflect Final Projections regarding net patient service revenue in 2000.</t>
        </r>
      </text>
    </comment>
    <comment ref="E34" authorId="0">
      <text>
        <r>
          <rPr>
            <sz val="8"/>
            <rFont val="Tahoma"/>
            <family val="0"/>
          </rPr>
          <t>Figure derived from Reese October Projections.  (Pl. Ex. 144A at TRUST EXPERT 010801.)</t>
        </r>
      </text>
    </comment>
    <comment ref="E41" authorId="0">
      <text>
        <r>
          <rPr>
            <sz val="8"/>
            <rFont val="Tahoma"/>
            <family val="0"/>
          </rPr>
          <t>Figure derived from Reese October Projections.  (Pl. Ex. 144A at TRUST EXPERT 010801.)</t>
        </r>
      </text>
    </comment>
    <comment ref="E48" authorId="0">
      <text>
        <r>
          <rPr>
            <sz val="8"/>
            <rFont val="Tahoma"/>
            <family val="0"/>
          </rPr>
          <t>Figure derived from Reese October Projections.  (Pl. Ex. 144A at TRUST EXPERT 010801.)</t>
        </r>
      </text>
    </comment>
    <comment ref="G41" authorId="0">
      <text>
        <r>
          <rPr>
            <sz val="8"/>
            <rFont val="Tahoma"/>
            <family val="0"/>
          </rPr>
          <t>Adjusted to reflect Final Projections regarding net patient service revenue in 2000.</t>
        </r>
      </text>
    </comment>
    <comment ref="G48" authorId="0">
      <text>
        <r>
          <rPr>
            <sz val="8"/>
            <rFont val="Tahoma"/>
            <family val="0"/>
          </rPr>
          <t>Adjusted to reflect Final Projections regarding net patient service revenue in 2000.</t>
        </r>
      </text>
    </comment>
    <comment ref="I20" authorId="0">
      <text>
        <r>
          <rPr>
            <sz val="8"/>
            <rFont val="Tahoma"/>
            <family val="0"/>
          </rPr>
          <t>Adjusted to reflect Final Projections regarding net patient service revenue for Reese Hospital in 1998.</t>
        </r>
      </text>
    </comment>
    <comment ref="I21" authorId="0">
      <text>
        <r>
          <rPr>
            <sz val="8"/>
            <rFont val="Tahoma"/>
            <family val="0"/>
          </rPr>
          <t>Adjusted to reflect delay in implementation of Reese Management Team cost-cutting initiatives.</t>
        </r>
      </text>
    </comment>
    <comment ref="K4" authorId="0">
      <text>
        <r>
          <rPr>
            <sz val="8"/>
            <rFont val="Tahoma"/>
            <family val="0"/>
          </rPr>
          <t xml:space="preserve"> Reflects Reese Management Team belief that Reese Corp. would recover more bad debts than HCA had recovered in the past.  (Pl. Ex. 144A at TRUST/HCA-160832.)</t>
        </r>
      </text>
    </comment>
  </commentList>
</comments>
</file>

<file path=xl/sharedStrings.xml><?xml version="1.0" encoding="utf-8"?>
<sst xmlns="http://schemas.openxmlformats.org/spreadsheetml/2006/main" count="661" uniqueCount="121">
  <si>
    <t>SALARIES &amp; WAGES</t>
  </si>
  <si>
    <t>FTE Salaries &amp; Wages</t>
  </si>
  <si>
    <t>Total FTEs</t>
  </si>
  <si>
    <t>Hours Per Period</t>
  </si>
  <si>
    <t>Wage Rate Per Hour</t>
  </si>
  <si>
    <t>Total EIPDs</t>
  </si>
  <si>
    <t>Total FTE Salaries &amp; Wages</t>
  </si>
  <si>
    <t>Officer Salaries</t>
  </si>
  <si>
    <t>Salaries</t>
  </si>
  <si>
    <t>Inflationary Salary Increase</t>
  </si>
  <si>
    <t>Total Officer Salaries</t>
  </si>
  <si>
    <t>Officer Recruiting Fee</t>
  </si>
  <si>
    <t>Total</t>
  </si>
  <si>
    <t>11/13/98-12/31/98 Projections</t>
  </si>
  <si>
    <t>Growth Rate from '97 to '99</t>
  </si>
  <si>
    <t>Adjusted Growth Rate</t>
  </si>
  <si>
    <t>Adjusted Figures</t>
  </si>
  <si>
    <t>Operational Growth</t>
  </si>
  <si>
    <t>1998 Final Projections</t>
  </si>
  <si>
    <t>Final 1998 Projections</t>
  </si>
  <si>
    <t>1999 Final Projections</t>
  </si>
  <si>
    <t>Final 1999 Projections</t>
  </si>
  <si>
    <t>2000 Final Projections</t>
  </si>
  <si>
    <t>Final 2000 Projections</t>
  </si>
  <si>
    <t>2001 Final Projections</t>
  </si>
  <si>
    <t>Final 2001 Projections</t>
  </si>
  <si>
    <t>2002 Final Projections</t>
  </si>
  <si>
    <t>Final 2002 Projections</t>
  </si>
  <si>
    <t>Reese Projected 1998</t>
  </si>
  <si>
    <t>Reese Projected 1999</t>
  </si>
  <si>
    <t>(Pl. Exs. 300 at TRUST/HCA-007627, 144A at TRUST EXPERT 10801.)</t>
  </si>
  <si>
    <t>Salaries &amp; Wages as Percentage of Net Patient Service Revenue</t>
  </si>
  <si>
    <t>Net Patient Service Revenue</t>
  </si>
  <si>
    <t xml:space="preserve">Percentage </t>
  </si>
  <si>
    <t>Minimum Total Salary-Related Expenses</t>
  </si>
  <si>
    <t>Percentage Override</t>
  </si>
  <si>
    <t>Percentage Cap</t>
  </si>
  <si>
    <t>Operational &amp; Inflationary Growth</t>
  </si>
  <si>
    <t>CONTRACT LABOR</t>
  </si>
  <si>
    <t>Contract Labor</t>
  </si>
  <si>
    <t>Inflationary Increase</t>
  </si>
  <si>
    <t>Total Contract Labor</t>
  </si>
  <si>
    <t>(Pl. Exs. 300 at TRUST/HCA-007627, 144A at TRUST EXPERT 010801.)</t>
  </si>
  <si>
    <t>Contract Labor Raw Costs</t>
  </si>
  <si>
    <t>Salaries &amp; Wages</t>
  </si>
  <si>
    <t>Contract Labor as Percentage of Other Figures</t>
  </si>
  <si>
    <t xml:space="preserve">Percentage of Net Patient Service Revenue </t>
  </si>
  <si>
    <t>Percentage of Salaries &amp; Wages</t>
  </si>
  <si>
    <t>Percentage Cap on Contract Labor</t>
  </si>
  <si>
    <t>EMPLOYEE BENEFITS</t>
  </si>
  <si>
    <t>(Pl. Ex. 300 at TRUST/HCA-007627.)</t>
  </si>
  <si>
    <t>Percentage for Benefits</t>
  </si>
  <si>
    <t>Total Employee Benefits</t>
  </si>
  <si>
    <t>PROFESSIONAL FEES</t>
  </si>
  <si>
    <t>Growth from '96 to '97</t>
  </si>
  <si>
    <t>Growth from '97 to '98</t>
  </si>
  <si>
    <t>Growth from '98 to '99</t>
  </si>
  <si>
    <t>Growth from '96 to'98</t>
  </si>
  <si>
    <t>Growth from '97 to '99</t>
  </si>
  <si>
    <t>Fixed Component</t>
  </si>
  <si>
    <t>Monthly Professional Fees</t>
  </si>
  <si>
    <t>Periodic Inflation</t>
  </si>
  <si>
    <t>Months in Period</t>
  </si>
  <si>
    <t>Total Fixed Component</t>
  </si>
  <si>
    <t>Variable Component</t>
  </si>
  <si>
    <t>Fees Per EIPD</t>
  </si>
  <si>
    <t>Total Variable Component</t>
  </si>
  <si>
    <t>Total Professional Fees</t>
  </si>
  <si>
    <t>Inflation/Long Term Growth</t>
  </si>
  <si>
    <t>(Pl. Ex. 300 at TRUST/HCA-007628.)</t>
  </si>
  <si>
    <t>SUPPLIES &amp; OTHER</t>
  </si>
  <si>
    <t>Monthly Supply Expense</t>
  </si>
  <si>
    <t>Months in Operation</t>
  </si>
  <si>
    <t>Supplies Per EIPD</t>
  </si>
  <si>
    <t>Total Supplies &amp; Other</t>
  </si>
  <si>
    <t>OTHER TAXES (SALES &amp; USE)</t>
  </si>
  <si>
    <t>Sales &amp; Use Taxes</t>
  </si>
  <si>
    <t>Monthly Sales &amp; Use Taxes</t>
  </si>
  <si>
    <t>Total Sales &amp; Use Taxes</t>
  </si>
  <si>
    <t>Indigent Care Taxes</t>
  </si>
  <si>
    <t>Monthly Indigent Care Taxes</t>
  </si>
  <si>
    <t>Total Indigent Care Taxes</t>
  </si>
  <si>
    <t>Other Taxes</t>
  </si>
  <si>
    <t>Monthly Other Taxes</t>
  </si>
  <si>
    <t>Total Other Taxes</t>
  </si>
  <si>
    <t>Total Taxes</t>
  </si>
  <si>
    <t>Prior Year Total</t>
  </si>
  <si>
    <t>Inflation</t>
  </si>
  <si>
    <t>(Pl. Ex. 300 at TRUST/HCA-007630.)</t>
  </si>
  <si>
    <t>CONTRACT SERVICES</t>
  </si>
  <si>
    <t>Monthly Fixed Expenses</t>
  </si>
  <si>
    <t>Management Fee</t>
  </si>
  <si>
    <t>Monthly Management Fee</t>
  </si>
  <si>
    <t>Total Management Fee</t>
  </si>
  <si>
    <t>Services per EIPD</t>
  </si>
  <si>
    <t>Total Contract Services</t>
  </si>
  <si>
    <t>(Pl. Ex. 300 at TRUST/HCA-007630</t>
  </si>
  <si>
    <t>BAD DEBTS</t>
  </si>
  <si>
    <t>Net Patient Receivables</t>
  </si>
  <si>
    <t>Bad Debt Percentage</t>
  </si>
  <si>
    <t>Total Bad Debts</t>
  </si>
  <si>
    <t>Bad Debts as Percentage of Net Patient Service Revenue</t>
  </si>
  <si>
    <t>Bad Debts</t>
  </si>
  <si>
    <t>Bad Debts Using Percentage of Net Patient Receivables</t>
  </si>
  <si>
    <t>Percentage</t>
  </si>
  <si>
    <t>(Pl. Exs. 300 at TRUST/HCA-007628, 144A at TRUST EXPERT 010801.)</t>
  </si>
  <si>
    <t>Adjusted Figure</t>
  </si>
  <si>
    <t>Reese Projected 2000</t>
  </si>
  <si>
    <t>Reese Projected 2001</t>
  </si>
  <si>
    <t>VARIABLE EXPENSES SUMMARY</t>
  </si>
  <si>
    <t>Employee Benefits</t>
  </si>
  <si>
    <t>Professional Fees</t>
  </si>
  <si>
    <t>Supplies &amp; Other</t>
  </si>
  <si>
    <t>Other Taxes (Sale &amp; Use)</t>
  </si>
  <si>
    <t>Contract Services</t>
  </si>
  <si>
    <t>11/13/98-12/31/98</t>
  </si>
  <si>
    <t>Final Projections</t>
  </si>
  <si>
    <t>Percentage of Net Patient Service Revenue</t>
  </si>
  <si>
    <t>Final Annualized 1998</t>
  </si>
  <si>
    <t>Contract Labor as Percentage of Net Patient Service Revenue</t>
  </si>
  <si>
    <t>Annualized 1998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</si>
</sst>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s>
  <fonts count="6">
    <font>
      <sz val="10"/>
      <name val="Arial"/>
      <family val="0"/>
    </font>
    <font>
      <b/>
      <sz val="10"/>
      <name val="Arial"/>
      <family val="2"/>
    </font>
    <font>
      <u val="single"/>
      <sz val="10"/>
      <name val="Arial"/>
      <family val="0"/>
    </font>
    <font>
      <b/>
      <u val="single"/>
      <sz val="10"/>
      <name val="Arial"/>
      <family val="2"/>
    </font>
    <font>
      <sz val="8"/>
      <name val="Tahoma"/>
      <family val="0"/>
    </font>
    <font>
      <b/>
      <sz val="8"/>
      <name val="Arial"/>
      <family val="2"/>
    </font>
  </fonts>
  <fills count="7">
    <fill>
      <patternFill/>
    </fill>
    <fill>
      <patternFill patternType="gray125"/>
    </fill>
    <fill>
      <patternFill patternType="solid">
        <fgColor indexed="8"/>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s>
  <borders count="8">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0" fillId="2" borderId="0" xfId="0" applyFill="1" applyAlignment="1">
      <alignment/>
    </xf>
    <xf numFmtId="0" fontId="2" fillId="0" borderId="0" xfId="0" applyFont="1" applyAlignment="1">
      <alignment/>
    </xf>
    <xf numFmtId="3" fontId="0" fillId="0" borderId="0" xfId="0" applyNumberFormat="1" applyAlignment="1">
      <alignment/>
    </xf>
    <xf numFmtId="10" fontId="0" fillId="0" borderId="0" xfId="0" applyNumberFormat="1" applyAlignment="1">
      <alignment/>
    </xf>
    <xf numFmtId="164" fontId="0" fillId="0" borderId="0" xfId="0" applyNumberFormat="1" applyAlignment="1">
      <alignment/>
    </xf>
    <xf numFmtId="0" fontId="0" fillId="3" borderId="1" xfId="0" applyFill="1" applyBorder="1" applyAlignment="1">
      <alignment/>
    </xf>
    <xf numFmtId="0" fontId="0" fillId="3" borderId="2" xfId="0" applyFill="1" applyBorder="1" applyAlignment="1">
      <alignment/>
    </xf>
    <xf numFmtId="164" fontId="0" fillId="3" borderId="2" xfId="0" applyNumberFormat="1" applyFill="1" applyBorder="1" applyAlignment="1">
      <alignment/>
    </xf>
    <xf numFmtId="164" fontId="0" fillId="3" borderId="3" xfId="0" applyNumberFormat="1" applyFill="1" applyBorder="1" applyAlignment="1">
      <alignment/>
    </xf>
    <xf numFmtId="0" fontId="2" fillId="4" borderId="1" xfId="0" applyFont="1" applyFill="1" applyBorder="1" applyAlignment="1">
      <alignment/>
    </xf>
    <xf numFmtId="0" fontId="0" fillId="4" borderId="2" xfId="0" applyFill="1" applyBorder="1" applyAlignment="1">
      <alignment/>
    </xf>
    <xf numFmtId="164" fontId="0" fillId="4" borderId="2" xfId="0" applyNumberFormat="1" applyFill="1" applyBorder="1" applyAlignment="1">
      <alignment/>
    </xf>
    <xf numFmtId="164" fontId="0" fillId="4" borderId="3" xfId="0" applyNumberFormat="1" applyFill="1" applyBorder="1" applyAlignment="1">
      <alignment/>
    </xf>
    <xf numFmtId="0" fontId="3" fillId="0" borderId="0" xfId="0" applyFont="1" applyFill="1"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Alignment="1">
      <alignment/>
    </xf>
    <xf numFmtId="0" fontId="2" fillId="0" borderId="0" xfId="0" applyFont="1" applyFill="1" applyBorder="1" applyAlignment="1">
      <alignment/>
    </xf>
    <xf numFmtId="0" fontId="0" fillId="0" borderId="0" xfId="0" applyFill="1" applyBorder="1" applyAlignment="1">
      <alignment horizontal="center"/>
    </xf>
    <xf numFmtId="0" fontId="2" fillId="0" borderId="0" xfId="0" applyFont="1" applyFill="1" applyBorder="1" applyAlignment="1">
      <alignment horizontal="center"/>
    </xf>
    <xf numFmtId="0" fontId="0" fillId="0" borderId="0" xfId="0" applyFill="1" applyBorder="1" applyAlignment="1">
      <alignment/>
    </xf>
    <xf numFmtId="10" fontId="0" fillId="0" borderId="0" xfId="0" applyNumberFormat="1" applyFill="1" applyBorder="1" applyAlignment="1">
      <alignment/>
    </xf>
    <xf numFmtId="164" fontId="0" fillId="0" borderId="0" xfId="0" applyNumberFormat="1" applyFill="1" applyBorder="1" applyAlignment="1">
      <alignment/>
    </xf>
    <xf numFmtId="0" fontId="0" fillId="5" borderId="1" xfId="0" applyFill="1" applyBorder="1" applyAlignment="1">
      <alignment/>
    </xf>
    <xf numFmtId="0" fontId="0" fillId="5" borderId="2" xfId="0" applyFill="1" applyBorder="1" applyAlignment="1">
      <alignment/>
    </xf>
    <xf numFmtId="10" fontId="0" fillId="5" borderId="2" xfId="0" applyNumberFormat="1" applyFill="1" applyBorder="1" applyAlignment="1">
      <alignment/>
    </xf>
    <xf numFmtId="10" fontId="0" fillId="5" borderId="3" xfId="0" applyNumberFormat="1" applyFill="1" applyBorder="1" applyAlignment="1">
      <alignment/>
    </xf>
    <xf numFmtId="0" fontId="2" fillId="6" borderId="1" xfId="0" applyFont="1" applyFill="1" applyBorder="1" applyAlignment="1">
      <alignment/>
    </xf>
    <xf numFmtId="0" fontId="0" fillId="6" borderId="2" xfId="0" applyFill="1" applyBorder="1" applyAlignment="1">
      <alignment/>
    </xf>
    <xf numFmtId="164" fontId="0" fillId="6" borderId="2" xfId="0" applyNumberFormat="1" applyFill="1" applyBorder="1" applyAlignment="1">
      <alignment/>
    </xf>
    <xf numFmtId="164" fontId="0" fillId="6" borderId="3" xfId="0" applyNumberFormat="1" applyFill="1" applyBorder="1" applyAlignment="1">
      <alignment/>
    </xf>
    <xf numFmtId="164" fontId="0" fillId="0" borderId="0" xfId="0" applyNumberFormat="1" applyFill="1" applyAlignment="1">
      <alignment/>
    </xf>
    <xf numFmtId="3" fontId="0" fillId="0" borderId="0" xfId="0" applyNumberFormat="1" applyFill="1" applyBorder="1" applyAlignment="1">
      <alignment/>
    </xf>
    <xf numFmtId="165" fontId="0" fillId="0" borderId="0" xfId="0" applyNumberFormat="1" applyFill="1" applyBorder="1" applyAlignment="1">
      <alignment/>
    </xf>
    <xf numFmtId="0" fontId="0" fillId="4" borderId="1" xfId="0" applyFill="1" applyBorder="1" applyAlignment="1">
      <alignment/>
    </xf>
    <xf numFmtId="0" fontId="0" fillId="5" borderId="4" xfId="0" applyFill="1" applyBorder="1" applyAlignment="1">
      <alignment/>
    </xf>
    <xf numFmtId="0" fontId="0" fillId="5" borderId="5" xfId="0" applyFill="1" applyBorder="1" applyAlignment="1">
      <alignment/>
    </xf>
    <xf numFmtId="10" fontId="0" fillId="5" borderId="5" xfId="0" applyNumberFormat="1" applyFill="1" applyBorder="1" applyAlignment="1">
      <alignment/>
    </xf>
    <xf numFmtId="164" fontId="0" fillId="5" borderId="5" xfId="0" applyNumberFormat="1" applyFill="1" applyBorder="1" applyAlignment="1">
      <alignment/>
    </xf>
    <xf numFmtId="0" fontId="0" fillId="5" borderId="6" xfId="0" applyFill="1" applyBorder="1" applyAlignment="1">
      <alignment/>
    </xf>
    <xf numFmtId="0" fontId="0" fillId="5" borderId="7" xfId="0" applyFill="1" applyBorder="1" applyAlignment="1">
      <alignment/>
    </xf>
    <xf numFmtId="10" fontId="0" fillId="5" borderId="7" xfId="0" applyNumberFormat="1" applyFill="1" applyBorder="1" applyAlignment="1">
      <alignment/>
    </xf>
    <xf numFmtId="0" fontId="2" fillId="0" borderId="0" xfId="0" applyFont="1" applyFill="1" applyAlignment="1">
      <alignment/>
    </xf>
    <xf numFmtId="0" fontId="0" fillId="0" borderId="0" xfId="0" applyAlignment="1">
      <alignment horizontal="center"/>
    </xf>
    <xf numFmtId="10" fontId="0" fillId="3" borderId="1" xfId="0" applyNumberFormat="1" applyFill="1" applyBorder="1" applyAlignment="1">
      <alignment/>
    </xf>
    <xf numFmtId="10" fontId="0" fillId="3" borderId="2" xfId="0" applyNumberFormat="1" applyFill="1" applyBorder="1" applyAlignment="1">
      <alignment/>
    </xf>
    <xf numFmtId="10" fontId="0" fillId="3" borderId="3" xfId="0" applyNumberFormat="1" applyFill="1" applyBorder="1" applyAlignment="1">
      <alignment/>
    </xf>
    <xf numFmtId="10" fontId="0" fillId="4" borderId="1" xfId="0" applyNumberFormat="1" applyFill="1" applyBorder="1" applyAlignment="1">
      <alignment/>
    </xf>
    <xf numFmtId="10" fontId="0" fillId="4" borderId="2" xfId="0" applyNumberFormat="1" applyFill="1" applyBorder="1" applyAlignment="1">
      <alignment/>
    </xf>
    <xf numFmtId="10" fontId="0" fillId="4" borderId="3" xfId="0" applyNumberFormat="1" applyFill="1" applyBorder="1" applyAlignment="1">
      <alignment/>
    </xf>
    <xf numFmtId="3" fontId="0" fillId="0" borderId="0" xfId="0" applyNumberFormat="1" applyFont="1" applyAlignment="1">
      <alignment/>
    </xf>
    <xf numFmtId="0" fontId="0" fillId="0" borderId="0" xfId="0" applyFont="1" applyAlignment="1">
      <alignment/>
    </xf>
    <xf numFmtId="0" fontId="2" fillId="0" borderId="0" xfId="0" applyFont="1" applyAlignment="1">
      <alignment horizontal="center"/>
    </xf>
    <xf numFmtId="0" fontId="0" fillId="2" borderId="0" xfId="0" applyFont="1" applyFill="1" applyBorder="1" applyAlignment="1">
      <alignment/>
    </xf>
    <xf numFmtId="0" fontId="2" fillId="0" borderId="0" xfId="0" applyFont="1" applyAlignment="1">
      <alignment/>
    </xf>
    <xf numFmtId="164" fontId="0" fillId="0" borderId="0" xfId="0" applyNumberFormat="1" applyFont="1" applyAlignment="1">
      <alignment/>
    </xf>
    <xf numFmtId="10" fontId="0" fillId="0" borderId="0" xfId="0" applyNumberFormat="1" applyFont="1" applyAlignment="1">
      <alignment/>
    </xf>
    <xf numFmtId="3" fontId="0" fillId="0" borderId="0" xfId="0" applyNumberFormat="1" applyFont="1" applyAlignment="1">
      <alignment/>
    </xf>
    <xf numFmtId="0" fontId="0" fillId="3" borderId="1" xfId="0" applyFont="1" applyFill="1" applyBorder="1" applyAlignment="1">
      <alignment/>
    </xf>
    <xf numFmtId="0" fontId="0" fillId="3" borderId="2" xfId="0" applyFont="1" applyFill="1" applyBorder="1" applyAlignment="1">
      <alignment/>
    </xf>
    <xf numFmtId="164" fontId="0" fillId="3" borderId="2" xfId="0" applyNumberFormat="1" applyFont="1" applyFill="1" applyBorder="1" applyAlignment="1">
      <alignment/>
    </xf>
    <xf numFmtId="0" fontId="2" fillId="4" borderId="1" xfId="0" applyFont="1" applyFill="1" applyBorder="1" applyAlignment="1">
      <alignment/>
    </xf>
    <xf numFmtId="0" fontId="0" fillId="4" borderId="2" xfId="0" applyFont="1" applyFill="1" applyBorder="1" applyAlignment="1">
      <alignment/>
    </xf>
    <xf numFmtId="164" fontId="0" fillId="4" borderId="2" xfId="0" applyNumberFormat="1" applyFont="1" applyFill="1" applyBorder="1" applyAlignment="1">
      <alignment/>
    </xf>
    <xf numFmtId="0" fontId="0" fillId="2" borderId="0" xfId="0" applyFont="1" applyFill="1" applyAlignment="1">
      <alignment/>
    </xf>
    <xf numFmtId="0" fontId="0" fillId="0" borderId="0" xfId="0" applyFont="1" applyFill="1" applyAlignment="1">
      <alignment/>
    </xf>
    <xf numFmtId="0" fontId="2" fillId="0" borderId="0" xfId="0" applyFont="1" applyFill="1" applyAlignment="1">
      <alignment horizontal="center"/>
    </xf>
    <xf numFmtId="0" fontId="0" fillId="4" borderId="1" xfId="0" applyFont="1" applyFill="1" applyBorder="1" applyAlignment="1">
      <alignment/>
    </xf>
    <xf numFmtId="164" fontId="0" fillId="4" borderId="3" xfId="0" applyNumberFormat="1" applyFont="1" applyFill="1" applyBorder="1" applyAlignment="1">
      <alignment/>
    </xf>
    <xf numFmtId="164" fontId="0" fillId="3" borderId="3" xfId="0" applyNumberFormat="1" applyFont="1" applyFill="1" applyBorder="1" applyAlignment="1">
      <alignment/>
    </xf>
    <xf numFmtId="0" fontId="2" fillId="0" borderId="0" xfId="0" applyFont="1" applyFill="1" applyAlignment="1">
      <alignment/>
    </xf>
    <xf numFmtId="0" fontId="0" fillId="0" borderId="0" xfId="0" applyFont="1" applyAlignment="1">
      <alignment horizontal="center"/>
    </xf>
    <xf numFmtId="10" fontId="0" fillId="3" borderId="1" xfId="0" applyNumberFormat="1" applyFont="1" applyFill="1" applyBorder="1" applyAlignment="1">
      <alignment/>
    </xf>
    <xf numFmtId="10" fontId="0" fillId="3" borderId="2" xfId="0" applyNumberFormat="1" applyFont="1" applyFill="1" applyBorder="1" applyAlignment="1">
      <alignment/>
    </xf>
    <xf numFmtId="10" fontId="0" fillId="3" borderId="3" xfId="0" applyNumberFormat="1" applyFont="1" applyFill="1" applyBorder="1" applyAlignment="1">
      <alignment/>
    </xf>
    <xf numFmtId="10" fontId="0" fillId="4" borderId="1" xfId="0" applyNumberFormat="1" applyFont="1" applyFill="1" applyBorder="1" applyAlignment="1">
      <alignment/>
    </xf>
    <xf numFmtId="10" fontId="0" fillId="4" borderId="2" xfId="0" applyNumberFormat="1" applyFont="1" applyFill="1" applyBorder="1" applyAlignment="1">
      <alignment/>
    </xf>
    <xf numFmtId="10" fontId="0" fillId="4" borderId="3" xfId="0" applyNumberFormat="1" applyFont="1" applyFill="1" applyBorder="1" applyAlignment="1">
      <alignment/>
    </xf>
    <xf numFmtId="0" fontId="2" fillId="0" borderId="0" xfId="0" applyFont="1" applyAlignment="1">
      <alignment horizontal="left"/>
    </xf>
    <xf numFmtId="164" fontId="0" fillId="2" borderId="0" xfId="0" applyNumberFormat="1" applyFill="1" applyAlignment="1">
      <alignment/>
    </xf>
    <xf numFmtId="0" fontId="0" fillId="0" borderId="0" xfId="0" applyFill="1" applyAlignment="1">
      <alignment horizontal="center"/>
    </xf>
    <xf numFmtId="0" fontId="2" fillId="2" borderId="0" xfId="0" applyFont="1" applyFill="1" applyBorder="1" applyAlignment="1">
      <alignment/>
    </xf>
    <xf numFmtId="0" fontId="0" fillId="2" borderId="0" xfId="0" applyFill="1" applyBorder="1" applyAlignment="1">
      <alignment/>
    </xf>
    <xf numFmtId="10" fontId="0" fillId="2" borderId="0" xfId="0" applyNumberFormat="1" applyFill="1" applyBorder="1" applyAlignment="1">
      <alignment/>
    </xf>
    <xf numFmtId="164" fontId="0" fillId="0" borderId="0" xfId="0" applyNumberFormat="1" applyFont="1" applyAlignment="1">
      <alignment horizontal="right"/>
    </xf>
    <xf numFmtId="164" fontId="0" fillId="0" borderId="0" xfId="0" applyNumberFormat="1" applyFont="1" applyFill="1" applyAlignment="1">
      <alignment horizontal="right"/>
    </xf>
    <xf numFmtId="10" fontId="0" fillId="0" borderId="0" xfId="0" applyNumberFormat="1" applyFont="1" applyAlignment="1">
      <alignment horizontal="right"/>
    </xf>
    <xf numFmtId="10" fontId="0" fillId="0" borderId="0" xfId="0" applyNumberFormat="1" applyFont="1" applyFill="1" applyAlignment="1">
      <alignment horizontal="right"/>
    </xf>
    <xf numFmtId="10" fontId="0" fillId="0" borderId="0" xfId="0" applyNumberForma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lberts%20v.%20HCA%20Spreadsheets\Spreadsheets%20Assuming%20Eighteen-Month%20Delay\Alberts%20v.%20Tuft_mast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lcmst1\Desktop\Excel%20Files\Revenue%20Spreadsheets\Alberts%20v.%20Tuft_revenue_summar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lcmst1\Desktop\Excel%20Files\Alberts%20v.%20Tuft_mast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 Sheet"/>
      <sheetName val="Annualization"/>
      <sheetName val="Total Net Revenue"/>
      <sheetName val="Fixed Expenses"/>
      <sheetName val="Variable Expenses"/>
      <sheetName val="Income Taxes"/>
      <sheetName val="Net Working Capital"/>
      <sheetName val="Capital Expenditures"/>
      <sheetName val="WAC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nue Summary"/>
      <sheetName val="MedSurg (Inpatient) Summary"/>
      <sheetName val="Psych Summary"/>
      <sheetName val="Rehab Summary"/>
      <sheetName val="Outpatient Summary"/>
    </sheetNames>
    <sheetDataSet>
      <sheetData sheetId="0">
        <row r="68">
          <cell r="O68">
            <v>0.11347747162196331</v>
          </cell>
          <cell r="Q68">
            <v>0.11967560493830609</v>
          </cell>
          <cell r="S68">
            <v>0.058730464900941026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ster Sheet"/>
      <sheetName val="Annualization"/>
      <sheetName val="Total Net Revenue"/>
      <sheetName val="Fixed Expenses"/>
      <sheetName val="Variable Expenses"/>
      <sheetName val="Income Taxes"/>
      <sheetName val="Net Working Capital"/>
      <sheetName val="Capital Expenditures"/>
      <sheetName val="WACC"/>
    </sheetNames>
    <sheetDataSet>
      <sheetData sheetId="1">
        <row r="33">
          <cell r="K33">
            <v>142916822.1875</v>
          </cell>
        </row>
        <row r="53">
          <cell r="K53">
            <v>60431774.901315786</v>
          </cell>
        </row>
        <row r="54">
          <cell r="K54">
            <v>5813741.611842105</v>
          </cell>
        </row>
        <row r="56">
          <cell r="K56">
            <v>14039869.078947369</v>
          </cell>
        </row>
        <row r="57">
          <cell r="K57">
            <v>22634211.907894738</v>
          </cell>
        </row>
        <row r="58">
          <cell r="K58">
            <v>0</v>
          </cell>
        </row>
        <row r="59">
          <cell r="K59">
            <v>20751708.799342103</v>
          </cell>
        </row>
        <row r="60">
          <cell r="K60">
            <v>13315981.628289474</v>
          </cell>
        </row>
      </sheetData>
      <sheetData sheetId="2">
        <row r="14">
          <cell r="E14">
            <v>20005551.26464041</v>
          </cell>
        </row>
        <row r="24">
          <cell r="E24">
            <v>162587960.4549948</v>
          </cell>
        </row>
        <row r="37">
          <cell r="E37">
            <v>181038031.12359938</v>
          </cell>
        </row>
        <row r="45">
          <cell r="E45">
            <v>202703867.01515603</v>
          </cell>
        </row>
        <row r="52">
          <cell r="E52">
            <v>214608759.3621747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T32"/>
  <sheetViews>
    <sheetView tabSelected="1" zoomScale="75" zoomScaleNormal="75" workbookViewId="0" topLeftCell="A1">
      <selection activeCell="A1" sqref="A1"/>
    </sheetView>
  </sheetViews>
  <sheetFormatPr defaultColWidth="9.140625" defaultRowHeight="12.75"/>
  <cols>
    <col min="1" max="1" width="36.28125" style="0" bestFit="1" customWidth="1"/>
    <col min="2" max="2" width="37.28125" style="0" bestFit="1" customWidth="1"/>
    <col min="4" max="4" width="16.00390625" style="0" bestFit="1" customWidth="1"/>
    <col min="5" max="5" width="9.28125" style="0" bestFit="1" customWidth="1"/>
    <col min="6" max="6" width="14.8515625" style="0" bestFit="1" customWidth="1"/>
    <col min="7" max="7" width="9.28125" style="0" bestFit="1" customWidth="1"/>
    <col min="8" max="8" width="19.57421875" style="0" bestFit="1" customWidth="1"/>
    <col min="9" max="9" width="9.28125" style="0" bestFit="1" customWidth="1"/>
    <col min="10" max="10" width="19.57421875" style="0" bestFit="1" customWidth="1"/>
    <col min="12" max="12" width="19.140625" style="0" bestFit="1" customWidth="1"/>
    <col min="14" max="14" width="19.140625" style="0" bestFit="1" customWidth="1"/>
    <col min="16" max="16" width="19.140625" style="0" bestFit="1" customWidth="1"/>
    <col min="18" max="18" width="18.57421875" style="0" bestFit="1" customWidth="1"/>
    <col min="20" max="20" width="19.140625" style="0" bestFit="1" customWidth="1"/>
  </cols>
  <sheetData>
    <row r="1" spans="1:20" ht="12.75">
      <c r="A1" s="1" t="s">
        <v>109</v>
      </c>
      <c r="D1" s="2">
        <v>1996</v>
      </c>
      <c r="F1" s="2">
        <v>1997</v>
      </c>
      <c r="H1" s="2" t="s">
        <v>28</v>
      </c>
      <c r="J1" s="2" t="s">
        <v>29</v>
      </c>
      <c r="K1" s="3"/>
      <c r="L1" s="84"/>
      <c r="M1" s="21"/>
      <c r="N1" s="22"/>
      <c r="O1" s="23"/>
      <c r="P1" s="22"/>
      <c r="Q1" s="23"/>
      <c r="R1" s="22"/>
      <c r="S1" s="23"/>
      <c r="T1" s="22"/>
    </row>
    <row r="2" spans="11:20" ht="12.75">
      <c r="K2" s="3"/>
      <c r="L2" s="85"/>
      <c r="M2" s="23"/>
      <c r="N2" s="23"/>
      <c r="O2" s="23"/>
      <c r="P2" s="23"/>
      <c r="Q2" s="23"/>
      <c r="R2" s="23"/>
      <c r="S2" s="23"/>
      <c r="T2" s="23"/>
    </row>
    <row r="3" spans="2:20" ht="12.75">
      <c r="B3" t="s">
        <v>44</v>
      </c>
      <c r="D3" s="7">
        <f>'Salaries &amp; Wages'!E19</f>
        <v>68862435.2</v>
      </c>
      <c r="E3" s="7"/>
      <c r="F3" s="7">
        <f>'Salaries &amp; Wages'!G19</f>
        <v>61784985.6</v>
      </c>
      <c r="G3" s="7"/>
      <c r="H3" s="7">
        <f>'Salaries &amp; Wages'!I19</f>
        <v>63903990.400000006</v>
      </c>
      <c r="I3" s="7"/>
      <c r="J3" s="7">
        <f>'Salaries &amp; Wages'!K19</f>
        <v>66176937.599999994</v>
      </c>
      <c r="K3" s="3"/>
      <c r="L3" s="86"/>
      <c r="M3" s="23"/>
      <c r="N3" s="24"/>
      <c r="O3" s="23"/>
      <c r="P3" s="24"/>
      <c r="Q3" s="23"/>
      <c r="R3" s="24"/>
      <c r="S3" s="24"/>
      <c r="T3" s="24"/>
    </row>
    <row r="4" spans="2:20" ht="12.75">
      <c r="B4" t="s">
        <v>39</v>
      </c>
      <c r="D4" s="7">
        <f>'Contract Labor'!E7</f>
        <v>1105362</v>
      </c>
      <c r="E4" s="7"/>
      <c r="F4" s="7">
        <f>'Contract Labor'!G7</f>
        <v>3371562</v>
      </c>
      <c r="G4" s="7"/>
      <c r="H4" s="7">
        <f>'Contract Labor'!I7</f>
        <v>3474000</v>
      </c>
      <c r="I4" s="7"/>
      <c r="J4" s="7">
        <f>'Contract Labor'!K7</f>
        <v>3543000</v>
      </c>
      <c r="K4" s="3"/>
      <c r="L4" s="86"/>
      <c r="M4" s="23"/>
      <c r="N4" s="24"/>
      <c r="O4" s="23"/>
      <c r="P4" s="24"/>
      <c r="Q4" s="23"/>
      <c r="R4" s="24"/>
      <c r="S4" s="24"/>
      <c r="T4" s="24"/>
    </row>
    <row r="5" spans="2:20" ht="12.75">
      <c r="B5" t="s">
        <v>110</v>
      </c>
      <c r="D5" s="7">
        <f>'Employee Benefits'!D6</f>
        <v>14743447.37632</v>
      </c>
      <c r="E5" s="7"/>
      <c r="F5" s="7">
        <f>'Employee Benefits'!F6</f>
        <v>12981025.47456</v>
      </c>
      <c r="G5" s="7"/>
      <c r="H5" s="7">
        <f>'Employee Benefits'!H6</f>
        <v>12730798.080000002</v>
      </c>
      <c r="I5" s="7"/>
      <c r="J5" s="7">
        <f>'Employee Benefits'!J6</f>
        <v>13111787.52</v>
      </c>
      <c r="K5" s="3"/>
      <c r="L5" s="86"/>
      <c r="M5" s="23"/>
      <c r="N5" s="24"/>
      <c r="O5" s="23"/>
      <c r="P5" s="24"/>
      <c r="Q5" s="23"/>
      <c r="R5" s="24"/>
      <c r="S5" s="24"/>
      <c r="T5" s="24"/>
    </row>
    <row r="6" spans="2:20" ht="12.75">
      <c r="B6" t="s">
        <v>111</v>
      </c>
      <c r="D6" s="7">
        <f>'Professional Fees'!E16</f>
        <v>32273516</v>
      </c>
      <c r="E6" s="7"/>
      <c r="F6" s="7">
        <f>'Professional Fees'!G16</f>
        <v>12567533.19</v>
      </c>
      <c r="G6" s="7"/>
      <c r="H6" s="7">
        <f>'Professional Fees'!I16</f>
        <v>12649632.610000001</v>
      </c>
      <c r="I6" s="7"/>
      <c r="J6" s="7">
        <f>'Professional Fees'!K16</f>
        <v>13897813.92</v>
      </c>
      <c r="K6" s="3"/>
      <c r="L6" s="86"/>
      <c r="M6" s="23"/>
      <c r="N6" s="24"/>
      <c r="O6" s="23"/>
      <c r="P6" s="24"/>
      <c r="Q6" s="23"/>
      <c r="R6" s="24"/>
      <c r="S6" s="24"/>
      <c r="T6" s="24"/>
    </row>
    <row r="7" spans="2:20" ht="12.75">
      <c r="B7" t="s">
        <v>112</v>
      </c>
      <c r="D7" s="7">
        <f>'Supplies &amp; Other'!E16</f>
        <v>23365490.94</v>
      </c>
      <c r="E7" s="7"/>
      <c r="F7" s="7">
        <f>'Supplies &amp; Other'!G16</f>
        <v>22116646.59</v>
      </c>
      <c r="G7" s="7"/>
      <c r="H7" s="7">
        <f>'Supplies &amp; Other'!I16</f>
        <v>25090340.450000003</v>
      </c>
      <c r="I7" s="7"/>
      <c r="J7" s="7">
        <f>'Supplies &amp; Other'!K16</f>
        <v>26623627.29</v>
      </c>
      <c r="K7" s="3"/>
      <c r="L7" s="86"/>
      <c r="M7" s="23"/>
      <c r="N7" s="24"/>
      <c r="O7" s="23"/>
      <c r="P7" s="24"/>
      <c r="Q7" s="23"/>
      <c r="R7" s="24"/>
      <c r="S7" s="24"/>
      <c r="T7" s="24"/>
    </row>
    <row r="8" spans="2:20" ht="12.75">
      <c r="B8" t="s">
        <v>113</v>
      </c>
      <c r="D8" s="7">
        <f>'Other Taxes (Sale &amp; Use)'!E24</f>
        <v>4679568</v>
      </c>
      <c r="E8" s="7"/>
      <c r="F8" s="7">
        <f>'Other Taxes (Sale &amp; Use)'!G24</f>
        <v>1924032</v>
      </c>
      <c r="G8" s="7"/>
      <c r="H8" s="7">
        <f>'Other Taxes (Sale &amp; Use)'!I24</f>
        <v>888795.24</v>
      </c>
      <c r="I8" s="7"/>
      <c r="J8" s="7">
        <f>'Other Taxes (Sale &amp; Use)'!K24</f>
        <v>915455.76</v>
      </c>
      <c r="K8" s="3"/>
      <c r="L8" s="86"/>
      <c r="M8" s="23"/>
      <c r="N8" s="24"/>
      <c r="O8" s="23"/>
      <c r="P8" s="24"/>
      <c r="Q8" s="23"/>
      <c r="R8" s="24"/>
      <c r="S8" s="24"/>
      <c r="T8" s="24"/>
    </row>
    <row r="9" spans="2:20" ht="12.75">
      <c r="B9" t="s">
        <v>114</v>
      </c>
      <c r="D9" s="7">
        <f>'Contract Services'!E22</f>
        <v>20796649.74</v>
      </c>
      <c r="E9" s="7"/>
      <c r="F9" s="7">
        <f>'Contract Services'!G22</f>
        <v>16776827.19</v>
      </c>
      <c r="G9" s="7"/>
      <c r="H9" s="7">
        <f>'Contract Services'!I22</f>
        <v>22549959.77</v>
      </c>
      <c r="I9" s="7"/>
      <c r="J9" s="7">
        <f>'Contract Services'!K22</f>
        <v>23026166.91</v>
      </c>
      <c r="K9" s="3"/>
      <c r="L9" s="86"/>
      <c r="M9" s="23"/>
      <c r="N9" s="24"/>
      <c r="O9" s="23"/>
      <c r="P9" s="24"/>
      <c r="Q9" s="23"/>
      <c r="R9" s="24"/>
      <c r="S9" s="24"/>
      <c r="T9" s="24"/>
    </row>
    <row r="10" spans="2:20" ht="12.75">
      <c r="B10" t="s">
        <v>102</v>
      </c>
      <c r="D10" s="7">
        <f>'Bad Debts'!E6</f>
        <v>7823894.5</v>
      </c>
      <c r="E10" s="7"/>
      <c r="F10" s="7">
        <f>'Bad Debts'!G6</f>
        <v>6453402.2</v>
      </c>
      <c r="G10" s="7"/>
      <c r="H10" s="7">
        <f>'Bad Debts'!I6</f>
        <v>6235315.5072</v>
      </c>
      <c r="I10" s="7"/>
      <c r="J10" s="7">
        <f>'Bad Debts'!K6</f>
        <v>7925813.205</v>
      </c>
      <c r="K10" s="3"/>
      <c r="L10" s="86"/>
      <c r="M10" s="23"/>
      <c r="N10" s="24"/>
      <c r="O10" s="23"/>
      <c r="P10" s="24"/>
      <c r="Q10" s="23"/>
      <c r="R10" s="24"/>
      <c r="S10" s="24"/>
      <c r="T10" s="24"/>
    </row>
    <row r="11" spans="4:20" ht="13.5" thickBot="1">
      <c r="D11" s="7"/>
      <c r="E11" s="7"/>
      <c r="F11" s="7"/>
      <c r="G11" s="7"/>
      <c r="H11" s="7"/>
      <c r="I11" s="7"/>
      <c r="J11" s="7"/>
      <c r="K11" s="3"/>
      <c r="L11" s="85"/>
      <c r="M11" s="23"/>
      <c r="N11" s="23"/>
      <c r="O11" s="23"/>
      <c r="P11" s="23"/>
      <c r="Q11" s="23"/>
      <c r="R11" s="23"/>
      <c r="S11" s="23"/>
      <c r="T11" s="23"/>
    </row>
    <row r="12" spans="2:20" ht="13.5" thickBot="1">
      <c r="B12" s="37" t="s">
        <v>12</v>
      </c>
      <c r="C12" s="13"/>
      <c r="D12" s="14">
        <f>SUM(D3:D10)</f>
        <v>173650363.75632003</v>
      </c>
      <c r="E12" s="14"/>
      <c r="F12" s="14">
        <f>SUM(F3:F10)</f>
        <v>137976014.24456</v>
      </c>
      <c r="G12" s="14"/>
      <c r="H12" s="14">
        <f>SUM(H3:H10)</f>
        <v>147522832.0572</v>
      </c>
      <c r="I12" s="14"/>
      <c r="J12" s="15">
        <f>SUM(J3:J10)</f>
        <v>155220602.205</v>
      </c>
      <c r="K12" s="3"/>
      <c r="L12" s="86"/>
      <c r="M12" s="23"/>
      <c r="N12" s="24"/>
      <c r="O12" s="23"/>
      <c r="P12" s="24"/>
      <c r="Q12" s="23"/>
      <c r="R12" s="24"/>
      <c r="S12" s="24"/>
      <c r="T12" s="24"/>
    </row>
    <row r="13" spans="1:20" ht="12.75">
      <c r="A13" s="3"/>
      <c r="B13" s="3"/>
      <c r="C13" s="3"/>
      <c r="D13" s="82"/>
      <c r="E13" s="82"/>
      <c r="F13" s="82"/>
      <c r="G13" s="82"/>
      <c r="H13" s="82"/>
      <c r="I13" s="82"/>
      <c r="J13" s="82"/>
      <c r="K13" s="3"/>
      <c r="L13" s="3"/>
      <c r="M13" s="17"/>
      <c r="N13" s="17"/>
      <c r="O13" s="17"/>
      <c r="P13" s="17"/>
      <c r="Q13" s="17"/>
      <c r="R13" s="17"/>
      <c r="S13" s="17"/>
      <c r="T13" s="17"/>
    </row>
    <row r="14" spans="1:20" ht="12.75">
      <c r="A14" s="3"/>
      <c r="B14" s="3"/>
      <c r="C14" s="3"/>
      <c r="D14" s="3"/>
      <c r="E14" s="3"/>
      <c r="F14" s="3"/>
      <c r="G14" s="3"/>
      <c r="H14" s="3"/>
      <c r="I14" s="3"/>
      <c r="J14" s="3"/>
      <c r="K14" s="3"/>
      <c r="L14" s="3"/>
      <c r="M14" s="17"/>
      <c r="N14" s="17"/>
      <c r="O14" s="17"/>
      <c r="P14" s="17"/>
      <c r="Q14" s="17"/>
      <c r="R14" s="17"/>
      <c r="S14" s="17"/>
      <c r="T14" s="17"/>
    </row>
    <row r="15" spans="1:12" ht="12.75">
      <c r="A15" s="19" t="s">
        <v>116</v>
      </c>
      <c r="D15" s="18" t="s">
        <v>115</v>
      </c>
      <c r="E15" s="83"/>
      <c r="F15" s="18">
        <v>1999</v>
      </c>
      <c r="G15" s="83"/>
      <c r="H15" s="18">
        <v>2000</v>
      </c>
      <c r="I15" s="83"/>
      <c r="J15" s="18">
        <v>2001</v>
      </c>
      <c r="K15" s="83"/>
      <c r="L15" s="18">
        <v>2002</v>
      </c>
    </row>
    <row r="17" spans="2:12" ht="12.75">
      <c r="B17" t="s">
        <v>32</v>
      </c>
      <c r="D17" s="7">
        <f>'[3]Total Net Revenue'!$E$14</f>
        <v>20005551.26464041</v>
      </c>
      <c r="F17" s="7">
        <f>'[3]Total Net Revenue'!$E$24</f>
        <v>162587960.4549948</v>
      </c>
      <c r="G17" s="7"/>
      <c r="H17" s="7">
        <f>'[3]Total Net Revenue'!$E$37</f>
        <v>181038031.12359938</v>
      </c>
      <c r="I17" s="7"/>
      <c r="J17" s="7">
        <f>'[3]Total Net Revenue'!$E$45</f>
        <v>202703867.01515603</v>
      </c>
      <c r="K17" s="7"/>
      <c r="L17" s="7">
        <f>'[3]Total Net Revenue'!$E$52</f>
        <v>214608759.3621747</v>
      </c>
    </row>
    <row r="19" spans="2:12" ht="12.75">
      <c r="B19" t="s">
        <v>44</v>
      </c>
      <c r="D19" s="7">
        <f>'Salaries &amp; Wages'!$K$35</f>
        <v>8704816.438356165</v>
      </c>
      <c r="E19" s="7"/>
      <c r="F19" s="7">
        <f>'Salaries &amp; Wages'!$I$55</f>
        <v>66176937.599999994</v>
      </c>
      <c r="G19" s="7"/>
      <c r="H19" s="7">
        <f>'Salaries &amp; Wages'!$K$82</f>
        <v>68162245.728</v>
      </c>
      <c r="I19" s="7"/>
      <c r="J19" s="7">
        <f>'Salaries &amp; Wages'!$K$115</f>
        <v>71567842.03318495</v>
      </c>
      <c r="K19" s="7"/>
      <c r="L19" s="7">
        <f>'Salaries &amp; Wages'!$K$142</f>
        <v>75771054.66775101</v>
      </c>
    </row>
    <row r="20" spans="2:12" ht="12.75">
      <c r="B20" t="s">
        <v>39</v>
      </c>
      <c r="D20" s="7">
        <f>'Contract Labor'!$K$25</f>
        <v>597047.6841511986</v>
      </c>
      <c r="E20" s="7"/>
      <c r="F20" s="7">
        <f>'Contract Labor'!$I$32</f>
        <v>2965946.750825331</v>
      </c>
      <c r="G20" s="7"/>
      <c r="H20" s="7">
        <f>'Contract Labor'!$K$39</f>
        <v>3302514.8890743665</v>
      </c>
      <c r="I20" s="7"/>
      <c r="J20" s="7">
        <f>'Contract Labor'!$K$46</f>
        <v>3697745.3562421044</v>
      </c>
      <c r="K20" s="7"/>
      <c r="L20" s="7">
        <f>'Contract Labor'!$K$53</f>
        <v>3914915.660099499</v>
      </c>
    </row>
    <row r="21" spans="2:13" ht="12.75">
      <c r="B21" t="s">
        <v>110</v>
      </c>
      <c r="D21" s="7">
        <f>'Employee Benefits'!$J$14</f>
        <v>1784922.6106849315</v>
      </c>
      <c r="E21" s="6"/>
      <c r="F21" s="7">
        <f>'Employee Benefits'!$H$21</f>
        <v>13235387.52</v>
      </c>
      <c r="G21" s="6"/>
      <c r="H21" s="7">
        <f>'Employee Benefits'!$H$28</f>
        <v>13632449.1456</v>
      </c>
      <c r="I21" s="6"/>
      <c r="J21" s="7">
        <f>'Employee Benefits'!$H$35</f>
        <v>14313568.40663699</v>
      </c>
      <c r="K21" s="6"/>
      <c r="L21" s="7">
        <f>'Employee Benefits'!$H$42</f>
        <v>15154210.933550203</v>
      </c>
      <c r="M21" s="6"/>
    </row>
    <row r="22" spans="2:12" ht="12.75">
      <c r="B22" t="s">
        <v>111</v>
      </c>
      <c r="D22" s="7">
        <f>'Professional Fees'!$K$21</f>
        <v>1682837.2517224175</v>
      </c>
      <c r="E22" s="7"/>
      <c r="F22" s="7">
        <f>'Professional Fees'!$M$38</f>
        <v>12140339.999999998</v>
      </c>
      <c r="G22" s="7"/>
      <c r="H22" s="7">
        <f>'Professional Fees'!$M$55</f>
        <v>13970585.957830844</v>
      </c>
      <c r="I22" s="7"/>
      <c r="J22" s="7">
        <f>'Professional Fees'!$M$72</f>
        <v>15981141.899912111</v>
      </c>
      <c r="K22" s="7"/>
      <c r="L22" s="7">
        <f>'Professional Fees'!$M$89</f>
        <v>17593340.683444902</v>
      </c>
    </row>
    <row r="23" spans="2:12" ht="12.75">
      <c r="B23" t="s">
        <v>112</v>
      </c>
      <c r="D23" s="7">
        <f>'Supplies &amp; Other'!$K$21</f>
        <v>2742195.973873277</v>
      </c>
      <c r="E23" s="7"/>
      <c r="F23" s="7">
        <f>'Supplies &amp; Other'!$M$38</f>
        <v>23798567.97</v>
      </c>
      <c r="G23" s="7"/>
      <c r="H23" s="7">
        <f>'Supplies &amp; Other'!$M$55</f>
        <v>26227299.523545854</v>
      </c>
      <c r="I23" s="7"/>
      <c r="J23" s="7">
        <f>'Supplies &amp; Other'!$M$72</f>
        <v>28783622.88318944</v>
      </c>
      <c r="K23" s="7"/>
      <c r="L23" s="7">
        <f>'Supplies &amp; Other'!$M$89</f>
        <v>30599332.496606782</v>
      </c>
    </row>
    <row r="24" spans="2:12" ht="12.75">
      <c r="B24" t="s">
        <v>113</v>
      </c>
      <c r="D24" s="7">
        <f>'Other Taxes (Sale &amp; Use)'!$K$29</f>
        <v>119317.71715068493</v>
      </c>
      <c r="E24" s="7"/>
      <c r="F24" s="7">
        <f>'Other Taxes (Sale &amp; Use)'!$E$54</f>
        <v>915455.76</v>
      </c>
      <c r="G24" s="7"/>
      <c r="H24" s="7">
        <f>'Other Taxes (Sale &amp; Use)'!$E$76</f>
        <v>942919.4328000001</v>
      </c>
      <c r="I24" s="7"/>
      <c r="J24" s="7">
        <f>'Other Taxes (Sale &amp; Use)'!$E$98</f>
        <v>971207.0157840002</v>
      </c>
      <c r="K24" s="7"/>
      <c r="L24" s="7">
        <f>'Other Taxes (Sale &amp; Use)'!$E$120</f>
        <v>976033.8094884001</v>
      </c>
    </row>
    <row r="25" spans="2:12" ht="12.75">
      <c r="B25" t="s">
        <v>114</v>
      </c>
      <c r="D25" s="7">
        <f>'Contract Services'!$K$27</f>
        <v>3046059.8341439716</v>
      </c>
      <c r="E25" s="7"/>
      <c r="F25" s="7">
        <f>'Contract Services'!$M$50</f>
        <v>20594805.75</v>
      </c>
      <c r="G25" s="7"/>
      <c r="H25" s="7">
        <f>'Contract Services'!$M$73</f>
        <v>22640133.188292094</v>
      </c>
      <c r="I25" s="7"/>
      <c r="J25" s="7">
        <f>'Contract Services'!$M$96</f>
        <v>24715409.645497903</v>
      </c>
      <c r="K25" s="7"/>
      <c r="L25" s="7">
        <f>'Contract Services'!$M$119</f>
        <v>26221712.32068276</v>
      </c>
    </row>
    <row r="26" spans="2:12" ht="12.75">
      <c r="B26" t="s">
        <v>102</v>
      </c>
      <c r="D26" s="7">
        <f>'Bad Debts'!$K$23</f>
        <v>1306567.7675536256</v>
      </c>
      <c r="E26" s="7"/>
      <c r="F26" s="7">
        <f>'Bad Debts'!$I$30</f>
        <v>5749399.459404</v>
      </c>
      <c r="G26" s="7"/>
      <c r="H26" s="7">
        <f>'Bad Debts'!$I$37</f>
        <v>6401826.773401849</v>
      </c>
      <c r="I26" s="7"/>
      <c r="J26" s="7">
        <f>'Bad Debts'!$I$44</f>
        <v>7167969.26521896</v>
      </c>
      <c r="K26" s="7"/>
      <c r="L26" s="7">
        <f>'Bad Debts'!$I$51</f>
        <v>7588947.432560927</v>
      </c>
    </row>
    <row r="27" spans="4:12" ht="13.5" thickBot="1">
      <c r="D27" s="7"/>
      <c r="E27" s="7"/>
      <c r="F27" s="7"/>
      <c r="G27" s="7"/>
      <c r="H27" s="7"/>
      <c r="I27" s="7"/>
      <c r="J27" s="7"/>
      <c r="K27" s="7"/>
      <c r="L27" s="7"/>
    </row>
    <row r="28" spans="2:12" ht="13.5" thickBot="1">
      <c r="B28" s="37" t="s">
        <v>12</v>
      </c>
      <c r="C28" s="13"/>
      <c r="D28" s="14">
        <f>SUM(D19:D26)</f>
        <v>19983765.277636267</v>
      </c>
      <c r="E28" s="14"/>
      <c r="F28" s="14">
        <f>SUM(F19:F26)</f>
        <v>145576840.8102293</v>
      </c>
      <c r="G28" s="14"/>
      <c r="H28" s="14">
        <f>SUM(H19:H26)</f>
        <v>155279974.638545</v>
      </c>
      <c r="I28" s="14"/>
      <c r="J28" s="14">
        <f>SUM(J19:J26)</f>
        <v>167198506.5056665</v>
      </c>
      <c r="K28" s="14"/>
      <c r="L28" s="15">
        <f>SUM(L19:L26)</f>
        <v>177819548.00418448</v>
      </c>
    </row>
    <row r="29" ht="13.5" thickBot="1"/>
    <row r="30" spans="2:12" ht="13.5" thickBot="1">
      <c r="B30" s="26" t="s">
        <v>117</v>
      </c>
      <c r="C30" s="27"/>
      <c r="D30" s="28">
        <f>D28/D17</f>
        <v>0.9989110029153434</v>
      </c>
      <c r="E30" s="27"/>
      <c r="F30" s="28">
        <f>F28/F17</f>
        <v>0.8953728209815741</v>
      </c>
      <c r="G30" s="27"/>
      <c r="H30" s="28">
        <f>H28/H17</f>
        <v>0.857720191027328</v>
      </c>
      <c r="I30" s="27"/>
      <c r="J30" s="28">
        <f>J28/J17</f>
        <v>0.8248412275882491</v>
      </c>
      <c r="K30" s="27"/>
      <c r="L30" s="29">
        <f>L28/L17</f>
        <v>0.8285754436709427</v>
      </c>
    </row>
    <row r="32" ht="12.75">
      <c r="I32" s="6"/>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162"/>
  <sheetViews>
    <sheetView zoomScale="75" zoomScaleNormal="75" workbookViewId="0" topLeftCell="A1">
      <selection activeCell="A1" sqref="A1"/>
    </sheetView>
  </sheetViews>
  <sheetFormatPr defaultColWidth="9.140625" defaultRowHeight="12.75"/>
  <cols>
    <col min="1" max="1" width="61.57421875" style="0" bestFit="1" customWidth="1"/>
    <col min="2" max="2" width="56.8515625" style="0" bestFit="1" customWidth="1"/>
    <col min="3" max="3" width="25.00390625" style="0" bestFit="1" customWidth="1"/>
    <col min="5" max="5" width="19.57421875" style="0" bestFit="1" customWidth="1"/>
    <col min="7" max="7" width="28.7109375" style="0" bestFit="1" customWidth="1"/>
    <col min="9" max="9" width="26.140625" style="0" bestFit="1" customWidth="1"/>
    <col min="11" max="11" width="26.28125" style="0" bestFit="1" customWidth="1"/>
    <col min="13" max="13" width="20.00390625" style="0" bestFit="1" customWidth="1"/>
    <col min="15" max="15" width="19.421875" style="0" bestFit="1" customWidth="1"/>
    <col min="17" max="17" width="19.421875" style="0" bestFit="1" customWidth="1"/>
    <col min="19" max="19" width="18.8515625" style="0" bestFit="1" customWidth="1"/>
    <col min="21" max="21" width="19.421875" style="0" bestFit="1" customWidth="1"/>
  </cols>
  <sheetData>
    <row r="1" spans="1:21" ht="12.75">
      <c r="A1" s="1" t="s">
        <v>0</v>
      </c>
      <c r="E1" s="2">
        <v>1996</v>
      </c>
      <c r="G1" s="2">
        <v>1997</v>
      </c>
      <c r="I1" s="2" t="s">
        <v>28</v>
      </c>
      <c r="K1" s="2" t="s">
        <v>29</v>
      </c>
      <c r="L1" s="3"/>
      <c r="M1" s="20"/>
      <c r="N1" s="21"/>
      <c r="O1" s="22"/>
      <c r="P1" s="23"/>
      <c r="Q1" s="22"/>
      <c r="R1" s="23"/>
      <c r="S1" s="22"/>
      <c r="T1" s="23"/>
      <c r="U1" s="22"/>
    </row>
    <row r="2" spans="1:21" ht="12.75">
      <c r="A2" t="s">
        <v>30</v>
      </c>
      <c r="L2" s="3"/>
      <c r="M2" s="23"/>
      <c r="N2" s="23"/>
      <c r="O2" s="23"/>
      <c r="P2" s="23"/>
      <c r="Q2" s="23"/>
      <c r="R2" s="23"/>
      <c r="S2" s="23"/>
      <c r="T2" s="23"/>
      <c r="U2" s="23"/>
    </row>
    <row r="3" spans="2:21" ht="12.75">
      <c r="B3" s="4" t="s">
        <v>1</v>
      </c>
      <c r="L3" s="3"/>
      <c r="M3" s="23"/>
      <c r="N3" s="23"/>
      <c r="O3" s="23"/>
      <c r="P3" s="23"/>
      <c r="Q3" s="23"/>
      <c r="R3" s="23"/>
      <c r="S3" s="23"/>
      <c r="T3" s="23"/>
      <c r="U3" s="23"/>
    </row>
    <row r="4" spans="3:21" ht="12.75">
      <c r="C4" t="s">
        <v>2</v>
      </c>
      <c r="E4" s="5">
        <v>1973</v>
      </c>
      <c r="F4" s="5"/>
      <c r="G4" s="5">
        <v>1728</v>
      </c>
      <c r="H4" s="5"/>
      <c r="I4" s="5">
        <v>1728</v>
      </c>
      <c r="J4" s="5"/>
      <c r="K4" s="5">
        <v>1728</v>
      </c>
      <c r="L4" s="3"/>
      <c r="M4" s="24"/>
      <c r="N4" s="23"/>
      <c r="O4" s="24"/>
      <c r="P4" s="23"/>
      <c r="Q4" s="24"/>
      <c r="R4" s="23"/>
      <c r="S4" s="24"/>
      <c r="T4" s="24"/>
      <c r="U4" s="24"/>
    </row>
    <row r="5" spans="3:21" ht="12.75">
      <c r="C5" t="s">
        <v>3</v>
      </c>
      <c r="E5" s="5">
        <v>2080</v>
      </c>
      <c r="F5" s="5"/>
      <c r="G5" s="5">
        <v>2080</v>
      </c>
      <c r="H5" s="5"/>
      <c r="I5" s="5">
        <v>2080</v>
      </c>
      <c r="J5" s="5"/>
      <c r="K5" s="5">
        <v>2080</v>
      </c>
      <c r="L5" s="3"/>
      <c r="M5" s="24"/>
      <c r="N5" s="23"/>
      <c r="O5" s="24"/>
      <c r="P5" s="23"/>
      <c r="Q5" s="24"/>
      <c r="R5" s="23"/>
      <c r="S5" s="24"/>
      <c r="T5" s="24"/>
      <c r="U5" s="24"/>
    </row>
    <row r="6" spans="3:21" ht="12.75">
      <c r="C6" t="s">
        <v>4</v>
      </c>
      <c r="E6" s="7">
        <v>16.78</v>
      </c>
      <c r="F6" s="7"/>
      <c r="G6" s="7">
        <v>17.19</v>
      </c>
      <c r="H6" s="7"/>
      <c r="I6" s="7">
        <v>17.71</v>
      </c>
      <c r="J6" s="7"/>
      <c r="K6" s="7">
        <v>18.24</v>
      </c>
      <c r="L6" s="3"/>
      <c r="M6" s="24"/>
      <c r="N6" s="23"/>
      <c r="O6" s="24"/>
      <c r="P6" s="23"/>
      <c r="Q6" s="24"/>
      <c r="R6" s="23"/>
      <c r="S6" s="24"/>
      <c r="T6" s="24"/>
      <c r="U6" s="24"/>
    </row>
    <row r="7" spans="5:21" ht="13.5" thickBot="1">
      <c r="E7" s="7"/>
      <c r="F7" s="7"/>
      <c r="G7" s="7"/>
      <c r="H7" s="7"/>
      <c r="I7" s="7"/>
      <c r="J7" s="7"/>
      <c r="K7" s="7"/>
      <c r="L7" s="3"/>
      <c r="M7" s="24"/>
      <c r="N7" s="23"/>
      <c r="O7" s="24"/>
      <c r="P7" s="23"/>
      <c r="Q7" s="24"/>
      <c r="R7" s="23"/>
      <c r="S7" s="24"/>
      <c r="T7" s="24"/>
      <c r="U7" s="24"/>
    </row>
    <row r="8" spans="3:21" ht="13.5" thickBot="1">
      <c r="C8" s="8" t="s">
        <v>6</v>
      </c>
      <c r="D8" s="9"/>
      <c r="E8" s="10">
        <f>(E4*E5*E6)</f>
        <v>68862435.2</v>
      </c>
      <c r="F8" s="10"/>
      <c r="G8" s="10">
        <f>(G4*G5*G6)</f>
        <v>61784985.6</v>
      </c>
      <c r="H8" s="10"/>
      <c r="I8" s="10">
        <f>(I4*I5*I6)</f>
        <v>63653990.400000006</v>
      </c>
      <c r="J8" s="10"/>
      <c r="K8" s="11">
        <f>(K4*K5*K6)</f>
        <v>65558937.599999994</v>
      </c>
      <c r="L8" s="3"/>
      <c r="M8" s="24"/>
      <c r="N8" s="23"/>
      <c r="O8" s="24"/>
      <c r="P8" s="23"/>
      <c r="Q8" s="24"/>
      <c r="R8" s="23"/>
      <c r="S8" s="24"/>
      <c r="T8" s="24"/>
      <c r="U8" s="24"/>
    </row>
    <row r="9" spans="12:21" ht="12.75">
      <c r="L9" s="3"/>
      <c r="M9" s="24"/>
      <c r="N9" s="23"/>
      <c r="O9" s="24"/>
      <c r="P9" s="23"/>
      <c r="Q9" s="24"/>
      <c r="R9" s="23"/>
      <c r="S9" s="24"/>
      <c r="T9" s="24"/>
      <c r="U9" s="24"/>
    </row>
    <row r="10" spans="2:21" ht="12.75">
      <c r="B10" s="4" t="s">
        <v>7</v>
      </c>
      <c r="L10" s="3"/>
      <c r="M10" s="23"/>
      <c r="N10" s="23"/>
      <c r="O10" s="23"/>
      <c r="P10" s="23"/>
      <c r="Q10" s="23"/>
      <c r="R10" s="23"/>
      <c r="S10" s="23"/>
      <c r="T10" s="23"/>
      <c r="U10" s="23"/>
    </row>
    <row r="11" spans="3:21" ht="12.75">
      <c r="C11" t="s">
        <v>8</v>
      </c>
      <c r="E11" s="7">
        <v>0</v>
      </c>
      <c r="F11" s="7"/>
      <c r="G11" s="7">
        <v>0</v>
      </c>
      <c r="H11" s="7"/>
      <c r="I11" s="7">
        <v>150000</v>
      </c>
      <c r="J11" s="7"/>
      <c r="K11" s="7">
        <v>600000</v>
      </c>
      <c r="L11" s="3"/>
      <c r="M11" s="24"/>
      <c r="N11" s="23"/>
      <c r="O11" s="24"/>
      <c r="P11" s="23"/>
      <c r="Q11" s="24"/>
      <c r="R11" s="23"/>
      <c r="S11" s="24"/>
      <c r="T11" s="24"/>
      <c r="U11" s="24"/>
    </row>
    <row r="12" spans="3:21" ht="12.75">
      <c r="C12" t="s">
        <v>9</v>
      </c>
      <c r="E12" s="6">
        <v>0</v>
      </c>
      <c r="F12" s="6"/>
      <c r="G12" s="6">
        <v>0</v>
      </c>
      <c r="H12" s="6"/>
      <c r="I12" s="6">
        <v>0</v>
      </c>
      <c r="J12" s="6"/>
      <c r="K12" s="6">
        <v>0.03</v>
      </c>
      <c r="L12" s="3"/>
      <c r="M12" s="23"/>
      <c r="N12" s="23"/>
      <c r="O12" s="23"/>
      <c r="P12" s="23"/>
      <c r="Q12" s="23"/>
      <c r="R12" s="23"/>
      <c r="S12" s="23"/>
      <c r="T12" s="23"/>
      <c r="U12" s="23"/>
    </row>
    <row r="13" spans="12:21" ht="13.5" thickBot="1">
      <c r="L13" s="3"/>
      <c r="M13" s="23"/>
      <c r="N13" s="23"/>
      <c r="O13" s="23"/>
      <c r="P13" s="23"/>
      <c r="Q13" s="23"/>
      <c r="R13" s="23"/>
      <c r="S13" s="23"/>
      <c r="T13" s="23"/>
      <c r="U13" s="23"/>
    </row>
    <row r="14" spans="3:21" ht="13.5" thickBot="1">
      <c r="C14" s="8" t="s">
        <v>10</v>
      </c>
      <c r="D14" s="9"/>
      <c r="E14" s="10">
        <f>(E11*(1+E12))</f>
        <v>0</v>
      </c>
      <c r="F14" s="10"/>
      <c r="G14" s="10">
        <f>(G11*(1+G12))</f>
        <v>0</v>
      </c>
      <c r="H14" s="10"/>
      <c r="I14" s="10">
        <f>(I11*(1+I12))</f>
        <v>150000</v>
      </c>
      <c r="J14" s="10"/>
      <c r="K14" s="11">
        <f>(K11*(1+K12))</f>
        <v>618000</v>
      </c>
      <c r="L14" s="3"/>
      <c r="M14" s="23"/>
      <c r="N14" s="23"/>
      <c r="O14" s="23"/>
      <c r="P14" s="23"/>
      <c r="Q14" s="23"/>
      <c r="R14" s="23"/>
      <c r="S14" s="23"/>
      <c r="T14" s="23"/>
      <c r="U14" s="23"/>
    </row>
    <row r="15" spans="12:21" ht="12.75">
      <c r="L15" s="3"/>
      <c r="M15" s="23"/>
      <c r="N15" s="23"/>
      <c r="O15" s="23"/>
      <c r="P15" s="23"/>
      <c r="Q15" s="23"/>
      <c r="R15" s="23"/>
      <c r="S15" s="23"/>
      <c r="T15" s="23"/>
      <c r="U15" s="23"/>
    </row>
    <row r="16" spans="2:21" ht="13.5" thickBot="1">
      <c r="B16" s="4" t="s">
        <v>11</v>
      </c>
      <c r="L16" s="3"/>
      <c r="M16" s="23"/>
      <c r="N16" s="23"/>
      <c r="O16" s="23"/>
      <c r="P16" s="23"/>
      <c r="Q16" s="23"/>
      <c r="R16" s="23"/>
      <c r="S16" s="23"/>
      <c r="T16" s="23"/>
      <c r="U16" s="23"/>
    </row>
    <row r="17" spans="3:21" ht="13.5" thickBot="1">
      <c r="C17" s="8" t="s">
        <v>11</v>
      </c>
      <c r="D17" s="9"/>
      <c r="E17" s="10">
        <v>0</v>
      </c>
      <c r="F17" s="10"/>
      <c r="G17" s="10">
        <v>0</v>
      </c>
      <c r="H17" s="10"/>
      <c r="I17" s="10">
        <v>100000</v>
      </c>
      <c r="J17" s="10"/>
      <c r="K17" s="11">
        <v>0</v>
      </c>
      <c r="L17" s="3"/>
      <c r="M17" s="23"/>
      <c r="N17" s="23"/>
      <c r="O17" s="23"/>
      <c r="P17" s="23"/>
      <c r="Q17" s="23"/>
      <c r="R17" s="23"/>
      <c r="S17" s="23"/>
      <c r="T17" s="23"/>
      <c r="U17" s="23"/>
    </row>
    <row r="18" spans="12:21" ht="13.5" thickBot="1">
      <c r="L18" s="3"/>
      <c r="M18" s="23"/>
      <c r="N18" s="23"/>
      <c r="O18" s="23"/>
      <c r="P18" s="23"/>
      <c r="Q18" s="23"/>
      <c r="R18" s="23"/>
      <c r="S18" s="23"/>
      <c r="T18" s="23"/>
      <c r="U18" s="23"/>
    </row>
    <row r="19" spans="2:21" ht="13.5" thickBot="1">
      <c r="B19" s="12" t="s">
        <v>12</v>
      </c>
      <c r="C19" s="13"/>
      <c r="D19" s="13"/>
      <c r="E19" s="14">
        <f>SUM(E8,E14,E17)</f>
        <v>68862435.2</v>
      </c>
      <c r="F19" s="14"/>
      <c r="G19" s="14">
        <f>SUM(G8,G14,G17)</f>
        <v>61784985.6</v>
      </c>
      <c r="H19" s="14"/>
      <c r="I19" s="14">
        <f>SUM(I8,I14,I17)</f>
        <v>63903990.400000006</v>
      </c>
      <c r="J19" s="14"/>
      <c r="K19" s="15">
        <f>SUM(K8,K14,K17)</f>
        <v>66176937.599999994</v>
      </c>
      <c r="L19" s="3"/>
      <c r="M19" s="23"/>
      <c r="N19" s="23"/>
      <c r="O19" s="23"/>
      <c r="P19" s="23"/>
      <c r="Q19" s="23"/>
      <c r="R19" s="23"/>
      <c r="S19" s="23"/>
      <c r="T19" s="23"/>
      <c r="U19" s="23"/>
    </row>
    <row r="20" spans="1:21" ht="12.75">
      <c r="A20" s="17"/>
      <c r="B20" s="20"/>
      <c r="C20" s="23"/>
      <c r="D20" s="23"/>
      <c r="E20" s="25"/>
      <c r="F20" s="25"/>
      <c r="G20" s="25"/>
      <c r="H20" s="25"/>
      <c r="I20" s="25"/>
      <c r="J20" s="25"/>
      <c r="K20" s="25"/>
      <c r="L20" s="3"/>
      <c r="M20" s="23"/>
      <c r="N20" s="23"/>
      <c r="O20" s="23"/>
      <c r="P20" s="23"/>
      <c r="Q20" s="23"/>
      <c r="R20" s="23"/>
      <c r="S20" s="23"/>
      <c r="T20" s="23"/>
      <c r="U20" s="23"/>
    </row>
    <row r="21" spans="1:21" ht="12.75">
      <c r="A21" s="17"/>
      <c r="B21" s="20" t="s">
        <v>31</v>
      </c>
      <c r="C21" s="23"/>
      <c r="D21" s="23"/>
      <c r="E21" s="25"/>
      <c r="F21" s="25"/>
      <c r="G21" s="25"/>
      <c r="H21" s="25"/>
      <c r="I21" s="25"/>
      <c r="J21" s="25"/>
      <c r="K21" s="25"/>
      <c r="L21" s="3"/>
      <c r="M21" s="23"/>
      <c r="N21" s="23"/>
      <c r="O21" s="23"/>
      <c r="P21" s="23"/>
      <c r="Q21" s="23"/>
      <c r="R21" s="23"/>
      <c r="S21" s="23"/>
      <c r="T21" s="23"/>
      <c r="U21" s="23"/>
    </row>
    <row r="22" spans="1:21" ht="12.75">
      <c r="A22" s="17"/>
      <c r="B22" s="20"/>
      <c r="C22" s="23" t="s">
        <v>32</v>
      </c>
      <c r="D22" s="23"/>
      <c r="E22" s="25">
        <v>171435208</v>
      </c>
      <c r="F22" s="25"/>
      <c r="G22" s="25">
        <v>155125064</v>
      </c>
      <c r="H22" s="25"/>
      <c r="I22" s="25">
        <v>182755500</v>
      </c>
      <c r="J22" s="25"/>
      <c r="K22" s="25">
        <v>194221000</v>
      </c>
      <c r="L22" s="3"/>
      <c r="M22" s="24"/>
      <c r="N22" s="23"/>
      <c r="O22" s="24"/>
      <c r="P22" s="23"/>
      <c r="Q22" s="24"/>
      <c r="R22" s="23"/>
      <c r="S22" s="24"/>
      <c r="T22" s="24"/>
      <c r="U22" s="24"/>
    </row>
    <row r="23" spans="1:21" ht="12.75">
      <c r="A23" s="17"/>
      <c r="B23" s="20"/>
      <c r="C23" s="23" t="s">
        <v>44</v>
      </c>
      <c r="D23" s="23"/>
      <c r="E23" s="25">
        <v>63987409</v>
      </c>
      <c r="F23" s="25"/>
      <c r="G23" s="25">
        <v>58401120</v>
      </c>
      <c r="H23" s="25"/>
      <c r="I23" s="25">
        <v>64842000</v>
      </c>
      <c r="J23" s="25"/>
      <c r="K23" s="25">
        <v>65541000</v>
      </c>
      <c r="L23" s="3"/>
      <c r="M23" s="23"/>
      <c r="N23" s="23"/>
      <c r="O23" s="23"/>
      <c r="P23" s="23"/>
      <c r="Q23" s="23"/>
      <c r="R23" s="23"/>
      <c r="S23" s="23"/>
      <c r="T23" s="23"/>
      <c r="U23" s="23"/>
    </row>
    <row r="24" spans="1:21" ht="13.5" thickBot="1">
      <c r="A24" s="17"/>
      <c r="B24" s="20"/>
      <c r="C24" s="23"/>
      <c r="D24" s="23"/>
      <c r="E24" s="25"/>
      <c r="F24" s="25"/>
      <c r="G24" s="25"/>
      <c r="H24" s="25"/>
      <c r="I24" s="25"/>
      <c r="J24" s="25"/>
      <c r="K24" s="25"/>
      <c r="L24" s="3"/>
      <c r="M24" s="23"/>
      <c r="N24" s="23"/>
      <c r="O24" s="23"/>
      <c r="P24" s="23"/>
      <c r="Q24" s="23"/>
      <c r="R24" s="23"/>
      <c r="S24" s="23"/>
      <c r="T24" s="23"/>
      <c r="U24" s="23"/>
    </row>
    <row r="25" spans="1:12" ht="13.5" thickBot="1">
      <c r="A25" s="17"/>
      <c r="B25" s="20"/>
      <c r="C25" s="26" t="s">
        <v>33</v>
      </c>
      <c r="D25" s="27"/>
      <c r="E25" s="28">
        <f>E23/E22</f>
        <v>0.37324543625834433</v>
      </c>
      <c r="F25" s="28"/>
      <c r="G25" s="28">
        <f>G23/G22</f>
        <v>0.3764776528956017</v>
      </c>
      <c r="H25" s="28"/>
      <c r="I25" s="28">
        <f>I23/I22</f>
        <v>0.3548019074665332</v>
      </c>
      <c r="J25" s="28"/>
      <c r="K25" s="29">
        <f>K23/K22</f>
        <v>0.3374557849048249</v>
      </c>
      <c r="L25" s="3"/>
    </row>
    <row r="26" spans="1:12" ht="12.75">
      <c r="A26" s="17"/>
      <c r="B26" s="20"/>
      <c r="C26" s="23"/>
      <c r="D26" s="23"/>
      <c r="E26" s="25"/>
      <c r="F26" s="25"/>
      <c r="G26" s="25"/>
      <c r="H26" s="25"/>
      <c r="I26" s="25"/>
      <c r="J26" s="25"/>
      <c r="K26" s="25"/>
      <c r="L26" s="3"/>
    </row>
    <row r="27" spans="1:12" ht="12.75">
      <c r="A27" s="17"/>
      <c r="B27" s="20"/>
      <c r="C27" s="23"/>
      <c r="D27" s="23"/>
      <c r="E27" s="25"/>
      <c r="F27" s="25"/>
      <c r="G27" s="25"/>
      <c r="H27" s="25"/>
      <c r="I27" s="25"/>
      <c r="J27" s="25"/>
      <c r="K27" s="25"/>
      <c r="L27" s="3"/>
    </row>
    <row r="28" spans="1:12" ht="12.75">
      <c r="A28" s="3"/>
      <c r="B28" s="3"/>
      <c r="C28" s="3"/>
      <c r="D28" s="3"/>
      <c r="E28" s="3"/>
      <c r="F28" s="3"/>
      <c r="G28" s="3"/>
      <c r="H28" s="3"/>
      <c r="I28" s="3"/>
      <c r="J28" s="3"/>
      <c r="K28" s="3"/>
      <c r="L28" s="3"/>
    </row>
    <row r="29" spans="1:13" ht="12.75">
      <c r="A29" s="3"/>
      <c r="B29" s="3"/>
      <c r="C29" s="3"/>
      <c r="D29" s="3"/>
      <c r="E29" s="3"/>
      <c r="F29" s="3"/>
      <c r="G29" s="3"/>
      <c r="H29" s="3"/>
      <c r="I29" s="3"/>
      <c r="J29" s="3"/>
      <c r="K29" s="3"/>
      <c r="L29" s="3"/>
      <c r="M29" s="22"/>
    </row>
    <row r="30" spans="1:13" ht="12.75">
      <c r="A30" s="16" t="s">
        <v>18</v>
      </c>
      <c r="B30" s="17"/>
      <c r="C30" s="17"/>
      <c r="E30" s="2" t="s">
        <v>28</v>
      </c>
      <c r="F30" s="17"/>
      <c r="G30" s="18" t="s">
        <v>120</v>
      </c>
      <c r="H30" s="17"/>
      <c r="I30" s="18" t="s">
        <v>19</v>
      </c>
      <c r="J30" s="17"/>
      <c r="K30" s="18" t="s">
        <v>13</v>
      </c>
      <c r="M30" s="23"/>
    </row>
    <row r="31" ht="12.75">
      <c r="M31" s="23"/>
    </row>
    <row r="32" spans="2:13" ht="12.75">
      <c r="B32" t="s">
        <v>32</v>
      </c>
      <c r="E32" s="7">
        <f>$I$22</f>
        <v>182755500</v>
      </c>
      <c r="G32" s="7">
        <f>'[3]Annualization'!$K$33</f>
        <v>142916822.1875</v>
      </c>
      <c r="I32" s="7"/>
      <c r="M32" s="23"/>
    </row>
    <row r="33" spans="2:13" ht="12.75">
      <c r="B33" t="s">
        <v>31</v>
      </c>
      <c r="E33" s="6">
        <f>$I$25</f>
        <v>0.3548019074665332</v>
      </c>
      <c r="G33" s="6">
        <f>G35/G32</f>
        <v>0.42284577823898295</v>
      </c>
      <c r="I33" s="6"/>
      <c r="M33" s="23"/>
    </row>
    <row r="34" ht="13.5" thickBot="1">
      <c r="M34" s="23"/>
    </row>
    <row r="35" spans="2:13" ht="13.5" thickBot="1">
      <c r="B35" s="12" t="s">
        <v>12</v>
      </c>
      <c r="C35" s="13"/>
      <c r="D35" s="13"/>
      <c r="E35" s="14">
        <f>E32*E33</f>
        <v>64842000</v>
      </c>
      <c r="F35" s="13"/>
      <c r="G35" s="14">
        <f>'[3]Annualization'!$K$53</f>
        <v>60431774.901315786</v>
      </c>
      <c r="H35" s="13"/>
      <c r="I35" s="14">
        <f>$E$35</f>
        <v>64842000</v>
      </c>
      <c r="J35" s="14"/>
      <c r="K35" s="15">
        <f>(I35/365)*49</f>
        <v>8704816.438356165</v>
      </c>
      <c r="M35" s="35"/>
    </row>
    <row r="36" ht="12.75">
      <c r="M36" s="35"/>
    </row>
    <row r="37" spans="1:13" ht="12.75">
      <c r="A37" s="19" t="s">
        <v>20</v>
      </c>
      <c r="E37" s="2" t="s">
        <v>29</v>
      </c>
      <c r="G37" s="2" t="s">
        <v>16</v>
      </c>
      <c r="I37" s="2" t="s">
        <v>21</v>
      </c>
      <c r="M37" s="25"/>
    </row>
    <row r="38" ht="12.75">
      <c r="M38" s="25"/>
    </row>
    <row r="39" spans="2:13" ht="12.75">
      <c r="B39" s="4" t="s">
        <v>1</v>
      </c>
      <c r="M39" s="35"/>
    </row>
    <row r="40" spans="3:13" ht="12.75">
      <c r="C40" t="s">
        <v>2</v>
      </c>
      <c r="E40" s="5">
        <v>1728</v>
      </c>
      <c r="I40" s="5">
        <v>1728</v>
      </c>
      <c r="M40" s="36"/>
    </row>
    <row r="41" spans="3:13" ht="12.75">
      <c r="C41" t="s">
        <v>3</v>
      </c>
      <c r="E41" s="5">
        <v>2080</v>
      </c>
      <c r="I41" s="5">
        <v>2080</v>
      </c>
      <c r="M41" s="23"/>
    </row>
    <row r="42" spans="3:13" ht="12.75">
      <c r="C42" t="s">
        <v>4</v>
      </c>
      <c r="E42" s="7">
        <v>18.24</v>
      </c>
      <c r="I42" s="7">
        <v>18.24</v>
      </c>
      <c r="M42" s="25"/>
    </row>
    <row r="43" spans="5:13" ht="13.5" thickBot="1">
      <c r="E43" s="7"/>
      <c r="I43" s="7"/>
      <c r="M43" s="23"/>
    </row>
    <row r="44" spans="3:13" ht="13.5" thickBot="1">
      <c r="C44" s="8" t="s">
        <v>6</v>
      </c>
      <c r="D44" s="9"/>
      <c r="E44" s="10">
        <f>(E40*E41*E42)</f>
        <v>65558937.599999994</v>
      </c>
      <c r="F44" s="9"/>
      <c r="G44" s="9"/>
      <c r="H44" s="9"/>
      <c r="I44" s="11">
        <f>(I40*I41*I42)</f>
        <v>65558937.599999994</v>
      </c>
      <c r="J44" s="23"/>
      <c r="M44" s="23"/>
    </row>
    <row r="45" spans="10:13" ht="12.75">
      <c r="J45" s="23"/>
      <c r="M45" s="25"/>
    </row>
    <row r="46" spans="2:13" ht="12.75">
      <c r="B46" s="4" t="s">
        <v>7</v>
      </c>
      <c r="J46" s="23"/>
      <c r="M46" s="24"/>
    </row>
    <row r="47" spans="3:13" ht="12.75">
      <c r="C47" t="s">
        <v>8</v>
      </c>
      <c r="E47" s="7">
        <v>600000</v>
      </c>
      <c r="I47" s="7">
        <v>600000</v>
      </c>
      <c r="J47" s="23"/>
      <c r="M47" s="23"/>
    </row>
    <row r="48" spans="3:13" ht="12.75">
      <c r="C48" t="s">
        <v>9</v>
      </c>
      <c r="E48" s="6">
        <v>0.03</v>
      </c>
      <c r="I48" s="6">
        <v>0.03</v>
      </c>
      <c r="J48" s="23"/>
      <c r="M48" s="25"/>
    </row>
    <row r="49" spans="10:13" ht="13.5" thickBot="1">
      <c r="J49" s="23"/>
      <c r="M49" s="23"/>
    </row>
    <row r="50" spans="3:13" ht="13.5" thickBot="1">
      <c r="C50" s="8" t="s">
        <v>10</v>
      </c>
      <c r="D50" s="9"/>
      <c r="E50" s="10">
        <f>(E47*(1+E48))</f>
        <v>618000</v>
      </c>
      <c r="F50" s="9"/>
      <c r="G50" s="9"/>
      <c r="H50" s="9"/>
      <c r="I50" s="11">
        <f>(I47*(1+I48))</f>
        <v>618000</v>
      </c>
      <c r="J50" s="23"/>
      <c r="M50" s="23"/>
    </row>
    <row r="51" spans="10:13" ht="12.75">
      <c r="J51" s="23"/>
      <c r="M51" s="25"/>
    </row>
    <row r="52" spans="2:13" ht="13.5" thickBot="1">
      <c r="B52" s="4" t="s">
        <v>11</v>
      </c>
      <c r="J52" s="23"/>
      <c r="M52" s="23"/>
    </row>
    <row r="53" spans="3:13" ht="13.5" thickBot="1">
      <c r="C53" s="8" t="s">
        <v>11</v>
      </c>
      <c r="D53" s="9"/>
      <c r="E53" s="10">
        <v>0</v>
      </c>
      <c r="F53" s="9"/>
      <c r="G53" s="9"/>
      <c r="H53" s="9"/>
      <c r="I53" s="11">
        <v>0</v>
      </c>
      <c r="J53" s="23"/>
      <c r="M53" s="25"/>
    </row>
    <row r="54" spans="10:13" ht="13.5" thickBot="1">
      <c r="J54" s="23"/>
      <c r="M54" s="23"/>
    </row>
    <row r="55" spans="2:13" ht="13.5" thickBot="1">
      <c r="B55" s="30" t="s">
        <v>34</v>
      </c>
      <c r="C55" s="31"/>
      <c r="D55" s="31"/>
      <c r="E55" s="32">
        <f>SUM(E44,E50,E53)</f>
        <v>66176937.599999994</v>
      </c>
      <c r="F55" s="31"/>
      <c r="G55" s="31"/>
      <c r="H55" s="31"/>
      <c r="I55" s="33">
        <f>SUM(I44,I50,I53)</f>
        <v>66176937.599999994</v>
      </c>
      <c r="J55" s="23"/>
      <c r="M55" s="22"/>
    </row>
    <row r="56" spans="1:13" ht="12.75">
      <c r="A56" s="17"/>
      <c r="B56" s="20"/>
      <c r="C56" s="23"/>
      <c r="D56" s="23"/>
      <c r="E56" s="25"/>
      <c r="F56" s="23"/>
      <c r="G56" s="23"/>
      <c r="H56" s="23"/>
      <c r="I56" s="25"/>
      <c r="J56" s="23"/>
      <c r="M56" s="23"/>
    </row>
    <row r="57" spans="1:13" ht="12.75">
      <c r="A57" s="17"/>
      <c r="B57" s="20" t="s">
        <v>35</v>
      </c>
      <c r="C57" s="23"/>
      <c r="D57" s="23"/>
      <c r="E57" s="25"/>
      <c r="F57" s="23"/>
      <c r="G57" s="23"/>
      <c r="H57" s="23"/>
      <c r="I57" s="25"/>
      <c r="J57" s="23"/>
      <c r="M57" s="23"/>
    </row>
    <row r="58" spans="1:13" ht="12.75">
      <c r="A58" s="17"/>
      <c r="B58" s="20"/>
      <c r="C58" s="23" t="s">
        <v>32</v>
      </c>
      <c r="D58" s="23"/>
      <c r="E58" s="25">
        <f>$K$22</f>
        <v>194221000</v>
      </c>
      <c r="F58" s="23"/>
      <c r="G58" s="25">
        <f>'[3]Total Net Revenue'!$E$24</f>
        <v>162587960.4549948</v>
      </c>
      <c r="H58" s="23"/>
      <c r="I58" s="25">
        <f>$G$58</f>
        <v>162587960.4549948</v>
      </c>
      <c r="J58" s="23"/>
      <c r="M58" s="35"/>
    </row>
    <row r="59" spans="1:13" ht="12.75">
      <c r="A59" s="17"/>
      <c r="B59" s="20"/>
      <c r="C59" s="23" t="s">
        <v>36</v>
      </c>
      <c r="D59" s="23"/>
      <c r="E59" s="24">
        <f>$K$25</f>
        <v>0.3374557849048249</v>
      </c>
      <c r="F59" s="24"/>
      <c r="G59" s="24">
        <f>AVERAGE(E59,(66848000/181319000))</f>
        <v>0.3530659927066605</v>
      </c>
      <c r="H59" s="24"/>
      <c r="I59" s="24">
        <f>$G$59</f>
        <v>0.3530659927066605</v>
      </c>
      <c r="J59" s="24"/>
      <c r="K59" s="6"/>
      <c r="M59" s="35"/>
    </row>
    <row r="60" spans="1:13" ht="13.5" thickBot="1">
      <c r="A60" s="17"/>
      <c r="B60" s="20"/>
      <c r="C60" s="23"/>
      <c r="D60" s="23"/>
      <c r="E60" s="25"/>
      <c r="F60" s="23"/>
      <c r="G60" s="23"/>
      <c r="H60" s="23"/>
      <c r="I60" s="25"/>
      <c r="J60" s="23"/>
      <c r="M60" s="25"/>
    </row>
    <row r="61" spans="1:13" ht="13.5" thickBot="1">
      <c r="A61" s="17"/>
      <c r="B61" s="12" t="s">
        <v>12</v>
      </c>
      <c r="C61" s="13"/>
      <c r="D61" s="13"/>
      <c r="E61" s="14">
        <f>E58*E59</f>
        <v>65541000</v>
      </c>
      <c r="F61" s="13"/>
      <c r="G61" s="13"/>
      <c r="H61" s="13"/>
      <c r="I61" s="15">
        <f>I58*I59</f>
        <v>57404279.660194</v>
      </c>
      <c r="J61" s="23"/>
      <c r="M61" s="25"/>
    </row>
    <row r="62" spans="1:13" ht="12.75">
      <c r="A62" s="17"/>
      <c r="B62" s="20"/>
      <c r="C62" s="23"/>
      <c r="D62" s="23"/>
      <c r="E62" s="25"/>
      <c r="F62" s="23"/>
      <c r="G62" s="23"/>
      <c r="H62" s="23"/>
      <c r="I62" s="25"/>
      <c r="J62" s="23"/>
      <c r="M62" s="35"/>
    </row>
    <row r="63" spans="1:13" ht="12.75">
      <c r="A63" s="19" t="s">
        <v>22</v>
      </c>
      <c r="E63" s="2" t="s">
        <v>21</v>
      </c>
      <c r="G63" s="2" t="s">
        <v>37</v>
      </c>
      <c r="I63" s="2" t="s">
        <v>16</v>
      </c>
      <c r="K63" s="2" t="s">
        <v>23</v>
      </c>
      <c r="M63" s="36"/>
    </row>
    <row r="64" ht="12.75">
      <c r="M64" s="23"/>
    </row>
    <row r="65" spans="2:13" ht="12.75">
      <c r="B65" s="4" t="s">
        <v>1</v>
      </c>
      <c r="M65" s="25"/>
    </row>
    <row r="66" spans="3:13" ht="12.75">
      <c r="C66" t="s">
        <v>2</v>
      </c>
      <c r="E66" s="5">
        <v>1728</v>
      </c>
      <c r="I66" s="5"/>
      <c r="K66" s="5">
        <f>$E$66</f>
        <v>1728</v>
      </c>
      <c r="M66" s="23"/>
    </row>
    <row r="67" spans="3:13" ht="12.75">
      <c r="C67" t="s">
        <v>3</v>
      </c>
      <c r="E67" s="5">
        <v>2080</v>
      </c>
      <c r="K67" s="5">
        <v>2080</v>
      </c>
      <c r="M67" s="23"/>
    </row>
    <row r="68" spans="3:13" ht="12.75">
      <c r="C68" t="s">
        <v>4</v>
      </c>
      <c r="E68" s="7">
        <v>18.24</v>
      </c>
      <c r="G68" s="6">
        <v>0.03</v>
      </c>
      <c r="I68" s="7">
        <f>E68*(1+G68)</f>
        <v>18.7872</v>
      </c>
      <c r="K68" s="7">
        <f>$I$68</f>
        <v>18.7872</v>
      </c>
      <c r="M68" s="25"/>
    </row>
    <row r="69" spans="5:13" ht="12.75">
      <c r="E69" s="7"/>
      <c r="G69" s="6"/>
      <c r="I69" s="7"/>
      <c r="K69" s="7"/>
      <c r="M69" s="24"/>
    </row>
    <row r="70" ht="13.5" thickBot="1">
      <c r="M70" s="23"/>
    </row>
    <row r="71" spans="3:13" ht="13.5" thickBot="1">
      <c r="C71" s="8" t="s">
        <v>6</v>
      </c>
      <c r="D71" s="9"/>
      <c r="E71" s="10">
        <f>(E66*E67*E68)</f>
        <v>65558937.599999994</v>
      </c>
      <c r="F71" s="9"/>
      <c r="G71" s="9"/>
      <c r="H71" s="9"/>
      <c r="I71" s="9"/>
      <c r="J71" s="9"/>
      <c r="K71" s="11">
        <f>(K66*K67*K68)</f>
        <v>67525705.728</v>
      </c>
      <c r="M71" s="25"/>
    </row>
    <row r="72" ht="12.75">
      <c r="M72" s="23"/>
    </row>
    <row r="73" spans="2:13" ht="12.75">
      <c r="B73" s="4" t="s">
        <v>7</v>
      </c>
      <c r="M73" s="23"/>
    </row>
    <row r="74" spans="3:13" ht="12.75">
      <c r="C74" t="s">
        <v>8</v>
      </c>
      <c r="E74" s="7">
        <v>600000</v>
      </c>
      <c r="G74" s="6">
        <v>0.03</v>
      </c>
      <c r="I74" s="7">
        <f>E74*(1+G74)</f>
        <v>618000</v>
      </c>
      <c r="K74" s="7">
        <f>$I$74</f>
        <v>618000</v>
      </c>
      <c r="M74" s="25"/>
    </row>
    <row r="75" spans="3:13" ht="12.75">
      <c r="C75" t="s">
        <v>9</v>
      </c>
      <c r="E75" s="6">
        <v>0.03</v>
      </c>
      <c r="K75" s="6">
        <v>0.03</v>
      </c>
      <c r="M75" s="23"/>
    </row>
    <row r="76" ht="13.5" thickBot="1">
      <c r="M76" s="25"/>
    </row>
    <row r="77" spans="3:13" ht="13.5" thickBot="1">
      <c r="C77" s="8" t="s">
        <v>10</v>
      </c>
      <c r="D77" s="9"/>
      <c r="E77" s="10">
        <f>(E74*(1+E75))</f>
        <v>618000</v>
      </c>
      <c r="F77" s="9"/>
      <c r="G77" s="9"/>
      <c r="H77" s="9"/>
      <c r="I77" s="9"/>
      <c r="J77" s="9"/>
      <c r="K77" s="11">
        <f>(K74*(1+K75))</f>
        <v>636540</v>
      </c>
      <c r="M77" s="23"/>
    </row>
    <row r="78" ht="12.75">
      <c r="M78" s="22"/>
    </row>
    <row r="79" spans="2:13" ht="13.5" thickBot="1">
      <c r="B79" s="4" t="s">
        <v>11</v>
      </c>
      <c r="M79" s="23"/>
    </row>
    <row r="80" spans="3:13" ht="13.5" thickBot="1">
      <c r="C80" s="8" t="s">
        <v>11</v>
      </c>
      <c r="D80" s="9"/>
      <c r="E80" s="10">
        <v>0</v>
      </c>
      <c r="F80" s="9"/>
      <c r="G80" s="9"/>
      <c r="H80" s="9"/>
      <c r="I80" s="9"/>
      <c r="J80" s="9"/>
      <c r="K80" s="11">
        <v>0</v>
      </c>
      <c r="M80" s="23"/>
    </row>
    <row r="81" ht="13.5" thickBot="1">
      <c r="M81" s="35"/>
    </row>
    <row r="82" spans="2:13" ht="13.5" thickBot="1">
      <c r="B82" s="30" t="s">
        <v>34</v>
      </c>
      <c r="C82" s="31"/>
      <c r="D82" s="31"/>
      <c r="E82" s="32">
        <f>SUM(E71,E77,E80)</f>
        <v>66176937.599999994</v>
      </c>
      <c r="F82" s="31"/>
      <c r="G82" s="31"/>
      <c r="H82" s="31"/>
      <c r="I82" s="31"/>
      <c r="J82" s="31"/>
      <c r="K82" s="33">
        <f>SUM(K71,K77,K80)</f>
        <v>68162245.728</v>
      </c>
      <c r="M82" s="35"/>
    </row>
    <row r="83" spans="1:13" ht="12.75">
      <c r="A83" s="23"/>
      <c r="B83" s="20"/>
      <c r="C83" s="23"/>
      <c r="D83" s="23"/>
      <c r="E83" s="25"/>
      <c r="F83" s="23"/>
      <c r="G83" s="23"/>
      <c r="H83" s="23"/>
      <c r="I83" s="23"/>
      <c r="J83" s="23"/>
      <c r="K83" s="25"/>
      <c r="L83" s="23"/>
      <c r="M83" s="25"/>
    </row>
    <row r="84" spans="1:13" ht="12.75">
      <c r="A84" s="23"/>
      <c r="B84" s="20" t="s">
        <v>35</v>
      </c>
      <c r="C84" s="23"/>
      <c r="D84" s="23"/>
      <c r="E84" s="25"/>
      <c r="F84" s="23"/>
      <c r="G84" s="23"/>
      <c r="H84" s="23"/>
      <c r="I84" s="25"/>
      <c r="J84" s="23"/>
      <c r="K84" s="25"/>
      <c r="L84" s="23"/>
      <c r="M84" s="25"/>
    </row>
    <row r="85" spans="1:13" ht="12.75">
      <c r="A85" s="23"/>
      <c r="B85" s="20"/>
      <c r="C85" s="23" t="s">
        <v>32</v>
      </c>
      <c r="D85" s="23"/>
      <c r="E85" s="25">
        <f>$I$58</f>
        <v>162587960.4549948</v>
      </c>
      <c r="F85" s="23"/>
      <c r="G85" s="24">
        <f>'[2]Revenue Summary'!$O$68</f>
        <v>0.11347747162196331</v>
      </c>
      <c r="H85" s="23"/>
      <c r="I85" s="25">
        <f>E85*(1+G85)</f>
        <v>181038031.12359935</v>
      </c>
      <c r="J85" s="23"/>
      <c r="K85" s="25">
        <f>$I$85</f>
        <v>181038031.12359935</v>
      </c>
      <c r="L85" s="23"/>
      <c r="M85" s="35"/>
    </row>
    <row r="86" spans="1:13" ht="12.75">
      <c r="A86" s="23"/>
      <c r="B86" s="20"/>
      <c r="C86" s="23" t="s">
        <v>36</v>
      </c>
      <c r="D86" s="23"/>
      <c r="E86" s="24">
        <f>$I$59</f>
        <v>0.3530659927066605</v>
      </c>
      <c r="F86" s="24"/>
      <c r="G86" s="23"/>
      <c r="H86" s="23"/>
      <c r="I86" s="23"/>
      <c r="J86" s="24"/>
      <c r="K86" s="24">
        <f>$E$86</f>
        <v>0.3530659927066605</v>
      </c>
      <c r="L86" s="23"/>
      <c r="M86" s="36"/>
    </row>
    <row r="87" spans="1:13" ht="13.5" thickBot="1">
      <c r="A87" s="23"/>
      <c r="B87" s="20"/>
      <c r="C87" s="23"/>
      <c r="D87" s="23"/>
      <c r="E87" s="25"/>
      <c r="F87" s="23"/>
      <c r="G87" s="23"/>
      <c r="H87" s="23"/>
      <c r="I87" s="25"/>
      <c r="J87" s="23"/>
      <c r="K87" s="25"/>
      <c r="L87" s="23"/>
      <c r="M87" s="23"/>
    </row>
    <row r="88" spans="2:13" ht="13.5" thickBot="1">
      <c r="B88" s="12" t="s">
        <v>12</v>
      </c>
      <c r="C88" s="13"/>
      <c r="D88" s="13"/>
      <c r="E88" s="14">
        <f>E85*E86</f>
        <v>57404279.660194</v>
      </c>
      <c r="F88" s="13"/>
      <c r="G88" s="13"/>
      <c r="H88" s="13"/>
      <c r="I88" s="14"/>
      <c r="J88" s="13"/>
      <c r="K88" s="15">
        <f>K85*K86</f>
        <v>63918372.17631291</v>
      </c>
      <c r="M88" s="25"/>
    </row>
    <row r="89" spans="1:13" ht="12.75">
      <c r="A89" s="17"/>
      <c r="B89" s="20"/>
      <c r="C89" s="23"/>
      <c r="D89" s="23"/>
      <c r="E89" s="25"/>
      <c r="F89" s="23"/>
      <c r="G89" s="23"/>
      <c r="H89" s="23"/>
      <c r="I89" s="25"/>
      <c r="M89" s="23"/>
    </row>
    <row r="90" spans="1:13" ht="12.75">
      <c r="A90" s="19" t="s">
        <v>24</v>
      </c>
      <c r="E90" s="2" t="s">
        <v>23</v>
      </c>
      <c r="G90" s="2" t="s">
        <v>37</v>
      </c>
      <c r="I90" s="2" t="s">
        <v>16</v>
      </c>
      <c r="K90" s="2" t="s">
        <v>25</v>
      </c>
      <c r="M90" s="23"/>
    </row>
    <row r="91" ht="12.75">
      <c r="M91" s="25"/>
    </row>
    <row r="92" spans="2:13" ht="12.75">
      <c r="B92" s="4" t="s">
        <v>1</v>
      </c>
      <c r="M92" s="24"/>
    </row>
    <row r="93" spans="3:13" ht="12.75">
      <c r="C93" t="s">
        <v>2</v>
      </c>
      <c r="E93" s="5">
        <f>$K$66</f>
        <v>1728</v>
      </c>
      <c r="I93" s="5"/>
      <c r="K93" s="5">
        <f>$E$93</f>
        <v>1728</v>
      </c>
      <c r="M93" s="23"/>
    </row>
    <row r="94" spans="3:13" ht="12.75">
      <c r="C94" t="s">
        <v>3</v>
      </c>
      <c r="E94" s="5">
        <v>2080</v>
      </c>
      <c r="K94" s="5">
        <v>2080</v>
      </c>
      <c r="M94" s="25"/>
    </row>
    <row r="95" spans="3:13" ht="12.75">
      <c r="C95" t="s">
        <v>4</v>
      </c>
      <c r="E95" s="7">
        <f>$K$68</f>
        <v>18.7872</v>
      </c>
      <c r="G95" s="6">
        <v>0.03</v>
      </c>
      <c r="I95" s="7">
        <f>E95*(1+G95)</f>
        <v>19.350816</v>
      </c>
      <c r="K95" s="7">
        <f>$I$95</f>
        <v>19.350816</v>
      </c>
      <c r="M95" s="23"/>
    </row>
    <row r="96" spans="5:13" ht="12.75">
      <c r="E96" s="7"/>
      <c r="G96" s="6"/>
      <c r="I96" s="7"/>
      <c r="K96" s="7"/>
      <c r="M96" s="23"/>
    </row>
    <row r="97" ht="13.5" thickBot="1">
      <c r="M97" s="25"/>
    </row>
    <row r="98" spans="3:13" ht="13.5" thickBot="1">
      <c r="C98" s="8" t="s">
        <v>6</v>
      </c>
      <c r="D98" s="9"/>
      <c r="E98" s="10">
        <f>(E93*E94*E95)</f>
        <v>67525705.728</v>
      </c>
      <c r="F98" s="9"/>
      <c r="G98" s="9"/>
      <c r="H98" s="9"/>
      <c r="I98" s="9"/>
      <c r="J98" s="9"/>
      <c r="K98" s="11">
        <f>(K93*K94*K95)</f>
        <v>69551476.89984</v>
      </c>
      <c r="M98" s="23"/>
    </row>
    <row r="99" ht="12.75">
      <c r="M99" s="25"/>
    </row>
    <row r="100" spans="2:13" ht="12.75">
      <c r="B100" s="4" t="s">
        <v>7</v>
      </c>
      <c r="M100" s="23"/>
    </row>
    <row r="101" spans="3:13" ht="12.75">
      <c r="C101" t="s">
        <v>8</v>
      </c>
      <c r="E101" s="7">
        <f>$K$74</f>
        <v>618000</v>
      </c>
      <c r="G101" s="6">
        <v>0.03</v>
      </c>
      <c r="I101" s="7">
        <f>E101*(1+G101)</f>
        <v>636540</v>
      </c>
      <c r="K101" s="7">
        <f>$I$101</f>
        <v>636540</v>
      </c>
      <c r="M101" s="22"/>
    </row>
    <row r="102" spans="3:13" ht="12.75">
      <c r="C102" t="s">
        <v>9</v>
      </c>
      <c r="E102" s="6">
        <v>0.03</v>
      </c>
      <c r="K102" s="6">
        <v>0.03</v>
      </c>
      <c r="M102" s="23"/>
    </row>
    <row r="103" ht="13.5" thickBot="1">
      <c r="M103" s="23"/>
    </row>
    <row r="104" spans="3:13" ht="13.5" thickBot="1">
      <c r="C104" s="8" t="s">
        <v>10</v>
      </c>
      <c r="D104" s="9"/>
      <c r="E104" s="10">
        <f>(E101*(1+E102))</f>
        <v>636540</v>
      </c>
      <c r="F104" s="9"/>
      <c r="G104" s="9"/>
      <c r="H104" s="9"/>
      <c r="I104" s="9"/>
      <c r="J104" s="9"/>
      <c r="K104" s="11">
        <f>(K101*(1+K102))</f>
        <v>655636.2000000001</v>
      </c>
      <c r="M104" s="35"/>
    </row>
    <row r="105" ht="12.75">
      <c r="M105" s="35"/>
    </row>
    <row r="106" spans="2:13" ht="13.5" thickBot="1">
      <c r="B106" s="4" t="s">
        <v>11</v>
      </c>
      <c r="M106" s="25"/>
    </row>
    <row r="107" spans="3:13" ht="13.5" thickBot="1">
      <c r="C107" s="8" t="s">
        <v>11</v>
      </c>
      <c r="D107" s="9"/>
      <c r="E107" s="10">
        <v>0</v>
      </c>
      <c r="F107" s="9"/>
      <c r="G107" s="9"/>
      <c r="H107" s="9"/>
      <c r="I107" s="9"/>
      <c r="J107" s="9"/>
      <c r="K107" s="11">
        <v>0</v>
      </c>
      <c r="M107" s="25"/>
    </row>
    <row r="108" ht="13.5" thickBot="1">
      <c r="M108" s="35"/>
    </row>
    <row r="109" spans="2:13" ht="13.5" thickBot="1">
      <c r="B109" s="30" t="s">
        <v>34</v>
      </c>
      <c r="C109" s="31"/>
      <c r="D109" s="31"/>
      <c r="E109" s="32">
        <f>SUM(E98,E104,E107)</f>
        <v>68162245.728</v>
      </c>
      <c r="F109" s="31"/>
      <c r="G109" s="31"/>
      <c r="H109" s="31"/>
      <c r="I109" s="31"/>
      <c r="J109" s="31"/>
      <c r="K109" s="33">
        <f>SUM(K98,K104,K107)</f>
        <v>70207113.09984</v>
      </c>
      <c r="M109" s="36"/>
    </row>
    <row r="110" ht="12.75">
      <c r="M110" s="23"/>
    </row>
    <row r="111" spans="2:13" ht="12.75">
      <c r="B111" s="20" t="s">
        <v>35</v>
      </c>
      <c r="C111" s="23"/>
      <c r="D111" s="23"/>
      <c r="M111" s="25"/>
    </row>
    <row r="112" spans="2:13" ht="12.75">
      <c r="B112" s="20"/>
      <c r="C112" s="23" t="s">
        <v>32</v>
      </c>
      <c r="D112" s="23"/>
      <c r="E112" s="7">
        <f>$K$85</f>
        <v>181038031.12359935</v>
      </c>
      <c r="G112" s="6">
        <f>'[2]Revenue Summary'!$Q$68</f>
        <v>0.11967560493830609</v>
      </c>
      <c r="I112" s="25">
        <f>E112*(1+G112)</f>
        <v>202703867.015156</v>
      </c>
      <c r="K112" s="7">
        <f>$I$112</f>
        <v>202703867.015156</v>
      </c>
      <c r="M112" s="23"/>
    </row>
    <row r="113" spans="2:13" ht="12.75">
      <c r="B113" s="20"/>
      <c r="C113" s="23" t="s">
        <v>36</v>
      </c>
      <c r="D113" s="23"/>
      <c r="E113" s="6">
        <f>$K$86</f>
        <v>0.3530659927066605</v>
      </c>
      <c r="K113" s="6">
        <f>$E$113</f>
        <v>0.3530659927066605</v>
      </c>
      <c r="M113" s="23"/>
    </row>
    <row r="114" spans="2:13" ht="13.5" thickBot="1">
      <c r="B114" s="20"/>
      <c r="C114" s="23"/>
      <c r="D114" s="23"/>
      <c r="M114" s="25"/>
    </row>
    <row r="115" spans="2:13" ht="13.5" thickBot="1">
      <c r="B115" s="12" t="s">
        <v>12</v>
      </c>
      <c r="C115" s="13"/>
      <c r="D115" s="13"/>
      <c r="E115" s="14">
        <f>E112*E113</f>
        <v>63918372.17631291</v>
      </c>
      <c r="F115" s="13"/>
      <c r="G115" s="13"/>
      <c r="H115" s="13"/>
      <c r="I115" s="13"/>
      <c r="J115" s="13"/>
      <c r="K115" s="15">
        <f>K112*K113</f>
        <v>71567842.03318495</v>
      </c>
      <c r="M115" s="24"/>
    </row>
    <row r="116" ht="12.75">
      <c r="M116" s="23"/>
    </row>
    <row r="117" spans="1:13" ht="12.75">
      <c r="A117" s="19" t="s">
        <v>26</v>
      </c>
      <c r="E117" s="2" t="s">
        <v>25</v>
      </c>
      <c r="G117" s="2" t="s">
        <v>37</v>
      </c>
      <c r="I117" s="2" t="s">
        <v>16</v>
      </c>
      <c r="K117" s="2" t="s">
        <v>27</v>
      </c>
      <c r="M117" s="25"/>
    </row>
    <row r="118" ht="12.75">
      <c r="M118" s="23"/>
    </row>
    <row r="119" spans="2:13" ht="12.75">
      <c r="B119" s="4" t="s">
        <v>1</v>
      </c>
      <c r="M119" s="23"/>
    </row>
    <row r="120" spans="3:13" ht="12.75">
      <c r="C120" t="s">
        <v>2</v>
      </c>
      <c r="E120" s="5">
        <f>$K$93</f>
        <v>1728</v>
      </c>
      <c r="I120" s="5"/>
      <c r="K120" s="5">
        <f>$E$120</f>
        <v>1728</v>
      </c>
      <c r="M120" s="25"/>
    </row>
    <row r="121" spans="3:13" ht="12.75">
      <c r="C121" t="s">
        <v>3</v>
      </c>
      <c r="E121" s="5">
        <v>2080</v>
      </c>
      <c r="K121" s="5">
        <v>2080</v>
      </c>
      <c r="M121" s="23"/>
    </row>
    <row r="122" spans="3:13" ht="12.75">
      <c r="C122" t="s">
        <v>4</v>
      </c>
      <c r="E122" s="7">
        <f>$K$95</f>
        <v>19.350816</v>
      </c>
      <c r="G122" s="6">
        <v>0.03</v>
      </c>
      <c r="I122" s="7">
        <f>E122*(1+G122)</f>
        <v>19.93134048</v>
      </c>
      <c r="K122" s="7">
        <f>$I$122</f>
        <v>19.93134048</v>
      </c>
      <c r="M122" s="25"/>
    </row>
    <row r="123" spans="5:13" ht="12.75">
      <c r="E123" s="7"/>
      <c r="G123" s="6"/>
      <c r="I123" s="7"/>
      <c r="K123" s="7"/>
      <c r="M123" s="23"/>
    </row>
    <row r="124" ht="13.5" thickBot="1">
      <c r="M124" s="23"/>
    </row>
    <row r="125" spans="3:13" ht="13.5" thickBot="1">
      <c r="C125" s="8" t="s">
        <v>6</v>
      </c>
      <c r="D125" s="9"/>
      <c r="E125" s="10">
        <f>(E120*E121*E122)</f>
        <v>69551476.89984</v>
      </c>
      <c r="F125" s="9"/>
      <c r="G125" s="9"/>
      <c r="H125" s="9"/>
      <c r="I125" s="9"/>
      <c r="J125" s="9"/>
      <c r="K125" s="11">
        <f>(K120*K121*K122)</f>
        <v>71638021.2068352</v>
      </c>
      <c r="M125" s="23"/>
    </row>
    <row r="126" ht="12.75">
      <c r="M126" s="23"/>
    </row>
    <row r="127" spans="2:13" ht="12.75">
      <c r="B127" s="4" t="s">
        <v>7</v>
      </c>
      <c r="M127" s="23"/>
    </row>
    <row r="128" spans="3:13" ht="12.75">
      <c r="C128" t="s">
        <v>8</v>
      </c>
      <c r="E128" s="7">
        <f>$K$101</f>
        <v>636540</v>
      </c>
      <c r="G128" s="6">
        <v>0.03</v>
      </c>
      <c r="I128" s="7">
        <f>E128*(1+G128)</f>
        <v>655636.2000000001</v>
      </c>
      <c r="K128" s="7">
        <f>$I$128</f>
        <v>655636.2000000001</v>
      </c>
      <c r="M128" s="23"/>
    </row>
    <row r="129" spans="3:13" ht="12.75">
      <c r="C129" t="s">
        <v>9</v>
      </c>
      <c r="E129" s="6">
        <v>0.03</v>
      </c>
      <c r="K129" s="6">
        <v>0.03</v>
      </c>
      <c r="M129" s="23"/>
    </row>
    <row r="130" ht="13.5" thickBot="1">
      <c r="M130" s="23"/>
    </row>
    <row r="131" spans="3:13" ht="13.5" thickBot="1">
      <c r="C131" s="8" t="s">
        <v>10</v>
      </c>
      <c r="D131" s="9"/>
      <c r="E131" s="10">
        <f>(E128*(1+E129))</f>
        <v>655636.2000000001</v>
      </c>
      <c r="F131" s="9"/>
      <c r="G131" s="9"/>
      <c r="H131" s="9"/>
      <c r="I131" s="9"/>
      <c r="J131" s="9"/>
      <c r="K131" s="11">
        <f>(K128*(1+K129))</f>
        <v>675305.2860000001</v>
      </c>
      <c r="M131" s="23"/>
    </row>
    <row r="132" ht="12.75">
      <c r="M132" s="23"/>
    </row>
    <row r="133" spans="2:13" ht="13.5" thickBot="1">
      <c r="B133" s="4" t="s">
        <v>11</v>
      </c>
      <c r="M133" s="23"/>
    </row>
    <row r="134" spans="3:13" ht="13.5" thickBot="1">
      <c r="C134" s="8" t="s">
        <v>11</v>
      </c>
      <c r="D134" s="9"/>
      <c r="E134" s="10">
        <v>0</v>
      </c>
      <c r="F134" s="9"/>
      <c r="G134" s="9"/>
      <c r="H134" s="9"/>
      <c r="I134" s="9"/>
      <c r="J134" s="9"/>
      <c r="K134" s="11">
        <v>0</v>
      </c>
      <c r="M134" s="23"/>
    </row>
    <row r="135" ht="13.5" thickBot="1">
      <c r="M135" s="23"/>
    </row>
    <row r="136" spans="2:13" ht="13.5" thickBot="1">
      <c r="B136" s="30" t="s">
        <v>34</v>
      </c>
      <c r="C136" s="31"/>
      <c r="D136" s="31"/>
      <c r="E136" s="32">
        <f>SUM(E125,E131,E134)</f>
        <v>70207113.09984</v>
      </c>
      <c r="F136" s="31"/>
      <c r="G136" s="31"/>
      <c r="H136" s="31"/>
      <c r="I136" s="31"/>
      <c r="J136" s="31"/>
      <c r="K136" s="33">
        <f>SUM(K125,K131,K134)</f>
        <v>72313326.4928352</v>
      </c>
      <c r="M136" s="23"/>
    </row>
    <row r="137" ht="12.75">
      <c r="M137" s="23"/>
    </row>
    <row r="138" spans="2:13" ht="12.75">
      <c r="B138" s="20" t="s">
        <v>35</v>
      </c>
      <c r="C138" s="23"/>
      <c r="D138" s="23"/>
      <c r="M138" s="23"/>
    </row>
    <row r="139" spans="2:13" ht="12.75">
      <c r="B139" s="20"/>
      <c r="C139" s="23" t="s">
        <v>32</v>
      </c>
      <c r="D139" s="23"/>
      <c r="E139" s="7">
        <f>$K$112</f>
        <v>202703867.015156</v>
      </c>
      <c r="G139" s="6">
        <f>'[2]Revenue Summary'!$S$68</f>
        <v>0.058730464900941026</v>
      </c>
      <c r="I139" s="25">
        <f>E139*(1+G139)</f>
        <v>214608759.36217463</v>
      </c>
      <c r="K139" s="7">
        <f>$I$139</f>
        <v>214608759.36217463</v>
      </c>
      <c r="M139" s="23"/>
    </row>
    <row r="140" spans="2:13" ht="12.75">
      <c r="B140" s="20"/>
      <c r="C140" s="23" t="s">
        <v>36</v>
      </c>
      <c r="D140" s="23"/>
      <c r="E140" s="6">
        <f>$K$113</f>
        <v>0.3530659927066605</v>
      </c>
      <c r="K140" s="6">
        <f>$E$140</f>
        <v>0.3530659927066605</v>
      </c>
      <c r="M140" s="23"/>
    </row>
    <row r="141" spans="2:13" ht="13.5" thickBot="1">
      <c r="B141" s="20"/>
      <c r="C141" s="23"/>
      <c r="D141" s="23"/>
      <c r="M141" s="23"/>
    </row>
    <row r="142" spans="2:13" ht="13.5" thickBot="1">
      <c r="B142" s="12" t="s">
        <v>12</v>
      </c>
      <c r="C142" s="13"/>
      <c r="D142" s="13"/>
      <c r="E142" s="14">
        <f>E139*E140</f>
        <v>71567842.03318495</v>
      </c>
      <c r="F142" s="13"/>
      <c r="G142" s="13"/>
      <c r="H142" s="13"/>
      <c r="I142" s="13"/>
      <c r="J142" s="13"/>
      <c r="K142" s="15">
        <f>K139*K140</f>
        <v>75771054.66775101</v>
      </c>
      <c r="M142" s="23"/>
    </row>
    <row r="143" ht="12.75">
      <c r="M143" s="23"/>
    </row>
    <row r="144" ht="12.75">
      <c r="M144" s="23"/>
    </row>
    <row r="145" ht="12.75">
      <c r="M145" s="23"/>
    </row>
    <row r="146" ht="12.75">
      <c r="M146" s="23"/>
    </row>
    <row r="147" ht="12.75">
      <c r="M147" s="23"/>
    </row>
    <row r="148" ht="12.75">
      <c r="M148" s="23"/>
    </row>
    <row r="149" ht="12.75">
      <c r="M149" s="23"/>
    </row>
    <row r="150" ht="12.75">
      <c r="M150" s="23"/>
    </row>
    <row r="151" ht="12.75">
      <c r="M151" s="23"/>
    </row>
    <row r="152" ht="12.75">
      <c r="M152" s="23"/>
    </row>
    <row r="153" ht="12.75">
      <c r="M153" s="23"/>
    </row>
    <row r="154" ht="12.75">
      <c r="M154" s="23"/>
    </row>
    <row r="155" ht="12.75">
      <c r="M155" s="23"/>
    </row>
    <row r="156" ht="12.75">
      <c r="M156" s="23"/>
    </row>
    <row r="157" ht="12.75">
      <c r="M157" s="23"/>
    </row>
    <row r="158" ht="12.75">
      <c r="M158" s="23"/>
    </row>
    <row r="159" ht="12.75">
      <c r="M159" s="23"/>
    </row>
    <row r="160" ht="12.75">
      <c r="M160" s="23"/>
    </row>
    <row r="161" ht="12.75">
      <c r="M161" s="23"/>
    </row>
    <row r="162" ht="12.75">
      <c r="M162" s="23"/>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U53"/>
  <sheetViews>
    <sheetView zoomScale="75" zoomScaleNormal="75" workbookViewId="0" topLeftCell="A1">
      <selection activeCell="A1" sqref="A1"/>
    </sheetView>
  </sheetViews>
  <sheetFormatPr defaultColWidth="9.140625" defaultRowHeight="12.75"/>
  <cols>
    <col min="1" max="1" width="62.57421875" style="0" bestFit="1" customWidth="1"/>
    <col min="2" max="2" width="41.140625" style="0" bestFit="1" customWidth="1"/>
    <col min="3" max="3" width="53.140625" style="0" bestFit="1" customWidth="1"/>
    <col min="5" max="5" width="19.421875" style="0" bestFit="1" customWidth="1"/>
    <col min="7" max="7" width="23.00390625" style="0" bestFit="1" customWidth="1"/>
    <col min="9" max="9" width="19.57421875" style="0" bestFit="1" customWidth="1"/>
    <col min="11" max="11" width="26.28125" style="0" bestFit="1" customWidth="1"/>
    <col min="14" max="14" width="14.8515625" style="0" bestFit="1" customWidth="1"/>
    <col min="16" max="16" width="14.8515625" style="0" bestFit="1" customWidth="1"/>
    <col min="18" max="18" width="14.8515625" style="0" bestFit="1" customWidth="1"/>
  </cols>
  <sheetData>
    <row r="1" spans="1:12" ht="12.75">
      <c r="A1" s="1" t="s">
        <v>38</v>
      </c>
      <c r="B1" s="1"/>
      <c r="E1" s="2">
        <v>1996</v>
      </c>
      <c r="G1" s="2">
        <v>1997</v>
      </c>
      <c r="I1" s="2" t="s">
        <v>28</v>
      </c>
      <c r="K1" s="2" t="s">
        <v>29</v>
      </c>
      <c r="L1" s="3"/>
    </row>
    <row r="2" spans="1:12" ht="12.75">
      <c r="A2" t="s">
        <v>42</v>
      </c>
      <c r="L2" s="3"/>
    </row>
    <row r="3" spans="2:12" ht="12.75">
      <c r="B3" s="4" t="s">
        <v>43</v>
      </c>
      <c r="L3" s="3"/>
    </row>
    <row r="4" spans="3:12" ht="12.75">
      <c r="C4" t="s">
        <v>39</v>
      </c>
      <c r="E4" s="7">
        <v>1105362</v>
      </c>
      <c r="F4" s="7"/>
      <c r="G4" s="7">
        <v>3371562</v>
      </c>
      <c r="H4" s="7"/>
      <c r="I4" s="7">
        <f>(579000/2)*12</f>
        <v>3474000</v>
      </c>
      <c r="J4" s="7"/>
      <c r="K4" s="7">
        <v>3543000</v>
      </c>
      <c r="L4" s="3"/>
    </row>
    <row r="5" spans="3:12" ht="12.75">
      <c r="C5" t="s">
        <v>40</v>
      </c>
      <c r="E5" s="6">
        <v>0</v>
      </c>
      <c r="F5" s="6"/>
      <c r="G5" s="6">
        <v>0</v>
      </c>
      <c r="H5" s="6"/>
      <c r="I5" s="6">
        <v>0</v>
      </c>
      <c r="J5" s="6"/>
      <c r="K5" s="6">
        <v>0</v>
      </c>
      <c r="L5" s="3"/>
    </row>
    <row r="6" ht="13.5" thickBot="1">
      <c r="L6" s="3"/>
    </row>
    <row r="7" spans="3:12" ht="13.5" thickBot="1">
      <c r="C7" s="37" t="s">
        <v>41</v>
      </c>
      <c r="D7" s="13"/>
      <c r="E7" s="14">
        <f>E4*(1+E5)</f>
        <v>1105362</v>
      </c>
      <c r="F7" s="14"/>
      <c r="G7" s="14">
        <f>G4*(1+G5)</f>
        <v>3371562</v>
      </c>
      <c r="H7" s="14"/>
      <c r="I7" s="14">
        <f>I4*(1+I5)</f>
        <v>3474000</v>
      </c>
      <c r="J7" s="14"/>
      <c r="K7" s="15">
        <f>K4*(1+K5)</f>
        <v>3543000</v>
      </c>
      <c r="L7" s="3"/>
    </row>
    <row r="8" spans="1:12" ht="12.75">
      <c r="A8" s="17"/>
      <c r="B8" s="17"/>
      <c r="C8" s="23"/>
      <c r="D8" s="23"/>
      <c r="E8" s="25"/>
      <c r="F8" s="25"/>
      <c r="G8" s="25"/>
      <c r="H8" s="25"/>
      <c r="I8" s="25"/>
      <c r="J8" s="25"/>
      <c r="K8" s="25"/>
      <c r="L8" s="3"/>
    </row>
    <row r="9" spans="1:12" ht="12.75">
      <c r="A9" s="17"/>
      <c r="B9" s="20" t="s">
        <v>45</v>
      </c>
      <c r="C9" s="23"/>
      <c r="D9" s="23"/>
      <c r="E9" s="25"/>
      <c r="F9" s="25"/>
      <c r="G9" s="25"/>
      <c r="H9" s="25"/>
      <c r="I9" s="25"/>
      <c r="J9" s="25"/>
      <c r="K9" s="25"/>
      <c r="L9" s="3"/>
    </row>
    <row r="10" spans="1:21" ht="12.75">
      <c r="A10" s="17"/>
      <c r="B10" s="20"/>
      <c r="C10" s="23" t="s">
        <v>32</v>
      </c>
      <c r="D10" s="23"/>
      <c r="E10" s="25">
        <v>171435208</v>
      </c>
      <c r="F10" s="25"/>
      <c r="G10" s="25">
        <v>155125064</v>
      </c>
      <c r="H10" s="25"/>
      <c r="I10" s="25">
        <v>182755500</v>
      </c>
      <c r="J10" s="25"/>
      <c r="K10" s="25">
        <v>194221000</v>
      </c>
      <c r="L10" s="3"/>
      <c r="N10" s="25"/>
      <c r="O10" s="25"/>
      <c r="P10" s="25"/>
      <c r="Q10" s="25"/>
      <c r="R10" s="25"/>
      <c r="S10" s="7"/>
      <c r="T10" s="7"/>
      <c r="U10" s="7"/>
    </row>
    <row r="11" spans="1:21" ht="12.75">
      <c r="A11" s="17"/>
      <c r="B11" s="20"/>
      <c r="C11" s="23" t="s">
        <v>44</v>
      </c>
      <c r="D11" s="23"/>
      <c r="E11" s="25">
        <v>63987409</v>
      </c>
      <c r="F11" s="25"/>
      <c r="G11" s="25">
        <v>58401120</v>
      </c>
      <c r="H11" s="25"/>
      <c r="I11" s="25">
        <v>64842000</v>
      </c>
      <c r="J11" s="25"/>
      <c r="K11" s="25">
        <v>65541000</v>
      </c>
      <c r="L11" s="3"/>
      <c r="N11" s="25"/>
      <c r="O11" s="25"/>
      <c r="P11" s="25"/>
      <c r="Q11" s="25"/>
      <c r="R11" s="25"/>
      <c r="S11" s="7"/>
      <c r="T11" s="7"/>
      <c r="U11" s="7"/>
    </row>
    <row r="12" spans="1:21" ht="12.75">
      <c r="A12" s="17"/>
      <c r="B12" s="20"/>
      <c r="C12" s="23" t="s">
        <v>39</v>
      </c>
      <c r="D12" s="23"/>
      <c r="E12" s="25">
        <v>963560</v>
      </c>
      <c r="F12" s="25"/>
      <c r="G12" s="25">
        <v>3313812</v>
      </c>
      <c r="H12" s="25"/>
      <c r="I12" s="7">
        <f>(579000/2)*12</f>
        <v>3474000</v>
      </c>
      <c r="J12" s="25"/>
      <c r="K12" s="7">
        <v>3543000</v>
      </c>
      <c r="L12" s="3"/>
      <c r="N12" s="25"/>
      <c r="O12" s="25"/>
      <c r="P12" s="25"/>
      <c r="Q12" s="25"/>
      <c r="R12" s="25"/>
      <c r="S12" s="7"/>
      <c r="T12" s="7"/>
      <c r="U12" s="7"/>
    </row>
    <row r="13" spans="1:18" ht="13.5" thickBot="1">
      <c r="A13" s="17"/>
      <c r="B13" s="20"/>
      <c r="C13" s="23"/>
      <c r="D13" s="23"/>
      <c r="E13" s="25"/>
      <c r="F13" s="25"/>
      <c r="G13" s="25"/>
      <c r="H13" s="25"/>
      <c r="I13" s="25"/>
      <c r="J13" s="25"/>
      <c r="K13" s="25"/>
      <c r="L13" s="3"/>
      <c r="N13" s="23"/>
      <c r="O13" s="23"/>
      <c r="P13" s="23"/>
      <c r="Q13" s="23"/>
      <c r="R13" s="23"/>
    </row>
    <row r="14" spans="1:18" ht="12.75">
      <c r="A14" s="17"/>
      <c r="B14" s="20"/>
      <c r="C14" s="38" t="s">
        <v>46</v>
      </c>
      <c r="D14" s="39"/>
      <c r="E14" s="40">
        <f>E12/E10</f>
        <v>0.005620549076476753</v>
      </c>
      <c r="F14" s="41"/>
      <c r="G14" s="40">
        <f>G12/G10</f>
        <v>0.02136219586023829</v>
      </c>
      <c r="H14" s="41"/>
      <c r="I14" s="40">
        <f>I12/I10</f>
        <v>0.01900900383298998</v>
      </c>
      <c r="J14" s="41"/>
      <c r="K14" s="40">
        <f>K12/K10</f>
        <v>0.01824210564254123</v>
      </c>
      <c r="L14" s="3"/>
      <c r="N14" s="24"/>
      <c r="O14" s="23"/>
      <c r="P14" s="24"/>
      <c r="Q14" s="23"/>
      <c r="R14" s="24"/>
    </row>
    <row r="15" spans="1:18" ht="13.5" thickBot="1">
      <c r="A15" s="17"/>
      <c r="B15" s="17"/>
      <c r="C15" s="42" t="s">
        <v>47</v>
      </c>
      <c r="D15" s="43"/>
      <c r="E15" s="44">
        <f>E12/E11</f>
        <v>0.015058587541808421</v>
      </c>
      <c r="F15" s="44"/>
      <c r="G15" s="44">
        <f>G12/G11</f>
        <v>0.056742267956504944</v>
      </c>
      <c r="H15" s="44"/>
      <c r="I15" s="44">
        <f>I12/I11</f>
        <v>0.05357638567595077</v>
      </c>
      <c r="J15" s="44"/>
      <c r="K15" s="44">
        <f>K12/K11</f>
        <v>0.05405776536824278</v>
      </c>
      <c r="L15" s="3"/>
      <c r="N15" s="24"/>
      <c r="O15" s="23"/>
      <c r="P15" s="24"/>
      <c r="Q15" s="23"/>
      <c r="R15" s="24"/>
    </row>
    <row r="16" spans="1:12" ht="12.75">
      <c r="A16" s="17"/>
      <c r="B16" s="17"/>
      <c r="C16" s="23"/>
      <c r="D16" s="23"/>
      <c r="E16" s="25"/>
      <c r="F16" s="25"/>
      <c r="G16" s="25"/>
      <c r="H16" s="25"/>
      <c r="I16" s="25"/>
      <c r="J16" s="25"/>
      <c r="K16" s="25"/>
      <c r="L16" s="3"/>
    </row>
    <row r="17" spans="1:12" ht="12.75">
      <c r="A17" s="17"/>
      <c r="B17" s="17"/>
      <c r="C17" s="23"/>
      <c r="D17" s="23"/>
      <c r="E17" s="25"/>
      <c r="F17" s="25"/>
      <c r="G17" s="25"/>
      <c r="H17" s="25"/>
      <c r="I17" s="25"/>
      <c r="J17" s="25"/>
      <c r="K17" s="25"/>
      <c r="L17" s="3"/>
    </row>
    <row r="18" spans="1:12" ht="12.75">
      <c r="A18" s="3"/>
      <c r="B18" s="3"/>
      <c r="C18" s="3"/>
      <c r="D18" s="3"/>
      <c r="E18" s="3"/>
      <c r="F18" s="3"/>
      <c r="G18" s="3"/>
      <c r="H18" s="3"/>
      <c r="I18" s="3"/>
      <c r="J18" s="3"/>
      <c r="K18" s="3"/>
      <c r="L18" s="3"/>
    </row>
    <row r="19" spans="1:12" ht="12.75">
      <c r="A19" s="3"/>
      <c r="B19" s="3"/>
      <c r="C19" s="3"/>
      <c r="D19" s="3"/>
      <c r="E19" s="3"/>
      <c r="F19" s="3"/>
      <c r="G19" s="3"/>
      <c r="H19" s="3"/>
      <c r="I19" s="3"/>
      <c r="J19" s="3"/>
      <c r="K19" s="3"/>
      <c r="L19" s="3"/>
    </row>
    <row r="20" spans="1:11" ht="12.75">
      <c r="A20" s="16" t="s">
        <v>18</v>
      </c>
      <c r="B20" s="16"/>
      <c r="C20" s="17"/>
      <c r="D20" s="17"/>
      <c r="E20" s="2" t="s">
        <v>28</v>
      </c>
      <c r="F20" s="17"/>
      <c r="G20" s="18" t="s">
        <v>118</v>
      </c>
      <c r="H20" s="17"/>
      <c r="I20" s="18" t="s">
        <v>19</v>
      </c>
      <c r="J20" s="17"/>
      <c r="K20" s="18" t="s">
        <v>13</v>
      </c>
    </row>
    <row r="22" spans="3:9" ht="12.75">
      <c r="C22" t="s">
        <v>32</v>
      </c>
      <c r="E22" s="7">
        <f>$I$10</f>
        <v>182755500</v>
      </c>
      <c r="G22" s="7">
        <f>'[3]Annualization'!$K$33</f>
        <v>142916822.1875</v>
      </c>
      <c r="I22" s="7">
        <f>AVERAGE(G10,G22)</f>
        <v>149020943.09375</v>
      </c>
    </row>
    <row r="23" spans="3:9" ht="12.75">
      <c r="C23" t="s">
        <v>119</v>
      </c>
      <c r="E23" s="6">
        <f>$I$14</f>
        <v>0.01900900383298998</v>
      </c>
      <c r="G23" s="6">
        <f>G25/G22</f>
        <v>0.040679197332101014</v>
      </c>
      <c r="I23" s="6">
        <f>AVERAGE(E23,G23)</f>
        <v>0.029844100582545496</v>
      </c>
    </row>
    <row r="24" ht="13.5" thickBot="1"/>
    <row r="25" spans="3:11" ht="13.5" thickBot="1">
      <c r="C25" s="37" t="s">
        <v>41</v>
      </c>
      <c r="D25" s="13"/>
      <c r="E25" s="14">
        <f>E22*E23</f>
        <v>3474000</v>
      </c>
      <c r="F25" s="13"/>
      <c r="G25" s="14">
        <f>'[3]Annualization'!$K$54</f>
        <v>5813741.611842105</v>
      </c>
      <c r="H25" s="13"/>
      <c r="I25" s="14">
        <f>I22*I23</f>
        <v>4447396.014595663</v>
      </c>
      <c r="J25" s="13"/>
      <c r="K25" s="15">
        <f>(I25/365)*49</f>
        <v>597047.6841511986</v>
      </c>
    </row>
    <row r="27" spans="1:9" ht="12.75">
      <c r="A27" s="19" t="s">
        <v>20</v>
      </c>
      <c r="B27" s="19"/>
      <c r="E27" s="2" t="s">
        <v>29</v>
      </c>
      <c r="G27" s="2" t="s">
        <v>16</v>
      </c>
      <c r="I27" s="2" t="s">
        <v>21</v>
      </c>
    </row>
    <row r="29" spans="3:9" ht="12.75">
      <c r="C29" t="s">
        <v>32</v>
      </c>
      <c r="E29" s="7">
        <f>$K$10</f>
        <v>194221000</v>
      </c>
      <c r="G29" s="7">
        <f>'[3]Total Net Revenue'!$E$24</f>
        <v>162587960.4549948</v>
      </c>
      <c r="I29" s="7">
        <f>$G$29</f>
        <v>162587960.4549948</v>
      </c>
    </row>
    <row r="30" spans="3:9" ht="12.75">
      <c r="C30" t="s">
        <v>48</v>
      </c>
      <c r="E30" s="6">
        <f>$K$14</f>
        <v>0.01824210564254123</v>
      </c>
      <c r="G30" s="7"/>
      <c r="I30" s="6">
        <f>$E$30</f>
        <v>0.01824210564254123</v>
      </c>
    </row>
    <row r="31" ht="13.5" thickBot="1">
      <c r="G31" s="7"/>
    </row>
    <row r="32" spans="3:9" ht="13.5" thickBot="1">
      <c r="C32" s="37" t="s">
        <v>41</v>
      </c>
      <c r="D32" s="13"/>
      <c r="E32" s="14">
        <f>E29*E30</f>
        <v>3543000.0000000005</v>
      </c>
      <c r="F32" s="13"/>
      <c r="G32" s="14"/>
      <c r="H32" s="13"/>
      <c r="I32" s="15">
        <f>I29*I30</f>
        <v>2965946.750825331</v>
      </c>
    </row>
    <row r="33" ht="12.75">
      <c r="G33" s="7"/>
    </row>
    <row r="34" spans="1:11" ht="12.75">
      <c r="A34" s="19" t="s">
        <v>22</v>
      </c>
      <c r="B34" s="19"/>
      <c r="E34" s="2" t="s">
        <v>21</v>
      </c>
      <c r="G34" s="2" t="s">
        <v>17</v>
      </c>
      <c r="I34" s="2" t="s">
        <v>16</v>
      </c>
      <c r="K34" s="2" t="s">
        <v>23</v>
      </c>
    </row>
    <row r="35" ht="12.75">
      <c r="I35" s="7"/>
    </row>
    <row r="36" spans="3:11" ht="12.75">
      <c r="C36" t="s">
        <v>32</v>
      </c>
      <c r="E36" s="7">
        <f>$I$29</f>
        <v>162587960.4549948</v>
      </c>
      <c r="G36" s="24">
        <f>'[2]Revenue Summary'!$O$68</f>
        <v>0.11347747162196331</v>
      </c>
      <c r="I36" s="25">
        <f>E36*(1+G36)</f>
        <v>181038031.12359935</v>
      </c>
      <c r="J36" s="23"/>
      <c r="K36" s="25">
        <f>$I$36</f>
        <v>181038031.12359935</v>
      </c>
    </row>
    <row r="37" spans="3:11" ht="12.75">
      <c r="C37" t="s">
        <v>48</v>
      </c>
      <c r="E37" s="6">
        <f>$I$30</f>
        <v>0.01824210564254123</v>
      </c>
      <c r="I37" s="7"/>
      <c r="K37" s="6">
        <f>$E$37</f>
        <v>0.01824210564254123</v>
      </c>
    </row>
    <row r="38" ht="13.5" thickBot="1">
      <c r="I38" s="7"/>
    </row>
    <row r="39" spans="3:11" ht="13.5" thickBot="1">
      <c r="C39" s="37" t="s">
        <v>41</v>
      </c>
      <c r="D39" s="13"/>
      <c r="E39" s="14">
        <f>E36*E37</f>
        <v>2965946.750825331</v>
      </c>
      <c r="F39" s="13"/>
      <c r="G39" s="13"/>
      <c r="H39" s="13"/>
      <c r="I39" s="13"/>
      <c r="J39" s="13"/>
      <c r="K39" s="15">
        <f>K36*K37</f>
        <v>3302514.8890743665</v>
      </c>
    </row>
    <row r="40" ht="12.75">
      <c r="I40" s="7"/>
    </row>
    <row r="41" spans="1:11" ht="12.75">
      <c r="A41" s="19" t="s">
        <v>24</v>
      </c>
      <c r="B41" s="19"/>
      <c r="E41" s="2" t="s">
        <v>23</v>
      </c>
      <c r="G41" s="2" t="s">
        <v>17</v>
      </c>
      <c r="I41" s="2" t="s">
        <v>16</v>
      </c>
      <c r="K41" s="2" t="s">
        <v>25</v>
      </c>
    </row>
    <row r="42" ht="12.75">
      <c r="I42" s="7"/>
    </row>
    <row r="43" spans="3:11" ht="12.75">
      <c r="C43" t="s">
        <v>32</v>
      </c>
      <c r="E43" s="7">
        <f>$K$36</f>
        <v>181038031.12359935</v>
      </c>
      <c r="G43" s="6">
        <f>'[2]Revenue Summary'!$Q$68</f>
        <v>0.11967560493830609</v>
      </c>
      <c r="I43" s="25">
        <f>E43*(1+G43)</f>
        <v>202703867.015156</v>
      </c>
      <c r="K43" s="7">
        <f>$I$43</f>
        <v>202703867.015156</v>
      </c>
    </row>
    <row r="44" spans="3:11" ht="12.75">
      <c r="C44" t="s">
        <v>48</v>
      </c>
      <c r="E44" s="6">
        <f>$K$37</f>
        <v>0.01824210564254123</v>
      </c>
      <c r="I44" s="7"/>
      <c r="K44" s="6">
        <f>$E$44</f>
        <v>0.01824210564254123</v>
      </c>
    </row>
    <row r="45" ht="13.5" thickBot="1">
      <c r="I45" s="7"/>
    </row>
    <row r="46" spans="3:11" ht="13.5" thickBot="1">
      <c r="C46" s="37" t="s">
        <v>41</v>
      </c>
      <c r="D46" s="13"/>
      <c r="E46" s="14">
        <f>E43*E44</f>
        <v>3302514.8890743665</v>
      </c>
      <c r="F46" s="13"/>
      <c r="G46" s="13"/>
      <c r="H46" s="13"/>
      <c r="I46" s="13"/>
      <c r="J46" s="13"/>
      <c r="K46" s="15">
        <f>K43*K44</f>
        <v>3697745.3562421044</v>
      </c>
    </row>
    <row r="47" ht="12.75">
      <c r="I47" s="7"/>
    </row>
    <row r="48" spans="1:11" ht="12.75">
      <c r="A48" s="19" t="s">
        <v>26</v>
      </c>
      <c r="B48" s="19"/>
      <c r="E48" s="2" t="s">
        <v>25</v>
      </c>
      <c r="G48" s="2" t="s">
        <v>17</v>
      </c>
      <c r="I48" s="2" t="s">
        <v>16</v>
      </c>
      <c r="K48" s="2" t="s">
        <v>27</v>
      </c>
    </row>
    <row r="49" ht="12.75">
      <c r="I49" s="7"/>
    </row>
    <row r="50" spans="3:11" ht="12.75">
      <c r="C50" t="s">
        <v>32</v>
      </c>
      <c r="E50" s="7">
        <f>$K$43</f>
        <v>202703867.015156</v>
      </c>
      <c r="G50" s="6">
        <f>'[2]Revenue Summary'!$S$68</f>
        <v>0.058730464900941026</v>
      </c>
      <c r="I50" s="25">
        <f>E50*(1+G50)</f>
        <v>214608759.36217463</v>
      </c>
      <c r="K50" s="7">
        <f>$I$50</f>
        <v>214608759.36217463</v>
      </c>
    </row>
    <row r="51" spans="3:11" ht="12.75">
      <c r="C51" t="s">
        <v>48</v>
      </c>
      <c r="E51" s="6">
        <f>$K$44</f>
        <v>0.01824210564254123</v>
      </c>
      <c r="I51" s="7"/>
      <c r="K51" s="6">
        <f>$E$51</f>
        <v>0.01824210564254123</v>
      </c>
    </row>
    <row r="52" ht="13.5" thickBot="1">
      <c r="I52" s="7"/>
    </row>
    <row r="53" spans="3:11" ht="13.5" thickBot="1">
      <c r="C53" s="37" t="s">
        <v>41</v>
      </c>
      <c r="D53" s="13"/>
      <c r="E53" s="14">
        <f>E50*E51</f>
        <v>3697745.3562421044</v>
      </c>
      <c r="F53" s="13"/>
      <c r="G53" s="13"/>
      <c r="H53" s="13"/>
      <c r="I53" s="14"/>
      <c r="J53" s="13"/>
      <c r="K53" s="15">
        <f>K50*K51</f>
        <v>3914915.660099499</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K42"/>
  <sheetViews>
    <sheetView workbookViewId="0" topLeftCell="A1">
      <selection activeCell="A1" sqref="A1"/>
    </sheetView>
  </sheetViews>
  <sheetFormatPr defaultColWidth="9.140625" defaultRowHeight="12.75"/>
  <cols>
    <col min="1" max="1" width="32.28125" style="0" bestFit="1" customWidth="1"/>
    <col min="2" max="2" width="21.57421875" style="0" bestFit="1" customWidth="1"/>
    <col min="4" max="4" width="19.7109375" style="0" bestFit="1" customWidth="1"/>
    <col min="6" max="6" width="23.00390625" style="0" bestFit="1" customWidth="1"/>
    <col min="8" max="8" width="19.7109375" style="0" bestFit="1" customWidth="1"/>
    <col min="10" max="10" width="26.28125" style="0" bestFit="1" customWidth="1"/>
  </cols>
  <sheetData>
    <row r="1" spans="1:11" ht="12.75">
      <c r="A1" s="1" t="s">
        <v>49</v>
      </c>
      <c r="D1" s="2">
        <v>1996</v>
      </c>
      <c r="F1" s="2">
        <v>1997</v>
      </c>
      <c r="H1" s="2" t="s">
        <v>28</v>
      </c>
      <c r="J1" s="2" t="s">
        <v>29</v>
      </c>
      <c r="K1" s="3"/>
    </row>
    <row r="2" spans="1:11" ht="12.75">
      <c r="A2" t="s">
        <v>50</v>
      </c>
      <c r="K2" s="3"/>
    </row>
    <row r="3" spans="2:11" ht="12.75">
      <c r="B3" t="s">
        <v>44</v>
      </c>
      <c r="D3" s="7">
        <f>'Salaries &amp; Wages'!$E$8</f>
        <v>68862435.2</v>
      </c>
      <c r="E3" s="7"/>
      <c r="F3" s="7">
        <f>'Salaries &amp; Wages'!G8</f>
        <v>61784985.6</v>
      </c>
      <c r="G3" s="7"/>
      <c r="H3" s="7">
        <f>'Salaries &amp; Wages'!I8</f>
        <v>63653990.400000006</v>
      </c>
      <c r="I3" s="7"/>
      <c r="J3" s="7">
        <f>'Salaries &amp; Wages'!K8</f>
        <v>65558937.599999994</v>
      </c>
      <c r="K3" s="3"/>
    </row>
    <row r="4" spans="2:11" ht="12.75">
      <c r="B4" t="s">
        <v>51</v>
      </c>
      <c r="D4" s="6">
        <v>0.2141</v>
      </c>
      <c r="E4" s="6"/>
      <c r="F4" s="6">
        <v>0.2101</v>
      </c>
      <c r="G4" s="6"/>
      <c r="H4" s="6">
        <v>0.2</v>
      </c>
      <c r="J4" s="6">
        <v>0.2</v>
      </c>
      <c r="K4" s="3"/>
    </row>
    <row r="5" ht="13.5" thickBot="1">
      <c r="K5" s="3"/>
    </row>
    <row r="6" spans="2:11" ht="13.5" thickBot="1">
      <c r="B6" s="37" t="s">
        <v>52</v>
      </c>
      <c r="C6" s="13"/>
      <c r="D6" s="14">
        <f>D3*D4</f>
        <v>14743447.37632</v>
      </c>
      <c r="E6" s="14"/>
      <c r="F6" s="14">
        <f>F3*F4</f>
        <v>12981025.47456</v>
      </c>
      <c r="G6" s="14"/>
      <c r="H6" s="14">
        <f>H3*H4</f>
        <v>12730798.080000002</v>
      </c>
      <c r="I6" s="14"/>
      <c r="J6" s="15">
        <f>J3*J4</f>
        <v>13111787.52</v>
      </c>
      <c r="K6" s="3"/>
    </row>
    <row r="7" spans="1:11" ht="12.75">
      <c r="A7" s="3"/>
      <c r="B7" s="3"/>
      <c r="C7" s="3"/>
      <c r="D7" s="3"/>
      <c r="E7" s="3"/>
      <c r="F7" s="3"/>
      <c r="G7" s="3"/>
      <c r="H7" s="3"/>
      <c r="I7" s="3"/>
      <c r="J7" s="3"/>
      <c r="K7" s="3"/>
    </row>
    <row r="8" spans="1:11" ht="12.75">
      <c r="A8" s="3"/>
      <c r="B8" s="3"/>
      <c r="C8" s="3"/>
      <c r="D8" s="3"/>
      <c r="E8" s="3"/>
      <c r="F8" s="3"/>
      <c r="G8" s="3"/>
      <c r="H8" s="3"/>
      <c r="I8" s="3"/>
      <c r="J8" s="3"/>
      <c r="K8" s="3"/>
    </row>
    <row r="9" spans="1:11" ht="12.75">
      <c r="A9" s="16" t="s">
        <v>18</v>
      </c>
      <c r="B9" s="17"/>
      <c r="C9" s="17"/>
      <c r="D9" s="2" t="s">
        <v>28</v>
      </c>
      <c r="E9" s="17"/>
      <c r="F9" s="18" t="s">
        <v>16</v>
      </c>
      <c r="G9" s="17"/>
      <c r="H9" s="18" t="s">
        <v>19</v>
      </c>
      <c r="I9" s="17"/>
      <c r="J9" s="18" t="s">
        <v>13</v>
      </c>
      <c r="K9" s="17"/>
    </row>
    <row r="10" spans="1:11" ht="12.75">
      <c r="A10" s="16"/>
      <c r="B10" s="17"/>
      <c r="C10" s="17"/>
      <c r="D10" s="2"/>
      <c r="E10" s="17"/>
      <c r="F10" s="18"/>
      <c r="G10" s="17"/>
      <c r="H10" s="18"/>
      <c r="I10" s="17"/>
      <c r="J10" s="18"/>
      <c r="K10" s="17"/>
    </row>
    <row r="11" spans="1:11" ht="12.75">
      <c r="A11" s="16"/>
      <c r="B11" s="17" t="s">
        <v>44</v>
      </c>
      <c r="C11" s="17"/>
      <c r="D11" s="87">
        <f>H3</f>
        <v>63653990.400000006</v>
      </c>
      <c r="E11" s="17"/>
      <c r="F11" s="88">
        <f>'Salaries &amp; Wages'!$I$35</f>
        <v>64842000</v>
      </c>
      <c r="G11" s="17"/>
      <c r="H11" s="88">
        <f>$F$11</f>
        <v>64842000</v>
      </c>
      <c r="I11" s="17"/>
      <c r="J11" s="18"/>
      <c r="K11" s="17"/>
    </row>
    <row r="12" spans="1:11" ht="12.75">
      <c r="A12" s="16"/>
      <c r="B12" s="17" t="s">
        <v>51</v>
      </c>
      <c r="C12" s="17"/>
      <c r="D12" s="89">
        <f>H4</f>
        <v>0.2</v>
      </c>
      <c r="E12" s="17"/>
      <c r="F12" s="90">
        <f>AVERAGE(F4,H4)</f>
        <v>0.20505</v>
      </c>
      <c r="G12" s="17"/>
      <c r="H12" s="90">
        <f>$F$12</f>
        <v>0.20505</v>
      </c>
      <c r="I12" s="17"/>
      <c r="J12" s="18"/>
      <c r="K12" s="17"/>
    </row>
    <row r="13" spans="1:11" ht="13.5" thickBot="1">
      <c r="A13" s="17"/>
      <c r="K13" s="17"/>
    </row>
    <row r="14" spans="1:11" ht="13.5" thickBot="1">
      <c r="A14" s="17"/>
      <c r="B14" s="37" t="s">
        <v>52</v>
      </c>
      <c r="C14" s="13"/>
      <c r="D14" s="14">
        <f>D11*D12</f>
        <v>12730798.080000002</v>
      </c>
      <c r="E14" s="13"/>
      <c r="F14" s="14"/>
      <c r="G14" s="13"/>
      <c r="H14" s="14">
        <f>H11*H12</f>
        <v>13295852.100000001</v>
      </c>
      <c r="I14" s="13"/>
      <c r="J14" s="15">
        <f>(H14/365)*49</f>
        <v>1784922.6106849315</v>
      </c>
      <c r="K14" s="17"/>
    </row>
    <row r="15" spans="1:11" ht="12.75">
      <c r="A15" s="17"/>
      <c r="B15" s="17"/>
      <c r="C15" s="17"/>
      <c r="D15" s="17"/>
      <c r="E15" s="17"/>
      <c r="F15" s="17"/>
      <c r="G15" s="17"/>
      <c r="H15" s="17"/>
      <c r="I15" s="17"/>
      <c r="J15" s="17"/>
      <c r="K15" s="17"/>
    </row>
    <row r="16" spans="1:8" ht="12.75">
      <c r="A16" s="19" t="s">
        <v>20</v>
      </c>
      <c r="D16" s="2" t="s">
        <v>29</v>
      </c>
      <c r="F16" s="2" t="s">
        <v>16</v>
      </c>
      <c r="H16" s="2" t="s">
        <v>21</v>
      </c>
    </row>
    <row r="18" spans="2:8" ht="12.75">
      <c r="B18" t="s">
        <v>44</v>
      </c>
      <c r="D18" s="25">
        <v>65541000</v>
      </c>
      <c r="F18" s="7">
        <f>'Salaries &amp; Wages'!$I$55</f>
        <v>66176937.599999994</v>
      </c>
      <c r="H18" s="7">
        <f>$F$18</f>
        <v>66176937.599999994</v>
      </c>
    </row>
    <row r="19" spans="2:8" ht="12.75">
      <c r="B19" t="s">
        <v>51</v>
      </c>
      <c r="D19" s="6">
        <v>0.2</v>
      </c>
      <c r="H19" s="6">
        <f>$D$19</f>
        <v>0.2</v>
      </c>
    </row>
    <row r="20" ht="13.5" thickBot="1"/>
    <row r="21" spans="2:8" ht="13.5" thickBot="1">
      <c r="B21" s="37" t="s">
        <v>52</v>
      </c>
      <c r="C21" s="13"/>
      <c r="D21" s="14">
        <f>D18*D19</f>
        <v>13108200</v>
      </c>
      <c r="E21" s="13"/>
      <c r="F21" s="13"/>
      <c r="G21" s="13"/>
      <c r="H21" s="15">
        <f>H18*H19</f>
        <v>13235387.52</v>
      </c>
    </row>
    <row r="23" spans="1:8" ht="12.75">
      <c r="A23" s="19" t="s">
        <v>22</v>
      </c>
      <c r="D23" s="2" t="s">
        <v>23</v>
      </c>
      <c r="F23" s="2" t="s">
        <v>16</v>
      </c>
      <c r="H23" s="2" t="s">
        <v>23</v>
      </c>
    </row>
    <row r="25" spans="2:8" ht="12.75">
      <c r="B25" t="s">
        <v>44</v>
      </c>
      <c r="D25" s="7">
        <v>69009000</v>
      </c>
      <c r="F25" s="7">
        <f>'Salaries &amp; Wages'!$K$82</f>
        <v>68162245.728</v>
      </c>
      <c r="H25" s="7">
        <f>$F$25</f>
        <v>68162245.728</v>
      </c>
    </row>
    <row r="26" spans="2:8" ht="12.75">
      <c r="B26" t="s">
        <v>51</v>
      </c>
      <c r="D26" s="6">
        <v>0.2</v>
      </c>
      <c r="H26" s="6">
        <f>$D$26</f>
        <v>0.2</v>
      </c>
    </row>
    <row r="27" ht="13.5" thickBot="1"/>
    <row r="28" spans="2:8" ht="13.5" thickBot="1">
      <c r="B28" s="37" t="s">
        <v>52</v>
      </c>
      <c r="C28" s="13"/>
      <c r="D28" s="14">
        <f>D25*D26</f>
        <v>13801800</v>
      </c>
      <c r="E28" s="13"/>
      <c r="F28" s="13"/>
      <c r="G28" s="13"/>
      <c r="H28" s="15">
        <f>H25*H26</f>
        <v>13632449.1456</v>
      </c>
    </row>
    <row r="30" spans="1:8" ht="12.75">
      <c r="A30" s="19" t="s">
        <v>24</v>
      </c>
      <c r="D30" s="2" t="s">
        <v>25</v>
      </c>
      <c r="F30" s="2" t="s">
        <v>16</v>
      </c>
      <c r="H30" s="2" t="s">
        <v>25</v>
      </c>
    </row>
    <row r="32" spans="2:8" ht="12.75">
      <c r="B32" t="s">
        <v>44</v>
      </c>
      <c r="D32" s="7">
        <v>73420000</v>
      </c>
      <c r="F32" s="7">
        <f>'Salaries &amp; Wages'!$K$115</f>
        <v>71567842.03318495</v>
      </c>
      <c r="H32" s="7">
        <f>$F$32</f>
        <v>71567842.03318495</v>
      </c>
    </row>
    <row r="33" spans="2:8" ht="12.75">
      <c r="B33" t="s">
        <v>51</v>
      </c>
      <c r="D33" s="6">
        <v>0.2</v>
      </c>
      <c r="H33" s="6">
        <f>$D$33</f>
        <v>0.2</v>
      </c>
    </row>
    <row r="34" ht="13.5" thickBot="1"/>
    <row r="35" spans="2:8" ht="13.5" thickBot="1">
      <c r="B35" s="37" t="s">
        <v>52</v>
      </c>
      <c r="C35" s="13"/>
      <c r="D35" s="14">
        <f>D32*D33</f>
        <v>14684000</v>
      </c>
      <c r="E35" s="13"/>
      <c r="F35" s="13"/>
      <c r="G35" s="13"/>
      <c r="H35" s="15">
        <f>H32*H33</f>
        <v>14313568.40663699</v>
      </c>
    </row>
    <row r="37" spans="1:8" ht="12.75">
      <c r="A37" s="19" t="s">
        <v>26</v>
      </c>
      <c r="D37" s="2" t="s">
        <v>27</v>
      </c>
      <c r="F37" s="2" t="s">
        <v>16</v>
      </c>
      <c r="H37" s="2" t="s">
        <v>27</v>
      </c>
    </row>
    <row r="39" spans="2:8" ht="12.75">
      <c r="B39" t="s">
        <v>44</v>
      </c>
      <c r="D39" s="7">
        <v>77861000</v>
      </c>
      <c r="F39" s="7">
        <f>'Salaries &amp; Wages'!$K$142</f>
        <v>75771054.66775101</v>
      </c>
      <c r="H39" s="7">
        <f>$F$39</f>
        <v>75771054.66775101</v>
      </c>
    </row>
    <row r="40" spans="2:8" ht="12.75">
      <c r="B40" t="s">
        <v>51</v>
      </c>
      <c r="D40" s="6">
        <v>0.2</v>
      </c>
      <c r="H40" s="6">
        <f>$D$40</f>
        <v>0.2</v>
      </c>
    </row>
    <row r="41" ht="13.5" thickBot="1"/>
    <row r="42" spans="2:8" ht="13.5" thickBot="1">
      <c r="B42" s="37" t="s">
        <v>52</v>
      </c>
      <c r="C42" s="13"/>
      <c r="D42" s="14">
        <f>D39*D40</f>
        <v>15572200</v>
      </c>
      <c r="E42" s="13"/>
      <c r="F42" s="13"/>
      <c r="G42" s="13"/>
      <c r="H42" s="15">
        <f>H39*H40</f>
        <v>15154210.933550203</v>
      </c>
    </row>
  </sheetData>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U89"/>
  <sheetViews>
    <sheetView zoomScale="75" zoomScaleNormal="75" workbookViewId="0" topLeftCell="A1">
      <selection activeCell="A1" sqref="A1"/>
    </sheetView>
  </sheetViews>
  <sheetFormatPr defaultColWidth="9.140625" defaultRowHeight="12.75"/>
  <cols>
    <col min="1" max="1" width="32.28125" style="0" bestFit="1" customWidth="1"/>
    <col min="2" max="2" width="18.00390625" style="0" bestFit="1" customWidth="1"/>
    <col min="3" max="3" width="23.421875" style="0" bestFit="1" customWidth="1"/>
    <col min="5" max="5" width="19.421875" style="0" bestFit="1" customWidth="1"/>
    <col min="7" max="7" width="23.7109375" style="0" bestFit="1" customWidth="1"/>
    <col min="9" max="9" width="23.421875" style="0" bestFit="1" customWidth="1"/>
    <col min="11" max="11" width="26.28125" style="0" bestFit="1" customWidth="1"/>
    <col min="13" max="13" width="19.57421875" style="0" bestFit="1" customWidth="1"/>
    <col min="15" max="15" width="19.140625" style="0" bestFit="1" customWidth="1"/>
    <col min="17" max="17" width="19.140625" style="0" bestFit="1" customWidth="1"/>
    <col min="19" max="19" width="18.57421875" style="0" bestFit="1" customWidth="1"/>
    <col min="21" max="21" width="19.140625" style="0" bestFit="1" customWidth="1"/>
  </cols>
  <sheetData>
    <row r="1" spans="1:21" ht="12.75">
      <c r="A1" s="1" t="s">
        <v>53</v>
      </c>
      <c r="E1" s="2">
        <v>1996</v>
      </c>
      <c r="G1" s="2">
        <v>1997</v>
      </c>
      <c r="I1" s="2" t="s">
        <v>28</v>
      </c>
      <c r="K1" s="2" t="s">
        <v>29</v>
      </c>
      <c r="L1" s="3"/>
      <c r="M1" s="45" t="s">
        <v>54</v>
      </c>
      <c r="N1" s="46"/>
      <c r="O1" s="2" t="s">
        <v>55</v>
      </c>
      <c r="Q1" s="2" t="s">
        <v>56</v>
      </c>
      <c r="S1" s="2" t="s">
        <v>57</v>
      </c>
      <c r="U1" s="2" t="s">
        <v>58</v>
      </c>
    </row>
    <row r="2" spans="1:12" ht="12.75">
      <c r="A2" t="s">
        <v>69</v>
      </c>
      <c r="L2" s="3"/>
    </row>
    <row r="3" spans="2:12" ht="12.75">
      <c r="B3" s="4" t="s">
        <v>59</v>
      </c>
      <c r="L3" s="3"/>
    </row>
    <row r="4" spans="3:21" ht="12.75">
      <c r="C4" t="s">
        <v>60</v>
      </c>
      <c r="E4" s="7">
        <v>1350563</v>
      </c>
      <c r="F4" s="7"/>
      <c r="G4" s="7">
        <v>20000</v>
      </c>
      <c r="H4" s="7"/>
      <c r="I4" s="7">
        <v>20000</v>
      </c>
      <c r="J4" s="7"/>
      <c r="K4" s="7">
        <v>20600</v>
      </c>
      <c r="L4" s="3"/>
      <c r="M4" s="6">
        <f>(G4/E4)-1</f>
        <v>-0.9851913609361429</v>
      </c>
      <c r="O4" s="6">
        <f>(I4/G4)-1</f>
        <v>0</v>
      </c>
      <c r="Q4" s="6">
        <f>(K4/I4)-1</f>
        <v>0.030000000000000027</v>
      </c>
      <c r="S4" s="6">
        <f>(I4/E4)-1</f>
        <v>-0.9851913609361429</v>
      </c>
      <c r="T4" s="6"/>
      <c r="U4" s="6">
        <f>(K4/G4)-1</f>
        <v>0.030000000000000027</v>
      </c>
    </row>
    <row r="5" spans="3:12" ht="12.75">
      <c r="C5" t="s">
        <v>61</v>
      </c>
      <c r="E5" s="6">
        <v>0</v>
      </c>
      <c r="F5" s="6"/>
      <c r="G5" s="6">
        <v>0</v>
      </c>
      <c r="H5" s="6"/>
      <c r="I5" s="6">
        <v>0.03</v>
      </c>
      <c r="J5" s="6"/>
      <c r="K5" s="6">
        <v>0.03</v>
      </c>
      <c r="L5" s="3"/>
    </row>
    <row r="6" spans="3:12" ht="12.75">
      <c r="C6" t="s">
        <v>62</v>
      </c>
      <c r="E6" s="5">
        <v>12</v>
      </c>
      <c r="F6" s="5"/>
      <c r="G6" s="5">
        <v>12</v>
      </c>
      <c r="H6" s="5"/>
      <c r="I6" s="53">
        <v>12</v>
      </c>
      <c r="J6" s="5"/>
      <c r="K6" s="5">
        <v>12</v>
      </c>
      <c r="L6" s="3"/>
    </row>
    <row r="7" ht="13.5" thickBot="1">
      <c r="L7" s="3"/>
    </row>
    <row r="8" spans="3:21" ht="13.5" thickBot="1">
      <c r="C8" s="8" t="s">
        <v>63</v>
      </c>
      <c r="D8" s="9"/>
      <c r="E8" s="10">
        <f>(E4*(1+E5))*E6</f>
        <v>16206756</v>
      </c>
      <c r="F8" s="10"/>
      <c r="G8" s="10">
        <f>(G4*(1+G5))*G6</f>
        <v>240000</v>
      </c>
      <c r="H8" s="10"/>
      <c r="I8" s="10">
        <f>(I4*(1+I5))*I6</f>
        <v>247200</v>
      </c>
      <c r="J8" s="10"/>
      <c r="K8" s="11">
        <f>(K4*(1+K5))*K6</f>
        <v>254616</v>
      </c>
      <c r="L8" s="3"/>
      <c r="M8" s="47">
        <f>(G8/E8)-1</f>
        <v>-0.9851913609361429</v>
      </c>
      <c r="N8" s="9"/>
      <c r="O8" s="48">
        <f>(I8/G8)-1</f>
        <v>0.030000000000000027</v>
      </c>
      <c r="P8" s="9"/>
      <c r="Q8" s="48">
        <f>(K8/I8)-1</f>
        <v>0.030000000000000027</v>
      </c>
      <c r="R8" s="9"/>
      <c r="S8" s="48">
        <f>(I8/E8)-1</f>
        <v>-0.9847471017642272</v>
      </c>
      <c r="T8" s="48"/>
      <c r="U8" s="49">
        <f>(K8/G8)-1</f>
        <v>0.060899999999999954</v>
      </c>
    </row>
    <row r="9" ht="12.75">
      <c r="L9" s="3"/>
    </row>
    <row r="10" spans="2:12" ht="12.75">
      <c r="B10" s="4" t="s">
        <v>64</v>
      </c>
      <c r="L10" s="3"/>
    </row>
    <row r="11" spans="3:21" ht="12.75">
      <c r="C11" t="s">
        <v>5</v>
      </c>
      <c r="E11" s="5">
        <v>118074</v>
      </c>
      <c r="F11" s="5"/>
      <c r="G11" s="5">
        <v>104391</v>
      </c>
      <c r="H11" s="5"/>
      <c r="I11" s="5">
        <v>121153</v>
      </c>
      <c r="J11" s="5"/>
      <c r="K11" s="5">
        <v>129393</v>
      </c>
      <c r="L11" s="3"/>
      <c r="M11" s="6">
        <f>(G11/E11)-1</f>
        <v>-0.11588495350373496</v>
      </c>
      <c r="O11" s="6">
        <f>(I11/G11)-1</f>
        <v>0.16056939774501644</v>
      </c>
      <c r="Q11" s="6">
        <f>(K11/I11)-1</f>
        <v>0.06801317342533819</v>
      </c>
      <c r="S11" s="6">
        <f>(I11/E11)-1</f>
        <v>0.026076867049477537</v>
      </c>
      <c r="T11" s="6"/>
      <c r="U11" s="6">
        <f>(K11/G11)-1</f>
        <v>0.23950340546598836</v>
      </c>
    </row>
    <row r="12" spans="3:21" ht="12.75">
      <c r="C12" t="s">
        <v>65</v>
      </c>
      <c r="E12" s="7">
        <f>E14/E11</f>
        <v>136.07364872876332</v>
      </c>
      <c r="F12" s="7"/>
      <c r="G12" s="7">
        <v>118.09</v>
      </c>
      <c r="H12" s="7"/>
      <c r="I12" s="7">
        <v>102.37</v>
      </c>
      <c r="J12" s="7"/>
      <c r="K12" s="7">
        <v>105.44</v>
      </c>
      <c r="L12" s="3"/>
      <c r="M12" s="6">
        <f>(G12/E12)-1</f>
        <v>-0.1321611413875604</v>
      </c>
      <c r="O12" s="6">
        <f>(I12/G12)-1</f>
        <v>-0.1331188076890507</v>
      </c>
      <c r="Q12" s="6">
        <f>(K12/I12)-1</f>
        <v>0.029989254664452458</v>
      </c>
      <c r="S12" s="6">
        <f>(I12/E12)-1</f>
        <v>-0.247686815512275</v>
      </c>
      <c r="T12" s="6"/>
      <c r="U12" s="6">
        <f>(K12/G12)-1</f>
        <v>-0.10712168684901346</v>
      </c>
    </row>
    <row r="13" ht="13.5" thickBot="1">
      <c r="L13" s="3"/>
    </row>
    <row r="14" spans="3:21" ht="13.5" thickBot="1">
      <c r="C14" s="8" t="s">
        <v>66</v>
      </c>
      <c r="D14" s="9"/>
      <c r="E14" s="10">
        <v>16066760</v>
      </c>
      <c r="F14" s="10"/>
      <c r="G14" s="10">
        <f>G11*G12</f>
        <v>12327533.19</v>
      </c>
      <c r="H14" s="10"/>
      <c r="I14" s="10">
        <f>I11*I12</f>
        <v>12402432.610000001</v>
      </c>
      <c r="J14" s="10"/>
      <c r="K14" s="11">
        <f>K11*K12</f>
        <v>13643197.92</v>
      </c>
      <c r="L14" s="3"/>
      <c r="M14" s="47">
        <f>(G14/E14)-1</f>
        <v>-0.23273060716659744</v>
      </c>
      <c r="N14" s="9"/>
      <c r="O14" s="48">
        <f>(I14/G14)-1</f>
        <v>0.00607578327680014</v>
      </c>
      <c r="P14" s="9"/>
      <c r="Q14" s="48">
        <f>(K14/I14)-1</f>
        <v>0.10004209246818063</v>
      </c>
      <c r="R14" s="9"/>
      <c r="S14" s="48">
        <f>(I14/E14)-1</f>
        <v>-0.22806884462081956</v>
      </c>
      <c r="T14" s="48"/>
      <c r="U14" s="49">
        <f>(K14/G14)-1</f>
        <v>0.10672570981737506</v>
      </c>
    </row>
    <row r="15" ht="13.5" thickBot="1">
      <c r="L15" s="3"/>
    </row>
    <row r="16" spans="2:21" ht="13.5" thickBot="1">
      <c r="B16" s="12" t="s">
        <v>12</v>
      </c>
      <c r="C16" s="13"/>
      <c r="D16" s="13"/>
      <c r="E16" s="14">
        <f>SUM(E8,E14)</f>
        <v>32273516</v>
      </c>
      <c r="F16" s="13"/>
      <c r="G16" s="14">
        <f>SUM(G8,G14)</f>
        <v>12567533.19</v>
      </c>
      <c r="H16" s="13"/>
      <c r="I16" s="14">
        <f>SUM(I8,I14)</f>
        <v>12649632.610000001</v>
      </c>
      <c r="J16" s="13"/>
      <c r="K16" s="15">
        <f>SUM(K8,K14)</f>
        <v>13897813.92</v>
      </c>
      <c r="L16" s="3"/>
      <c r="M16" s="50">
        <f>(G16/E16)-1</f>
        <v>-0.6105929955075239</v>
      </c>
      <c r="N16" s="13"/>
      <c r="O16" s="51">
        <f>(I16/G16)-1</f>
        <v>0.00653265989106977</v>
      </c>
      <c r="P16" s="13"/>
      <c r="Q16" s="51">
        <f>(K16/I16)-1</f>
        <v>0.09867332502710524</v>
      </c>
      <c r="R16" s="13"/>
      <c r="S16" s="51">
        <f>(I16/E16)-1</f>
        <v>-0.6080491319879742</v>
      </c>
      <c r="T16" s="51"/>
      <c r="U16" s="52">
        <f>(K16/G16)-1</f>
        <v>0.1058505841908981</v>
      </c>
    </row>
    <row r="17" spans="1:21" ht="12.75">
      <c r="A17" s="3"/>
      <c r="B17" s="3"/>
      <c r="C17" s="3"/>
      <c r="D17" s="3"/>
      <c r="E17" s="3"/>
      <c r="F17" s="3"/>
      <c r="G17" s="3"/>
      <c r="H17" s="3"/>
      <c r="I17" s="3"/>
      <c r="J17" s="3"/>
      <c r="K17" s="3"/>
      <c r="L17" s="3"/>
      <c r="M17" s="3"/>
      <c r="N17" s="3"/>
      <c r="O17" s="3"/>
      <c r="P17" s="3"/>
      <c r="Q17" s="3"/>
      <c r="R17" s="3"/>
      <c r="S17" s="3"/>
      <c r="T17" s="3"/>
      <c r="U17" s="3"/>
    </row>
    <row r="18" spans="1:21" ht="12.75">
      <c r="A18" s="3"/>
      <c r="B18" s="3"/>
      <c r="C18" s="3"/>
      <c r="D18" s="3"/>
      <c r="E18" s="3"/>
      <c r="F18" s="3"/>
      <c r="G18" s="3"/>
      <c r="H18" s="3"/>
      <c r="I18" s="3"/>
      <c r="J18" s="3"/>
      <c r="K18" s="3"/>
      <c r="L18" s="3"/>
      <c r="M18" s="3"/>
      <c r="N18" s="3"/>
      <c r="O18" s="3"/>
      <c r="P18" s="3"/>
      <c r="Q18" s="3"/>
      <c r="R18" s="3"/>
      <c r="S18" s="3"/>
      <c r="T18" s="3"/>
      <c r="U18" s="3"/>
    </row>
    <row r="19" spans="1:11" ht="12.75">
      <c r="A19" s="19" t="s">
        <v>18</v>
      </c>
      <c r="C19" s="17"/>
      <c r="D19" s="17"/>
      <c r="E19" s="2" t="s">
        <v>28</v>
      </c>
      <c r="F19" s="17"/>
      <c r="G19" s="18" t="s">
        <v>118</v>
      </c>
      <c r="H19" s="17"/>
      <c r="I19" s="18" t="s">
        <v>19</v>
      </c>
      <c r="J19" s="17"/>
      <c r="K19" s="18" t="s">
        <v>13</v>
      </c>
    </row>
    <row r="20" ht="13.5" thickBot="1"/>
    <row r="21" spans="3:11" ht="13.5" thickBot="1">
      <c r="C21" s="37" t="s">
        <v>67</v>
      </c>
      <c r="D21" s="13"/>
      <c r="E21" s="14">
        <f>$I$16</f>
        <v>12649632.610000001</v>
      </c>
      <c r="F21" s="13"/>
      <c r="G21" s="14">
        <f>'[3]Annualization'!$K$56</f>
        <v>14039869.078947369</v>
      </c>
      <c r="H21" s="13"/>
      <c r="I21" s="14">
        <f>(AVERAGE(G11,91084))*(AVERAGE(I12,(G21/91084)))</f>
        <v>12535420.344462905</v>
      </c>
      <c r="J21" s="13"/>
      <c r="K21" s="15">
        <f>(I21/365)*49</f>
        <v>1682837.2517224175</v>
      </c>
    </row>
    <row r="23" spans="1:17" ht="12.75">
      <c r="A23" s="19" t="s">
        <v>20</v>
      </c>
      <c r="E23" s="2" t="s">
        <v>29</v>
      </c>
      <c r="G23" s="2" t="s">
        <v>14</v>
      </c>
      <c r="I23" s="2" t="s">
        <v>15</v>
      </c>
      <c r="K23" s="2" t="s">
        <v>16</v>
      </c>
      <c r="M23" s="2" t="s">
        <v>21</v>
      </c>
      <c r="O23" s="5"/>
      <c r="Q23" s="5"/>
    </row>
    <row r="25" spans="2:17" ht="12.75">
      <c r="B25" s="4" t="s">
        <v>59</v>
      </c>
      <c r="O25" s="7"/>
      <c r="Q25" s="7"/>
    </row>
    <row r="26" spans="3:13" ht="12.75">
      <c r="C26" t="s">
        <v>60</v>
      </c>
      <c r="E26" s="7">
        <v>20600</v>
      </c>
      <c r="M26" s="7">
        <v>20600</v>
      </c>
    </row>
    <row r="27" spans="3:13" ht="12.75">
      <c r="C27" t="s">
        <v>61</v>
      </c>
      <c r="E27" s="6">
        <v>0.03</v>
      </c>
      <c r="M27" s="6">
        <v>0.03</v>
      </c>
    </row>
    <row r="28" spans="3:17" ht="12.75">
      <c r="C28" t="s">
        <v>62</v>
      </c>
      <c r="E28" s="5">
        <v>12</v>
      </c>
      <c r="M28" s="5">
        <v>12</v>
      </c>
      <c r="Q28" s="7"/>
    </row>
    <row r="29" ht="13.5" thickBot="1"/>
    <row r="30" spans="3:13" ht="13.5" thickBot="1">
      <c r="C30" s="8" t="s">
        <v>63</v>
      </c>
      <c r="D30" s="9"/>
      <c r="E30" s="10">
        <f>(E26*(1+E27))*E28</f>
        <v>254616</v>
      </c>
      <c r="F30" s="9"/>
      <c r="G30" s="9"/>
      <c r="H30" s="9"/>
      <c r="I30" s="9"/>
      <c r="J30" s="9"/>
      <c r="K30" s="9"/>
      <c r="L30" s="9"/>
      <c r="M30" s="11">
        <f>(M26*(1+M27))*M28</f>
        <v>254616</v>
      </c>
    </row>
    <row r="32" ht="12.75">
      <c r="B32" s="4" t="s">
        <v>64</v>
      </c>
    </row>
    <row r="33" spans="3:13" ht="12.75">
      <c r="C33" t="s">
        <v>5</v>
      </c>
      <c r="E33" s="5">
        <v>129393</v>
      </c>
      <c r="G33" s="6">
        <f>$U$11</f>
        <v>0.23950340546598836</v>
      </c>
      <c r="I33" s="6">
        <f>(AVERAGE(0,365)/(1.5*365))*G33</f>
        <v>0.07983446848866278</v>
      </c>
      <c r="K33" s="5">
        <f>(E33/(1+G33))*(1+I33)</f>
        <v>112724.99999999999</v>
      </c>
      <c r="M33" s="5">
        <f>$K$33</f>
        <v>112724.99999999999</v>
      </c>
    </row>
    <row r="34" spans="3:13" ht="12.75">
      <c r="C34" t="s">
        <v>65</v>
      </c>
      <c r="E34" s="7">
        <v>105.44</v>
      </c>
      <c r="M34" s="7">
        <v>105.44</v>
      </c>
    </row>
    <row r="35" ht="13.5" thickBot="1"/>
    <row r="36" spans="3:13" ht="13.5" thickBot="1">
      <c r="C36" s="8" t="s">
        <v>66</v>
      </c>
      <c r="D36" s="9"/>
      <c r="E36" s="10">
        <f>E33*E34</f>
        <v>13643197.92</v>
      </c>
      <c r="F36" s="9"/>
      <c r="G36" s="9"/>
      <c r="H36" s="9"/>
      <c r="I36" s="9"/>
      <c r="J36" s="9"/>
      <c r="K36" s="9"/>
      <c r="L36" s="9"/>
      <c r="M36" s="11">
        <f>M33*M34</f>
        <v>11885723.999999998</v>
      </c>
    </row>
    <row r="37" ht="13.5" thickBot="1"/>
    <row r="38" spans="2:13" ht="13.5" thickBot="1">
      <c r="B38" s="12" t="s">
        <v>12</v>
      </c>
      <c r="C38" s="13"/>
      <c r="D38" s="13"/>
      <c r="E38" s="14">
        <f>SUM(E30,E36)</f>
        <v>13897813.92</v>
      </c>
      <c r="F38" s="13"/>
      <c r="G38" s="13"/>
      <c r="H38" s="13"/>
      <c r="I38" s="13"/>
      <c r="J38" s="13"/>
      <c r="K38" s="13"/>
      <c r="L38" s="13"/>
      <c r="M38" s="15">
        <f>SUM(M30,M36)</f>
        <v>12140339.999999998</v>
      </c>
    </row>
    <row r="40" spans="1:13" ht="12.75">
      <c r="A40" s="19" t="s">
        <v>22</v>
      </c>
      <c r="E40" s="2" t="s">
        <v>21</v>
      </c>
      <c r="G40" s="2" t="s">
        <v>17</v>
      </c>
      <c r="I40" s="2" t="s">
        <v>68</v>
      </c>
      <c r="K40" s="2" t="s">
        <v>16</v>
      </c>
      <c r="M40" s="2" t="s">
        <v>23</v>
      </c>
    </row>
    <row r="41" ht="12.75">
      <c r="I41" s="6"/>
    </row>
    <row r="42" spans="2:9" ht="12.75">
      <c r="B42" s="4" t="s">
        <v>59</v>
      </c>
      <c r="I42" s="6"/>
    </row>
    <row r="43" spans="3:13" ht="12.75">
      <c r="C43" t="s">
        <v>60</v>
      </c>
      <c r="E43" s="7">
        <v>20600</v>
      </c>
      <c r="I43" s="6">
        <v>0.03</v>
      </c>
      <c r="K43" s="7">
        <f>(E43*(1+G43))*(1+I43)</f>
        <v>21218</v>
      </c>
      <c r="M43" s="7">
        <f>$K$43</f>
        <v>21218</v>
      </c>
    </row>
    <row r="44" spans="3:13" ht="12.75">
      <c r="C44" t="s">
        <v>61</v>
      </c>
      <c r="E44" s="6">
        <v>0.03</v>
      </c>
      <c r="I44" s="6"/>
      <c r="M44" s="6">
        <v>0.03</v>
      </c>
    </row>
    <row r="45" spans="3:13" ht="12.75">
      <c r="C45" t="s">
        <v>62</v>
      </c>
      <c r="E45" s="5">
        <v>12</v>
      </c>
      <c r="I45" s="6"/>
      <c r="M45" s="5">
        <v>12</v>
      </c>
    </row>
    <row r="46" ht="13.5" thickBot="1">
      <c r="I46" s="6"/>
    </row>
    <row r="47" spans="3:13" ht="13.5" thickBot="1">
      <c r="C47" s="8" t="s">
        <v>63</v>
      </c>
      <c r="D47" s="9"/>
      <c r="E47" s="10">
        <f>(E43*(1+E44))*E45</f>
        <v>254616</v>
      </c>
      <c r="F47" s="9"/>
      <c r="G47" s="9"/>
      <c r="H47" s="9"/>
      <c r="I47" s="48"/>
      <c r="J47" s="9"/>
      <c r="K47" s="9"/>
      <c r="L47" s="9"/>
      <c r="M47" s="11">
        <f>(M43*(1+M44))*M45</f>
        <v>262254.48</v>
      </c>
    </row>
    <row r="48" ht="12.75">
      <c r="I48" s="6"/>
    </row>
    <row r="49" spans="2:9" ht="12.75">
      <c r="B49" s="4" t="s">
        <v>64</v>
      </c>
      <c r="I49" s="6"/>
    </row>
    <row r="50" spans="3:13" ht="12.75">
      <c r="C50" t="s">
        <v>5</v>
      </c>
      <c r="E50" s="5">
        <f>$M$33</f>
        <v>112724.99999999999</v>
      </c>
      <c r="G50" s="6">
        <f>(((365/547.5)*G33)-I33)+(((0.5*(547.5-365))/(1.5*365))*G33)</f>
        <v>0.11975170273299418</v>
      </c>
      <c r="I50" s="6">
        <v>0</v>
      </c>
      <c r="K50" s="5">
        <f>(E50*(1+G50))*(1+I50)</f>
        <v>126224.01069057675</v>
      </c>
      <c r="M50" s="5">
        <f>$K$50</f>
        <v>126224.01069057675</v>
      </c>
    </row>
    <row r="51" spans="3:13" ht="12.75">
      <c r="C51" t="s">
        <v>65</v>
      </c>
      <c r="E51" s="7">
        <v>105.44</v>
      </c>
      <c r="I51" s="6">
        <v>0.03</v>
      </c>
      <c r="K51" s="7">
        <f>(E51*(1+G51))*(1+I51)</f>
        <v>108.6032</v>
      </c>
      <c r="M51" s="7">
        <f>$K$51</f>
        <v>108.6032</v>
      </c>
    </row>
    <row r="52" ht="13.5" thickBot="1">
      <c r="I52" s="6"/>
    </row>
    <row r="53" spans="3:13" ht="13.5" thickBot="1">
      <c r="C53" s="8" t="s">
        <v>66</v>
      </c>
      <c r="D53" s="9"/>
      <c r="E53" s="10">
        <f>E50*E51</f>
        <v>11885723.999999998</v>
      </c>
      <c r="F53" s="9"/>
      <c r="G53" s="9"/>
      <c r="H53" s="9"/>
      <c r="I53" s="48"/>
      <c r="J53" s="9"/>
      <c r="K53" s="9"/>
      <c r="L53" s="9"/>
      <c r="M53" s="11">
        <f>M50*M51</f>
        <v>13708331.477830844</v>
      </c>
    </row>
    <row r="54" ht="13.5" thickBot="1">
      <c r="I54" s="6"/>
    </row>
    <row r="55" spans="2:13" ht="13.5" thickBot="1">
      <c r="B55" s="12" t="s">
        <v>12</v>
      </c>
      <c r="C55" s="13"/>
      <c r="D55" s="13"/>
      <c r="E55" s="14">
        <f>SUM(E47,E53)</f>
        <v>12140339.999999998</v>
      </c>
      <c r="F55" s="13"/>
      <c r="G55" s="13"/>
      <c r="H55" s="13"/>
      <c r="I55" s="51"/>
      <c r="J55" s="13"/>
      <c r="K55" s="13"/>
      <c r="L55" s="13"/>
      <c r="M55" s="15">
        <f>SUM(M47,M53)</f>
        <v>13970585.957830844</v>
      </c>
    </row>
    <row r="57" spans="1:13" ht="12.75">
      <c r="A57" s="19" t="s">
        <v>24</v>
      </c>
      <c r="E57" s="2" t="s">
        <v>23</v>
      </c>
      <c r="G57" s="2" t="s">
        <v>17</v>
      </c>
      <c r="I57" s="2" t="s">
        <v>68</v>
      </c>
      <c r="K57" s="2" t="s">
        <v>16</v>
      </c>
      <c r="M57" s="2" t="s">
        <v>25</v>
      </c>
    </row>
    <row r="58" ht="12.75">
      <c r="I58" s="6"/>
    </row>
    <row r="59" spans="2:9" ht="12.75">
      <c r="B59" s="4" t="s">
        <v>59</v>
      </c>
      <c r="I59" s="6"/>
    </row>
    <row r="60" spans="3:13" ht="12.75">
      <c r="C60" t="s">
        <v>60</v>
      </c>
      <c r="E60" s="7">
        <f>$M$43</f>
        <v>21218</v>
      </c>
      <c r="I60" s="6">
        <v>0.03</v>
      </c>
      <c r="K60" s="7">
        <f>(E60*(1+G60))*(1+I60)</f>
        <v>21854.54</v>
      </c>
      <c r="M60" s="7">
        <f>$K$60</f>
        <v>21854.54</v>
      </c>
    </row>
    <row r="61" spans="3:13" ht="12.75">
      <c r="C61" t="s">
        <v>61</v>
      </c>
      <c r="E61" s="6">
        <v>0.03</v>
      </c>
      <c r="I61" s="6"/>
      <c r="M61" s="6">
        <v>0.03</v>
      </c>
    </row>
    <row r="62" spans="3:13" ht="12.75">
      <c r="C62" t="s">
        <v>62</v>
      </c>
      <c r="E62" s="5">
        <v>12</v>
      </c>
      <c r="I62" s="6"/>
      <c r="M62" s="5">
        <v>12</v>
      </c>
    </row>
    <row r="63" ht="13.5" thickBot="1">
      <c r="I63" s="6"/>
    </row>
    <row r="64" spans="3:13" ht="13.5" thickBot="1">
      <c r="C64" s="8" t="s">
        <v>63</v>
      </c>
      <c r="D64" s="9"/>
      <c r="E64" s="10">
        <f>(E60*(1+E61))*E62</f>
        <v>262254.48</v>
      </c>
      <c r="F64" s="9"/>
      <c r="G64" s="9"/>
      <c r="H64" s="9"/>
      <c r="I64" s="48"/>
      <c r="J64" s="9"/>
      <c r="K64" s="9"/>
      <c r="L64" s="9"/>
      <c r="M64" s="11">
        <f>(M60*(1+M61))*M62</f>
        <v>270122.1144</v>
      </c>
    </row>
    <row r="65" ht="12.75">
      <c r="I65" s="6"/>
    </row>
    <row r="66" spans="2:9" ht="12.75">
      <c r="B66" s="4" t="s">
        <v>64</v>
      </c>
      <c r="I66" s="6"/>
    </row>
    <row r="67" spans="3:13" ht="12.75">
      <c r="C67" t="s">
        <v>5</v>
      </c>
      <c r="E67" s="5">
        <f>$M$50</f>
        <v>126224.01069057675</v>
      </c>
      <c r="G67" s="6">
        <f>G33-I33-G50</f>
        <v>0.03991723424433141</v>
      </c>
      <c r="I67" s="6">
        <v>0.07</v>
      </c>
      <c r="K67" s="5">
        <f>(E67*(1+G67))*(1+I67)</f>
        <v>140450.9007790515</v>
      </c>
      <c r="M67" s="5">
        <f>$K$67</f>
        <v>140450.9007790515</v>
      </c>
    </row>
    <row r="68" spans="3:13" ht="12.75">
      <c r="C68" t="s">
        <v>65</v>
      </c>
      <c r="E68" s="7">
        <f>$M$51</f>
        <v>108.6032</v>
      </c>
      <c r="I68" s="6">
        <v>0.03</v>
      </c>
      <c r="K68" s="7">
        <f>(E68*(1+G68))*(1+I68)</f>
        <v>111.86129600000001</v>
      </c>
      <c r="M68" s="7">
        <f>$K$68</f>
        <v>111.86129600000001</v>
      </c>
    </row>
    <row r="69" ht="13.5" thickBot="1">
      <c r="I69" s="6"/>
    </row>
    <row r="70" spans="3:13" ht="13.5" thickBot="1">
      <c r="C70" s="8" t="s">
        <v>66</v>
      </c>
      <c r="D70" s="9"/>
      <c r="E70" s="10">
        <f>E67*E68</f>
        <v>13708331.477830844</v>
      </c>
      <c r="F70" s="9"/>
      <c r="G70" s="9"/>
      <c r="H70" s="9"/>
      <c r="I70" s="48"/>
      <c r="J70" s="9"/>
      <c r="K70" s="9"/>
      <c r="L70" s="9"/>
      <c r="M70" s="11">
        <f>M67*M68</f>
        <v>15711019.785512112</v>
      </c>
    </row>
    <row r="71" ht="13.5" thickBot="1">
      <c r="I71" s="6"/>
    </row>
    <row r="72" spans="2:13" ht="13.5" thickBot="1">
      <c r="B72" s="12" t="s">
        <v>12</v>
      </c>
      <c r="C72" s="13"/>
      <c r="D72" s="13"/>
      <c r="E72" s="14">
        <f>SUM(E64,E70)</f>
        <v>13970585.957830844</v>
      </c>
      <c r="F72" s="13"/>
      <c r="G72" s="13"/>
      <c r="H72" s="13"/>
      <c r="I72" s="51"/>
      <c r="J72" s="13"/>
      <c r="K72" s="13"/>
      <c r="L72" s="13"/>
      <c r="M72" s="15">
        <f>SUM(M64,M70)</f>
        <v>15981141.899912111</v>
      </c>
    </row>
    <row r="74" spans="1:13" ht="12.75">
      <c r="A74" s="19" t="s">
        <v>26</v>
      </c>
      <c r="E74" s="2" t="s">
        <v>25</v>
      </c>
      <c r="G74" s="2" t="s">
        <v>17</v>
      </c>
      <c r="I74" s="2" t="s">
        <v>68</v>
      </c>
      <c r="K74" s="2" t="s">
        <v>16</v>
      </c>
      <c r="M74" s="2" t="s">
        <v>27</v>
      </c>
    </row>
    <row r="75" ht="12.75">
      <c r="I75" s="6"/>
    </row>
    <row r="76" spans="2:9" ht="12.75">
      <c r="B76" s="4" t="s">
        <v>59</v>
      </c>
      <c r="I76" s="6"/>
    </row>
    <row r="77" spans="3:13" ht="12.75">
      <c r="C77" t="s">
        <v>60</v>
      </c>
      <c r="E77" s="7">
        <f>$M$60</f>
        <v>21854.54</v>
      </c>
      <c r="I77" s="6">
        <v>0.03</v>
      </c>
      <c r="K77" s="7">
        <f>(E77*(1+G77))*(1+I77)</f>
        <v>22510.1762</v>
      </c>
      <c r="M77" s="7">
        <f>$K$77</f>
        <v>22510.1762</v>
      </c>
    </row>
    <row r="78" spans="3:13" ht="12.75">
      <c r="C78" t="s">
        <v>61</v>
      </c>
      <c r="E78" s="6">
        <v>0.03</v>
      </c>
      <c r="I78" s="6"/>
      <c r="M78" s="6">
        <v>0.03</v>
      </c>
    </row>
    <row r="79" spans="3:13" ht="12.75">
      <c r="C79" t="s">
        <v>62</v>
      </c>
      <c r="E79" s="5">
        <v>12</v>
      </c>
      <c r="I79" s="6"/>
      <c r="M79" s="5">
        <v>12</v>
      </c>
    </row>
    <row r="80" ht="13.5" thickBot="1">
      <c r="I80" s="6"/>
    </row>
    <row r="81" spans="3:13" ht="13.5" thickBot="1">
      <c r="C81" s="8" t="s">
        <v>63</v>
      </c>
      <c r="D81" s="9"/>
      <c r="E81" s="10">
        <f>(E77*(1+E78))*E79</f>
        <v>270122.1144</v>
      </c>
      <c r="F81" s="9"/>
      <c r="G81" s="9"/>
      <c r="H81" s="9"/>
      <c r="I81" s="48"/>
      <c r="J81" s="9"/>
      <c r="K81" s="9"/>
      <c r="L81" s="9"/>
      <c r="M81" s="11">
        <f>(M77*(1+M78))*M79</f>
        <v>278225.777832</v>
      </c>
    </row>
    <row r="82" ht="12.75">
      <c r="I82" s="6"/>
    </row>
    <row r="83" spans="2:9" ht="12.75">
      <c r="B83" s="4" t="s">
        <v>64</v>
      </c>
      <c r="I83" s="6"/>
    </row>
    <row r="84" spans="3:13" ht="12.75">
      <c r="C84" t="s">
        <v>5</v>
      </c>
      <c r="E84" s="5">
        <f>$M$67</f>
        <v>140450.9007790515</v>
      </c>
      <c r="G84" s="6">
        <v>0</v>
      </c>
      <c r="I84" s="6">
        <v>0.07</v>
      </c>
      <c r="K84" s="5">
        <f>(E84*(1+G84))*(1+I84)</f>
        <v>150282.46383358512</v>
      </c>
      <c r="M84" s="5">
        <f>$K$84</f>
        <v>150282.46383358512</v>
      </c>
    </row>
    <row r="85" spans="3:13" ht="12.75">
      <c r="C85" t="s">
        <v>65</v>
      </c>
      <c r="E85" s="7">
        <f>$M$68</f>
        <v>111.86129600000001</v>
      </c>
      <c r="I85" s="6">
        <v>0.03</v>
      </c>
      <c r="K85" s="7">
        <f>(E85*(1+G85))*(1+I85)</f>
        <v>115.21713488000002</v>
      </c>
      <c r="M85" s="7">
        <f>$K$85</f>
        <v>115.21713488000002</v>
      </c>
    </row>
    <row r="86" ht="13.5" thickBot="1">
      <c r="I86" s="6"/>
    </row>
    <row r="87" spans="3:13" ht="13.5" thickBot="1">
      <c r="C87" s="8" t="s">
        <v>66</v>
      </c>
      <c r="D87" s="9"/>
      <c r="E87" s="10">
        <f>E84*E85</f>
        <v>15711019.785512112</v>
      </c>
      <c r="F87" s="9"/>
      <c r="G87" s="9"/>
      <c r="H87" s="9"/>
      <c r="I87" s="48"/>
      <c r="J87" s="9"/>
      <c r="K87" s="9"/>
      <c r="L87" s="9"/>
      <c r="M87" s="11">
        <f>M84*M85</f>
        <v>17315114.9056129</v>
      </c>
    </row>
    <row r="88" ht="13.5" thickBot="1">
      <c r="I88" s="6"/>
    </row>
    <row r="89" spans="2:13" ht="13.5" thickBot="1">
      <c r="B89" s="12" t="s">
        <v>12</v>
      </c>
      <c r="C89" s="13"/>
      <c r="D89" s="13"/>
      <c r="E89" s="14">
        <f>SUM(E81,E87)</f>
        <v>15981141.899912111</v>
      </c>
      <c r="F89" s="13"/>
      <c r="G89" s="13"/>
      <c r="H89" s="13"/>
      <c r="I89" s="51"/>
      <c r="J89" s="13"/>
      <c r="K89" s="13"/>
      <c r="L89" s="13"/>
      <c r="M89" s="15">
        <f>SUM(M81,M87)</f>
        <v>17593340.683444902</v>
      </c>
    </row>
  </sheetData>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U89"/>
  <sheetViews>
    <sheetView zoomScale="75" zoomScaleNormal="75" workbookViewId="0" topLeftCell="A1">
      <selection activeCell="A1" sqref="A1"/>
    </sheetView>
  </sheetViews>
  <sheetFormatPr defaultColWidth="9.140625" defaultRowHeight="12.75"/>
  <cols>
    <col min="1" max="1" width="32.28125" style="0" bestFit="1" customWidth="1"/>
    <col min="2" max="2" width="18.00390625" style="0" bestFit="1" customWidth="1"/>
    <col min="3" max="3" width="22.7109375" style="0" bestFit="1" customWidth="1"/>
    <col min="5" max="5" width="19.421875" style="0" bestFit="1" customWidth="1"/>
    <col min="7" max="7" width="23.00390625" style="0" bestFit="1" customWidth="1"/>
    <col min="9" max="9" width="23.421875" style="0" bestFit="1" customWidth="1"/>
    <col min="11" max="11" width="26.28125" style="0" bestFit="1" customWidth="1"/>
    <col min="13" max="13" width="19.140625" style="0" bestFit="1" customWidth="1"/>
    <col min="15" max="15" width="19.140625" style="0" bestFit="1" customWidth="1"/>
    <col min="17" max="17" width="19.140625" style="0" bestFit="1" customWidth="1"/>
    <col min="19" max="19" width="18.57421875" style="0" bestFit="1" customWidth="1"/>
    <col min="21" max="21" width="19.140625" style="0" bestFit="1" customWidth="1"/>
  </cols>
  <sheetData>
    <row r="1" spans="1:21" ht="12.75">
      <c r="A1" s="1" t="s">
        <v>70</v>
      </c>
      <c r="E1" s="2">
        <v>1996</v>
      </c>
      <c r="G1" s="2">
        <v>1997</v>
      </c>
      <c r="I1" s="2" t="s">
        <v>28</v>
      </c>
      <c r="K1" s="2" t="s">
        <v>29</v>
      </c>
      <c r="L1" s="3"/>
      <c r="M1" s="45" t="s">
        <v>54</v>
      </c>
      <c r="N1" s="46"/>
      <c r="O1" s="2" t="s">
        <v>55</v>
      </c>
      <c r="Q1" s="2" t="s">
        <v>56</v>
      </c>
      <c r="S1" s="2" t="s">
        <v>57</v>
      </c>
      <c r="U1" s="2" t="s">
        <v>58</v>
      </c>
    </row>
    <row r="2" spans="1:12" ht="12.75">
      <c r="A2" t="s">
        <v>69</v>
      </c>
      <c r="L2" s="3"/>
    </row>
    <row r="3" spans="2:12" ht="12.75">
      <c r="B3" s="4" t="s">
        <v>59</v>
      </c>
      <c r="L3" s="3"/>
    </row>
    <row r="4" spans="3:21" ht="12.75">
      <c r="C4" t="s">
        <v>71</v>
      </c>
      <c r="E4" s="7">
        <v>389433</v>
      </c>
      <c r="F4" s="7"/>
      <c r="G4" s="7">
        <v>368618</v>
      </c>
      <c r="H4" s="7"/>
      <c r="I4" s="7">
        <v>368618</v>
      </c>
      <c r="J4" s="7"/>
      <c r="K4" s="7">
        <v>379677</v>
      </c>
      <c r="L4" s="3"/>
      <c r="M4" s="6">
        <f>(G4/E4)-1</f>
        <v>-0.053449502225029755</v>
      </c>
      <c r="O4" s="6">
        <f>(I4/G4)-1</f>
        <v>0</v>
      </c>
      <c r="Q4" s="6">
        <f>(K4/I4)-1</f>
        <v>0.03000124790433456</v>
      </c>
      <c r="S4" s="6">
        <f>(I4/E4)-1</f>
        <v>-0.053449502225029755</v>
      </c>
      <c r="T4" s="6"/>
      <c r="U4" s="6">
        <f>(K4/G4)-1</f>
        <v>0.03000124790433456</v>
      </c>
    </row>
    <row r="5" spans="3:12" ht="12.75">
      <c r="C5" t="s">
        <v>61</v>
      </c>
      <c r="E5" s="6">
        <v>0</v>
      </c>
      <c r="F5" s="6"/>
      <c r="G5" s="6">
        <v>0</v>
      </c>
      <c r="H5" s="6"/>
      <c r="I5" s="6">
        <v>0.03</v>
      </c>
      <c r="J5" s="6"/>
      <c r="K5" s="6">
        <v>0.03</v>
      </c>
      <c r="L5" s="3"/>
    </row>
    <row r="6" spans="3:12" ht="12.75">
      <c r="C6" t="s">
        <v>72</v>
      </c>
      <c r="E6" s="5">
        <v>12</v>
      </c>
      <c r="F6" s="5"/>
      <c r="G6" s="5">
        <v>12</v>
      </c>
      <c r="H6" s="5"/>
      <c r="I6" s="53">
        <v>12</v>
      </c>
      <c r="J6" s="5"/>
      <c r="K6" s="5">
        <v>12</v>
      </c>
      <c r="L6" s="3"/>
    </row>
    <row r="7" ht="13.5" thickBot="1">
      <c r="L7" s="3"/>
    </row>
    <row r="8" spans="3:21" ht="13.5" thickBot="1">
      <c r="C8" s="8" t="s">
        <v>63</v>
      </c>
      <c r="D8" s="9"/>
      <c r="E8" s="10">
        <f>(E4*(1+E5))*E6</f>
        <v>4673196</v>
      </c>
      <c r="F8" s="10"/>
      <c r="G8" s="10">
        <f>(G4*(1+G5))*G6</f>
        <v>4423416</v>
      </c>
      <c r="H8" s="10"/>
      <c r="I8" s="10">
        <f>(I4*(1+I5))*I6</f>
        <v>4556118.48</v>
      </c>
      <c r="J8" s="10"/>
      <c r="K8" s="11">
        <f>(K4*(1+K5))*K6</f>
        <v>4692807.72</v>
      </c>
      <c r="L8" s="3"/>
      <c r="M8" s="47">
        <f>(G8/E8)-1</f>
        <v>-0.053449502225029755</v>
      </c>
      <c r="N8" s="9"/>
      <c r="O8" s="48">
        <f>(I8/G8)-1</f>
        <v>0.030000000000000027</v>
      </c>
      <c r="P8" s="9"/>
      <c r="Q8" s="48">
        <f>(K8/I8)-1</f>
        <v>0.03000124790433434</v>
      </c>
      <c r="R8" s="9"/>
      <c r="S8" s="48">
        <f>(I8/E8)-1</f>
        <v>-0.025052987291780515</v>
      </c>
      <c r="T8" s="48"/>
      <c r="U8" s="49">
        <f>(K8/G8)-1</f>
        <v>0.06090128534146455</v>
      </c>
    </row>
    <row r="9" ht="12.75">
      <c r="L9" s="3"/>
    </row>
    <row r="10" spans="2:12" ht="12.75">
      <c r="B10" s="4" t="s">
        <v>64</v>
      </c>
      <c r="L10" s="3"/>
    </row>
    <row r="11" spans="3:21" ht="12.75">
      <c r="C11" t="s">
        <v>5</v>
      </c>
      <c r="E11" s="5">
        <f>'Professional Fees'!E11</f>
        <v>118074</v>
      </c>
      <c r="F11" s="5"/>
      <c r="G11" s="5">
        <f>'Professional Fees'!G11</f>
        <v>104391</v>
      </c>
      <c r="H11" s="5"/>
      <c r="I11" s="5">
        <f>'Professional Fees'!I11</f>
        <v>121153</v>
      </c>
      <c r="J11" s="5"/>
      <c r="K11" s="5">
        <f>'Professional Fees'!K11</f>
        <v>129393</v>
      </c>
      <c r="L11" s="3"/>
      <c r="M11" s="6">
        <f>(G11/E11)-1</f>
        <v>-0.11588495350373496</v>
      </c>
      <c r="O11" s="6">
        <f>(I11/G11)-1</f>
        <v>0.16056939774501644</v>
      </c>
      <c r="Q11" s="6">
        <f>(K11/I11)-1</f>
        <v>0.06801317342533819</v>
      </c>
      <c r="S11" s="6">
        <f>(I11/E11)-1</f>
        <v>0.026076867049477537</v>
      </c>
      <c r="T11" s="6"/>
      <c r="U11" s="6">
        <f>(K11/G11)-1</f>
        <v>0.23950340546598836</v>
      </c>
    </row>
    <row r="12" spans="3:21" ht="12.75">
      <c r="C12" t="s">
        <v>73</v>
      </c>
      <c r="E12" s="7">
        <v>158.31</v>
      </c>
      <c r="F12" s="7"/>
      <c r="G12" s="7">
        <v>169.49</v>
      </c>
      <c r="H12" s="7"/>
      <c r="I12" s="7">
        <v>169.49</v>
      </c>
      <c r="J12" s="7"/>
      <c r="K12" s="7">
        <v>169.49</v>
      </c>
      <c r="L12" s="3"/>
      <c r="M12" s="6">
        <f>(G12/E12)-1</f>
        <v>0.07062093361126909</v>
      </c>
      <c r="O12" s="6">
        <f>(I12/G12)-1</f>
        <v>0</v>
      </c>
      <c r="Q12" s="6">
        <f>(K12/I12)-1</f>
        <v>0</v>
      </c>
      <c r="S12" s="6">
        <f>(I12/E12)-1</f>
        <v>0.07062093361126909</v>
      </c>
      <c r="T12" s="6"/>
      <c r="U12" s="6">
        <f>(K12/G12)-1</f>
        <v>0</v>
      </c>
    </row>
    <row r="13" ht="13.5" thickBot="1">
      <c r="L13" s="3"/>
    </row>
    <row r="14" spans="3:21" ht="13.5" thickBot="1">
      <c r="C14" s="8" t="s">
        <v>66</v>
      </c>
      <c r="D14" s="9"/>
      <c r="E14" s="10">
        <f>E11*E12</f>
        <v>18692294.94</v>
      </c>
      <c r="F14" s="10"/>
      <c r="G14" s="10">
        <f>G11*G12</f>
        <v>17693230.59</v>
      </c>
      <c r="H14" s="10"/>
      <c r="I14" s="10">
        <f>I11*I12</f>
        <v>20534221.970000003</v>
      </c>
      <c r="J14" s="10"/>
      <c r="K14" s="11">
        <f>K11*K12</f>
        <v>21930819.57</v>
      </c>
      <c r="L14" s="3"/>
      <c r="M14" s="47">
        <f>(G14/E14)-1</f>
        <v>-0.05344792350039829</v>
      </c>
      <c r="N14" s="9"/>
      <c r="O14" s="48">
        <f>(I14/G14)-1</f>
        <v>0.16056939774501644</v>
      </c>
      <c r="P14" s="9"/>
      <c r="Q14" s="48">
        <f>(K14/I14)-1</f>
        <v>0.06801317342533819</v>
      </c>
      <c r="R14" s="9"/>
      <c r="S14" s="48">
        <f>(I14/E14)-1</f>
        <v>0.09853937335743757</v>
      </c>
      <c r="T14" s="48"/>
      <c r="U14" s="49">
        <f>(K14/G14)-1</f>
        <v>0.23950340546598858</v>
      </c>
    </row>
    <row r="15" ht="13.5" thickBot="1">
      <c r="L15" s="3"/>
    </row>
    <row r="16" spans="2:21" ht="13.5" thickBot="1">
      <c r="B16" s="12" t="s">
        <v>12</v>
      </c>
      <c r="C16" s="13"/>
      <c r="D16" s="13"/>
      <c r="E16" s="14">
        <f>E8+E14</f>
        <v>23365490.94</v>
      </c>
      <c r="F16" s="14"/>
      <c r="G16" s="14">
        <f>G8+G14</f>
        <v>22116646.59</v>
      </c>
      <c r="H16" s="14"/>
      <c r="I16" s="14">
        <f>I8+I14</f>
        <v>25090340.450000003</v>
      </c>
      <c r="J16" s="14"/>
      <c r="K16" s="15">
        <f>K8+K14</f>
        <v>26623627.29</v>
      </c>
      <c r="L16" s="3"/>
      <c r="M16" s="50">
        <f>(G16/E16)-1</f>
        <v>-0.053448239251933316</v>
      </c>
      <c r="N16" s="13"/>
      <c r="O16" s="51">
        <f>(I16/G16)-1</f>
        <v>0.1344550064540324</v>
      </c>
      <c r="P16" s="13"/>
      <c r="Q16" s="51">
        <f>(K16/I16)-1</f>
        <v>0.06111064308017378</v>
      </c>
      <c r="R16" s="13"/>
      <c r="S16" s="51">
        <f>(I16/E16)-1</f>
        <v>0.07382038384852363</v>
      </c>
      <c r="T16" s="51"/>
      <c r="U16" s="52">
        <f>(K16/G16)-1</f>
        <v>0.20378228144396093</v>
      </c>
    </row>
    <row r="17" spans="1:21" ht="12.75">
      <c r="A17" s="3"/>
      <c r="B17" s="3"/>
      <c r="C17" s="3"/>
      <c r="D17" s="3"/>
      <c r="E17" s="3"/>
      <c r="F17" s="3"/>
      <c r="G17" s="3"/>
      <c r="H17" s="3"/>
      <c r="I17" s="3"/>
      <c r="J17" s="3"/>
      <c r="K17" s="3"/>
      <c r="L17" s="3"/>
      <c r="M17" s="3"/>
      <c r="N17" s="3"/>
      <c r="O17" s="3"/>
      <c r="P17" s="3"/>
      <c r="Q17" s="3"/>
      <c r="R17" s="3"/>
      <c r="S17" s="3"/>
      <c r="T17" s="3"/>
      <c r="U17" s="3"/>
    </row>
    <row r="18" spans="1:21" ht="12.75">
      <c r="A18" s="3"/>
      <c r="B18" s="3"/>
      <c r="C18" s="3"/>
      <c r="D18" s="3"/>
      <c r="E18" s="3"/>
      <c r="F18" s="3"/>
      <c r="G18" s="3"/>
      <c r="H18" s="3"/>
      <c r="I18" s="3"/>
      <c r="J18" s="3"/>
      <c r="K18" s="3"/>
      <c r="L18" s="3"/>
      <c r="M18" s="3"/>
      <c r="N18" s="3"/>
      <c r="O18" s="3"/>
      <c r="P18" s="3"/>
      <c r="Q18" s="3"/>
      <c r="R18" s="3"/>
      <c r="S18" s="3"/>
      <c r="T18" s="3"/>
      <c r="U18" s="3"/>
    </row>
    <row r="19" spans="1:11" ht="12.75">
      <c r="A19" s="19" t="s">
        <v>18</v>
      </c>
      <c r="C19" s="17"/>
      <c r="D19" s="17"/>
      <c r="E19" s="2" t="s">
        <v>28</v>
      </c>
      <c r="F19" s="17"/>
      <c r="G19" s="18" t="s">
        <v>118</v>
      </c>
      <c r="H19" s="17"/>
      <c r="I19" s="18" t="s">
        <v>19</v>
      </c>
      <c r="J19" s="17"/>
      <c r="K19" s="18" t="s">
        <v>13</v>
      </c>
    </row>
    <row r="20" ht="13.5" thickBot="1"/>
    <row r="21" spans="3:11" ht="13.5" thickBot="1">
      <c r="C21" s="37" t="s">
        <v>74</v>
      </c>
      <c r="D21" s="13"/>
      <c r="E21" s="14">
        <f>$I$16</f>
        <v>25090340.450000003</v>
      </c>
      <c r="F21" s="13"/>
      <c r="G21" s="14">
        <f>'[3]Annualization'!$K$57</f>
        <v>22634211.907894738</v>
      </c>
      <c r="H21" s="13"/>
      <c r="I21" s="14">
        <f>(AVERAGE(G11,91084))*(AVERAGE(G12,(G21/91084)))</f>
        <v>20426561.8461989</v>
      </c>
      <c r="J21" s="13"/>
      <c r="K21" s="15">
        <f>(I21/365)*49</f>
        <v>2742195.973873277</v>
      </c>
    </row>
    <row r="23" spans="1:13" ht="12.75">
      <c r="A23" s="19" t="s">
        <v>20</v>
      </c>
      <c r="E23" s="2" t="s">
        <v>29</v>
      </c>
      <c r="G23" s="2" t="s">
        <v>58</v>
      </c>
      <c r="I23" s="2" t="s">
        <v>15</v>
      </c>
      <c r="K23" s="2" t="s">
        <v>16</v>
      </c>
      <c r="M23" s="2" t="s">
        <v>21</v>
      </c>
    </row>
    <row r="25" ht="12.75">
      <c r="B25" s="4" t="s">
        <v>59</v>
      </c>
    </row>
    <row r="26" spans="3:13" ht="12.75">
      <c r="C26" t="s">
        <v>71</v>
      </c>
      <c r="E26" s="7">
        <v>379677</v>
      </c>
      <c r="M26" s="7">
        <v>379677</v>
      </c>
    </row>
    <row r="27" spans="3:13" ht="12.75">
      <c r="C27" t="s">
        <v>61</v>
      </c>
      <c r="E27" s="6">
        <v>0.03</v>
      </c>
      <c r="M27" s="6">
        <v>0.03</v>
      </c>
    </row>
    <row r="28" spans="3:13" ht="12.75">
      <c r="C28" t="s">
        <v>72</v>
      </c>
      <c r="E28" s="5">
        <v>12</v>
      </c>
      <c r="M28" s="5">
        <v>12</v>
      </c>
    </row>
    <row r="29" ht="13.5" thickBot="1"/>
    <row r="30" spans="3:13" ht="13.5" thickBot="1">
      <c r="C30" s="8" t="s">
        <v>63</v>
      </c>
      <c r="D30" s="9"/>
      <c r="E30" s="10">
        <f>(E26*(1+E27))*E28</f>
        <v>4692807.72</v>
      </c>
      <c r="F30" s="9"/>
      <c r="G30" s="9"/>
      <c r="H30" s="9"/>
      <c r="I30" s="9"/>
      <c r="J30" s="9"/>
      <c r="K30" s="9"/>
      <c r="L30" s="9"/>
      <c r="M30" s="11">
        <f>(M26*(1+M27))*M28</f>
        <v>4692807.72</v>
      </c>
    </row>
    <row r="32" ht="12.75">
      <c r="B32" s="4" t="s">
        <v>64</v>
      </c>
    </row>
    <row r="33" spans="3:13" ht="12.75">
      <c r="C33" t="s">
        <v>5</v>
      </c>
      <c r="E33" s="5">
        <f>$K$11</f>
        <v>129393</v>
      </c>
      <c r="G33" s="6">
        <f>$U$11</f>
        <v>0.23950340546598836</v>
      </c>
      <c r="I33" s="6">
        <f>(AVERAGE(0,365)/(1.5*365))*G33</f>
        <v>0.07983446848866278</v>
      </c>
      <c r="K33" s="5">
        <f>(E33/(1+G33))*(1+I33)</f>
        <v>112724.99999999999</v>
      </c>
      <c r="M33" s="5">
        <f>$K$33</f>
        <v>112724.99999999999</v>
      </c>
    </row>
    <row r="34" spans="3:13" ht="12.75">
      <c r="C34" t="s">
        <v>73</v>
      </c>
      <c r="E34" s="7">
        <v>169.49</v>
      </c>
      <c r="M34" s="7">
        <v>169.49</v>
      </c>
    </row>
    <row r="35" ht="13.5" thickBot="1"/>
    <row r="36" spans="3:13" ht="13.5" thickBot="1">
      <c r="C36" s="8" t="s">
        <v>66</v>
      </c>
      <c r="D36" s="9"/>
      <c r="E36" s="10">
        <f>E33*E34</f>
        <v>21930819.57</v>
      </c>
      <c r="F36" s="9"/>
      <c r="G36" s="9"/>
      <c r="H36" s="9"/>
      <c r="I36" s="9"/>
      <c r="J36" s="9"/>
      <c r="K36" s="9"/>
      <c r="L36" s="9"/>
      <c r="M36" s="11">
        <f>M33*M34</f>
        <v>19105760.25</v>
      </c>
    </row>
    <row r="37" ht="13.5" thickBot="1"/>
    <row r="38" spans="2:13" ht="13.5" thickBot="1">
      <c r="B38" s="12" t="s">
        <v>12</v>
      </c>
      <c r="C38" s="13"/>
      <c r="D38" s="13"/>
      <c r="E38" s="14">
        <f>E30+E36</f>
        <v>26623627.29</v>
      </c>
      <c r="F38" s="13"/>
      <c r="G38" s="13"/>
      <c r="H38" s="13"/>
      <c r="I38" s="13"/>
      <c r="J38" s="13"/>
      <c r="K38" s="13"/>
      <c r="L38" s="13"/>
      <c r="M38" s="15">
        <f>M30+M36</f>
        <v>23798567.97</v>
      </c>
    </row>
    <row r="40" spans="1:13" ht="12.75">
      <c r="A40" s="19" t="s">
        <v>22</v>
      </c>
      <c r="E40" s="2" t="s">
        <v>21</v>
      </c>
      <c r="G40" s="2" t="s">
        <v>17</v>
      </c>
      <c r="I40" s="2" t="s">
        <v>68</v>
      </c>
      <c r="K40" s="2" t="s">
        <v>16</v>
      </c>
      <c r="M40" s="2" t="s">
        <v>23</v>
      </c>
    </row>
    <row r="42" spans="2:9" ht="12.75">
      <c r="B42" s="4" t="s">
        <v>59</v>
      </c>
      <c r="I42" s="6"/>
    </row>
    <row r="43" spans="3:13" ht="12.75">
      <c r="C43" t="s">
        <v>71</v>
      </c>
      <c r="E43" s="7">
        <v>379677</v>
      </c>
      <c r="I43" s="6">
        <v>0.03</v>
      </c>
      <c r="K43" s="7">
        <f>(E43*(1+G43))*(1+I43)</f>
        <v>391067.31</v>
      </c>
      <c r="M43" s="7">
        <f>$K$43</f>
        <v>391067.31</v>
      </c>
    </row>
    <row r="44" spans="3:13" ht="12.75">
      <c r="C44" t="s">
        <v>61</v>
      </c>
      <c r="E44" s="6">
        <v>0.03</v>
      </c>
      <c r="I44" s="6"/>
      <c r="M44" s="6">
        <v>0.03</v>
      </c>
    </row>
    <row r="45" spans="3:13" ht="12.75">
      <c r="C45" t="s">
        <v>72</v>
      </c>
      <c r="E45" s="5">
        <v>12</v>
      </c>
      <c r="I45" s="6"/>
      <c r="M45" s="5">
        <v>12</v>
      </c>
    </row>
    <row r="46" ht="13.5" thickBot="1">
      <c r="I46" s="6"/>
    </row>
    <row r="47" spans="3:13" ht="13.5" thickBot="1">
      <c r="C47" s="8" t="s">
        <v>63</v>
      </c>
      <c r="D47" s="9"/>
      <c r="E47" s="10">
        <f>(E43*(1+E44))*E45</f>
        <v>4692807.72</v>
      </c>
      <c r="F47" s="9"/>
      <c r="G47" s="9"/>
      <c r="H47" s="9"/>
      <c r="I47" s="48"/>
      <c r="J47" s="9"/>
      <c r="K47" s="9"/>
      <c r="L47" s="9"/>
      <c r="M47" s="11">
        <f>(M43*(1+M44))*M45</f>
        <v>4833591.9516</v>
      </c>
    </row>
    <row r="48" ht="12.75">
      <c r="I48" s="6"/>
    </row>
    <row r="49" spans="2:9" ht="12.75">
      <c r="B49" s="4" t="s">
        <v>64</v>
      </c>
      <c r="I49" s="6"/>
    </row>
    <row r="50" spans="3:13" ht="12.75">
      <c r="C50" t="s">
        <v>5</v>
      </c>
      <c r="E50" s="5">
        <f>$M$33</f>
        <v>112724.99999999999</v>
      </c>
      <c r="G50" s="6">
        <f>(((365/547.5)*G33)-I33)+(((0.5*(547.5-365))/(1.5*365))*G33)</f>
        <v>0.11975170273299418</v>
      </c>
      <c r="I50" s="6">
        <v>0</v>
      </c>
      <c r="K50" s="5">
        <f>(E50*(1+G50))*(1+I50)</f>
        <v>126224.01069057675</v>
      </c>
      <c r="M50" s="5">
        <f>$K$50</f>
        <v>126224.01069057675</v>
      </c>
    </row>
    <row r="51" spans="3:13" ht="12.75">
      <c r="C51" t="s">
        <v>73</v>
      </c>
      <c r="E51" s="7">
        <v>169.49</v>
      </c>
      <c r="I51" s="6"/>
      <c r="M51" s="7">
        <v>169.49</v>
      </c>
    </row>
    <row r="52" ht="13.5" thickBot="1">
      <c r="I52" s="6"/>
    </row>
    <row r="53" spans="3:13" ht="13.5" thickBot="1">
      <c r="C53" s="8" t="s">
        <v>66</v>
      </c>
      <c r="D53" s="9"/>
      <c r="E53" s="10">
        <f>E50*E51</f>
        <v>19105760.25</v>
      </c>
      <c r="F53" s="9"/>
      <c r="G53" s="9"/>
      <c r="H53" s="9"/>
      <c r="I53" s="48"/>
      <c r="J53" s="9"/>
      <c r="K53" s="9"/>
      <c r="L53" s="9"/>
      <c r="M53" s="11">
        <f>M50*M51</f>
        <v>21393707.571945854</v>
      </c>
    </row>
    <row r="54" ht="13.5" thickBot="1">
      <c r="I54" s="6"/>
    </row>
    <row r="55" spans="2:13" ht="13.5" thickBot="1">
      <c r="B55" s="12" t="s">
        <v>12</v>
      </c>
      <c r="C55" s="13"/>
      <c r="D55" s="13"/>
      <c r="E55" s="14">
        <f>E47+E53</f>
        <v>23798567.97</v>
      </c>
      <c r="F55" s="13"/>
      <c r="G55" s="13"/>
      <c r="H55" s="13"/>
      <c r="I55" s="51"/>
      <c r="J55" s="13"/>
      <c r="K55" s="13"/>
      <c r="L55" s="13"/>
      <c r="M55" s="15">
        <f>M47+M53</f>
        <v>26227299.523545854</v>
      </c>
    </row>
    <row r="57" spans="1:13" ht="12.75">
      <c r="A57" s="19" t="s">
        <v>24</v>
      </c>
      <c r="E57" s="2" t="s">
        <v>23</v>
      </c>
      <c r="G57" s="2" t="s">
        <v>17</v>
      </c>
      <c r="I57" s="2" t="s">
        <v>68</v>
      </c>
      <c r="K57" s="2" t="s">
        <v>16</v>
      </c>
      <c r="M57" s="2" t="s">
        <v>25</v>
      </c>
    </row>
    <row r="59" spans="2:9" ht="12.75">
      <c r="B59" s="4" t="s">
        <v>59</v>
      </c>
      <c r="I59" s="6"/>
    </row>
    <row r="60" spans="3:13" ht="12.75">
      <c r="C60" t="s">
        <v>71</v>
      </c>
      <c r="E60" s="7">
        <f>$M$43</f>
        <v>391067.31</v>
      </c>
      <c r="I60" s="6">
        <v>0.03</v>
      </c>
      <c r="K60" s="7">
        <f>(E60*(1+G60))*(1+I60)</f>
        <v>402799.3293</v>
      </c>
      <c r="M60" s="7">
        <f>$K$60</f>
        <v>402799.3293</v>
      </c>
    </row>
    <row r="61" spans="3:13" ht="12.75">
      <c r="C61" t="s">
        <v>61</v>
      </c>
      <c r="E61" s="6">
        <v>0.03</v>
      </c>
      <c r="I61" s="6"/>
      <c r="M61" s="6">
        <v>0.03</v>
      </c>
    </row>
    <row r="62" spans="3:13" ht="12.75">
      <c r="C62" t="s">
        <v>72</v>
      </c>
      <c r="E62" s="5">
        <v>12</v>
      </c>
      <c r="I62" s="6"/>
      <c r="M62" s="5">
        <v>12</v>
      </c>
    </row>
    <row r="63" ht="13.5" thickBot="1">
      <c r="I63" s="6"/>
    </row>
    <row r="64" spans="3:13" ht="13.5" thickBot="1">
      <c r="C64" s="8" t="s">
        <v>63</v>
      </c>
      <c r="D64" s="9"/>
      <c r="E64" s="10">
        <f>(E60*(1+E61))*E62</f>
        <v>4833591.9516</v>
      </c>
      <c r="F64" s="9"/>
      <c r="G64" s="9"/>
      <c r="H64" s="9"/>
      <c r="I64" s="48"/>
      <c r="J64" s="9"/>
      <c r="K64" s="9"/>
      <c r="L64" s="9"/>
      <c r="M64" s="11">
        <f>(M60*(1+M61))*M62</f>
        <v>4978599.710147999</v>
      </c>
    </row>
    <row r="65" ht="12.75">
      <c r="I65" s="6"/>
    </row>
    <row r="66" spans="2:9" ht="12.75">
      <c r="B66" s="4" t="s">
        <v>64</v>
      </c>
      <c r="I66" s="6"/>
    </row>
    <row r="67" spans="3:13" ht="12.75">
      <c r="C67" t="s">
        <v>5</v>
      </c>
      <c r="E67" s="5">
        <f>$M$50</f>
        <v>126224.01069057675</v>
      </c>
      <c r="G67" s="6">
        <f>G33-I33-G50</f>
        <v>0.03991723424433141</v>
      </c>
      <c r="I67" s="6">
        <v>0.07</v>
      </c>
      <c r="K67" s="5">
        <f>(E67*(1+G67))*(1+I67)</f>
        <v>140450.9007790515</v>
      </c>
      <c r="M67" s="5">
        <f>$K$67</f>
        <v>140450.9007790515</v>
      </c>
    </row>
    <row r="68" spans="3:13" ht="12.75">
      <c r="C68" t="s">
        <v>73</v>
      </c>
      <c r="E68" s="7">
        <v>169.49</v>
      </c>
      <c r="I68" s="6"/>
      <c r="M68" s="7">
        <v>169.49</v>
      </c>
    </row>
    <row r="69" ht="13.5" thickBot="1">
      <c r="I69" s="6"/>
    </row>
    <row r="70" spans="3:13" ht="13.5" thickBot="1">
      <c r="C70" s="8" t="s">
        <v>66</v>
      </c>
      <c r="D70" s="9"/>
      <c r="E70" s="10">
        <f>E67*E68</f>
        <v>21393707.571945854</v>
      </c>
      <c r="F70" s="9"/>
      <c r="G70" s="9"/>
      <c r="H70" s="9"/>
      <c r="I70" s="48"/>
      <c r="J70" s="9"/>
      <c r="K70" s="9"/>
      <c r="L70" s="9"/>
      <c r="M70" s="11">
        <f>M67*M68</f>
        <v>23805023.17304144</v>
      </c>
    </row>
    <row r="71" ht="13.5" thickBot="1">
      <c r="I71" s="6"/>
    </row>
    <row r="72" spans="2:13" ht="13.5" thickBot="1">
      <c r="B72" s="12" t="s">
        <v>12</v>
      </c>
      <c r="C72" s="13"/>
      <c r="D72" s="13"/>
      <c r="E72" s="14">
        <f>E64+E70</f>
        <v>26227299.523545854</v>
      </c>
      <c r="F72" s="13"/>
      <c r="G72" s="13"/>
      <c r="H72" s="13"/>
      <c r="I72" s="51"/>
      <c r="J72" s="13"/>
      <c r="K72" s="13"/>
      <c r="L72" s="13"/>
      <c r="M72" s="15">
        <f>M64+M70</f>
        <v>28783622.88318944</v>
      </c>
    </row>
    <row r="74" spans="1:13" ht="12.75">
      <c r="A74" s="19" t="s">
        <v>26</v>
      </c>
      <c r="E74" s="2" t="s">
        <v>25</v>
      </c>
      <c r="G74" s="2" t="s">
        <v>17</v>
      </c>
      <c r="I74" s="2" t="s">
        <v>68</v>
      </c>
      <c r="K74" s="2" t="s">
        <v>16</v>
      </c>
      <c r="M74" s="2" t="s">
        <v>27</v>
      </c>
    </row>
    <row r="76" spans="2:9" ht="12.75">
      <c r="B76" s="4" t="s">
        <v>59</v>
      </c>
      <c r="I76" s="6"/>
    </row>
    <row r="77" spans="3:13" ht="12.75">
      <c r="C77" t="s">
        <v>71</v>
      </c>
      <c r="E77" s="7">
        <f>$M$60</f>
        <v>402799.3293</v>
      </c>
      <c r="I77" s="6">
        <v>0.03</v>
      </c>
      <c r="K77" s="7">
        <f>(E77*(1+G77))*(1+I77)</f>
        <v>414883.309179</v>
      </c>
      <c r="M77" s="7">
        <f>$K$77</f>
        <v>414883.309179</v>
      </c>
    </row>
    <row r="78" spans="3:13" ht="12.75">
      <c r="C78" t="s">
        <v>61</v>
      </c>
      <c r="E78" s="6">
        <v>0.03</v>
      </c>
      <c r="I78" s="6"/>
      <c r="M78" s="6">
        <v>0.03</v>
      </c>
    </row>
    <row r="79" spans="3:13" ht="12.75">
      <c r="C79" t="s">
        <v>72</v>
      </c>
      <c r="E79" s="5">
        <v>12</v>
      </c>
      <c r="I79" s="6"/>
      <c r="M79" s="5">
        <v>12</v>
      </c>
    </row>
    <row r="80" ht="13.5" thickBot="1">
      <c r="I80" s="6"/>
    </row>
    <row r="81" spans="3:13" ht="13.5" thickBot="1">
      <c r="C81" s="8" t="s">
        <v>63</v>
      </c>
      <c r="D81" s="9"/>
      <c r="E81" s="10">
        <f>(E77*(1+E78))*E79</f>
        <v>4978599.710147999</v>
      </c>
      <c r="F81" s="9"/>
      <c r="G81" s="9"/>
      <c r="H81" s="9"/>
      <c r="I81" s="48"/>
      <c r="J81" s="9"/>
      <c r="K81" s="9"/>
      <c r="L81" s="9"/>
      <c r="M81" s="11">
        <f>(M77*(1+M78))*M79</f>
        <v>5127957.70145244</v>
      </c>
    </row>
    <row r="82" ht="12.75">
      <c r="I82" s="6"/>
    </row>
    <row r="83" spans="2:9" ht="12.75">
      <c r="B83" s="4" t="s">
        <v>64</v>
      </c>
      <c r="I83" s="6"/>
    </row>
    <row r="84" spans="3:13" ht="12.75">
      <c r="C84" t="s">
        <v>5</v>
      </c>
      <c r="E84" s="5">
        <f>$M$67</f>
        <v>140450.9007790515</v>
      </c>
      <c r="G84" s="6">
        <v>0</v>
      </c>
      <c r="I84" s="6">
        <v>0.07</v>
      </c>
      <c r="K84" s="5">
        <f>(E84*(1+G84))*(1+I84)</f>
        <v>150282.46383358512</v>
      </c>
      <c r="M84" s="5">
        <f>$K$84</f>
        <v>150282.46383358512</v>
      </c>
    </row>
    <row r="85" spans="3:13" ht="12.75">
      <c r="C85" t="s">
        <v>73</v>
      </c>
      <c r="E85" s="7">
        <v>169.49</v>
      </c>
      <c r="I85" s="6"/>
      <c r="M85" s="7">
        <v>169.49</v>
      </c>
    </row>
    <row r="86" ht="13.5" thickBot="1">
      <c r="I86" s="6"/>
    </row>
    <row r="87" spans="3:13" ht="13.5" thickBot="1">
      <c r="C87" s="8" t="s">
        <v>66</v>
      </c>
      <c r="D87" s="9"/>
      <c r="E87" s="10">
        <f>E84*E85</f>
        <v>23805023.17304144</v>
      </c>
      <c r="F87" s="9"/>
      <c r="G87" s="9"/>
      <c r="H87" s="9"/>
      <c r="I87" s="48"/>
      <c r="J87" s="9"/>
      <c r="K87" s="9"/>
      <c r="L87" s="9"/>
      <c r="M87" s="11">
        <f>M84*M85</f>
        <v>25471374.795154344</v>
      </c>
    </row>
    <row r="88" ht="13.5" thickBot="1">
      <c r="I88" s="6"/>
    </row>
    <row r="89" spans="2:13" ht="13.5" thickBot="1">
      <c r="B89" s="12" t="s">
        <v>12</v>
      </c>
      <c r="C89" s="13"/>
      <c r="D89" s="13"/>
      <c r="E89" s="14">
        <f>E81+E87</f>
        <v>28783622.88318944</v>
      </c>
      <c r="F89" s="13"/>
      <c r="G89" s="13"/>
      <c r="H89" s="13"/>
      <c r="I89" s="51"/>
      <c r="J89" s="13"/>
      <c r="K89" s="13"/>
      <c r="L89" s="13"/>
      <c r="M89" s="15">
        <f>M81+M87</f>
        <v>30599332.496606782</v>
      </c>
    </row>
  </sheetData>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L120"/>
  <sheetViews>
    <sheetView zoomScale="75" zoomScaleNormal="75" workbookViewId="0" topLeftCell="A1">
      <selection activeCell="A1" sqref="A1"/>
    </sheetView>
  </sheetViews>
  <sheetFormatPr defaultColWidth="9.140625" defaultRowHeight="12.75"/>
  <cols>
    <col min="1" max="1" width="32.28125" style="0" bestFit="1" customWidth="1"/>
    <col min="2" max="2" width="17.7109375" style="0" bestFit="1" customWidth="1"/>
    <col min="3" max="3" width="25.00390625" style="0" bestFit="1" customWidth="1"/>
    <col min="5" max="5" width="19.57421875" style="0" bestFit="1" customWidth="1"/>
    <col min="7" max="7" width="23.00390625" style="0" bestFit="1" customWidth="1"/>
    <col min="9" max="9" width="19.57421875" style="0" bestFit="1" customWidth="1"/>
    <col min="11" max="11" width="26.28125" style="0" bestFit="1" customWidth="1"/>
  </cols>
  <sheetData>
    <row r="1" spans="1:12" ht="12.75">
      <c r="A1" s="1" t="s">
        <v>75</v>
      </c>
      <c r="B1" s="54"/>
      <c r="C1" s="54"/>
      <c r="D1" s="54"/>
      <c r="E1" s="55">
        <v>1996</v>
      </c>
      <c r="F1" s="54"/>
      <c r="G1" s="55">
        <v>1997</v>
      </c>
      <c r="H1" s="54"/>
      <c r="I1" s="55" t="s">
        <v>28</v>
      </c>
      <c r="J1" s="54"/>
      <c r="K1" s="55" t="s">
        <v>29</v>
      </c>
      <c r="L1" s="56"/>
    </row>
    <row r="2" spans="1:12" ht="12.75">
      <c r="A2" s="54" t="s">
        <v>88</v>
      </c>
      <c r="B2" s="54"/>
      <c r="C2" s="54"/>
      <c r="D2" s="54"/>
      <c r="E2" s="54"/>
      <c r="F2" s="54"/>
      <c r="G2" s="54"/>
      <c r="H2" s="54"/>
      <c r="I2" s="54"/>
      <c r="J2" s="54"/>
      <c r="K2" s="54"/>
      <c r="L2" s="56"/>
    </row>
    <row r="3" spans="1:12" ht="12.75">
      <c r="A3" s="54"/>
      <c r="B3" s="57" t="s">
        <v>76</v>
      </c>
      <c r="C3" s="54"/>
      <c r="D3" s="54"/>
      <c r="E3" s="54"/>
      <c r="F3" s="54"/>
      <c r="G3" s="54"/>
      <c r="H3" s="54"/>
      <c r="I3" s="54"/>
      <c r="J3" s="54"/>
      <c r="K3" s="54"/>
      <c r="L3" s="56"/>
    </row>
    <row r="4" spans="1:12" ht="12.75">
      <c r="A4" s="54"/>
      <c r="B4" s="54"/>
      <c r="C4" s="54" t="s">
        <v>77</v>
      </c>
      <c r="D4" s="54"/>
      <c r="E4" s="58">
        <v>87540</v>
      </c>
      <c r="F4" s="58"/>
      <c r="G4" s="58">
        <v>59996</v>
      </c>
      <c r="H4" s="58"/>
      <c r="I4" s="58">
        <v>59996</v>
      </c>
      <c r="J4" s="58"/>
      <c r="K4" s="58">
        <v>61796</v>
      </c>
      <c r="L4" s="56"/>
    </row>
    <row r="5" spans="1:12" ht="12.75">
      <c r="A5" s="54"/>
      <c r="B5" s="54"/>
      <c r="C5" s="54" t="s">
        <v>61</v>
      </c>
      <c r="D5" s="54"/>
      <c r="E5" s="59">
        <v>0</v>
      </c>
      <c r="F5" s="59"/>
      <c r="G5" s="59">
        <v>0</v>
      </c>
      <c r="H5" s="59"/>
      <c r="I5" s="59">
        <v>0.03</v>
      </c>
      <c r="J5" s="59"/>
      <c r="K5" s="59">
        <v>0.03</v>
      </c>
      <c r="L5" s="56"/>
    </row>
    <row r="6" spans="1:12" ht="12.75">
      <c r="A6" s="54"/>
      <c r="B6" s="54"/>
      <c r="C6" s="54" t="s">
        <v>72</v>
      </c>
      <c r="D6" s="54"/>
      <c r="E6" s="60">
        <v>12</v>
      </c>
      <c r="F6" s="60"/>
      <c r="G6" s="60">
        <v>12</v>
      </c>
      <c r="H6" s="60"/>
      <c r="I6" s="60">
        <v>12</v>
      </c>
      <c r="J6" s="60"/>
      <c r="K6" s="60">
        <v>12</v>
      </c>
      <c r="L6" s="56"/>
    </row>
    <row r="7" spans="1:12" ht="13.5" thickBot="1">
      <c r="A7" s="54"/>
      <c r="B7" s="54"/>
      <c r="C7" s="54"/>
      <c r="D7" s="54"/>
      <c r="E7" s="54"/>
      <c r="F7" s="54"/>
      <c r="G7" s="54"/>
      <c r="H7" s="54"/>
      <c r="I7" s="54"/>
      <c r="J7" s="54"/>
      <c r="K7" s="54"/>
      <c r="L7" s="56"/>
    </row>
    <row r="8" spans="1:12" ht="13.5" thickBot="1">
      <c r="A8" s="54"/>
      <c r="B8" s="54"/>
      <c r="C8" s="61" t="s">
        <v>78</v>
      </c>
      <c r="D8" s="62"/>
      <c r="E8" s="63">
        <f>(E4*(1+E5))*E6</f>
        <v>1050480</v>
      </c>
      <c r="F8" s="63"/>
      <c r="G8" s="63">
        <f>(G4*(1+G5))*G6</f>
        <v>719952</v>
      </c>
      <c r="H8" s="63"/>
      <c r="I8" s="63">
        <f>(I4*(1+I5))*I6</f>
        <v>741550.56</v>
      </c>
      <c r="J8" s="63"/>
      <c r="K8" s="63">
        <f>(K4*(1+K5))*K6</f>
        <v>763798.56</v>
      </c>
      <c r="L8" s="56"/>
    </row>
    <row r="9" spans="1:12" ht="12.75">
      <c r="A9" s="54"/>
      <c r="B9" s="54"/>
      <c r="C9" s="54"/>
      <c r="D9" s="54"/>
      <c r="E9" s="54"/>
      <c r="F9" s="54"/>
      <c r="G9" s="54"/>
      <c r="H9" s="54"/>
      <c r="I9" s="54"/>
      <c r="J9" s="54"/>
      <c r="K9" s="54"/>
      <c r="L9" s="56"/>
    </row>
    <row r="10" spans="1:12" ht="12.75">
      <c r="A10" s="54"/>
      <c r="B10" s="57" t="s">
        <v>79</v>
      </c>
      <c r="C10" s="54"/>
      <c r="D10" s="54"/>
      <c r="E10" s="54"/>
      <c r="F10" s="54"/>
      <c r="G10" s="54"/>
      <c r="H10" s="54"/>
      <c r="I10" s="54"/>
      <c r="J10" s="54"/>
      <c r="K10" s="54"/>
      <c r="L10" s="56"/>
    </row>
    <row r="11" spans="1:12" ht="12.75">
      <c r="A11" s="54"/>
      <c r="B11" s="54"/>
      <c r="C11" s="54" t="s">
        <v>80</v>
      </c>
      <c r="D11" s="54"/>
      <c r="E11" s="58">
        <v>291132</v>
      </c>
      <c r="F11" s="58"/>
      <c r="G11" s="58">
        <v>88427</v>
      </c>
      <c r="H11" s="58"/>
      <c r="I11" s="58">
        <v>0</v>
      </c>
      <c r="J11" s="58"/>
      <c r="K11" s="58">
        <v>0</v>
      </c>
      <c r="L11" s="56"/>
    </row>
    <row r="12" spans="1:12" ht="12.75">
      <c r="A12" s="54"/>
      <c r="B12" s="54"/>
      <c r="C12" s="54" t="s">
        <v>61</v>
      </c>
      <c r="D12" s="54"/>
      <c r="E12" s="59">
        <v>0</v>
      </c>
      <c r="F12" s="59"/>
      <c r="G12" s="59">
        <v>0</v>
      </c>
      <c r="H12" s="59"/>
      <c r="I12" s="59">
        <v>0.03</v>
      </c>
      <c r="J12" s="59"/>
      <c r="K12" s="59">
        <v>0.03</v>
      </c>
      <c r="L12" s="56"/>
    </row>
    <row r="13" spans="1:12" ht="12.75">
      <c r="A13" s="54"/>
      <c r="B13" s="54"/>
      <c r="C13" s="54" t="s">
        <v>72</v>
      </c>
      <c r="D13" s="54"/>
      <c r="E13" s="60">
        <v>12</v>
      </c>
      <c r="F13" s="60"/>
      <c r="G13" s="60">
        <v>12</v>
      </c>
      <c r="H13" s="60"/>
      <c r="I13" s="60">
        <v>12</v>
      </c>
      <c r="J13" s="60"/>
      <c r="K13" s="60">
        <v>12</v>
      </c>
      <c r="L13" s="56"/>
    </row>
    <row r="14" spans="1:12" ht="13.5" thickBot="1">
      <c r="A14" s="54"/>
      <c r="B14" s="54"/>
      <c r="C14" s="54"/>
      <c r="D14" s="54"/>
      <c r="E14" s="54"/>
      <c r="F14" s="54"/>
      <c r="G14" s="54"/>
      <c r="H14" s="54"/>
      <c r="I14" s="54"/>
      <c r="J14" s="54"/>
      <c r="K14" s="54"/>
      <c r="L14" s="56"/>
    </row>
    <row r="15" spans="1:12" ht="13.5" thickBot="1">
      <c r="A15" s="54"/>
      <c r="B15" s="54"/>
      <c r="C15" s="61" t="s">
        <v>81</v>
      </c>
      <c r="D15" s="62"/>
      <c r="E15" s="63">
        <f>(E11*(1+E12))*E13</f>
        <v>3493584</v>
      </c>
      <c r="F15" s="63"/>
      <c r="G15" s="63">
        <f>(G11*(1+G12))*G13</f>
        <v>1061124</v>
      </c>
      <c r="H15" s="63"/>
      <c r="I15" s="63">
        <f>(I11*(1+I12))*I13</f>
        <v>0</v>
      </c>
      <c r="J15" s="63"/>
      <c r="K15" s="63">
        <f>(K11*(1+K12))*K13</f>
        <v>0</v>
      </c>
      <c r="L15" s="56"/>
    </row>
    <row r="16" spans="1:12" ht="12.75">
      <c r="A16" s="54"/>
      <c r="B16" s="54"/>
      <c r="C16" s="54"/>
      <c r="D16" s="54"/>
      <c r="E16" s="54"/>
      <c r="F16" s="54"/>
      <c r="G16" s="54"/>
      <c r="H16" s="54"/>
      <c r="I16" s="54"/>
      <c r="J16" s="54"/>
      <c r="K16" s="54"/>
      <c r="L16" s="56"/>
    </row>
    <row r="17" spans="1:12" ht="12.75">
      <c r="A17" s="54"/>
      <c r="B17" s="57" t="s">
        <v>82</v>
      </c>
      <c r="C17" s="54"/>
      <c r="D17" s="54"/>
      <c r="E17" s="54"/>
      <c r="F17" s="54"/>
      <c r="G17" s="54"/>
      <c r="H17" s="54"/>
      <c r="I17" s="54"/>
      <c r="J17" s="54"/>
      <c r="K17" s="54"/>
      <c r="L17" s="56"/>
    </row>
    <row r="18" spans="1:12" ht="12.75">
      <c r="A18" s="54"/>
      <c r="B18" s="54"/>
      <c r="C18" s="54" t="s">
        <v>83</v>
      </c>
      <c r="D18" s="54"/>
      <c r="E18" s="58">
        <v>11292</v>
      </c>
      <c r="F18" s="58"/>
      <c r="G18" s="58">
        <v>11913</v>
      </c>
      <c r="H18" s="58"/>
      <c r="I18" s="58">
        <v>11913</v>
      </c>
      <c r="J18" s="58"/>
      <c r="K18" s="58">
        <v>12270</v>
      </c>
      <c r="L18" s="56"/>
    </row>
    <row r="19" spans="1:12" ht="12.75">
      <c r="A19" s="54"/>
      <c r="B19" s="54"/>
      <c r="C19" s="54" t="s">
        <v>61</v>
      </c>
      <c r="D19" s="54"/>
      <c r="E19" s="59">
        <v>0</v>
      </c>
      <c r="F19" s="59"/>
      <c r="G19" s="59">
        <v>0</v>
      </c>
      <c r="H19" s="59"/>
      <c r="I19" s="59">
        <v>0.03</v>
      </c>
      <c r="J19" s="59"/>
      <c r="K19" s="59">
        <v>0.03</v>
      </c>
      <c r="L19" s="56"/>
    </row>
    <row r="20" spans="1:12" ht="12.75">
      <c r="A20" s="54"/>
      <c r="B20" s="54"/>
      <c r="C20" s="54" t="s">
        <v>72</v>
      </c>
      <c r="D20" s="54"/>
      <c r="E20" s="60">
        <v>12</v>
      </c>
      <c r="F20" s="60"/>
      <c r="G20" s="60">
        <v>12</v>
      </c>
      <c r="H20" s="60"/>
      <c r="I20" s="60">
        <v>12</v>
      </c>
      <c r="J20" s="60"/>
      <c r="K20" s="60">
        <v>12</v>
      </c>
      <c r="L20" s="56"/>
    </row>
    <row r="21" spans="1:12" ht="13.5" thickBot="1">
      <c r="A21" s="54"/>
      <c r="B21" s="54"/>
      <c r="C21" s="54"/>
      <c r="D21" s="54"/>
      <c r="E21" s="54"/>
      <c r="F21" s="54"/>
      <c r="G21" s="54"/>
      <c r="H21" s="54"/>
      <c r="I21" s="54"/>
      <c r="J21" s="54"/>
      <c r="K21" s="54"/>
      <c r="L21" s="56"/>
    </row>
    <row r="22" spans="1:12" ht="13.5" thickBot="1">
      <c r="A22" s="54"/>
      <c r="B22" s="54"/>
      <c r="C22" s="61" t="s">
        <v>84</v>
      </c>
      <c r="D22" s="62"/>
      <c r="E22" s="63">
        <f>(E18*(1+E19))*E20</f>
        <v>135504</v>
      </c>
      <c r="F22" s="63"/>
      <c r="G22" s="63">
        <f>(G18*(1+G19))*G20</f>
        <v>142956</v>
      </c>
      <c r="H22" s="63"/>
      <c r="I22" s="63">
        <f>(I18*(1+I19))*I20</f>
        <v>147244.68</v>
      </c>
      <c r="J22" s="63"/>
      <c r="K22" s="63">
        <f>(K18*(1+K19))*K20</f>
        <v>151657.2</v>
      </c>
      <c r="L22" s="56"/>
    </row>
    <row r="23" spans="1:12" ht="13.5" thickBot="1">
      <c r="A23" s="54"/>
      <c r="B23" s="54"/>
      <c r="C23" s="54"/>
      <c r="D23" s="54"/>
      <c r="E23" s="54"/>
      <c r="F23" s="54"/>
      <c r="G23" s="54"/>
      <c r="H23" s="54"/>
      <c r="I23" s="54"/>
      <c r="J23" s="54"/>
      <c r="K23" s="54"/>
      <c r="L23" s="56"/>
    </row>
    <row r="24" spans="1:12" ht="13.5" thickBot="1">
      <c r="A24" s="54"/>
      <c r="B24" s="64" t="s">
        <v>12</v>
      </c>
      <c r="C24" s="65"/>
      <c r="D24" s="65"/>
      <c r="E24" s="66">
        <f>E8+E15+E22</f>
        <v>4679568</v>
      </c>
      <c r="F24" s="66"/>
      <c r="G24" s="66">
        <f>G8+G15+G22</f>
        <v>1924032</v>
      </c>
      <c r="H24" s="66"/>
      <c r="I24" s="66">
        <f>I8+I15+I22</f>
        <v>888795.24</v>
      </c>
      <c r="J24" s="66"/>
      <c r="K24" s="66">
        <f>K8+K15+K22</f>
        <v>915455.76</v>
      </c>
      <c r="L24" s="56"/>
    </row>
    <row r="25" spans="1:12" ht="12.75">
      <c r="A25" s="67"/>
      <c r="B25" s="67"/>
      <c r="C25" s="67"/>
      <c r="D25" s="67"/>
      <c r="E25" s="67"/>
      <c r="F25" s="67"/>
      <c r="G25" s="67"/>
      <c r="H25" s="67"/>
      <c r="I25" s="67"/>
      <c r="J25" s="67"/>
      <c r="K25" s="67"/>
      <c r="L25" s="67"/>
    </row>
    <row r="26" spans="1:12" ht="12.75">
      <c r="A26" s="67"/>
      <c r="B26" s="67"/>
      <c r="C26" s="67"/>
      <c r="D26" s="67"/>
      <c r="E26" s="67"/>
      <c r="F26" s="67"/>
      <c r="G26" s="67"/>
      <c r="H26" s="67"/>
      <c r="I26" s="67"/>
      <c r="J26" s="67"/>
      <c r="K26" s="67"/>
      <c r="L26" s="67"/>
    </row>
    <row r="27" spans="1:12" ht="12.75">
      <c r="A27" s="19" t="s">
        <v>18</v>
      </c>
      <c r="B27" s="54"/>
      <c r="C27" s="68"/>
      <c r="D27" s="68"/>
      <c r="E27" s="55" t="s">
        <v>28</v>
      </c>
      <c r="F27" s="68"/>
      <c r="G27" s="69" t="s">
        <v>118</v>
      </c>
      <c r="H27" s="68"/>
      <c r="I27" s="69" t="s">
        <v>19</v>
      </c>
      <c r="J27" s="68"/>
      <c r="K27" s="69" t="s">
        <v>13</v>
      </c>
      <c r="L27" s="54"/>
    </row>
    <row r="28" spans="1:12" ht="13.5" thickBot="1">
      <c r="A28" s="54"/>
      <c r="B28" s="54"/>
      <c r="C28" s="54"/>
      <c r="D28" s="54"/>
      <c r="E28" s="54"/>
      <c r="F28" s="54"/>
      <c r="G28" s="54"/>
      <c r="H28" s="54"/>
      <c r="I28" s="54"/>
      <c r="J28" s="54"/>
      <c r="K28" s="54"/>
      <c r="L28" s="54"/>
    </row>
    <row r="29" spans="1:12" ht="13.5" thickBot="1">
      <c r="A29" s="54"/>
      <c r="B29" s="54"/>
      <c r="C29" s="70" t="s">
        <v>85</v>
      </c>
      <c r="D29" s="65"/>
      <c r="E29" s="66">
        <f>$I$24</f>
        <v>888795.24</v>
      </c>
      <c r="F29" s="65"/>
      <c r="G29" s="66">
        <f>'[3]Annualization'!$K$58</f>
        <v>0</v>
      </c>
      <c r="H29" s="65"/>
      <c r="I29" s="66">
        <f>E29</f>
        <v>888795.24</v>
      </c>
      <c r="J29" s="65"/>
      <c r="K29" s="71">
        <f>(I29/365)*49</f>
        <v>119317.71715068493</v>
      </c>
      <c r="L29" s="54"/>
    </row>
    <row r="30" spans="1:12" ht="12.75">
      <c r="A30" s="54"/>
      <c r="B30" s="54"/>
      <c r="C30" s="54"/>
      <c r="D30" s="54"/>
      <c r="E30" s="54"/>
      <c r="F30" s="54"/>
      <c r="G30" s="54"/>
      <c r="H30" s="54"/>
      <c r="I30" s="54"/>
      <c r="J30" s="54"/>
      <c r="K30" s="54"/>
      <c r="L30" s="54"/>
    </row>
    <row r="31" spans="1:12" ht="12.75">
      <c r="A31" s="19" t="s">
        <v>20</v>
      </c>
      <c r="B31" s="54"/>
      <c r="C31" s="54"/>
      <c r="D31" s="54"/>
      <c r="E31" s="55" t="s">
        <v>21</v>
      </c>
      <c r="F31" s="54"/>
      <c r="G31" s="54"/>
      <c r="H31" s="54"/>
      <c r="I31" s="54"/>
      <c r="J31" s="54"/>
      <c r="K31" s="54"/>
      <c r="L31" s="54"/>
    </row>
    <row r="32" spans="1:12" ht="12.75">
      <c r="A32" s="54"/>
      <c r="B32" s="54"/>
      <c r="C32" s="54"/>
      <c r="D32" s="54"/>
      <c r="E32" s="54"/>
      <c r="F32" s="54"/>
      <c r="G32" s="54"/>
      <c r="H32" s="54"/>
      <c r="I32" s="54"/>
      <c r="J32" s="54"/>
      <c r="K32" s="54"/>
      <c r="L32" s="54"/>
    </row>
    <row r="33" spans="1:12" ht="12.75">
      <c r="A33" s="54"/>
      <c r="B33" s="57" t="s">
        <v>76</v>
      </c>
      <c r="C33" s="54"/>
      <c r="D33" s="54"/>
      <c r="E33" s="54"/>
      <c r="F33" s="54"/>
      <c r="G33" s="54"/>
      <c r="H33" s="54"/>
      <c r="I33" s="54"/>
      <c r="J33" s="54"/>
      <c r="K33" s="54"/>
      <c r="L33" s="54"/>
    </row>
    <row r="34" spans="1:12" ht="12.75">
      <c r="A34" s="54"/>
      <c r="B34" s="54"/>
      <c r="C34" s="54" t="s">
        <v>77</v>
      </c>
      <c r="D34" s="54"/>
      <c r="E34" s="58">
        <v>61796</v>
      </c>
      <c r="F34" s="54"/>
      <c r="G34" s="54"/>
      <c r="H34" s="54"/>
      <c r="I34" s="54"/>
      <c r="J34" s="54"/>
      <c r="K34" s="54"/>
      <c r="L34" s="54"/>
    </row>
    <row r="35" spans="1:12" ht="12.75">
      <c r="A35" s="54"/>
      <c r="B35" s="54"/>
      <c r="C35" s="54" t="s">
        <v>61</v>
      </c>
      <c r="D35" s="54"/>
      <c r="E35" s="59">
        <v>0.03</v>
      </c>
      <c r="F35" s="54"/>
      <c r="G35" s="54"/>
      <c r="H35" s="54"/>
      <c r="I35" s="54"/>
      <c r="J35" s="54"/>
      <c r="K35" s="54"/>
      <c r="L35" s="54"/>
    </row>
    <row r="36" spans="1:12" ht="12.75">
      <c r="A36" s="54"/>
      <c r="B36" s="54"/>
      <c r="C36" s="54" t="s">
        <v>72</v>
      </c>
      <c r="D36" s="54"/>
      <c r="E36" s="60">
        <v>12</v>
      </c>
      <c r="F36" s="54"/>
      <c r="G36" s="54"/>
      <c r="H36" s="54"/>
      <c r="I36" s="54"/>
      <c r="J36" s="54"/>
      <c r="K36" s="54"/>
      <c r="L36" s="54"/>
    </row>
    <row r="37" spans="1:12" ht="13.5" thickBot="1">
      <c r="A37" s="54"/>
      <c r="B37" s="54"/>
      <c r="C37" s="54"/>
      <c r="D37" s="54"/>
      <c r="E37" s="54"/>
      <c r="F37" s="54"/>
      <c r="G37" s="54"/>
      <c r="H37" s="54"/>
      <c r="I37" s="54"/>
      <c r="J37" s="54"/>
      <c r="K37" s="54"/>
      <c r="L37" s="54"/>
    </row>
    <row r="38" spans="1:12" ht="13.5" thickBot="1">
      <c r="A38" s="54"/>
      <c r="B38" s="54"/>
      <c r="C38" s="61" t="s">
        <v>78</v>
      </c>
      <c r="D38" s="62"/>
      <c r="E38" s="72">
        <f>(E34*(1+E35))*E36</f>
        <v>763798.56</v>
      </c>
      <c r="F38" s="54"/>
      <c r="G38" s="54"/>
      <c r="H38" s="54"/>
      <c r="I38" s="54"/>
      <c r="J38" s="54"/>
      <c r="K38" s="54"/>
      <c r="L38" s="54"/>
    </row>
    <row r="39" spans="1:12" ht="12.75">
      <c r="A39" s="54"/>
      <c r="B39" s="54"/>
      <c r="C39" s="54"/>
      <c r="D39" s="54"/>
      <c r="E39" s="54"/>
      <c r="F39" s="54"/>
      <c r="G39" s="54"/>
      <c r="H39" s="54"/>
      <c r="I39" s="54"/>
      <c r="J39" s="54"/>
      <c r="K39" s="54"/>
      <c r="L39" s="54"/>
    </row>
    <row r="40" spans="1:12" ht="12.75">
      <c r="A40" s="54"/>
      <c r="B40" s="57" t="s">
        <v>79</v>
      </c>
      <c r="C40" s="54"/>
      <c r="D40" s="54"/>
      <c r="E40" s="54"/>
      <c r="F40" s="54"/>
      <c r="G40" s="54"/>
      <c r="H40" s="54"/>
      <c r="I40" s="54"/>
      <c r="J40" s="54"/>
      <c r="K40" s="54"/>
      <c r="L40" s="54"/>
    </row>
    <row r="41" spans="1:12" ht="12.75">
      <c r="A41" s="54"/>
      <c r="B41" s="54"/>
      <c r="C41" s="54" t="s">
        <v>80</v>
      </c>
      <c r="D41" s="54"/>
      <c r="E41" s="58">
        <v>0</v>
      </c>
      <c r="F41" s="54"/>
      <c r="G41" s="54"/>
      <c r="H41" s="54"/>
      <c r="I41" s="54"/>
      <c r="J41" s="54"/>
      <c r="K41" s="54"/>
      <c r="L41" s="54"/>
    </row>
    <row r="42" spans="1:12" ht="12.75">
      <c r="A42" s="54"/>
      <c r="B42" s="54"/>
      <c r="C42" s="54" t="s">
        <v>61</v>
      </c>
      <c r="D42" s="54"/>
      <c r="E42" s="59">
        <v>0.03</v>
      </c>
      <c r="F42" s="54"/>
      <c r="G42" s="54"/>
      <c r="H42" s="54"/>
      <c r="I42" s="54"/>
      <c r="J42" s="54"/>
      <c r="K42" s="54"/>
      <c r="L42" s="54"/>
    </row>
    <row r="43" spans="1:12" ht="12.75">
      <c r="A43" s="54"/>
      <c r="B43" s="54"/>
      <c r="C43" s="54" t="s">
        <v>72</v>
      </c>
      <c r="D43" s="54"/>
      <c r="E43" s="60">
        <v>12</v>
      </c>
      <c r="F43" s="54"/>
      <c r="G43" s="54"/>
      <c r="H43" s="54"/>
      <c r="I43" s="54"/>
      <c r="J43" s="54"/>
      <c r="K43" s="54"/>
      <c r="L43" s="54"/>
    </row>
    <row r="44" spans="1:12" ht="13.5" thickBot="1">
      <c r="A44" s="54"/>
      <c r="B44" s="54"/>
      <c r="C44" s="54"/>
      <c r="D44" s="54"/>
      <c r="E44" s="54"/>
      <c r="F44" s="54"/>
      <c r="G44" s="54"/>
      <c r="H44" s="54"/>
      <c r="I44" s="54"/>
      <c r="J44" s="54"/>
      <c r="K44" s="54"/>
      <c r="L44" s="54"/>
    </row>
    <row r="45" spans="1:12" ht="13.5" thickBot="1">
      <c r="A45" s="54"/>
      <c r="B45" s="54"/>
      <c r="C45" s="61" t="s">
        <v>81</v>
      </c>
      <c r="D45" s="62"/>
      <c r="E45" s="72">
        <f>(E41*(1+E42))*E43</f>
        <v>0</v>
      </c>
      <c r="F45" s="54"/>
      <c r="G45" s="54"/>
      <c r="H45" s="54"/>
      <c r="I45" s="54"/>
      <c r="J45" s="54"/>
      <c r="K45" s="54"/>
      <c r="L45" s="54"/>
    </row>
    <row r="46" spans="1:12" ht="12.75">
      <c r="A46" s="54"/>
      <c r="B46" s="54"/>
      <c r="C46" s="54"/>
      <c r="D46" s="54"/>
      <c r="E46" s="54"/>
      <c r="F46" s="54"/>
      <c r="G46" s="54"/>
      <c r="H46" s="54"/>
      <c r="I46" s="54"/>
      <c r="J46" s="54"/>
      <c r="K46" s="54"/>
      <c r="L46" s="54"/>
    </row>
    <row r="47" spans="1:12" ht="12.75">
      <c r="A47" s="54"/>
      <c r="B47" s="57" t="s">
        <v>82</v>
      </c>
      <c r="C47" s="54"/>
      <c r="D47" s="54"/>
      <c r="E47" s="54"/>
      <c r="F47" s="54"/>
      <c r="G47" s="54"/>
      <c r="H47" s="54"/>
      <c r="I47" s="54"/>
      <c r="J47" s="54"/>
      <c r="K47" s="54"/>
      <c r="L47" s="54"/>
    </row>
    <row r="48" spans="1:12" ht="12.75">
      <c r="A48" s="54"/>
      <c r="B48" s="54"/>
      <c r="C48" s="54" t="s">
        <v>83</v>
      </c>
      <c r="D48" s="54"/>
      <c r="E48" s="58">
        <v>12270</v>
      </c>
      <c r="F48" s="54"/>
      <c r="G48" s="54"/>
      <c r="H48" s="54"/>
      <c r="I48" s="54"/>
      <c r="J48" s="54"/>
      <c r="K48" s="54"/>
      <c r="L48" s="54"/>
    </row>
    <row r="49" spans="1:12" ht="12.75">
      <c r="A49" s="54"/>
      <c r="B49" s="54"/>
      <c r="C49" s="54" t="s">
        <v>61</v>
      </c>
      <c r="D49" s="54"/>
      <c r="E49" s="59">
        <v>0.03</v>
      </c>
      <c r="F49" s="54"/>
      <c r="G49" s="54"/>
      <c r="H49" s="54"/>
      <c r="I49" s="54"/>
      <c r="J49" s="54"/>
      <c r="K49" s="54"/>
      <c r="L49" s="54"/>
    </row>
    <row r="50" spans="1:12" ht="12.75">
      <c r="A50" s="54"/>
      <c r="B50" s="54"/>
      <c r="C50" s="54" t="s">
        <v>72</v>
      </c>
      <c r="D50" s="54"/>
      <c r="E50" s="60">
        <v>12</v>
      </c>
      <c r="F50" s="54"/>
      <c r="G50" s="54"/>
      <c r="H50" s="54"/>
      <c r="I50" s="54"/>
      <c r="J50" s="54"/>
      <c r="K50" s="54"/>
      <c r="L50" s="54"/>
    </row>
    <row r="51" spans="1:12" ht="13.5" thickBot="1">
      <c r="A51" s="54"/>
      <c r="B51" s="54"/>
      <c r="C51" s="54"/>
      <c r="D51" s="54"/>
      <c r="E51" s="54"/>
      <c r="F51" s="54"/>
      <c r="G51" s="54"/>
      <c r="H51" s="54"/>
      <c r="I51" s="54"/>
      <c r="J51" s="54"/>
      <c r="K51" s="54"/>
      <c r="L51" s="54"/>
    </row>
    <row r="52" spans="1:12" ht="13.5" thickBot="1">
      <c r="A52" s="54"/>
      <c r="B52" s="54"/>
      <c r="C52" s="61" t="s">
        <v>84</v>
      </c>
      <c r="D52" s="62"/>
      <c r="E52" s="72">
        <f>(E48*(1+E49))*E50</f>
        <v>151657.2</v>
      </c>
      <c r="F52" s="54"/>
      <c r="G52" s="54"/>
      <c r="H52" s="54"/>
      <c r="I52" s="54"/>
      <c r="J52" s="54"/>
      <c r="K52" s="54"/>
      <c r="L52" s="54"/>
    </row>
    <row r="53" spans="1:12" ht="13.5" thickBot="1">
      <c r="A53" s="54"/>
      <c r="B53" s="54"/>
      <c r="C53" s="54"/>
      <c r="D53" s="54"/>
      <c r="E53" s="54"/>
      <c r="F53" s="54"/>
      <c r="G53" s="54"/>
      <c r="H53" s="54"/>
      <c r="I53" s="54"/>
      <c r="J53" s="54"/>
      <c r="K53" s="54"/>
      <c r="L53" s="54"/>
    </row>
    <row r="54" spans="1:12" ht="13.5" thickBot="1">
      <c r="A54" s="54"/>
      <c r="B54" s="64" t="s">
        <v>12</v>
      </c>
      <c r="C54" s="65"/>
      <c r="D54" s="65"/>
      <c r="E54" s="71">
        <f>E38+E45+E52</f>
        <v>915455.76</v>
      </c>
      <c r="F54" s="54"/>
      <c r="G54" s="54"/>
      <c r="H54" s="54"/>
      <c r="I54" s="54"/>
      <c r="J54" s="54"/>
      <c r="K54" s="54"/>
      <c r="L54" s="54"/>
    </row>
    <row r="55" spans="1:12" ht="12.75">
      <c r="A55" s="54"/>
      <c r="B55" s="54"/>
      <c r="C55" s="54"/>
      <c r="D55" s="54"/>
      <c r="E55" s="54"/>
      <c r="F55" s="54"/>
      <c r="G55" s="54"/>
      <c r="H55" s="54"/>
      <c r="I55" s="54"/>
      <c r="J55" s="54"/>
      <c r="K55" s="54"/>
      <c r="L55" s="54"/>
    </row>
    <row r="56" spans="1:12" ht="12.75">
      <c r="A56" s="19" t="s">
        <v>22</v>
      </c>
      <c r="B56" s="54"/>
      <c r="C56" s="54"/>
      <c r="D56" s="54"/>
      <c r="E56" s="55" t="s">
        <v>23</v>
      </c>
      <c r="F56" s="54"/>
      <c r="G56" s="54"/>
      <c r="H56" s="54"/>
      <c r="I56" s="54"/>
      <c r="J56" s="54"/>
      <c r="K56" s="54"/>
      <c r="L56" s="54"/>
    </row>
    <row r="57" spans="1:12" ht="12.75">
      <c r="A57" s="54"/>
      <c r="B57" s="54"/>
      <c r="C57" s="54"/>
      <c r="D57" s="54"/>
      <c r="E57" s="54"/>
      <c r="F57" s="54"/>
      <c r="G57" s="54"/>
      <c r="H57" s="54"/>
      <c r="I57" s="54"/>
      <c r="J57" s="54"/>
      <c r="K57" s="54"/>
      <c r="L57" s="54"/>
    </row>
    <row r="58" spans="1:12" ht="12.75">
      <c r="A58" s="54"/>
      <c r="B58" s="57" t="s">
        <v>76</v>
      </c>
      <c r="C58" s="54"/>
      <c r="D58" s="54"/>
      <c r="E58" s="54"/>
      <c r="F58" s="54"/>
      <c r="G58" s="54"/>
      <c r="H58" s="54"/>
      <c r="I58" s="54"/>
      <c r="J58" s="54"/>
      <c r="K58" s="54"/>
      <c r="L58" s="54"/>
    </row>
    <row r="59" spans="1:12" ht="12.75">
      <c r="A59" s="54"/>
      <c r="B59" s="54"/>
      <c r="C59" s="54" t="s">
        <v>86</v>
      </c>
      <c r="D59" s="54"/>
      <c r="E59" s="58">
        <f>$E$38</f>
        <v>763798.56</v>
      </c>
      <c r="F59" s="54"/>
      <c r="G59" s="54"/>
      <c r="H59" s="54"/>
      <c r="I59" s="54"/>
      <c r="J59" s="54"/>
      <c r="K59" s="54"/>
      <c r="L59" s="54"/>
    </row>
    <row r="60" spans="1:12" ht="12.75">
      <c r="A60" s="54"/>
      <c r="B60" s="54"/>
      <c r="C60" s="54" t="s">
        <v>87</v>
      </c>
      <c r="D60" s="54"/>
      <c r="E60" s="59">
        <v>0.03</v>
      </c>
      <c r="F60" s="54"/>
      <c r="G60" s="54"/>
      <c r="H60" s="54"/>
      <c r="I60" s="54"/>
      <c r="J60" s="54"/>
      <c r="K60" s="54"/>
      <c r="L60" s="54"/>
    </row>
    <row r="61" spans="1:12" ht="13.5" thickBot="1">
      <c r="A61" s="54"/>
      <c r="B61" s="54"/>
      <c r="C61" s="54"/>
      <c r="D61" s="54"/>
      <c r="E61" s="54"/>
      <c r="F61" s="54"/>
      <c r="G61" s="54"/>
      <c r="H61" s="54"/>
      <c r="I61" s="54"/>
      <c r="J61" s="54"/>
      <c r="K61" s="54"/>
      <c r="L61" s="54"/>
    </row>
    <row r="62" spans="1:12" ht="13.5" thickBot="1">
      <c r="A62" s="54"/>
      <c r="B62" s="54"/>
      <c r="C62" s="61" t="s">
        <v>78</v>
      </c>
      <c r="D62" s="62"/>
      <c r="E62" s="72">
        <f>(E59*(1+E60))</f>
        <v>786712.5168000001</v>
      </c>
      <c r="F62" s="54"/>
      <c r="G62" s="54"/>
      <c r="H62" s="54"/>
      <c r="I62" s="54"/>
      <c r="J62" s="54"/>
      <c r="K62" s="54"/>
      <c r="L62" s="54"/>
    </row>
    <row r="63" spans="1:12" ht="12.75">
      <c r="A63" s="54"/>
      <c r="B63" s="54"/>
      <c r="C63" s="54"/>
      <c r="D63" s="54"/>
      <c r="E63" s="54"/>
      <c r="F63" s="54"/>
      <c r="G63" s="54"/>
      <c r="H63" s="54"/>
      <c r="I63" s="54"/>
      <c r="J63" s="54"/>
      <c r="K63" s="54"/>
      <c r="L63" s="54"/>
    </row>
    <row r="64" spans="1:12" ht="12.75">
      <c r="A64" s="54"/>
      <c r="B64" s="57" t="s">
        <v>79</v>
      </c>
      <c r="C64" s="54"/>
      <c r="D64" s="54"/>
      <c r="E64" s="54"/>
      <c r="F64" s="54"/>
      <c r="G64" s="54"/>
      <c r="H64" s="54"/>
      <c r="I64" s="54"/>
      <c r="J64" s="54"/>
      <c r="K64" s="54"/>
      <c r="L64" s="54"/>
    </row>
    <row r="65" spans="1:12" ht="12.75">
      <c r="A65" s="54"/>
      <c r="B65" s="54"/>
      <c r="C65" s="54" t="s">
        <v>86</v>
      </c>
      <c r="D65" s="54"/>
      <c r="E65" s="58">
        <v>0</v>
      </c>
      <c r="F65" s="54"/>
      <c r="G65" s="54"/>
      <c r="H65" s="54"/>
      <c r="I65" s="54"/>
      <c r="J65" s="54"/>
      <c r="K65" s="54"/>
      <c r="L65" s="54"/>
    </row>
    <row r="66" spans="1:12" ht="12.75">
      <c r="A66" s="54"/>
      <c r="B66" s="54"/>
      <c r="C66" s="54" t="s">
        <v>87</v>
      </c>
      <c r="D66" s="54"/>
      <c r="E66" s="59">
        <v>0.03</v>
      </c>
      <c r="F66" s="54"/>
      <c r="G66" s="54"/>
      <c r="H66" s="54"/>
      <c r="I66" s="54"/>
      <c r="J66" s="54"/>
      <c r="K66" s="54"/>
      <c r="L66" s="54"/>
    </row>
    <row r="67" spans="1:12" ht="13.5" thickBot="1">
      <c r="A67" s="54"/>
      <c r="B67" s="54"/>
      <c r="C67" s="54"/>
      <c r="D67" s="54"/>
      <c r="E67" s="54"/>
      <c r="F67" s="54"/>
      <c r="G67" s="54"/>
      <c r="H67" s="54"/>
      <c r="I67" s="54"/>
      <c r="J67" s="54"/>
      <c r="K67" s="54"/>
      <c r="L67" s="54"/>
    </row>
    <row r="68" spans="1:12" ht="13.5" thickBot="1">
      <c r="A68" s="54"/>
      <c r="B68" s="54"/>
      <c r="C68" s="61" t="s">
        <v>81</v>
      </c>
      <c r="D68" s="62"/>
      <c r="E68" s="72">
        <f>(E65*(1+E66))</f>
        <v>0</v>
      </c>
      <c r="F68" s="54"/>
      <c r="G68" s="54"/>
      <c r="H68" s="54"/>
      <c r="I68" s="54"/>
      <c r="J68" s="54"/>
      <c r="K68" s="54"/>
      <c r="L68" s="54"/>
    </row>
    <row r="69" spans="1:12" ht="12.75">
      <c r="A69" s="54"/>
      <c r="B69" s="54"/>
      <c r="C69" s="54"/>
      <c r="D69" s="54"/>
      <c r="E69" s="54"/>
      <c r="F69" s="54"/>
      <c r="G69" s="54"/>
      <c r="H69" s="54"/>
      <c r="I69" s="54"/>
      <c r="J69" s="54"/>
      <c r="K69" s="54"/>
      <c r="L69" s="54"/>
    </row>
    <row r="70" spans="1:12" ht="12.75">
      <c r="A70" s="54"/>
      <c r="B70" s="57" t="s">
        <v>82</v>
      </c>
      <c r="C70" s="54"/>
      <c r="D70" s="54"/>
      <c r="E70" s="54"/>
      <c r="F70" s="54"/>
      <c r="G70" s="54"/>
      <c r="H70" s="54"/>
      <c r="I70" s="54"/>
      <c r="J70" s="54"/>
      <c r="K70" s="54"/>
      <c r="L70" s="54"/>
    </row>
    <row r="71" spans="1:12" ht="12.75">
      <c r="A71" s="54"/>
      <c r="B71" s="54"/>
      <c r="C71" s="54" t="s">
        <v>86</v>
      </c>
      <c r="D71" s="54"/>
      <c r="E71" s="58">
        <f>$E$52</f>
        <v>151657.2</v>
      </c>
      <c r="F71" s="54"/>
      <c r="G71" s="54"/>
      <c r="H71" s="54"/>
      <c r="I71" s="54"/>
      <c r="J71" s="54"/>
      <c r="K71" s="54"/>
      <c r="L71" s="54"/>
    </row>
    <row r="72" spans="1:12" ht="12.75">
      <c r="A72" s="54"/>
      <c r="B72" s="54"/>
      <c r="C72" s="54" t="s">
        <v>87</v>
      </c>
      <c r="D72" s="54"/>
      <c r="E72" s="59">
        <v>0.03</v>
      </c>
      <c r="F72" s="54"/>
      <c r="G72" s="54"/>
      <c r="H72" s="54"/>
      <c r="I72" s="54"/>
      <c r="J72" s="54"/>
      <c r="K72" s="54"/>
      <c r="L72" s="54"/>
    </row>
    <row r="73" spans="1:12" ht="13.5" thickBot="1">
      <c r="A73" s="54"/>
      <c r="B73" s="54"/>
      <c r="C73" s="54"/>
      <c r="D73" s="54"/>
      <c r="E73" s="54"/>
      <c r="F73" s="54"/>
      <c r="G73" s="54"/>
      <c r="H73" s="54"/>
      <c r="I73" s="54"/>
      <c r="J73" s="54"/>
      <c r="K73" s="54"/>
      <c r="L73" s="54"/>
    </row>
    <row r="74" spans="1:12" ht="13.5" thickBot="1">
      <c r="A74" s="54"/>
      <c r="B74" s="54"/>
      <c r="C74" s="61" t="s">
        <v>84</v>
      </c>
      <c r="D74" s="62"/>
      <c r="E74" s="72">
        <f>(E71*(1+E72))</f>
        <v>156206.91600000003</v>
      </c>
      <c r="F74" s="54"/>
      <c r="G74" s="54"/>
      <c r="H74" s="54"/>
      <c r="I74" s="54"/>
      <c r="J74" s="54"/>
      <c r="K74" s="54"/>
      <c r="L74" s="54"/>
    </row>
    <row r="75" spans="1:12" ht="13.5" thickBot="1">
      <c r="A75" s="54"/>
      <c r="B75" s="54"/>
      <c r="C75" s="54"/>
      <c r="D75" s="54"/>
      <c r="E75" s="54"/>
      <c r="F75" s="54"/>
      <c r="G75" s="54"/>
      <c r="H75" s="54"/>
      <c r="I75" s="54"/>
      <c r="J75" s="54"/>
      <c r="K75" s="54"/>
      <c r="L75" s="54"/>
    </row>
    <row r="76" spans="1:12" ht="13.5" thickBot="1">
      <c r="A76" s="54"/>
      <c r="B76" s="64" t="s">
        <v>12</v>
      </c>
      <c r="C76" s="65"/>
      <c r="D76" s="65"/>
      <c r="E76" s="71">
        <f>E62+E68+E74</f>
        <v>942919.4328000001</v>
      </c>
      <c r="F76" s="54"/>
      <c r="G76" s="54"/>
      <c r="H76" s="54"/>
      <c r="I76" s="54"/>
      <c r="J76" s="54"/>
      <c r="K76" s="54"/>
      <c r="L76" s="54"/>
    </row>
    <row r="77" spans="1:12" ht="12.75">
      <c r="A77" s="54"/>
      <c r="B77" s="54"/>
      <c r="C77" s="54"/>
      <c r="D77" s="54"/>
      <c r="E77" s="54"/>
      <c r="F77" s="54"/>
      <c r="G77" s="54"/>
      <c r="H77" s="54"/>
      <c r="I77" s="54"/>
      <c r="J77" s="54"/>
      <c r="K77" s="54"/>
      <c r="L77" s="54"/>
    </row>
    <row r="78" spans="1:12" ht="12.75">
      <c r="A78" s="19" t="s">
        <v>24</v>
      </c>
      <c r="B78" s="54"/>
      <c r="C78" s="54"/>
      <c r="D78" s="54"/>
      <c r="E78" s="55" t="s">
        <v>25</v>
      </c>
      <c r="F78" s="54"/>
      <c r="G78" s="54"/>
      <c r="H78" s="54"/>
      <c r="I78" s="54"/>
      <c r="J78" s="54"/>
      <c r="K78" s="54"/>
      <c r="L78" s="54"/>
    </row>
    <row r="79" spans="1:12" ht="12.75">
      <c r="A79" s="54"/>
      <c r="B79" s="54"/>
      <c r="C79" s="54"/>
      <c r="D79" s="54"/>
      <c r="E79" s="54"/>
      <c r="F79" s="54"/>
      <c r="G79" s="54"/>
      <c r="H79" s="54"/>
      <c r="I79" s="54"/>
      <c r="J79" s="54"/>
      <c r="K79" s="54"/>
      <c r="L79" s="54"/>
    </row>
    <row r="80" spans="1:12" ht="12.75">
      <c r="A80" s="54"/>
      <c r="B80" s="57" t="s">
        <v>76</v>
      </c>
      <c r="C80" s="54"/>
      <c r="D80" s="54"/>
      <c r="E80" s="54"/>
      <c r="F80" s="54"/>
      <c r="G80" s="54"/>
      <c r="H80" s="54"/>
      <c r="I80" s="54"/>
      <c r="J80" s="54"/>
      <c r="K80" s="54"/>
      <c r="L80" s="54"/>
    </row>
    <row r="81" spans="1:12" ht="12.75">
      <c r="A81" s="54"/>
      <c r="B81" s="54"/>
      <c r="C81" s="54" t="s">
        <v>86</v>
      </c>
      <c r="D81" s="54"/>
      <c r="E81" s="58">
        <f>$E$62</f>
        <v>786712.5168000001</v>
      </c>
      <c r="F81" s="54"/>
      <c r="G81" s="54"/>
      <c r="H81" s="54"/>
      <c r="I81" s="54"/>
      <c r="J81" s="54"/>
      <c r="K81" s="54"/>
      <c r="L81" s="54"/>
    </row>
    <row r="82" spans="1:12" ht="12.75">
      <c r="A82" s="54"/>
      <c r="B82" s="54"/>
      <c r="C82" s="54" t="s">
        <v>87</v>
      </c>
      <c r="D82" s="54"/>
      <c r="E82" s="59">
        <v>0.03</v>
      </c>
      <c r="F82" s="54"/>
      <c r="G82" s="54"/>
      <c r="H82" s="54"/>
      <c r="I82" s="54"/>
      <c r="J82" s="54"/>
      <c r="K82" s="54"/>
      <c r="L82" s="54"/>
    </row>
    <row r="83" spans="1:12" ht="13.5" thickBot="1">
      <c r="A83" s="54"/>
      <c r="B83" s="54"/>
      <c r="C83" s="54"/>
      <c r="D83" s="54"/>
      <c r="E83" s="54"/>
      <c r="F83" s="54"/>
      <c r="G83" s="54"/>
      <c r="H83" s="54"/>
      <c r="I83" s="54"/>
      <c r="J83" s="54"/>
      <c r="K83" s="54"/>
      <c r="L83" s="54"/>
    </row>
    <row r="84" spans="1:12" ht="13.5" thickBot="1">
      <c r="A84" s="54"/>
      <c r="B84" s="54"/>
      <c r="C84" s="61" t="s">
        <v>78</v>
      </c>
      <c r="D84" s="62"/>
      <c r="E84" s="72">
        <f>(E81*(1+E82))</f>
        <v>810313.8923040001</v>
      </c>
      <c r="F84" s="54"/>
      <c r="G84" s="54"/>
      <c r="H84" s="54"/>
      <c r="I84" s="54"/>
      <c r="J84" s="54"/>
      <c r="K84" s="54"/>
      <c r="L84" s="54"/>
    </row>
    <row r="86" ht="12.75">
      <c r="B86" s="4" t="s">
        <v>79</v>
      </c>
    </row>
    <row r="87" spans="3:5" ht="12.75">
      <c r="C87" t="s">
        <v>86</v>
      </c>
      <c r="E87" s="7">
        <f>$E$68</f>
        <v>0</v>
      </c>
    </row>
    <row r="88" spans="3:5" ht="12.75">
      <c r="C88" t="s">
        <v>87</v>
      </c>
      <c r="E88" s="6">
        <v>0.03</v>
      </c>
    </row>
    <row r="89" ht="13.5" thickBot="1"/>
    <row r="90" spans="3:5" ht="13.5" thickBot="1">
      <c r="C90" s="8" t="s">
        <v>81</v>
      </c>
      <c r="D90" s="9"/>
      <c r="E90" s="11">
        <f>(E87*(1+E88))</f>
        <v>0</v>
      </c>
    </row>
    <row r="92" ht="12.75">
      <c r="B92" s="4" t="s">
        <v>82</v>
      </c>
    </row>
    <row r="93" spans="3:5" ht="12.75">
      <c r="C93" t="s">
        <v>86</v>
      </c>
      <c r="E93" s="7">
        <f>$E$74</f>
        <v>156206.91600000003</v>
      </c>
    </row>
    <row r="94" spans="3:5" ht="12.75">
      <c r="C94" t="s">
        <v>87</v>
      </c>
      <c r="E94" s="6">
        <v>0.03</v>
      </c>
    </row>
    <row r="95" ht="13.5" thickBot="1"/>
    <row r="96" spans="3:5" ht="13.5" thickBot="1">
      <c r="C96" s="8" t="s">
        <v>84</v>
      </c>
      <c r="D96" s="9"/>
      <c r="E96" s="11">
        <f>(E93*(1+E94))</f>
        <v>160893.12348000004</v>
      </c>
    </row>
    <row r="97" ht="13.5" thickBot="1"/>
    <row r="98" spans="2:5" ht="13.5" thickBot="1">
      <c r="B98" s="12" t="s">
        <v>12</v>
      </c>
      <c r="C98" s="13"/>
      <c r="D98" s="13"/>
      <c r="E98" s="15">
        <f>E84+E90+E96</f>
        <v>971207.0157840002</v>
      </c>
    </row>
    <row r="100" spans="1:5" ht="12.75">
      <c r="A100" s="19" t="s">
        <v>26</v>
      </c>
      <c r="E100" s="2" t="s">
        <v>27</v>
      </c>
    </row>
    <row r="102" ht="12.75">
      <c r="B102" s="4" t="s">
        <v>76</v>
      </c>
    </row>
    <row r="103" spans="3:5" ht="12.75">
      <c r="C103" t="s">
        <v>86</v>
      </c>
      <c r="E103" s="7">
        <f>$E$62</f>
        <v>786712.5168000001</v>
      </c>
    </row>
    <row r="104" spans="3:5" ht="12.75">
      <c r="C104" t="s">
        <v>87</v>
      </c>
      <c r="E104" s="6">
        <v>0.03</v>
      </c>
    </row>
    <row r="105" ht="13.5" thickBot="1"/>
    <row r="106" spans="3:5" ht="13.5" thickBot="1">
      <c r="C106" s="8" t="s">
        <v>78</v>
      </c>
      <c r="D106" s="9"/>
      <c r="E106" s="11">
        <f>(E103*(1+E104))</f>
        <v>810313.8923040001</v>
      </c>
    </row>
    <row r="108" ht="12.75">
      <c r="B108" s="4" t="s">
        <v>79</v>
      </c>
    </row>
    <row r="109" spans="3:5" ht="12.75">
      <c r="C109" t="s">
        <v>86</v>
      </c>
      <c r="E109" s="7">
        <f>$E$90</f>
        <v>0</v>
      </c>
    </row>
    <row r="110" spans="3:5" ht="12.75">
      <c r="C110" t="s">
        <v>87</v>
      </c>
      <c r="E110" s="6">
        <v>0.03</v>
      </c>
    </row>
    <row r="111" ht="13.5" thickBot="1"/>
    <row r="112" spans="3:5" ht="13.5" thickBot="1">
      <c r="C112" s="8" t="s">
        <v>81</v>
      </c>
      <c r="D112" s="9"/>
      <c r="E112" s="11">
        <f>(E109*(1+E110))</f>
        <v>0</v>
      </c>
    </row>
    <row r="114" ht="12.75">
      <c r="B114" s="4" t="s">
        <v>82</v>
      </c>
    </row>
    <row r="115" spans="3:5" ht="12.75">
      <c r="C115" t="s">
        <v>86</v>
      </c>
      <c r="E115" s="7">
        <f>$E$96</f>
        <v>160893.12348000004</v>
      </c>
    </row>
    <row r="116" spans="3:5" ht="12.75">
      <c r="C116" t="s">
        <v>87</v>
      </c>
      <c r="E116" s="6">
        <v>0.03</v>
      </c>
    </row>
    <row r="117" ht="13.5" thickBot="1"/>
    <row r="118" spans="3:5" ht="13.5" thickBot="1">
      <c r="C118" s="8" t="s">
        <v>84</v>
      </c>
      <c r="D118" s="9"/>
      <c r="E118" s="11">
        <f>(E115*(1+E116))</f>
        <v>165719.91718440005</v>
      </c>
    </row>
    <row r="119" ht="13.5" thickBot="1"/>
    <row r="120" spans="2:5" ht="13.5" thickBot="1">
      <c r="B120" s="12" t="s">
        <v>12</v>
      </c>
      <c r="C120" s="13"/>
      <c r="D120" s="13"/>
      <c r="E120" s="15">
        <f>E106+E112+E118</f>
        <v>976033.8094884001</v>
      </c>
    </row>
  </sheetData>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U119"/>
  <sheetViews>
    <sheetView zoomScale="75" zoomScaleNormal="75" workbookViewId="0" topLeftCell="A1">
      <selection activeCell="A1" sqref="A1"/>
    </sheetView>
  </sheetViews>
  <sheetFormatPr defaultColWidth="9.140625" defaultRowHeight="12.75"/>
  <cols>
    <col min="1" max="1" width="31.140625" style="54" bestFit="1" customWidth="1"/>
    <col min="2" max="2" width="18.00390625" style="54" bestFit="1" customWidth="1"/>
    <col min="3" max="3" width="23.00390625" style="54" bestFit="1" customWidth="1"/>
    <col min="4" max="4" width="9.140625" style="54" customWidth="1"/>
    <col min="5" max="5" width="19.421875" style="54" bestFit="1" customWidth="1"/>
    <col min="6" max="6" width="9.140625" style="54" customWidth="1"/>
    <col min="7" max="7" width="23.00390625" style="54" bestFit="1" customWidth="1"/>
    <col min="8" max="8" width="9.140625" style="54" customWidth="1"/>
    <col min="9" max="9" width="23.421875" style="54" bestFit="1" customWidth="1"/>
    <col min="10" max="10" width="9.140625" style="54" customWidth="1"/>
    <col min="11" max="11" width="26.28125" style="54" bestFit="1" customWidth="1"/>
    <col min="12" max="12" width="9.140625" style="54" customWidth="1"/>
    <col min="13" max="13" width="19.140625" style="54" bestFit="1" customWidth="1"/>
    <col min="14" max="14" width="9.140625" style="54" customWidth="1"/>
    <col min="15" max="15" width="19.140625" style="54" bestFit="1" customWidth="1"/>
    <col min="16" max="16" width="9.140625" style="54" customWidth="1"/>
    <col min="17" max="17" width="19.140625" style="54" bestFit="1" customWidth="1"/>
    <col min="18" max="18" width="9.140625" style="54" customWidth="1"/>
    <col min="19" max="19" width="18.57421875" style="54" bestFit="1" customWidth="1"/>
    <col min="20" max="20" width="9.140625" style="54" customWidth="1"/>
    <col min="21" max="21" width="19.140625" style="54" bestFit="1" customWidth="1"/>
    <col min="22" max="16384" width="9.140625" style="54" customWidth="1"/>
  </cols>
  <sheetData>
    <row r="1" spans="1:21" ht="12.75">
      <c r="A1" s="1" t="s">
        <v>89</v>
      </c>
      <c r="E1" s="55">
        <v>1996</v>
      </c>
      <c r="G1" s="55">
        <v>1997</v>
      </c>
      <c r="I1" s="55" t="s">
        <v>28</v>
      </c>
      <c r="K1" s="55" t="s">
        <v>29</v>
      </c>
      <c r="L1" s="56"/>
      <c r="M1" s="73" t="s">
        <v>54</v>
      </c>
      <c r="N1" s="74"/>
      <c r="O1" s="55" t="s">
        <v>55</v>
      </c>
      <c r="Q1" s="55" t="s">
        <v>56</v>
      </c>
      <c r="S1" s="55" t="s">
        <v>57</v>
      </c>
      <c r="U1" s="55" t="s">
        <v>58</v>
      </c>
    </row>
    <row r="2" spans="1:12" ht="12.75">
      <c r="A2" s="54" t="s">
        <v>96</v>
      </c>
      <c r="L2" s="67"/>
    </row>
    <row r="3" spans="2:12" ht="12.75">
      <c r="B3" s="57" t="s">
        <v>59</v>
      </c>
      <c r="L3" s="67"/>
    </row>
    <row r="4" spans="3:21" ht="12.75">
      <c r="C4" s="54" t="s">
        <v>90</v>
      </c>
      <c r="E4" s="58">
        <v>75000</v>
      </c>
      <c r="F4" s="58"/>
      <c r="G4" s="58">
        <v>75000</v>
      </c>
      <c r="H4" s="58"/>
      <c r="I4" s="58">
        <v>75000</v>
      </c>
      <c r="J4" s="58"/>
      <c r="K4" s="58">
        <v>77250</v>
      </c>
      <c r="L4" s="67"/>
      <c r="M4" s="59">
        <f>(G4/E4)-1</f>
        <v>0</v>
      </c>
      <c r="O4" s="59">
        <f>(I4/G4)-1</f>
        <v>0</v>
      </c>
      <c r="Q4" s="59">
        <f>(K4/I4)-1</f>
        <v>0.030000000000000027</v>
      </c>
      <c r="S4" s="59">
        <f>(I4/E4)-1</f>
        <v>0</v>
      </c>
      <c r="T4" s="59"/>
      <c r="U4" s="59">
        <f>(K4/G4)-1</f>
        <v>0.030000000000000027</v>
      </c>
    </row>
    <row r="5" spans="3:12" ht="12.75">
      <c r="C5" s="54" t="s">
        <v>61</v>
      </c>
      <c r="E5" s="59">
        <v>0</v>
      </c>
      <c r="F5" s="59"/>
      <c r="G5" s="59">
        <v>0</v>
      </c>
      <c r="H5" s="59"/>
      <c r="I5" s="59">
        <v>0.03</v>
      </c>
      <c r="J5" s="59"/>
      <c r="K5" s="59">
        <v>0.03</v>
      </c>
      <c r="L5" s="67"/>
    </row>
    <row r="6" spans="3:12" ht="12.75">
      <c r="C6" s="54" t="s">
        <v>72</v>
      </c>
      <c r="E6" s="60">
        <v>12</v>
      </c>
      <c r="F6" s="60"/>
      <c r="G6" s="60">
        <v>12</v>
      </c>
      <c r="H6" s="60"/>
      <c r="I6" s="60">
        <v>12</v>
      </c>
      <c r="J6" s="60"/>
      <c r="K6" s="60">
        <v>12</v>
      </c>
      <c r="L6" s="67"/>
    </row>
    <row r="7" ht="13.5" thickBot="1">
      <c r="L7" s="67"/>
    </row>
    <row r="8" spans="3:21" ht="13.5" thickBot="1">
      <c r="C8" s="61" t="s">
        <v>63</v>
      </c>
      <c r="D8" s="62"/>
      <c r="E8" s="63">
        <f>(E4*(1+E5))*E6</f>
        <v>900000</v>
      </c>
      <c r="F8" s="63"/>
      <c r="G8" s="63">
        <f>(G4*(1+G5))*G6</f>
        <v>900000</v>
      </c>
      <c r="H8" s="63"/>
      <c r="I8" s="63">
        <f>(I4*(1+I5))*I6</f>
        <v>927000</v>
      </c>
      <c r="J8" s="63"/>
      <c r="K8" s="72">
        <f>(K4*(1+K5))*K6</f>
        <v>954810</v>
      </c>
      <c r="L8" s="67"/>
      <c r="M8" s="75">
        <f>(G8/E8)-1</f>
        <v>0</v>
      </c>
      <c r="N8" s="62"/>
      <c r="O8" s="76">
        <f>(I8/G8)-1</f>
        <v>0.030000000000000027</v>
      </c>
      <c r="P8" s="62"/>
      <c r="Q8" s="76">
        <f>(K8/I8)-1</f>
        <v>0.030000000000000027</v>
      </c>
      <c r="R8" s="62"/>
      <c r="S8" s="76">
        <f>(I8/E8)-1</f>
        <v>0.030000000000000027</v>
      </c>
      <c r="T8" s="76"/>
      <c r="U8" s="77">
        <f>(K8/G8)-1</f>
        <v>0.060899999999999954</v>
      </c>
    </row>
    <row r="9" ht="12.75">
      <c r="L9" s="67"/>
    </row>
    <row r="10" spans="2:12" ht="12.75">
      <c r="B10" s="57" t="s">
        <v>91</v>
      </c>
      <c r="L10" s="67"/>
    </row>
    <row r="11" spans="3:12" ht="12.75">
      <c r="C11" s="54" t="s">
        <v>92</v>
      </c>
      <c r="E11" s="58">
        <v>0</v>
      </c>
      <c r="F11" s="58"/>
      <c r="G11" s="58">
        <v>0</v>
      </c>
      <c r="H11" s="58"/>
      <c r="I11" s="58">
        <v>266400</v>
      </c>
      <c r="J11" s="58"/>
      <c r="K11" s="58">
        <v>266400</v>
      </c>
      <c r="L11" s="67"/>
    </row>
    <row r="12" spans="3:12" ht="12.75">
      <c r="C12" s="54" t="s">
        <v>72</v>
      </c>
      <c r="E12" s="60">
        <v>12</v>
      </c>
      <c r="F12" s="60"/>
      <c r="G12" s="60">
        <v>12</v>
      </c>
      <c r="H12" s="60"/>
      <c r="I12" s="60">
        <v>12</v>
      </c>
      <c r="J12" s="60"/>
      <c r="K12" s="60">
        <v>12</v>
      </c>
      <c r="L12" s="67"/>
    </row>
    <row r="13" ht="13.5" thickBot="1">
      <c r="L13" s="67"/>
    </row>
    <row r="14" spans="3:21" ht="13.5" thickBot="1">
      <c r="C14" s="61" t="s">
        <v>93</v>
      </c>
      <c r="D14" s="62"/>
      <c r="E14" s="63">
        <f>E11*E12</f>
        <v>0</v>
      </c>
      <c r="F14" s="63"/>
      <c r="G14" s="63">
        <f>G11*G12</f>
        <v>0</v>
      </c>
      <c r="H14" s="63"/>
      <c r="I14" s="63">
        <f>I11*I12</f>
        <v>3196800</v>
      </c>
      <c r="J14" s="63"/>
      <c r="K14" s="72">
        <f>K11*K12</f>
        <v>3196800</v>
      </c>
      <c r="L14" s="67"/>
      <c r="M14" s="75">
        <v>0</v>
      </c>
      <c r="N14" s="62"/>
      <c r="O14" s="76">
        <v>0</v>
      </c>
      <c r="P14" s="62"/>
      <c r="Q14" s="76">
        <f>(K14/I14)-1</f>
        <v>0</v>
      </c>
      <c r="R14" s="62"/>
      <c r="S14" s="76">
        <v>0</v>
      </c>
      <c r="T14" s="76"/>
      <c r="U14" s="77">
        <v>0</v>
      </c>
    </row>
    <row r="15" ht="12.75">
      <c r="L15" s="67"/>
    </row>
    <row r="16" spans="2:12" ht="12.75">
      <c r="B16" s="57" t="s">
        <v>64</v>
      </c>
      <c r="L16" s="67"/>
    </row>
    <row r="17" spans="3:21" ht="12.75">
      <c r="C17" s="54" t="s">
        <v>5</v>
      </c>
      <c r="E17" s="60">
        <f>'Professional Fees'!E11</f>
        <v>118074</v>
      </c>
      <c r="F17" s="60"/>
      <c r="G17" s="60">
        <f>'Professional Fees'!G11</f>
        <v>104391</v>
      </c>
      <c r="H17" s="60"/>
      <c r="I17" s="60">
        <f>'Professional Fees'!I11</f>
        <v>121153</v>
      </c>
      <c r="J17" s="60"/>
      <c r="K17" s="60">
        <f>'Professional Fees'!K11</f>
        <v>129393</v>
      </c>
      <c r="L17" s="67"/>
      <c r="M17" s="59">
        <f>(G17/E17)-1</f>
        <v>-0.11588495350373496</v>
      </c>
      <c r="O17" s="59">
        <f>(I17/G17)-1</f>
        <v>0.16056939774501644</v>
      </c>
      <c r="Q17" s="59">
        <f>(K17/I17)-1</f>
        <v>0.06801317342533819</v>
      </c>
      <c r="S17" s="59">
        <f>(I17/E17)-1</f>
        <v>0.026076867049477537</v>
      </c>
      <c r="T17" s="59"/>
      <c r="U17" s="59">
        <f>(K17/G17)-1</f>
        <v>0.23950340546598836</v>
      </c>
    </row>
    <row r="18" spans="3:21" ht="12.75">
      <c r="C18" s="54" t="s">
        <v>94</v>
      </c>
      <c r="E18" s="58">
        <v>168.51</v>
      </c>
      <c r="F18" s="58"/>
      <c r="G18" s="58">
        <v>152.09</v>
      </c>
      <c r="H18" s="58"/>
      <c r="I18" s="58">
        <v>152.09</v>
      </c>
      <c r="J18" s="58"/>
      <c r="K18" s="58">
        <v>145.87</v>
      </c>
      <c r="L18" s="67"/>
      <c r="M18" s="59">
        <f>(G18/E18)-1</f>
        <v>-0.09744228829149604</v>
      </c>
      <c r="O18" s="59">
        <f>(I18/G18)-1</f>
        <v>0</v>
      </c>
      <c r="Q18" s="59">
        <f>(K18/I18)-1</f>
        <v>-0.04089683739890848</v>
      </c>
      <c r="S18" s="59">
        <f>(I18/E18)-1</f>
        <v>-0.09744228829149604</v>
      </c>
      <c r="T18" s="59"/>
      <c r="U18" s="59">
        <f>(K18/G18)-1</f>
        <v>-0.04089683739890848</v>
      </c>
    </row>
    <row r="19" ht="13.5" thickBot="1">
      <c r="L19" s="67"/>
    </row>
    <row r="20" spans="3:21" ht="13.5" thickBot="1">
      <c r="C20" s="61" t="s">
        <v>66</v>
      </c>
      <c r="D20" s="62"/>
      <c r="E20" s="63">
        <f>E17*E18</f>
        <v>19896649.74</v>
      </c>
      <c r="F20" s="63"/>
      <c r="G20" s="63">
        <f>G17*G18</f>
        <v>15876827.19</v>
      </c>
      <c r="H20" s="63"/>
      <c r="I20" s="63">
        <f>I17*I18</f>
        <v>18426159.77</v>
      </c>
      <c r="J20" s="63"/>
      <c r="K20" s="72">
        <f>K17*K18</f>
        <v>18874556.91</v>
      </c>
      <c r="L20" s="67"/>
      <c r="M20" s="75">
        <f>(G20/E20)-1</f>
        <v>-0.2020351467472734</v>
      </c>
      <c r="N20" s="62"/>
      <c r="O20" s="76">
        <f>(I20/G20)-1</f>
        <v>0.16056939774501644</v>
      </c>
      <c r="P20" s="62"/>
      <c r="Q20" s="76">
        <f>(K20/I20)-1</f>
        <v>0.02433481233186985</v>
      </c>
      <c r="R20" s="62"/>
      <c r="S20" s="76">
        <f>(I20/E20)-1</f>
        <v>-0.07390641083879279</v>
      </c>
      <c r="T20" s="76"/>
      <c r="U20" s="77">
        <f>(K20/G20)-1</f>
        <v>0.1888116362372525</v>
      </c>
    </row>
    <row r="21" ht="13.5" thickBot="1">
      <c r="L21" s="67"/>
    </row>
    <row r="22" spans="2:21" ht="13.5" thickBot="1">
      <c r="B22" s="64" t="s">
        <v>12</v>
      </c>
      <c r="C22" s="65"/>
      <c r="D22" s="65"/>
      <c r="E22" s="66">
        <f>E8+E14+E20</f>
        <v>20796649.74</v>
      </c>
      <c r="F22" s="66"/>
      <c r="G22" s="66">
        <f>G8+G14+G20</f>
        <v>16776827.19</v>
      </c>
      <c r="H22" s="66"/>
      <c r="I22" s="66">
        <f>I8+I14+I20</f>
        <v>22549959.77</v>
      </c>
      <c r="J22" s="66"/>
      <c r="K22" s="71">
        <f>K8+K14+K20</f>
        <v>23026166.91</v>
      </c>
      <c r="L22" s="67"/>
      <c r="M22" s="78">
        <f>(G22/E22)-1</f>
        <v>-0.1932918330719552</v>
      </c>
      <c r="N22" s="65"/>
      <c r="O22" s="79">
        <f>(I22/G22)-1</f>
        <v>0.34411349146167125</v>
      </c>
      <c r="P22" s="65"/>
      <c r="Q22" s="79">
        <f>(K22/I22)-1</f>
        <v>0.021117870934454386</v>
      </c>
      <c r="R22" s="65"/>
      <c r="S22" s="79">
        <f>(I22/E22)-1</f>
        <v>0.08430733084029907</v>
      </c>
      <c r="T22" s="79"/>
      <c r="U22" s="80">
        <f>(K22/G22)-1</f>
        <v>0.3724983066956178</v>
      </c>
    </row>
    <row r="23" spans="1:21" ht="12.75">
      <c r="A23" s="67"/>
      <c r="B23" s="67"/>
      <c r="C23" s="67"/>
      <c r="D23" s="67"/>
      <c r="E23" s="67"/>
      <c r="F23" s="67"/>
      <c r="G23" s="67"/>
      <c r="H23" s="67"/>
      <c r="I23" s="67"/>
      <c r="J23" s="67"/>
      <c r="K23" s="67"/>
      <c r="L23" s="67"/>
      <c r="M23" s="67"/>
      <c r="N23" s="67"/>
      <c r="O23" s="67"/>
      <c r="P23" s="67"/>
      <c r="Q23" s="67"/>
      <c r="R23" s="67"/>
      <c r="S23" s="67"/>
      <c r="T23" s="67"/>
      <c r="U23" s="67"/>
    </row>
    <row r="24" spans="1:21" ht="12.75">
      <c r="A24" s="67"/>
      <c r="B24" s="67"/>
      <c r="C24" s="67"/>
      <c r="D24" s="67"/>
      <c r="E24" s="67"/>
      <c r="F24" s="67"/>
      <c r="G24" s="67"/>
      <c r="H24" s="67"/>
      <c r="I24" s="67"/>
      <c r="J24" s="67"/>
      <c r="K24" s="67"/>
      <c r="L24" s="67"/>
      <c r="M24" s="67"/>
      <c r="N24" s="67"/>
      <c r="O24" s="67"/>
      <c r="P24" s="67"/>
      <c r="Q24" s="67"/>
      <c r="R24" s="67"/>
      <c r="S24" s="67"/>
      <c r="T24" s="67"/>
      <c r="U24" s="67"/>
    </row>
    <row r="25" spans="1:11" ht="12.75">
      <c r="A25" s="19" t="s">
        <v>18</v>
      </c>
      <c r="C25" s="68"/>
      <c r="D25" s="68"/>
      <c r="E25" s="55" t="s">
        <v>28</v>
      </c>
      <c r="F25" s="68"/>
      <c r="G25" s="69" t="s">
        <v>118</v>
      </c>
      <c r="H25" s="68"/>
      <c r="I25" s="69" t="s">
        <v>19</v>
      </c>
      <c r="J25" s="68"/>
      <c r="K25" s="69" t="s">
        <v>13</v>
      </c>
    </row>
    <row r="26" ht="13.5" thickBot="1"/>
    <row r="27" spans="3:17" ht="13.5" thickBot="1">
      <c r="C27" s="70" t="s">
        <v>95</v>
      </c>
      <c r="D27" s="65"/>
      <c r="E27" s="66">
        <f>$I$22</f>
        <v>22549959.77</v>
      </c>
      <c r="F27" s="65"/>
      <c r="G27" s="66">
        <f>'[3]Annualization'!$K$59</f>
        <v>20751708.799342103</v>
      </c>
      <c r="H27" s="65"/>
      <c r="I27" s="66">
        <f>I8+I14+((AVERAGE(G17,91084))*(AVERAGE(G18,(G27/91084))))</f>
        <v>22690037.540052034</v>
      </c>
      <c r="J27" s="65"/>
      <c r="K27" s="71">
        <f>(I27/365)*49</f>
        <v>3046059.8341439716</v>
      </c>
      <c r="O27" s="58"/>
      <c r="Q27" s="60"/>
    </row>
    <row r="28" ht="12.75"/>
    <row r="29" spans="1:13" ht="12.75">
      <c r="A29" s="19" t="s">
        <v>20</v>
      </c>
      <c r="E29" s="55" t="s">
        <v>29</v>
      </c>
      <c r="G29" s="55" t="s">
        <v>58</v>
      </c>
      <c r="I29" s="55" t="s">
        <v>15</v>
      </c>
      <c r="K29" s="55" t="s">
        <v>16</v>
      </c>
      <c r="M29" s="55" t="s">
        <v>21</v>
      </c>
    </row>
    <row r="30" ht="12.75"/>
    <row r="31" spans="2:9" ht="12.75">
      <c r="B31" s="57" t="s">
        <v>59</v>
      </c>
      <c r="G31" s="59"/>
      <c r="H31" s="59"/>
      <c r="I31" s="59"/>
    </row>
    <row r="32" spans="3:13" ht="12.75">
      <c r="C32" s="54" t="s">
        <v>90</v>
      </c>
      <c r="E32" s="58">
        <v>77250</v>
      </c>
      <c r="G32" s="59"/>
      <c r="H32" s="59"/>
      <c r="I32" s="59"/>
      <c r="M32" s="58">
        <v>77250</v>
      </c>
    </row>
    <row r="33" spans="3:13" ht="12.75">
      <c r="C33" s="54" t="s">
        <v>61</v>
      </c>
      <c r="E33" s="59">
        <v>0.03</v>
      </c>
      <c r="G33" s="59"/>
      <c r="H33" s="59"/>
      <c r="I33" s="59"/>
      <c r="M33" s="59">
        <v>0.03</v>
      </c>
    </row>
    <row r="34" spans="3:13" ht="12.75">
      <c r="C34" s="54" t="s">
        <v>72</v>
      </c>
      <c r="E34" s="60">
        <v>12</v>
      </c>
      <c r="G34" s="59"/>
      <c r="H34" s="59"/>
      <c r="I34" s="59"/>
      <c r="M34" s="60">
        <v>12</v>
      </c>
    </row>
    <row r="35" spans="7:9" ht="13.5" thickBot="1">
      <c r="G35" s="59"/>
      <c r="H35" s="59"/>
      <c r="I35" s="59"/>
    </row>
    <row r="36" spans="3:13" ht="13.5" thickBot="1">
      <c r="C36" s="61" t="s">
        <v>63</v>
      </c>
      <c r="D36" s="62"/>
      <c r="E36" s="63">
        <f>(E32*(1+E33))*E34</f>
        <v>954810</v>
      </c>
      <c r="F36" s="62"/>
      <c r="G36" s="76"/>
      <c r="H36" s="76"/>
      <c r="I36" s="76"/>
      <c r="J36" s="62"/>
      <c r="K36" s="62"/>
      <c r="L36" s="62"/>
      <c r="M36" s="72">
        <f>(M32*(1+M33))*M34</f>
        <v>954810</v>
      </c>
    </row>
    <row r="37" spans="7:9" ht="12.75">
      <c r="G37" s="59"/>
      <c r="H37" s="59"/>
      <c r="I37" s="59"/>
    </row>
    <row r="38" spans="2:9" ht="12.75">
      <c r="B38" s="57" t="s">
        <v>91</v>
      </c>
      <c r="G38" s="59"/>
      <c r="H38" s="59"/>
      <c r="I38" s="59"/>
    </row>
    <row r="39" spans="3:13" ht="12.75">
      <c r="C39" s="54" t="s">
        <v>92</v>
      </c>
      <c r="E39" s="58">
        <v>266400</v>
      </c>
      <c r="G39" s="59"/>
      <c r="H39" s="59"/>
      <c r="I39" s="59"/>
      <c r="M39" s="58">
        <v>266400</v>
      </c>
    </row>
    <row r="40" spans="3:13" ht="12.75">
      <c r="C40" s="54" t="s">
        <v>72</v>
      </c>
      <c r="E40" s="60">
        <v>12</v>
      </c>
      <c r="G40" s="59"/>
      <c r="H40" s="59"/>
      <c r="I40" s="59"/>
      <c r="M40" s="60">
        <v>12</v>
      </c>
    </row>
    <row r="41" spans="7:9" ht="13.5" thickBot="1">
      <c r="G41" s="59"/>
      <c r="H41" s="59"/>
      <c r="I41" s="59"/>
    </row>
    <row r="42" spans="3:13" ht="13.5" thickBot="1">
      <c r="C42" s="61" t="s">
        <v>93</v>
      </c>
      <c r="D42" s="62"/>
      <c r="E42" s="63">
        <f>E39*E40</f>
        <v>3196800</v>
      </c>
      <c r="F42" s="62"/>
      <c r="G42" s="76"/>
      <c r="H42" s="76"/>
      <c r="I42" s="76"/>
      <c r="J42" s="62"/>
      <c r="K42" s="62"/>
      <c r="L42" s="62"/>
      <c r="M42" s="72">
        <f>M39*M40</f>
        <v>3196800</v>
      </c>
    </row>
    <row r="43" spans="7:9" ht="12.75">
      <c r="G43" s="59"/>
      <c r="H43" s="59"/>
      <c r="I43" s="59"/>
    </row>
    <row r="44" spans="2:9" ht="12.75">
      <c r="B44" s="57" t="s">
        <v>64</v>
      </c>
      <c r="G44" s="59"/>
      <c r="H44" s="59"/>
      <c r="I44" s="59"/>
    </row>
    <row r="45" spans="3:13" ht="12.75">
      <c r="C45" s="54" t="s">
        <v>5</v>
      </c>
      <c r="E45" s="60">
        <f>'Supplies &amp; Other'!$K$11</f>
        <v>129393</v>
      </c>
      <c r="G45" s="59">
        <f>$U$17</f>
        <v>0.23950340546598836</v>
      </c>
      <c r="H45" s="59"/>
      <c r="I45" s="59">
        <f>(AVERAGE(0,365)/(1.5*365))*G45</f>
        <v>0.07983446848866278</v>
      </c>
      <c r="K45" s="60">
        <f>(E45/(1+G45))*(1+I45)</f>
        <v>112724.99999999999</v>
      </c>
      <c r="M45" s="60">
        <f>$K$45</f>
        <v>112724.99999999999</v>
      </c>
    </row>
    <row r="46" spans="3:13" ht="12.75">
      <c r="C46" s="54" t="s">
        <v>94</v>
      </c>
      <c r="E46" s="58">
        <v>145.87</v>
      </c>
      <c r="G46" s="59"/>
      <c r="H46" s="59"/>
      <c r="I46" s="59"/>
      <c r="M46" s="58">
        <v>145.87</v>
      </c>
    </row>
    <row r="47" spans="7:9" ht="13.5" thickBot="1">
      <c r="G47" s="59"/>
      <c r="H47" s="59"/>
      <c r="I47" s="59"/>
    </row>
    <row r="48" spans="3:13" ht="13.5" thickBot="1">
      <c r="C48" s="61" t="s">
        <v>66</v>
      </c>
      <c r="D48" s="62"/>
      <c r="E48" s="63">
        <f>E45*E46</f>
        <v>18874556.91</v>
      </c>
      <c r="F48" s="62"/>
      <c r="G48" s="76"/>
      <c r="H48" s="76"/>
      <c r="I48" s="76"/>
      <c r="J48" s="62"/>
      <c r="K48" s="62"/>
      <c r="L48" s="62"/>
      <c r="M48" s="72">
        <f>M45*M46</f>
        <v>16443195.749999998</v>
      </c>
    </row>
    <row r="49" spans="7:9" ht="13.5" thickBot="1">
      <c r="G49" s="59"/>
      <c r="H49" s="59"/>
      <c r="I49" s="59"/>
    </row>
    <row r="50" spans="2:13" ht="13.5" thickBot="1">
      <c r="B50" s="64" t="s">
        <v>12</v>
      </c>
      <c r="C50" s="65"/>
      <c r="D50" s="65"/>
      <c r="E50" s="66">
        <f>E36+E42+E48</f>
        <v>23026166.91</v>
      </c>
      <c r="F50" s="65"/>
      <c r="G50" s="79"/>
      <c r="H50" s="79"/>
      <c r="I50" s="79"/>
      <c r="J50" s="65"/>
      <c r="K50" s="65"/>
      <c r="L50" s="65"/>
      <c r="M50" s="71">
        <f>M36+M42+M48</f>
        <v>20594805.75</v>
      </c>
    </row>
    <row r="51" ht="12.75"/>
    <row r="52" spans="1:13" ht="12.75">
      <c r="A52" s="19" t="s">
        <v>22</v>
      </c>
      <c r="E52" s="55" t="s">
        <v>21</v>
      </c>
      <c r="G52" s="55" t="s">
        <v>17</v>
      </c>
      <c r="I52" s="55" t="s">
        <v>68</v>
      </c>
      <c r="K52" s="55" t="s">
        <v>16</v>
      </c>
      <c r="M52" s="55" t="s">
        <v>23</v>
      </c>
    </row>
    <row r="53" ht="12.75"/>
    <row r="54" spans="2:9" ht="12.75">
      <c r="B54" s="57" t="s">
        <v>59</v>
      </c>
      <c r="G54" s="59"/>
      <c r="H54" s="59"/>
      <c r="I54" s="59"/>
    </row>
    <row r="55" spans="3:13" ht="12.75">
      <c r="C55" s="54" t="s">
        <v>90</v>
      </c>
      <c r="E55" s="58">
        <v>77250</v>
      </c>
      <c r="G55" s="59"/>
      <c r="H55" s="59"/>
      <c r="I55" s="59">
        <v>0.03</v>
      </c>
      <c r="K55" s="58">
        <f>(E55*(1+G55))*(1+I45)</f>
        <v>83417.21269074919</v>
      </c>
      <c r="M55" s="58">
        <f>$K$55</f>
        <v>83417.21269074919</v>
      </c>
    </row>
    <row r="56" spans="3:13" ht="12.75">
      <c r="C56" s="54" t="s">
        <v>61</v>
      </c>
      <c r="E56" s="59">
        <v>0.03</v>
      </c>
      <c r="G56" s="59"/>
      <c r="H56" s="59"/>
      <c r="I56" s="59"/>
      <c r="M56" s="59">
        <v>0.03</v>
      </c>
    </row>
    <row r="57" spans="3:13" ht="12.75">
      <c r="C57" s="54" t="s">
        <v>72</v>
      </c>
      <c r="E57" s="60">
        <v>12</v>
      </c>
      <c r="G57" s="59"/>
      <c r="H57" s="59"/>
      <c r="I57" s="59"/>
      <c r="M57" s="60">
        <v>12</v>
      </c>
    </row>
    <row r="58" spans="7:9" ht="13.5" thickBot="1">
      <c r="G58" s="59"/>
      <c r="H58" s="59"/>
      <c r="I58" s="59"/>
    </row>
    <row r="59" spans="3:13" ht="13.5" thickBot="1">
      <c r="C59" s="61" t="s">
        <v>63</v>
      </c>
      <c r="D59" s="62"/>
      <c r="E59" s="63">
        <f>(E55*(1+E56))*E57</f>
        <v>954810</v>
      </c>
      <c r="F59" s="62"/>
      <c r="G59" s="76"/>
      <c r="H59" s="76"/>
      <c r="I59" s="76"/>
      <c r="J59" s="62"/>
      <c r="K59" s="62"/>
      <c r="L59" s="62"/>
      <c r="M59" s="72">
        <f>(M55*(1+M56))*M57</f>
        <v>1031036.74885766</v>
      </c>
    </row>
    <row r="60" spans="7:9" ht="12.75">
      <c r="G60" s="59"/>
      <c r="H60" s="59"/>
      <c r="I60" s="59"/>
    </row>
    <row r="61" spans="2:9" ht="12.75">
      <c r="B61" s="57" t="s">
        <v>91</v>
      </c>
      <c r="G61" s="59"/>
      <c r="H61" s="59"/>
      <c r="I61" s="59"/>
    </row>
    <row r="62" spans="3:13" ht="12.75">
      <c r="C62" s="54" t="s">
        <v>92</v>
      </c>
      <c r="E62" s="58">
        <v>266400</v>
      </c>
      <c r="G62" s="59"/>
      <c r="H62" s="59"/>
      <c r="I62" s="59"/>
      <c r="M62" s="58">
        <v>266400</v>
      </c>
    </row>
    <row r="63" spans="3:13" ht="12.75">
      <c r="C63" s="54" t="s">
        <v>72</v>
      </c>
      <c r="E63" s="60">
        <v>12</v>
      </c>
      <c r="G63" s="59"/>
      <c r="H63" s="59"/>
      <c r="I63" s="59"/>
      <c r="M63" s="60">
        <v>12</v>
      </c>
    </row>
    <row r="64" spans="7:9" ht="13.5" thickBot="1">
      <c r="G64" s="59"/>
      <c r="H64" s="59"/>
      <c r="I64" s="59"/>
    </row>
    <row r="65" spans="3:13" ht="13.5" thickBot="1">
      <c r="C65" s="61" t="s">
        <v>93</v>
      </c>
      <c r="D65" s="62"/>
      <c r="E65" s="63">
        <f>E62*E63</f>
        <v>3196800</v>
      </c>
      <c r="F65" s="62"/>
      <c r="G65" s="76"/>
      <c r="H65" s="76"/>
      <c r="I65" s="76"/>
      <c r="J65" s="62"/>
      <c r="K65" s="62"/>
      <c r="L65" s="62"/>
      <c r="M65" s="72">
        <f>M62*M63</f>
        <v>3196800</v>
      </c>
    </row>
    <row r="66" spans="7:9" ht="12.75">
      <c r="G66" s="59"/>
      <c r="H66" s="59"/>
      <c r="I66" s="59"/>
    </row>
    <row r="67" spans="2:9" ht="12.75">
      <c r="B67" s="57" t="s">
        <v>64</v>
      </c>
      <c r="G67" s="59"/>
      <c r="H67" s="59"/>
      <c r="I67" s="59"/>
    </row>
    <row r="68" spans="3:13" ht="12.75">
      <c r="C68" s="54" t="s">
        <v>5</v>
      </c>
      <c r="E68" s="60">
        <f>$M$45</f>
        <v>112724.99999999999</v>
      </c>
      <c r="G68" s="59">
        <f>(((365/547.5)*G45)-I45)+(((0.5*(547.5-365))/(1.5*365))*G45)</f>
        <v>0.11975170273299418</v>
      </c>
      <c r="H68" s="59"/>
      <c r="I68" s="59">
        <v>0</v>
      </c>
      <c r="K68" s="60">
        <f>(E68*(1+G68))*(1+I68)</f>
        <v>126224.01069057675</v>
      </c>
      <c r="M68" s="60">
        <f>$K$68</f>
        <v>126224.01069057675</v>
      </c>
    </row>
    <row r="69" spans="3:13" ht="12.75">
      <c r="C69" s="54" t="s">
        <v>94</v>
      </c>
      <c r="E69" s="58">
        <v>145.87</v>
      </c>
      <c r="G69" s="59"/>
      <c r="H69" s="59"/>
      <c r="I69" s="59"/>
      <c r="K69" s="58"/>
      <c r="M69" s="58">
        <f>$E$69</f>
        <v>145.87</v>
      </c>
    </row>
    <row r="70" spans="7:9" ht="13.5" thickBot="1">
      <c r="G70" s="59"/>
      <c r="H70" s="59"/>
      <c r="I70" s="59"/>
    </row>
    <row r="71" spans="3:13" ht="13.5" thickBot="1">
      <c r="C71" s="61" t="s">
        <v>66</v>
      </c>
      <c r="D71" s="62"/>
      <c r="E71" s="63">
        <f>E68*E69</f>
        <v>16443195.749999998</v>
      </c>
      <c r="F71" s="62"/>
      <c r="G71" s="76"/>
      <c r="H71" s="76"/>
      <c r="I71" s="76"/>
      <c r="J71" s="62"/>
      <c r="K71" s="62"/>
      <c r="L71" s="62"/>
      <c r="M71" s="72">
        <f>M68*M69</f>
        <v>18412296.43943443</v>
      </c>
    </row>
    <row r="72" spans="7:9" ht="13.5" thickBot="1">
      <c r="G72" s="59"/>
      <c r="H72" s="59"/>
      <c r="I72" s="59"/>
    </row>
    <row r="73" spans="2:13" ht="13.5" thickBot="1">
      <c r="B73" s="64" t="s">
        <v>12</v>
      </c>
      <c r="C73" s="65"/>
      <c r="D73" s="65"/>
      <c r="E73" s="66">
        <f>E59+E65+E71</f>
        <v>20594805.75</v>
      </c>
      <c r="F73" s="65"/>
      <c r="G73" s="79"/>
      <c r="H73" s="79"/>
      <c r="I73" s="79"/>
      <c r="J73" s="65"/>
      <c r="K73" s="65"/>
      <c r="L73" s="65"/>
      <c r="M73" s="71">
        <f>M59+M65+M71</f>
        <v>22640133.188292094</v>
      </c>
    </row>
    <row r="75" spans="1:13" ht="12.75">
      <c r="A75" s="19" t="s">
        <v>24</v>
      </c>
      <c r="E75" s="55" t="s">
        <v>23</v>
      </c>
      <c r="G75" s="55" t="s">
        <v>17</v>
      </c>
      <c r="I75" s="55" t="s">
        <v>68</v>
      </c>
      <c r="K75" s="55" t="s">
        <v>16</v>
      </c>
      <c r="M75" s="55" t="s">
        <v>25</v>
      </c>
    </row>
    <row r="77" spans="2:9" ht="12.75">
      <c r="B77" s="57" t="s">
        <v>59</v>
      </c>
      <c r="G77" s="59"/>
      <c r="H77" s="59"/>
      <c r="I77" s="59"/>
    </row>
    <row r="78" spans="3:13" ht="12.75">
      <c r="C78" s="54" t="s">
        <v>90</v>
      </c>
      <c r="E78" s="58">
        <f>$M$55</f>
        <v>83417.21269074919</v>
      </c>
      <c r="G78" s="59"/>
      <c r="H78" s="59"/>
      <c r="I78" s="59">
        <v>0.03</v>
      </c>
      <c r="K78" s="58">
        <f>(E78*(1+G78))*(1+I68)</f>
        <v>83417.21269074919</v>
      </c>
      <c r="M78" s="58">
        <f>$K$78</f>
        <v>83417.21269074919</v>
      </c>
    </row>
    <row r="79" spans="3:13" ht="12.75">
      <c r="C79" s="54" t="s">
        <v>61</v>
      </c>
      <c r="E79" s="59">
        <v>0.03</v>
      </c>
      <c r="G79" s="59"/>
      <c r="H79" s="59"/>
      <c r="I79" s="59"/>
      <c r="M79" s="59">
        <v>0.03</v>
      </c>
    </row>
    <row r="80" spans="3:13" ht="12.75">
      <c r="C80" s="54" t="s">
        <v>72</v>
      </c>
      <c r="E80" s="60">
        <v>12</v>
      </c>
      <c r="G80" s="59"/>
      <c r="H80" s="59"/>
      <c r="I80" s="59"/>
      <c r="M80" s="60">
        <v>12</v>
      </c>
    </row>
    <row r="81" spans="7:9" ht="13.5" thickBot="1">
      <c r="G81" s="59"/>
      <c r="H81" s="59"/>
      <c r="I81" s="59"/>
    </row>
    <row r="82" spans="3:13" ht="13.5" thickBot="1">
      <c r="C82" s="61" t="s">
        <v>63</v>
      </c>
      <c r="D82" s="62"/>
      <c r="E82" s="63">
        <f>(E78*(1+E79))*E80</f>
        <v>1031036.74885766</v>
      </c>
      <c r="F82" s="62"/>
      <c r="G82" s="76"/>
      <c r="H82" s="76"/>
      <c r="I82" s="76"/>
      <c r="J82" s="62"/>
      <c r="K82" s="62"/>
      <c r="L82" s="62"/>
      <c r="M82" s="72">
        <f>(M78*(1+M79))*M80</f>
        <v>1031036.74885766</v>
      </c>
    </row>
    <row r="83" spans="7:9" ht="12.75">
      <c r="G83" s="59"/>
      <c r="H83" s="59"/>
      <c r="I83" s="59"/>
    </row>
    <row r="84" spans="2:9" ht="12.75">
      <c r="B84" s="57" t="s">
        <v>91</v>
      </c>
      <c r="G84" s="59"/>
      <c r="H84" s="59"/>
      <c r="I84" s="59"/>
    </row>
    <row r="85" spans="3:13" ht="12.75">
      <c r="C85" s="54" t="s">
        <v>92</v>
      </c>
      <c r="E85" s="58">
        <v>266400</v>
      </c>
      <c r="G85" s="59"/>
      <c r="H85" s="59"/>
      <c r="I85" s="59"/>
      <c r="M85" s="58">
        <v>266400</v>
      </c>
    </row>
    <row r="86" spans="3:13" ht="12.75">
      <c r="C86" s="54" t="s">
        <v>72</v>
      </c>
      <c r="E86" s="60">
        <v>12</v>
      </c>
      <c r="G86" s="59"/>
      <c r="H86" s="59"/>
      <c r="I86" s="59"/>
      <c r="M86" s="60">
        <v>12</v>
      </c>
    </row>
    <row r="87" spans="7:9" ht="13.5" thickBot="1">
      <c r="G87" s="59"/>
      <c r="H87" s="59"/>
      <c r="I87" s="59"/>
    </row>
    <row r="88" spans="3:13" ht="13.5" thickBot="1">
      <c r="C88" s="61" t="s">
        <v>93</v>
      </c>
      <c r="D88" s="62"/>
      <c r="E88" s="63">
        <f>E85*E86</f>
        <v>3196800</v>
      </c>
      <c r="F88" s="62"/>
      <c r="G88" s="76"/>
      <c r="H88" s="76"/>
      <c r="I88" s="76"/>
      <c r="J88" s="62"/>
      <c r="K88" s="62"/>
      <c r="L88" s="62"/>
      <c r="M88" s="72">
        <f>M85*M86</f>
        <v>3196800</v>
      </c>
    </row>
    <row r="89" spans="7:9" ht="12.75">
      <c r="G89" s="59"/>
      <c r="H89" s="59"/>
      <c r="I89" s="59"/>
    </row>
    <row r="90" spans="2:9" ht="12.75">
      <c r="B90" s="57" t="s">
        <v>64</v>
      </c>
      <c r="G90" s="59"/>
      <c r="H90" s="59"/>
      <c r="I90" s="59"/>
    </row>
    <row r="91" spans="3:13" ht="12.75">
      <c r="C91" s="54" t="s">
        <v>5</v>
      </c>
      <c r="E91" s="60">
        <f>$M$68</f>
        <v>126224.01069057675</v>
      </c>
      <c r="G91" s="59">
        <f>G45-I45-G68</f>
        <v>0.03991723424433141</v>
      </c>
      <c r="H91" s="59"/>
      <c r="I91" s="59">
        <v>0.07</v>
      </c>
      <c r="K91" s="60">
        <f>(E91*(1+G91))*(1+I91)</f>
        <v>140450.9007790515</v>
      </c>
      <c r="M91" s="60">
        <f>$K$91</f>
        <v>140450.9007790515</v>
      </c>
    </row>
    <row r="92" spans="3:13" ht="12.75">
      <c r="C92" s="54" t="s">
        <v>94</v>
      </c>
      <c r="E92" s="58">
        <f>$M$69</f>
        <v>145.87</v>
      </c>
      <c r="G92" s="59"/>
      <c r="H92" s="59"/>
      <c r="I92" s="59"/>
      <c r="K92" s="58"/>
      <c r="M92" s="58">
        <f>$E$92</f>
        <v>145.87</v>
      </c>
    </row>
    <row r="93" spans="7:9" ht="13.5" thickBot="1">
      <c r="G93" s="59"/>
      <c r="H93" s="59"/>
      <c r="I93" s="59"/>
    </row>
    <row r="94" spans="3:13" ht="13.5" thickBot="1">
      <c r="C94" s="61" t="s">
        <v>66</v>
      </c>
      <c r="D94" s="62"/>
      <c r="E94" s="63">
        <f>E91*E92</f>
        <v>18412296.43943443</v>
      </c>
      <c r="F94" s="62"/>
      <c r="G94" s="76"/>
      <c r="H94" s="76"/>
      <c r="I94" s="76"/>
      <c r="J94" s="62"/>
      <c r="K94" s="62"/>
      <c r="L94" s="62"/>
      <c r="M94" s="72">
        <f>M91*M92</f>
        <v>20487572.896640245</v>
      </c>
    </row>
    <row r="95" spans="7:9" ht="13.5" thickBot="1">
      <c r="G95" s="59"/>
      <c r="H95" s="59"/>
      <c r="I95" s="59"/>
    </row>
    <row r="96" spans="2:13" ht="13.5" thickBot="1">
      <c r="B96" s="64" t="s">
        <v>12</v>
      </c>
      <c r="C96" s="65"/>
      <c r="D96" s="65"/>
      <c r="E96" s="66">
        <f>E82+E88+E94</f>
        <v>22640133.188292094</v>
      </c>
      <c r="F96" s="65"/>
      <c r="G96" s="79"/>
      <c r="H96" s="79"/>
      <c r="I96" s="79"/>
      <c r="J96" s="65"/>
      <c r="K96" s="65"/>
      <c r="L96" s="65"/>
      <c r="M96" s="71">
        <f>M82+M88+M94</f>
        <v>24715409.645497903</v>
      </c>
    </row>
    <row r="98" spans="1:13" ht="12.75">
      <c r="A98" s="19" t="s">
        <v>26</v>
      </c>
      <c r="E98" s="55" t="s">
        <v>25</v>
      </c>
      <c r="G98" s="55" t="s">
        <v>17</v>
      </c>
      <c r="I98" s="55" t="s">
        <v>68</v>
      </c>
      <c r="K98" s="55" t="s">
        <v>16</v>
      </c>
      <c r="M98" s="55" t="s">
        <v>27</v>
      </c>
    </row>
    <row r="100" spans="2:9" ht="12.75">
      <c r="B100" s="57" t="s">
        <v>59</v>
      </c>
      <c r="G100" s="59"/>
      <c r="H100" s="59"/>
      <c r="I100" s="59"/>
    </row>
    <row r="101" spans="3:13" ht="12.75">
      <c r="C101" s="54" t="s">
        <v>90</v>
      </c>
      <c r="E101" s="58">
        <f>$M$78</f>
        <v>83417.21269074919</v>
      </c>
      <c r="G101" s="59"/>
      <c r="H101" s="59"/>
      <c r="I101" s="59">
        <v>0.03</v>
      </c>
      <c r="K101" s="58">
        <f>(E101*(1+G101))*(1+I91)</f>
        <v>89256.41757910165</v>
      </c>
      <c r="M101" s="58">
        <f>$K$101</f>
        <v>89256.41757910165</v>
      </c>
    </row>
    <row r="102" spans="3:13" ht="12.75">
      <c r="C102" s="54" t="s">
        <v>61</v>
      </c>
      <c r="E102" s="59">
        <v>0.03</v>
      </c>
      <c r="G102" s="59"/>
      <c r="H102" s="59"/>
      <c r="I102" s="59"/>
      <c r="M102" s="59">
        <v>0.03</v>
      </c>
    </row>
    <row r="103" spans="3:13" ht="12.75">
      <c r="C103" s="54" t="s">
        <v>72</v>
      </c>
      <c r="E103" s="60">
        <v>12</v>
      </c>
      <c r="G103" s="59"/>
      <c r="H103" s="59"/>
      <c r="I103" s="59"/>
      <c r="M103" s="60">
        <v>12</v>
      </c>
    </row>
    <row r="104" spans="7:9" ht="13.5" thickBot="1">
      <c r="G104" s="59"/>
      <c r="H104" s="59"/>
      <c r="I104" s="59"/>
    </row>
    <row r="105" spans="3:13" ht="13.5" thickBot="1">
      <c r="C105" s="61" t="s">
        <v>63</v>
      </c>
      <c r="D105" s="62"/>
      <c r="E105" s="63">
        <f>(E101*(1+E102))*E103</f>
        <v>1031036.74885766</v>
      </c>
      <c r="F105" s="62"/>
      <c r="G105" s="76"/>
      <c r="H105" s="76"/>
      <c r="I105" s="76"/>
      <c r="J105" s="62"/>
      <c r="K105" s="62"/>
      <c r="L105" s="62"/>
      <c r="M105" s="72">
        <f>(M101*(1+M102))*M103</f>
        <v>1103209.3212776962</v>
      </c>
    </row>
    <row r="106" spans="7:9" ht="12.75">
      <c r="G106" s="59"/>
      <c r="H106" s="59"/>
      <c r="I106" s="59"/>
    </row>
    <row r="107" spans="2:9" ht="12.75">
      <c r="B107" s="57" t="s">
        <v>91</v>
      </c>
      <c r="G107" s="59"/>
      <c r="H107" s="59"/>
      <c r="I107" s="59"/>
    </row>
    <row r="108" spans="3:13" ht="12.75">
      <c r="C108" s="54" t="s">
        <v>92</v>
      </c>
      <c r="E108" s="58">
        <v>266400</v>
      </c>
      <c r="G108" s="59"/>
      <c r="H108" s="59"/>
      <c r="I108" s="59"/>
      <c r="M108" s="58">
        <v>266400</v>
      </c>
    </row>
    <row r="109" spans="3:13" ht="12.75">
      <c r="C109" s="54" t="s">
        <v>72</v>
      </c>
      <c r="E109" s="60">
        <v>12</v>
      </c>
      <c r="G109" s="59"/>
      <c r="H109" s="59"/>
      <c r="I109" s="59"/>
      <c r="M109" s="60">
        <v>12</v>
      </c>
    </row>
    <row r="110" spans="7:9" ht="13.5" thickBot="1">
      <c r="G110" s="59"/>
      <c r="H110" s="59"/>
      <c r="I110" s="59"/>
    </row>
    <row r="111" spans="3:13" ht="13.5" thickBot="1">
      <c r="C111" s="61" t="s">
        <v>93</v>
      </c>
      <c r="D111" s="62"/>
      <c r="E111" s="63">
        <f>E108*E109</f>
        <v>3196800</v>
      </c>
      <c r="F111" s="62"/>
      <c r="G111" s="76"/>
      <c r="H111" s="76"/>
      <c r="I111" s="76"/>
      <c r="J111" s="62"/>
      <c r="K111" s="62"/>
      <c r="L111" s="62"/>
      <c r="M111" s="72">
        <f>M108*M109</f>
        <v>3196800</v>
      </c>
    </row>
    <row r="112" spans="7:9" ht="12.75">
      <c r="G112" s="59"/>
      <c r="H112" s="59"/>
      <c r="I112" s="59"/>
    </row>
    <row r="113" spans="2:9" ht="12.75">
      <c r="B113" s="57" t="s">
        <v>64</v>
      </c>
      <c r="G113" s="59"/>
      <c r="H113" s="59"/>
      <c r="I113" s="59"/>
    </row>
    <row r="114" spans="3:13" ht="12.75">
      <c r="C114" s="54" t="s">
        <v>5</v>
      </c>
      <c r="E114" s="60">
        <f>$M$91</f>
        <v>140450.9007790515</v>
      </c>
      <c r="G114" s="59">
        <v>0</v>
      </c>
      <c r="H114" s="59"/>
      <c r="I114" s="59">
        <v>0.07</v>
      </c>
      <c r="K114" s="60">
        <f>(E114*(1+G114))*(1+I114)</f>
        <v>150282.46383358512</v>
      </c>
      <c r="M114" s="60">
        <f>$K$114</f>
        <v>150282.46383358512</v>
      </c>
    </row>
    <row r="115" spans="3:13" ht="12.75">
      <c r="C115" s="54" t="s">
        <v>94</v>
      </c>
      <c r="E115" s="58">
        <f>$M$92</f>
        <v>145.87</v>
      </c>
      <c r="G115" s="59"/>
      <c r="H115" s="59"/>
      <c r="I115" s="59"/>
      <c r="K115" s="58"/>
      <c r="M115" s="58">
        <f>$E$115</f>
        <v>145.87</v>
      </c>
    </row>
    <row r="116" spans="7:9" ht="13.5" thickBot="1">
      <c r="G116" s="59"/>
      <c r="H116" s="59"/>
      <c r="I116" s="59"/>
    </row>
    <row r="117" spans="3:13" ht="13.5" thickBot="1">
      <c r="C117" s="61" t="s">
        <v>66</v>
      </c>
      <c r="D117" s="62"/>
      <c r="E117" s="63">
        <f>E114*E115</f>
        <v>20487572.896640245</v>
      </c>
      <c r="F117" s="62"/>
      <c r="G117" s="76"/>
      <c r="H117" s="76"/>
      <c r="I117" s="76"/>
      <c r="J117" s="62"/>
      <c r="K117" s="62"/>
      <c r="L117" s="62"/>
      <c r="M117" s="72">
        <f>M114*M115</f>
        <v>21921702.999405064</v>
      </c>
    </row>
    <row r="118" spans="7:9" ht="13.5" thickBot="1">
      <c r="G118" s="59"/>
      <c r="H118" s="59"/>
      <c r="I118" s="59"/>
    </row>
    <row r="119" spans="2:13" ht="13.5" thickBot="1">
      <c r="B119" s="64" t="s">
        <v>12</v>
      </c>
      <c r="C119" s="65"/>
      <c r="D119" s="65"/>
      <c r="E119" s="66">
        <f>E105+E111+E117</f>
        <v>24715409.645497903</v>
      </c>
      <c r="F119" s="65"/>
      <c r="G119" s="79"/>
      <c r="H119" s="79"/>
      <c r="I119" s="79"/>
      <c r="J119" s="65"/>
      <c r="K119" s="65"/>
      <c r="L119" s="65"/>
      <c r="M119" s="71">
        <f>M105+M111+M117</f>
        <v>26221712.32068276</v>
      </c>
    </row>
  </sheetData>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U51"/>
  <sheetViews>
    <sheetView zoomScale="75" zoomScaleNormal="75" workbookViewId="0" topLeftCell="A1">
      <selection activeCell="A1" sqref="A1"/>
    </sheetView>
  </sheetViews>
  <sheetFormatPr defaultColWidth="9.140625" defaultRowHeight="12.75"/>
  <cols>
    <col min="1" max="1" width="62.57421875" style="0" bestFit="1" customWidth="1"/>
    <col min="2" max="2" width="46.421875" style="0" bestFit="1" customWidth="1"/>
    <col min="3" max="3" width="24.8515625" style="0" bestFit="1" customWidth="1"/>
    <col min="5" max="5" width="19.421875" style="0" bestFit="1" customWidth="1"/>
    <col min="7" max="7" width="23.00390625" style="0" bestFit="1" customWidth="1"/>
    <col min="9" max="9" width="19.57421875" style="0" bestFit="1" customWidth="1"/>
    <col min="11" max="11" width="26.28125" style="0" bestFit="1" customWidth="1"/>
    <col min="13" max="13" width="19.140625" style="0" bestFit="1" customWidth="1"/>
    <col min="15" max="15" width="19.140625" style="0" bestFit="1" customWidth="1"/>
    <col min="17" max="17" width="19.140625" style="0" bestFit="1" customWidth="1"/>
    <col min="19" max="19" width="18.57421875" style="0" bestFit="1" customWidth="1"/>
    <col min="21" max="21" width="19.140625" style="0" bestFit="1" customWidth="1"/>
  </cols>
  <sheetData>
    <row r="1" spans="1:21" ht="12.75">
      <c r="A1" s="1" t="s">
        <v>97</v>
      </c>
      <c r="B1" s="1"/>
      <c r="E1" s="2">
        <v>1996</v>
      </c>
      <c r="G1" s="2">
        <v>1997</v>
      </c>
      <c r="I1" s="2" t="s">
        <v>28</v>
      </c>
      <c r="K1" s="2" t="s">
        <v>29</v>
      </c>
      <c r="L1" s="3"/>
      <c r="M1" s="45" t="s">
        <v>54</v>
      </c>
      <c r="N1" s="46"/>
      <c r="O1" s="2" t="s">
        <v>55</v>
      </c>
      <c r="Q1" s="2" t="s">
        <v>56</v>
      </c>
      <c r="S1" s="2" t="s">
        <v>57</v>
      </c>
      <c r="U1" s="2" t="s">
        <v>58</v>
      </c>
    </row>
    <row r="2" spans="1:12" ht="12.75">
      <c r="A2" t="s">
        <v>105</v>
      </c>
      <c r="B2" s="81" t="s">
        <v>103</v>
      </c>
      <c r="L2" s="3"/>
    </row>
    <row r="3" spans="3:21" ht="12.75">
      <c r="C3" t="s">
        <v>98</v>
      </c>
      <c r="E3" s="7">
        <v>27385000</v>
      </c>
      <c r="F3" s="7"/>
      <c r="G3" s="7">
        <v>30142000</v>
      </c>
      <c r="H3" s="7"/>
      <c r="I3" s="7">
        <v>31396352</v>
      </c>
      <c r="J3" s="7"/>
      <c r="K3" s="7">
        <v>39908425</v>
      </c>
      <c r="L3" s="3"/>
      <c r="M3" s="6">
        <f>(G3/E3)-1</f>
        <v>0.10067555230965852</v>
      </c>
      <c r="O3" s="6">
        <f>(I3/G3)-1</f>
        <v>0.041614756817729415</v>
      </c>
      <c r="Q3" s="6">
        <f>(K3/I3)-1</f>
        <v>0.27111662526907576</v>
      </c>
      <c r="S3" s="6">
        <f>(I3/E3)-1</f>
        <v>0.14647989775424497</v>
      </c>
      <c r="T3" s="6"/>
      <c r="U3" s="6">
        <f>(K3/G3)-1</f>
        <v>0.32401383451662125</v>
      </c>
    </row>
    <row r="4" spans="3:12" ht="12.75">
      <c r="C4" t="s">
        <v>99</v>
      </c>
      <c r="E4" s="6">
        <v>0.2857</v>
      </c>
      <c r="F4" s="6"/>
      <c r="G4" s="6">
        <v>0.2141</v>
      </c>
      <c r="H4" s="6"/>
      <c r="I4" s="6">
        <v>0.1986</v>
      </c>
      <c r="J4" s="6"/>
      <c r="K4" s="6">
        <v>0.1986</v>
      </c>
      <c r="L4" s="3"/>
    </row>
    <row r="5" ht="13.5" thickBot="1">
      <c r="L5" s="3"/>
    </row>
    <row r="6" spans="3:21" ht="13.5" thickBot="1">
      <c r="C6" s="37" t="s">
        <v>100</v>
      </c>
      <c r="D6" s="13"/>
      <c r="E6" s="14">
        <f>E3*E4</f>
        <v>7823894.5</v>
      </c>
      <c r="F6" s="14"/>
      <c r="G6" s="14">
        <f>G3*G4</f>
        <v>6453402.2</v>
      </c>
      <c r="H6" s="14"/>
      <c r="I6" s="14">
        <f>I3*I4</f>
        <v>6235315.5072</v>
      </c>
      <c r="J6" s="14"/>
      <c r="K6" s="15">
        <f>K3*K4</f>
        <v>7925813.205</v>
      </c>
      <c r="L6" s="3"/>
      <c r="M6" s="50">
        <f>(G6/E6)-1</f>
        <v>-0.17516753325342005</v>
      </c>
      <c r="N6" s="13"/>
      <c r="O6" s="51">
        <f>(I6/G6)-1</f>
        <v>-0.03379406490424541</v>
      </c>
      <c r="P6" s="13"/>
      <c r="Q6" s="51">
        <f>(K6/I6)-1</f>
        <v>0.271116625269076</v>
      </c>
      <c r="R6" s="13"/>
      <c r="S6" s="51">
        <f>(I6/E6)-1</f>
        <v>-0.20304197516978284</v>
      </c>
      <c r="T6" s="51"/>
      <c r="U6" s="52">
        <f>(K6/G6)-1</f>
        <v>0.22816042753386734</v>
      </c>
    </row>
    <row r="7" spans="3:21" s="17" customFormat="1" ht="12.75">
      <c r="C7" s="23"/>
      <c r="D7" s="23"/>
      <c r="E7" s="25"/>
      <c r="F7" s="25"/>
      <c r="G7" s="25"/>
      <c r="H7" s="25"/>
      <c r="I7" s="25"/>
      <c r="J7" s="25"/>
      <c r="K7" s="25"/>
      <c r="L7" s="3"/>
      <c r="M7" s="24"/>
      <c r="N7" s="23"/>
      <c r="O7" s="24"/>
      <c r="P7" s="23"/>
      <c r="Q7" s="24"/>
      <c r="R7" s="23"/>
      <c r="S7" s="24"/>
      <c r="T7" s="24"/>
      <c r="U7" s="24"/>
    </row>
    <row r="8" spans="2:21" s="17" customFormat="1" ht="12.75">
      <c r="B8" s="45" t="s">
        <v>101</v>
      </c>
      <c r="C8" s="23"/>
      <c r="D8" s="23"/>
      <c r="E8" s="25"/>
      <c r="F8" s="25"/>
      <c r="G8" s="25"/>
      <c r="H8" s="25"/>
      <c r="I8" s="25"/>
      <c r="J8" s="25"/>
      <c r="K8" s="25"/>
      <c r="L8" s="3"/>
      <c r="M8" s="24"/>
      <c r="N8" s="23"/>
      <c r="O8" s="24"/>
      <c r="P8" s="23"/>
      <c r="Q8" s="24"/>
      <c r="R8" s="23"/>
      <c r="S8" s="24"/>
      <c r="T8" s="24"/>
      <c r="U8" s="24"/>
    </row>
    <row r="9" spans="3:21" s="17" customFormat="1" ht="12.75">
      <c r="C9" s="23" t="s">
        <v>32</v>
      </c>
      <c r="D9" s="23"/>
      <c r="E9" s="25">
        <v>171435208</v>
      </c>
      <c r="F9" s="25"/>
      <c r="G9" s="25">
        <v>155125064</v>
      </c>
      <c r="H9" s="25"/>
      <c r="I9" s="25">
        <v>182755500</v>
      </c>
      <c r="J9" s="25"/>
      <c r="K9" s="25">
        <v>194221000</v>
      </c>
      <c r="L9" s="3"/>
      <c r="M9" s="24"/>
      <c r="N9" s="23"/>
      <c r="O9" s="24"/>
      <c r="P9" s="23"/>
      <c r="Q9" s="24"/>
      <c r="R9" s="23"/>
      <c r="S9" s="24"/>
      <c r="T9" s="24"/>
      <c r="U9" s="24"/>
    </row>
    <row r="10" spans="3:21" s="17" customFormat="1" ht="12.75">
      <c r="C10" s="23" t="s">
        <v>102</v>
      </c>
      <c r="D10" s="23"/>
      <c r="E10" s="34">
        <v>6771231</v>
      </c>
      <c r="F10" s="25"/>
      <c r="G10" s="34">
        <v>6272037</v>
      </c>
      <c r="H10" s="25"/>
      <c r="I10" s="25">
        <f>(1125000/60)*365</f>
        <v>6843750</v>
      </c>
      <c r="J10" s="25"/>
      <c r="K10" s="25">
        <v>6868000</v>
      </c>
      <c r="L10" s="3"/>
      <c r="M10" s="24"/>
      <c r="N10" s="23"/>
      <c r="O10" s="24"/>
      <c r="P10" s="23"/>
      <c r="Q10" s="24"/>
      <c r="R10" s="23"/>
      <c r="S10" s="24"/>
      <c r="T10" s="24"/>
      <c r="U10" s="24"/>
    </row>
    <row r="11" spans="3:21" s="17" customFormat="1" ht="13.5" thickBot="1">
      <c r="C11" s="23"/>
      <c r="D11" s="23"/>
      <c r="E11" s="25"/>
      <c r="F11" s="25"/>
      <c r="G11" s="25"/>
      <c r="H11" s="25"/>
      <c r="I11" s="25"/>
      <c r="J11" s="25"/>
      <c r="K11" s="25"/>
      <c r="L11" s="3"/>
      <c r="M11" s="24"/>
      <c r="N11" s="23"/>
      <c r="O11" s="24"/>
      <c r="P11" s="23"/>
      <c r="Q11" s="24"/>
      <c r="R11" s="23"/>
      <c r="S11" s="24"/>
      <c r="T11" s="24"/>
      <c r="U11" s="24"/>
    </row>
    <row r="12" spans="3:21" s="17" customFormat="1" ht="13.5" thickBot="1">
      <c r="C12" s="26" t="s">
        <v>104</v>
      </c>
      <c r="D12" s="27"/>
      <c r="E12" s="28">
        <f>E10/E9</f>
        <v>0.039497318427145954</v>
      </c>
      <c r="F12" s="28"/>
      <c r="G12" s="28">
        <f>G10/G9</f>
        <v>0.04043213158642114</v>
      </c>
      <c r="H12" s="28"/>
      <c r="I12" s="28">
        <f>I10/I9</f>
        <v>0.03744757339724386</v>
      </c>
      <c r="J12" s="28"/>
      <c r="K12" s="29">
        <f>K10/K9</f>
        <v>0.035361778592428214</v>
      </c>
      <c r="L12" s="3"/>
      <c r="M12" s="24"/>
      <c r="N12" s="23"/>
      <c r="O12" s="24"/>
      <c r="P12" s="23"/>
      <c r="Q12" s="24"/>
      <c r="R12" s="23"/>
      <c r="S12" s="24"/>
      <c r="T12" s="24"/>
      <c r="U12" s="24"/>
    </row>
    <row r="13" spans="3:21" s="17" customFormat="1" ht="12.75">
      <c r="C13" s="23"/>
      <c r="D13" s="23"/>
      <c r="E13" s="25"/>
      <c r="F13" s="25"/>
      <c r="G13" s="25"/>
      <c r="H13" s="25"/>
      <c r="I13" s="25"/>
      <c r="J13" s="25"/>
      <c r="K13" s="25"/>
      <c r="L13" s="3"/>
      <c r="M13" s="24"/>
      <c r="N13" s="23"/>
      <c r="O13" s="24"/>
      <c r="P13" s="23"/>
      <c r="Q13" s="24"/>
      <c r="R13" s="23"/>
      <c r="S13" s="24"/>
      <c r="T13" s="24"/>
      <c r="U13" s="24"/>
    </row>
    <row r="14" spans="3:21" s="17" customFormat="1" ht="12.75">
      <c r="C14" s="23"/>
      <c r="D14" s="23"/>
      <c r="E14" s="25"/>
      <c r="F14" s="25"/>
      <c r="G14" s="25"/>
      <c r="H14" s="25"/>
      <c r="I14" s="25"/>
      <c r="J14" s="25"/>
      <c r="K14" s="25"/>
      <c r="L14" s="3"/>
      <c r="M14" s="24"/>
      <c r="N14" s="23"/>
      <c r="O14" s="24"/>
      <c r="P14" s="23"/>
      <c r="Q14" s="24"/>
      <c r="R14" s="23"/>
      <c r="S14" s="24"/>
      <c r="T14" s="24"/>
      <c r="U14" s="24"/>
    </row>
    <row r="15" spans="3:21" s="17" customFormat="1" ht="12.75">
      <c r="C15" s="23"/>
      <c r="D15" s="23"/>
      <c r="E15" s="25"/>
      <c r="F15" s="25"/>
      <c r="G15" s="25"/>
      <c r="H15" s="25"/>
      <c r="I15" s="25"/>
      <c r="J15" s="25"/>
      <c r="K15" s="25"/>
      <c r="L15" s="3"/>
      <c r="M15" s="24"/>
      <c r="N15" s="23"/>
      <c r="O15" s="24"/>
      <c r="P15" s="23"/>
      <c r="Q15" s="24"/>
      <c r="R15" s="23"/>
      <c r="S15" s="24"/>
      <c r="T15" s="24"/>
      <c r="U15" s="24"/>
    </row>
    <row r="16" spans="1:21" ht="12.75">
      <c r="A16" s="3"/>
      <c r="B16" s="3"/>
      <c r="C16" s="3"/>
      <c r="D16" s="3"/>
      <c r="E16" s="3"/>
      <c r="F16" s="3"/>
      <c r="G16" s="3"/>
      <c r="H16" s="3"/>
      <c r="I16" s="3"/>
      <c r="J16" s="3"/>
      <c r="K16" s="3"/>
      <c r="L16" s="3"/>
      <c r="M16" s="3"/>
      <c r="N16" s="3"/>
      <c r="O16" s="3"/>
      <c r="P16" s="3"/>
      <c r="Q16" s="3"/>
      <c r="R16" s="3"/>
      <c r="S16" s="3"/>
      <c r="T16" s="3"/>
      <c r="U16" s="3"/>
    </row>
    <row r="17" spans="1:21" ht="12.75">
      <c r="A17" s="3"/>
      <c r="B17" s="3"/>
      <c r="C17" s="3"/>
      <c r="D17" s="3"/>
      <c r="E17" s="3"/>
      <c r="F17" s="3"/>
      <c r="G17" s="3"/>
      <c r="H17" s="3"/>
      <c r="I17" s="3"/>
      <c r="J17" s="3"/>
      <c r="K17" s="3"/>
      <c r="L17" s="3"/>
      <c r="M17" s="3"/>
      <c r="N17" s="3"/>
      <c r="O17" s="3"/>
      <c r="P17" s="3"/>
      <c r="Q17" s="3"/>
      <c r="R17" s="3"/>
      <c r="S17" s="3"/>
      <c r="T17" s="3"/>
      <c r="U17" s="3"/>
    </row>
    <row r="18" spans="1:11" ht="12.75">
      <c r="A18" s="16" t="s">
        <v>18</v>
      </c>
      <c r="B18" s="16"/>
      <c r="C18" s="17"/>
      <c r="D18" s="17"/>
      <c r="E18" s="2" t="s">
        <v>28</v>
      </c>
      <c r="F18" s="17"/>
      <c r="G18" s="18" t="s">
        <v>118</v>
      </c>
      <c r="H18" s="17"/>
      <c r="I18" s="18" t="s">
        <v>19</v>
      </c>
      <c r="J18" s="17"/>
      <c r="K18" s="18" t="s">
        <v>13</v>
      </c>
    </row>
    <row r="19" spans="1:11" ht="12.75">
      <c r="A19" s="17"/>
      <c r="B19" s="17"/>
      <c r="C19" s="17"/>
      <c r="D19" s="17"/>
      <c r="E19" s="17"/>
      <c r="F19" s="17"/>
      <c r="G19" s="17"/>
      <c r="H19" s="17"/>
      <c r="I19" s="17"/>
      <c r="J19" s="17"/>
      <c r="K19" s="17"/>
    </row>
    <row r="20" spans="1:11" ht="12.75">
      <c r="A20" s="17"/>
      <c r="B20" s="17"/>
      <c r="C20" s="17" t="s">
        <v>32</v>
      </c>
      <c r="D20" s="17"/>
      <c r="E20" s="34">
        <f>$I$9</f>
        <v>182755500</v>
      </c>
      <c r="F20" s="17"/>
      <c r="G20" s="34">
        <f>'[3]Annualization'!$K$33</f>
        <v>142916822.1875</v>
      </c>
      <c r="H20" s="17"/>
      <c r="I20" s="34">
        <f>AVERAGE(G9,G20)</f>
        <v>149020943.09375</v>
      </c>
      <c r="J20" s="17"/>
      <c r="K20" s="17"/>
    </row>
    <row r="21" spans="1:11" ht="12.75">
      <c r="A21" s="17"/>
      <c r="B21" s="17"/>
      <c r="C21" s="17" t="s">
        <v>99</v>
      </c>
      <c r="D21" s="17"/>
      <c r="E21" s="91">
        <f>$I$12</f>
        <v>0.03744757339724386</v>
      </c>
      <c r="F21" s="17"/>
      <c r="G21" s="91">
        <f>G23/G20</f>
        <v>0.09317294790405811</v>
      </c>
      <c r="H21" s="17"/>
      <c r="I21" s="91">
        <f>AVERAGE(E21,G21)</f>
        <v>0.06531026065065099</v>
      </c>
      <c r="J21" s="17"/>
      <c r="K21" s="17"/>
    </row>
    <row r="22" spans="1:11" ht="13.5" thickBot="1">
      <c r="A22" s="17"/>
      <c r="B22" s="17"/>
      <c r="C22" s="17"/>
      <c r="D22" s="17"/>
      <c r="E22" s="17"/>
      <c r="F22" s="17"/>
      <c r="G22" s="17"/>
      <c r="H22" s="17"/>
      <c r="I22" s="17"/>
      <c r="J22" s="17"/>
      <c r="K22" s="17"/>
    </row>
    <row r="23" spans="1:11" ht="13.5" thickBot="1">
      <c r="A23" s="17"/>
      <c r="B23" s="17"/>
      <c r="C23" s="37" t="s">
        <v>100</v>
      </c>
      <c r="D23" s="13"/>
      <c r="E23" s="14">
        <f>E20*E21</f>
        <v>6843750</v>
      </c>
      <c r="F23" s="13"/>
      <c r="G23" s="14">
        <f>'[3]Annualization'!$K$60</f>
        <v>13315981.628289474</v>
      </c>
      <c r="H23" s="13"/>
      <c r="I23" s="14">
        <f>I20*I21</f>
        <v>9732596.63585864</v>
      </c>
      <c r="J23" s="13"/>
      <c r="K23" s="15">
        <f>(I23/365)*49</f>
        <v>1306567.7675536256</v>
      </c>
    </row>
    <row r="25" spans="1:9" ht="12.75">
      <c r="A25" s="19" t="s">
        <v>20</v>
      </c>
      <c r="B25" s="19"/>
      <c r="E25" s="2" t="s">
        <v>29</v>
      </c>
      <c r="G25" s="2" t="s">
        <v>106</v>
      </c>
      <c r="I25" s="2" t="s">
        <v>21</v>
      </c>
    </row>
    <row r="27" spans="3:9" ht="12.75">
      <c r="C27" t="s">
        <v>32</v>
      </c>
      <c r="E27" s="7">
        <f>'Salaries &amp; Wages'!$E$58</f>
        <v>194221000</v>
      </c>
      <c r="G27" s="25">
        <f>'[3]Total Net Revenue'!$E$24</f>
        <v>162587960.4549948</v>
      </c>
      <c r="I27" s="7">
        <f>$G$27</f>
        <v>162587960.4549948</v>
      </c>
    </row>
    <row r="28" spans="3:9" ht="12.75">
      <c r="C28" t="s">
        <v>99</v>
      </c>
      <c r="E28" s="6">
        <f>$K$12</f>
        <v>0.035361778592428214</v>
      </c>
      <c r="I28" s="6">
        <f>$E$28</f>
        <v>0.035361778592428214</v>
      </c>
    </row>
    <row r="29" ht="13.5" thickBot="1"/>
    <row r="30" spans="3:12" ht="13.5" thickBot="1">
      <c r="C30" s="37" t="s">
        <v>100</v>
      </c>
      <c r="D30" s="13"/>
      <c r="E30" s="14">
        <f>E27*E28</f>
        <v>6868000</v>
      </c>
      <c r="F30" s="13"/>
      <c r="G30" s="13"/>
      <c r="H30" s="13"/>
      <c r="I30" s="15">
        <f>I27*I28</f>
        <v>5749399.459404</v>
      </c>
      <c r="L30" s="23"/>
    </row>
    <row r="32" spans="1:9" ht="12.75">
      <c r="A32" s="19" t="s">
        <v>22</v>
      </c>
      <c r="B32" s="19"/>
      <c r="E32" s="2" t="s">
        <v>107</v>
      </c>
      <c r="G32" s="2" t="s">
        <v>16</v>
      </c>
      <c r="I32" s="2" t="s">
        <v>23</v>
      </c>
    </row>
    <row r="34" spans="3:9" ht="12.75">
      <c r="C34" t="s">
        <v>32</v>
      </c>
      <c r="E34" s="7">
        <v>204540000</v>
      </c>
      <c r="G34" s="7">
        <f>'[3]Total Net Revenue'!$E$37</f>
        <v>181038031.12359938</v>
      </c>
      <c r="I34" s="7">
        <f>$G$34</f>
        <v>181038031.12359938</v>
      </c>
    </row>
    <row r="35" spans="3:9" ht="12.75">
      <c r="C35" t="s">
        <v>99</v>
      </c>
      <c r="E35" s="6">
        <f>$E$28</f>
        <v>0.035361778592428214</v>
      </c>
      <c r="I35" s="6">
        <f>$E$35</f>
        <v>0.035361778592428214</v>
      </c>
    </row>
    <row r="36" ht="13.5" thickBot="1"/>
    <row r="37" spans="3:9" ht="13.5" thickBot="1">
      <c r="C37" s="37" t="s">
        <v>100</v>
      </c>
      <c r="D37" s="13"/>
      <c r="E37" s="14">
        <f>E34*E35</f>
        <v>7232898.1932952665</v>
      </c>
      <c r="F37" s="13"/>
      <c r="G37" s="13"/>
      <c r="H37" s="13"/>
      <c r="I37" s="15">
        <f>I34*I35</f>
        <v>6401826.773401849</v>
      </c>
    </row>
    <row r="39" spans="1:9" ht="12.75">
      <c r="A39" s="19" t="s">
        <v>24</v>
      </c>
      <c r="B39" s="19"/>
      <c r="E39" s="2" t="s">
        <v>108</v>
      </c>
      <c r="G39" s="2" t="s">
        <v>16</v>
      </c>
      <c r="I39" s="2" t="s">
        <v>25</v>
      </c>
    </row>
    <row r="41" spans="3:9" ht="12.75">
      <c r="C41" t="s">
        <v>32</v>
      </c>
      <c r="E41" s="7">
        <v>217677000</v>
      </c>
      <c r="G41" s="7">
        <f>'[3]Total Net Revenue'!$E$45</f>
        <v>202703867.01515603</v>
      </c>
      <c r="I41" s="7">
        <f>$G$41</f>
        <v>202703867.01515603</v>
      </c>
    </row>
    <row r="42" spans="3:9" ht="12.75">
      <c r="C42" t="s">
        <v>99</v>
      </c>
      <c r="E42" s="6">
        <f>$E$35</f>
        <v>0.035361778592428214</v>
      </c>
      <c r="I42" s="6">
        <f>$E$35</f>
        <v>0.035361778592428214</v>
      </c>
    </row>
    <row r="43" ht="13.5" thickBot="1"/>
    <row r="44" spans="3:9" ht="13.5" thickBot="1">
      <c r="C44" s="37" t="s">
        <v>100</v>
      </c>
      <c r="D44" s="13"/>
      <c r="E44" s="14">
        <f>E41*E42</f>
        <v>7697445.878663996</v>
      </c>
      <c r="F44" s="13"/>
      <c r="G44" s="13"/>
      <c r="H44" s="13"/>
      <c r="I44" s="15">
        <f>I41*I42</f>
        <v>7167969.26521896</v>
      </c>
    </row>
    <row r="46" spans="1:9" ht="12.75">
      <c r="A46" s="19" t="s">
        <v>26</v>
      </c>
      <c r="B46" s="19"/>
      <c r="E46" s="2" t="s">
        <v>25</v>
      </c>
      <c r="G46" s="2" t="s">
        <v>16</v>
      </c>
      <c r="I46" s="2" t="s">
        <v>27</v>
      </c>
    </row>
    <row r="48" spans="3:9" ht="12.75">
      <c r="C48" t="s">
        <v>32</v>
      </c>
      <c r="E48" s="7">
        <v>230906000</v>
      </c>
      <c r="G48" s="7">
        <f>'[3]Total Net Revenue'!$E$52</f>
        <v>214608759.3621747</v>
      </c>
      <c r="I48" s="7">
        <f>$G$48</f>
        <v>214608759.3621747</v>
      </c>
    </row>
    <row r="49" spans="3:9" ht="12.75">
      <c r="C49" t="s">
        <v>99</v>
      </c>
      <c r="E49" s="6">
        <f>$E$35</f>
        <v>0.035361778592428214</v>
      </c>
      <c r="I49" s="6">
        <f>$E$35</f>
        <v>0.035361778592428214</v>
      </c>
    </row>
    <row r="50" ht="13.5" thickBot="1"/>
    <row r="51" spans="3:9" ht="13.5" thickBot="1">
      <c r="C51" s="37" t="s">
        <v>100</v>
      </c>
      <c r="D51" s="13"/>
      <c r="E51" s="14">
        <f>E48*E49</f>
        <v>8165246.847663229</v>
      </c>
      <c r="F51" s="13"/>
      <c r="G51" s="13"/>
      <c r="H51" s="13"/>
      <c r="I51" s="15">
        <f>I48*I49</f>
        <v>7588947.432560927</v>
      </c>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Deputy Clerk</dc:creator>
  <cp:keywords/>
  <dc:description/>
  <cp:lastModifiedBy>Deputy Clerk</cp:lastModifiedBy>
  <dcterms:created xsi:type="dcterms:W3CDTF">2007-08-10T21:36:24Z</dcterms:created>
  <dcterms:modified xsi:type="dcterms:W3CDTF">2008-05-12T15:07:04Z</dcterms:modified>
  <cp:category/>
  <cp:version/>
  <cp:contentType/>
  <cp:contentStatus/>
</cp:coreProperties>
</file>