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4" yWindow="3936" windowWidth="12120" windowHeight="4176" tabRatio="643" activeTab="1"/>
  </bookViews>
  <sheets>
    <sheet name="Model" sheetId="1" r:id="rId1"/>
    <sheet name="Data" sheetId="2" r:id="rId2"/>
  </sheets>
  <externalReferences>
    <externalReference r:id="rId5"/>
  </externalReferences>
  <definedNames>
    <definedName name="catch">'[1]Travel'!$B$13</definedName>
    <definedName name="_xlnm.Print_Area" localSheetId="0">'Model'!$A$5:$H$56</definedName>
    <definedName name="RiskCollectDistributionSamples">2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1</definedName>
    <definedName name="RiskStatFunctionsUpdateFreq">1</definedName>
    <definedName name="RiskUpdateDisplay">FALSE</definedName>
    <definedName name="RiskUpdateStatFunctions">TRUE</definedName>
    <definedName name="RiskUseDifferentSeedForEachSim">FALSE</definedName>
    <definedName name="RiskUseFixedSeed">TRUE</definedName>
  </definedNames>
  <calcPr fullCalcOnLoad="1"/>
</workbook>
</file>

<file path=xl/sharedStrings.xml><?xml version="1.0" encoding="utf-8"?>
<sst xmlns="http://schemas.openxmlformats.org/spreadsheetml/2006/main" count="293" uniqueCount="225">
  <si>
    <t>Indicates same values in 1998 and 1999</t>
  </si>
  <si>
    <t>Indicates variable measured in the sensitivity analysis</t>
  </si>
  <si>
    <t>Indicates a model output</t>
  </si>
  <si>
    <r>
      <t xml:space="preserve">Analysis of the human health effect of fluoroquinolone resistant </t>
    </r>
    <r>
      <rPr>
        <b/>
        <sz val="16"/>
        <color indexed="8"/>
        <rFont val="Arial"/>
        <family val="0"/>
      </rPr>
      <t>Campylobacter</t>
    </r>
  </si>
  <si>
    <t>in domestically reared and consumed broilers</t>
  </si>
  <si>
    <t>Section 1</t>
  </si>
  <si>
    <t>Nominal observable confirmed cases of campylobacteriosis in US</t>
  </si>
  <si>
    <r>
      <t>n</t>
    </r>
    <r>
      <rPr>
        <vertAlign val="subscript"/>
        <sz val="10"/>
        <color indexed="8"/>
        <rFont val="Arial"/>
        <family val="2"/>
      </rPr>
      <t>US</t>
    </r>
  </si>
  <si>
    <t>US population</t>
  </si>
  <si>
    <r>
      <t>n</t>
    </r>
    <r>
      <rPr>
        <vertAlign val="subscript"/>
        <sz val="10"/>
        <color indexed="8"/>
        <rFont val="Arial"/>
        <family val="2"/>
      </rPr>
      <t>FN</t>
    </r>
  </si>
  <si>
    <t>FoodNet catchment site population</t>
  </si>
  <si>
    <r>
      <t>l</t>
    </r>
    <r>
      <rPr>
        <vertAlign val="subscript"/>
        <sz val="10"/>
        <color indexed="8"/>
        <rFont val="Arial"/>
        <family val="2"/>
      </rPr>
      <t>i</t>
    </r>
  </si>
  <si>
    <t>Nominal mean invasive Culture Confirmed Cases reportable to health department</t>
  </si>
  <si>
    <r>
      <t>l</t>
    </r>
    <r>
      <rPr>
        <vertAlign val="subscript"/>
        <sz val="10"/>
        <color indexed="8"/>
        <rFont val="Arial"/>
        <family val="2"/>
      </rPr>
      <t>e</t>
    </r>
  </si>
  <si>
    <t>Nominal mean enteric Culture Confirmed Cases reportable to health department</t>
  </si>
  <si>
    <r>
      <t>p</t>
    </r>
    <r>
      <rPr>
        <vertAlign val="subscript"/>
        <sz val="10"/>
        <color indexed="8"/>
        <rFont val="Arial"/>
        <family val="2"/>
      </rPr>
      <t>b</t>
    </r>
  </si>
  <si>
    <t>Propn enteric infections w bloody diarrhea</t>
  </si>
  <si>
    <t>Enteric</t>
  </si>
  <si>
    <t>Invasive</t>
  </si>
  <si>
    <t>Non-bloody</t>
  </si>
  <si>
    <t>Bloody</t>
  </si>
  <si>
    <r>
      <t>l</t>
    </r>
    <r>
      <rPr>
        <b/>
        <sz val="10"/>
        <color indexed="56"/>
        <rFont val="Arial"/>
        <family val="2"/>
      </rPr>
      <t>1</t>
    </r>
    <r>
      <rPr>
        <b/>
        <vertAlign val="subscript"/>
        <sz val="10"/>
        <color indexed="56"/>
        <rFont val="Arial"/>
        <family val="2"/>
      </rPr>
      <t>n</t>
    </r>
    <r>
      <rPr>
        <b/>
        <sz val="10"/>
        <color indexed="56"/>
        <rFont val="Arial"/>
        <family val="2"/>
      </rPr>
      <t xml:space="preserve">, </t>
    </r>
    <r>
      <rPr>
        <b/>
        <sz val="10"/>
        <color indexed="56"/>
        <rFont val="Symbol"/>
        <family val="1"/>
      </rPr>
      <t>l</t>
    </r>
    <r>
      <rPr>
        <b/>
        <sz val="10"/>
        <color indexed="56"/>
        <rFont val="Arial"/>
        <family val="2"/>
      </rPr>
      <t>1</t>
    </r>
    <r>
      <rPr>
        <b/>
        <vertAlign val="subscript"/>
        <sz val="10"/>
        <color indexed="56"/>
        <rFont val="Arial"/>
        <family val="2"/>
      </rPr>
      <t>b</t>
    </r>
    <r>
      <rPr>
        <b/>
        <sz val="10"/>
        <color indexed="56"/>
        <rFont val="Arial"/>
        <family val="2"/>
      </rPr>
      <t xml:space="preserve">, </t>
    </r>
    <r>
      <rPr>
        <b/>
        <sz val="10"/>
        <color indexed="56"/>
        <rFont val="Symbol"/>
        <family val="1"/>
      </rPr>
      <t>l</t>
    </r>
    <r>
      <rPr>
        <b/>
        <sz val="10"/>
        <color indexed="56"/>
        <rFont val="Arial"/>
        <family val="2"/>
      </rPr>
      <t>1</t>
    </r>
    <r>
      <rPr>
        <b/>
        <vertAlign val="subscript"/>
        <sz val="10"/>
        <color indexed="56"/>
        <rFont val="Arial"/>
        <family val="2"/>
      </rPr>
      <t xml:space="preserve">i </t>
    </r>
  </si>
  <si>
    <t>Nominal mean Culture Confirmed Cases reportable to health department</t>
  </si>
  <si>
    <t>Section 2</t>
  </si>
  <si>
    <r>
      <t xml:space="preserve">Total nominal expected number of </t>
    </r>
    <r>
      <rPr>
        <b/>
        <i/>
        <sz val="10"/>
        <color indexed="8"/>
        <rFont val="Arial"/>
        <family val="0"/>
      </rPr>
      <t>Campylobacter</t>
    </r>
    <r>
      <rPr>
        <b/>
        <sz val="10"/>
        <color indexed="8"/>
        <rFont val="Arial"/>
        <family val="0"/>
      </rPr>
      <t xml:space="preserve"> infections in a year in US</t>
    </r>
  </si>
  <si>
    <r>
      <t>p</t>
    </r>
    <r>
      <rPr>
        <vertAlign val="subscript"/>
        <sz val="10"/>
        <color indexed="8"/>
        <rFont val="Arial"/>
        <family val="0"/>
      </rPr>
      <t>mn</t>
    </r>
    <r>
      <rPr>
        <sz val="10"/>
        <color indexed="8"/>
        <rFont val="Arial"/>
        <family val="0"/>
      </rPr>
      <t>, p</t>
    </r>
    <r>
      <rPr>
        <vertAlign val="subscript"/>
        <sz val="10"/>
        <color indexed="8"/>
        <rFont val="Arial"/>
        <family val="0"/>
      </rPr>
      <t>mb</t>
    </r>
  </si>
  <si>
    <t>P(seek care)</t>
  </si>
  <si>
    <r>
      <t>p</t>
    </r>
    <r>
      <rPr>
        <vertAlign val="subscript"/>
        <sz val="10"/>
        <color indexed="8"/>
        <rFont val="Arial"/>
        <family val="0"/>
      </rPr>
      <t>cn</t>
    </r>
    <r>
      <rPr>
        <sz val="10"/>
        <color indexed="8"/>
        <rFont val="Arial"/>
        <family val="0"/>
      </rPr>
      <t>, p</t>
    </r>
    <r>
      <rPr>
        <vertAlign val="subscript"/>
        <sz val="10"/>
        <color indexed="8"/>
        <rFont val="Arial"/>
        <family val="0"/>
      </rPr>
      <t>cb</t>
    </r>
  </si>
  <si>
    <t>P(stool requested and submitted)</t>
  </si>
  <si>
    <r>
      <t>p</t>
    </r>
    <r>
      <rPr>
        <vertAlign val="subscript"/>
        <sz val="10"/>
        <color indexed="8"/>
        <rFont val="Arial"/>
        <family val="0"/>
      </rPr>
      <t>t</t>
    </r>
  </si>
  <si>
    <t>P(lab tests for organism)</t>
  </si>
  <si>
    <r>
      <t>p</t>
    </r>
    <r>
      <rPr>
        <vertAlign val="subscript"/>
        <sz val="10"/>
        <color indexed="8"/>
        <rFont val="Arial"/>
        <family val="0"/>
      </rPr>
      <t>+</t>
    </r>
  </si>
  <si>
    <t>P(culture confirmed given tested) = test Se, assumes Sp=1</t>
  </si>
  <si>
    <r>
      <t>l</t>
    </r>
    <r>
      <rPr>
        <sz val="10"/>
        <color indexed="8"/>
        <rFont val="Arial"/>
        <family val="2"/>
      </rPr>
      <t>2</t>
    </r>
    <r>
      <rPr>
        <vertAlign val="subscript"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Symbol"/>
        <family val="1"/>
      </rPr>
      <t>l</t>
    </r>
    <r>
      <rPr>
        <sz val="10"/>
        <color indexed="8"/>
        <rFont val="Arial"/>
        <family val="2"/>
      </rPr>
      <t>2</t>
    </r>
    <r>
      <rPr>
        <vertAlign val="subscript"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Symbol"/>
        <family val="1"/>
      </rPr>
      <t>l</t>
    </r>
    <r>
      <rPr>
        <sz val="10"/>
        <color indexed="8"/>
        <rFont val="Arial"/>
        <family val="2"/>
      </rPr>
      <t>2</t>
    </r>
    <r>
      <rPr>
        <vertAlign val="subscript"/>
        <sz val="10"/>
        <color indexed="8"/>
        <rFont val="Arial"/>
        <family val="2"/>
      </rPr>
      <t xml:space="preserve">i </t>
    </r>
  </si>
  <si>
    <t>Illness in population</t>
  </si>
  <si>
    <t>Difference</t>
  </si>
  <si>
    <r>
      <t>l</t>
    </r>
    <r>
      <rPr>
        <b/>
        <sz val="10"/>
        <color indexed="56"/>
        <rFont val="Arial"/>
        <family val="2"/>
      </rPr>
      <t>2</t>
    </r>
    <r>
      <rPr>
        <b/>
        <vertAlign val="subscript"/>
        <sz val="10"/>
        <color indexed="56"/>
        <rFont val="Arial"/>
        <family val="2"/>
      </rPr>
      <t>T</t>
    </r>
    <r>
      <rPr>
        <b/>
        <sz val="10"/>
        <color indexed="56"/>
        <rFont val="Arial"/>
        <family val="2"/>
      </rPr>
      <t>=</t>
    </r>
    <r>
      <rPr>
        <b/>
        <sz val="10"/>
        <color indexed="56"/>
        <rFont val="Symbol"/>
        <family val="1"/>
      </rPr>
      <t>l</t>
    </r>
    <r>
      <rPr>
        <b/>
        <sz val="10"/>
        <color indexed="56"/>
        <rFont val="Arial"/>
        <family val="2"/>
      </rPr>
      <t>2</t>
    </r>
    <r>
      <rPr>
        <b/>
        <vertAlign val="subscript"/>
        <sz val="10"/>
        <color indexed="56"/>
        <rFont val="Arial"/>
        <family val="2"/>
      </rPr>
      <t>n</t>
    </r>
    <r>
      <rPr>
        <b/>
        <sz val="10"/>
        <color indexed="56"/>
        <rFont val="Arial"/>
        <family val="2"/>
      </rPr>
      <t>+</t>
    </r>
    <r>
      <rPr>
        <b/>
        <sz val="10"/>
        <color indexed="56"/>
        <rFont val="Symbol"/>
        <family val="1"/>
      </rPr>
      <t>l</t>
    </r>
    <r>
      <rPr>
        <b/>
        <sz val="10"/>
        <color indexed="56"/>
        <rFont val="Arial"/>
        <family val="2"/>
      </rPr>
      <t>2</t>
    </r>
    <r>
      <rPr>
        <b/>
        <vertAlign val="subscript"/>
        <sz val="10"/>
        <color indexed="56"/>
        <rFont val="Arial"/>
        <family val="2"/>
      </rPr>
      <t>b</t>
    </r>
    <r>
      <rPr>
        <b/>
        <sz val="10"/>
        <color indexed="56"/>
        <rFont val="Arial"/>
        <family val="2"/>
      </rPr>
      <t>+</t>
    </r>
    <r>
      <rPr>
        <b/>
        <sz val="10"/>
        <color indexed="56"/>
        <rFont val="Symbol"/>
        <family val="1"/>
      </rPr>
      <t>l</t>
    </r>
    <r>
      <rPr>
        <b/>
        <sz val="10"/>
        <color indexed="56"/>
        <rFont val="Arial"/>
        <family val="2"/>
      </rPr>
      <t>2</t>
    </r>
    <r>
      <rPr>
        <b/>
        <vertAlign val="subscript"/>
        <sz val="10"/>
        <color indexed="56"/>
        <rFont val="Arial"/>
        <family val="2"/>
      </rPr>
      <t xml:space="preserve">i </t>
    </r>
  </si>
  <si>
    <t>Total cases (bloody+non-bloody+invasive)</t>
  </si>
  <si>
    <t xml:space="preserve">Campy cases </t>
  </si>
  <si>
    <t>Section 3</t>
  </si>
  <si>
    <t>Number of fluoroquinolone resistant infections, from domestically reared and consumed chickens</t>
  </si>
  <si>
    <r>
      <t>p</t>
    </r>
    <r>
      <rPr>
        <vertAlign val="subscript"/>
        <sz val="10"/>
        <color indexed="8"/>
        <rFont val="Arial"/>
        <family val="0"/>
      </rPr>
      <t>ca-min</t>
    </r>
  </si>
  <si>
    <r>
      <t>Lower bound estimate of p</t>
    </r>
    <r>
      <rPr>
        <vertAlign val="subscript"/>
        <sz val="10"/>
        <color indexed="8"/>
        <rFont val="Arial"/>
        <family val="0"/>
      </rPr>
      <t>ca</t>
    </r>
  </si>
  <si>
    <r>
      <t>p</t>
    </r>
    <r>
      <rPr>
        <vertAlign val="subscript"/>
        <sz val="10"/>
        <color indexed="8"/>
        <rFont val="Arial"/>
        <family val="0"/>
      </rPr>
      <t>ca-max</t>
    </r>
  </si>
  <si>
    <r>
      <t>Upper bound estimate of p</t>
    </r>
    <r>
      <rPr>
        <vertAlign val="subscript"/>
        <sz val="10"/>
        <color indexed="8"/>
        <rFont val="Arial"/>
        <family val="0"/>
      </rPr>
      <t>ca</t>
    </r>
  </si>
  <si>
    <r>
      <t>p</t>
    </r>
    <r>
      <rPr>
        <vertAlign val="subscript"/>
        <sz val="10"/>
        <color indexed="8"/>
        <rFont val="Arial"/>
        <family val="0"/>
      </rPr>
      <t>ca</t>
    </r>
  </si>
  <si>
    <t>Proportion of Campylobacter cases associated with chicken</t>
  </si>
  <si>
    <t>Chicken associated cases</t>
  </si>
  <si>
    <r>
      <t>p</t>
    </r>
    <r>
      <rPr>
        <vertAlign val="subscript"/>
        <sz val="10"/>
        <color indexed="8"/>
        <rFont val="Arial"/>
        <family val="0"/>
      </rPr>
      <t>rh</t>
    </r>
  </si>
  <si>
    <r>
      <t xml:space="preserve">Proportion of </t>
    </r>
    <r>
      <rPr>
        <i/>
        <sz val="10"/>
        <color indexed="8"/>
        <rFont val="Arial"/>
        <family val="0"/>
      </rPr>
      <t>Campylobacter</t>
    </r>
    <r>
      <rPr>
        <sz val="10"/>
        <color indexed="8"/>
        <rFont val="Arial"/>
        <family val="0"/>
      </rPr>
      <t xml:space="preserve"> infections from chicken that are FQ resistant</t>
    </r>
  </si>
  <si>
    <r>
      <t>l</t>
    </r>
    <r>
      <rPr>
        <sz val="10"/>
        <color indexed="8"/>
        <rFont val="Arial"/>
        <family val="2"/>
      </rPr>
      <t>3</t>
    </r>
    <r>
      <rPr>
        <vertAlign val="subscript"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Symbol"/>
        <family val="1"/>
      </rPr>
      <t>l</t>
    </r>
    <r>
      <rPr>
        <sz val="10"/>
        <color indexed="8"/>
        <rFont val="Arial"/>
        <family val="2"/>
      </rPr>
      <t>3</t>
    </r>
    <r>
      <rPr>
        <vertAlign val="subscript"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Symbol"/>
        <family val="1"/>
      </rPr>
      <t>l</t>
    </r>
    <r>
      <rPr>
        <sz val="10"/>
        <color indexed="8"/>
        <rFont val="Arial"/>
        <family val="2"/>
      </rPr>
      <t>3</t>
    </r>
    <r>
      <rPr>
        <vertAlign val="subscript"/>
        <sz val="10"/>
        <color indexed="8"/>
        <rFont val="Arial"/>
        <family val="2"/>
      </rPr>
      <t xml:space="preserve">i </t>
    </r>
  </si>
  <si>
    <r>
      <t xml:space="preserve">Number of Fluoroquinolone resistant </t>
    </r>
    <r>
      <rPr>
        <i/>
        <sz val="10"/>
        <color indexed="8"/>
        <rFont val="Arial"/>
        <family val="0"/>
      </rPr>
      <t>Campylobacter</t>
    </r>
    <r>
      <rPr>
        <sz val="10"/>
        <color indexed="8"/>
        <rFont val="Arial"/>
        <family val="0"/>
      </rPr>
      <t xml:space="preserve"> cases from chickens</t>
    </r>
  </si>
  <si>
    <r>
      <t>l</t>
    </r>
    <r>
      <rPr>
        <b/>
        <sz val="10"/>
        <color indexed="56"/>
        <rFont val="Arial"/>
        <family val="2"/>
      </rPr>
      <t>3</t>
    </r>
    <r>
      <rPr>
        <b/>
        <vertAlign val="subscript"/>
        <sz val="10"/>
        <color indexed="56"/>
        <rFont val="Arial"/>
        <family val="2"/>
      </rPr>
      <t>T</t>
    </r>
    <r>
      <rPr>
        <b/>
        <sz val="10"/>
        <color indexed="56"/>
        <rFont val="Arial"/>
        <family val="2"/>
      </rPr>
      <t>=</t>
    </r>
    <r>
      <rPr>
        <b/>
        <sz val="10"/>
        <color indexed="56"/>
        <rFont val="Symbol"/>
        <family val="1"/>
      </rPr>
      <t>l</t>
    </r>
    <r>
      <rPr>
        <b/>
        <sz val="10"/>
        <color indexed="56"/>
        <rFont val="Arial"/>
        <family val="2"/>
      </rPr>
      <t>3</t>
    </r>
    <r>
      <rPr>
        <b/>
        <vertAlign val="subscript"/>
        <sz val="10"/>
        <color indexed="56"/>
        <rFont val="Arial"/>
        <family val="2"/>
      </rPr>
      <t>n</t>
    </r>
    <r>
      <rPr>
        <b/>
        <sz val="10"/>
        <color indexed="56"/>
        <rFont val="Arial"/>
        <family val="2"/>
      </rPr>
      <t>+</t>
    </r>
    <r>
      <rPr>
        <b/>
        <sz val="10"/>
        <color indexed="56"/>
        <rFont val="Symbol"/>
        <family val="1"/>
      </rPr>
      <t>l</t>
    </r>
    <r>
      <rPr>
        <b/>
        <sz val="10"/>
        <color indexed="56"/>
        <rFont val="Arial"/>
        <family val="2"/>
      </rPr>
      <t>3</t>
    </r>
    <r>
      <rPr>
        <b/>
        <vertAlign val="subscript"/>
        <sz val="10"/>
        <color indexed="56"/>
        <rFont val="Arial"/>
        <family val="2"/>
      </rPr>
      <t>b</t>
    </r>
    <r>
      <rPr>
        <b/>
        <sz val="10"/>
        <color indexed="56"/>
        <rFont val="Arial"/>
        <family val="2"/>
      </rPr>
      <t>+</t>
    </r>
    <r>
      <rPr>
        <b/>
        <sz val="10"/>
        <color indexed="56"/>
        <rFont val="Symbol"/>
        <family val="1"/>
      </rPr>
      <t>l</t>
    </r>
    <r>
      <rPr>
        <b/>
        <sz val="10"/>
        <color indexed="56"/>
        <rFont val="Arial"/>
        <family val="2"/>
      </rPr>
      <t>3</t>
    </r>
    <r>
      <rPr>
        <b/>
        <vertAlign val="subscript"/>
        <sz val="10"/>
        <color indexed="56"/>
        <rFont val="Arial"/>
        <family val="2"/>
      </rPr>
      <t xml:space="preserve">i </t>
    </r>
  </si>
  <si>
    <r>
      <t xml:space="preserve">Total number of Fluoroquinolone resistant </t>
    </r>
    <r>
      <rPr>
        <b/>
        <i/>
        <sz val="10"/>
        <color indexed="12"/>
        <rFont val="Arial"/>
        <family val="0"/>
      </rPr>
      <t>Campylobacter</t>
    </r>
    <r>
      <rPr>
        <b/>
        <sz val="10"/>
        <color indexed="12"/>
        <rFont val="Arial"/>
        <family val="0"/>
      </rPr>
      <t xml:space="preserve"> cases from chickens</t>
    </r>
  </si>
  <si>
    <t xml:space="preserve">FQ res cases </t>
  </si>
  <si>
    <t>Proportion seeking care</t>
  </si>
  <si>
    <t>Number seeking care</t>
  </si>
  <si>
    <r>
      <t>p</t>
    </r>
    <r>
      <rPr>
        <vertAlign val="subscript"/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>, p</t>
    </r>
    <r>
      <rPr>
        <vertAlign val="subscript"/>
        <sz val="10"/>
        <color indexed="8"/>
        <rFont val="Arial"/>
        <family val="2"/>
      </rPr>
      <t>ab</t>
    </r>
  </si>
  <si>
    <t>Proportion treated with antibiotic</t>
  </si>
  <si>
    <t>Number treated</t>
  </si>
  <si>
    <r>
      <t>p</t>
    </r>
    <r>
      <rPr>
        <vertAlign val="subscript"/>
        <sz val="10"/>
        <color indexed="8"/>
        <rFont val="Arial"/>
        <family val="2"/>
      </rPr>
      <t>FQ</t>
    </r>
  </si>
  <si>
    <t>Proportion receiving FQ treatment</t>
  </si>
  <si>
    <t>Number of chicken related cases treated with FQ</t>
  </si>
  <si>
    <r>
      <t>l</t>
    </r>
    <r>
      <rPr>
        <sz val="10"/>
        <color indexed="8"/>
        <rFont val="Arial"/>
        <family val="2"/>
      </rPr>
      <t>4</t>
    </r>
    <r>
      <rPr>
        <vertAlign val="subscript"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Symbol"/>
        <family val="1"/>
      </rPr>
      <t>l</t>
    </r>
    <r>
      <rPr>
        <sz val="10"/>
        <color indexed="8"/>
        <rFont val="Arial"/>
        <family val="2"/>
      </rPr>
      <t>4</t>
    </r>
    <r>
      <rPr>
        <vertAlign val="subscript"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Symbol"/>
        <family val="1"/>
      </rPr>
      <t>l</t>
    </r>
    <r>
      <rPr>
        <sz val="10"/>
        <color indexed="8"/>
        <rFont val="Arial"/>
        <family val="2"/>
      </rPr>
      <t>4</t>
    </r>
    <r>
      <rPr>
        <vertAlign val="subscript"/>
        <sz val="10"/>
        <color indexed="8"/>
        <rFont val="Arial"/>
        <family val="2"/>
      </rPr>
      <t xml:space="preserve">i </t>
    </r>
  </si>
  <si>
    <t>Number of fluoroquinolone  resistant infections from chicken seeking care, getting fluoroquinolone</t>
  </si>
  <si>
    <r>
      <t>l</t>
    </r>
    <r>
      <rPr>
        <b/>
        <sz val="10"/>
        <color indexed="56"/>
        <rFont val="Arial"/>
        <family val="2"/>
      </rPr>
      <t>4</t>
    </r>
    <r>
      <rPr>
        <b/>
        <vertAlign val="subscript"/>
        <sz val="10"/>
        <color indexed="56"/>
        <rFont val="Arial"/>
        <family val="2"/>
      </rPr>
      <t>T</t>
    </r>
    <r>
      <rPr>
        <b/>
        <sz val="10"/>
        <color indexed="56"/>
        <rFont val="Arial"/>
        <family val="2"/>
      </rPr>
      <t>=</t>
    </r>
    <r>
      <rPr>
        <b/>
        <sz val="10"/>
        <color indexed="56"/>
        <rFont val="Symbol"/>
        <family val="1"/>
      </rPr>
      <t>l</t>
    </r>
    <r>
      <rPr>
        <b/>
        <sz val="10"/>
        <color indexed="56"/>
        <rFont val="Arial"/>
        <family val="2"/>
      </rPr>
      <t>4</t>
    </r>
    <r>
      <rPr>
        <b/>
        <vertAlign val="subscript"/>
        <sz val="10"/>
        <color indexed="56"/>
        <rFont val="Arial"/>
        <family val="2"/>
      </rPr>
      <t>n</t>
    </r>
    <r>
      <rPr>
        <b/>
        <sz val="10"/>
        <color indexed="56"/>
        <rFont val="Arial"/>
        <family val="2"/>
      </rPr>
      <t>+</t>
    </r>
    <r>
      <rPr>
        <b/>
        <sz val="10"/>
        <color indexed="56"/>
        <rFont val="Symbol"/>
        <family val="1"/>
      </rPr>
      <t>l</t>
    </r>
    <r>
      <rPr>
        <b/>
        <sz val="10"/>
        <color indexed="56"/>
        <rFont val="Arial"/>
        <family val="2"/>
      </rPr>
      <t>4</t>
    </r>
    <r>
      <rPr>
        <b/>
        <vertAlign val="subscript"/>
        <sz val="10"/>
        <color indexed="56"/>
        <rFont val="Arial"/>
        <family val="2"/>
      </rPr>
      <t>b</t>
    </r>
    <r>
      <rPr>
        <b/>
        <sz val="10"/>
        <color indexed="56"/>
        <rFont val="Arial"/>
        <family val="2"/>
      </rPr>
      <t>+</t>
    </r>
    <r>
      <rPr>
        <b/>
        <sz val="10"/>
        <color indexed="56"/>
        <rFont val="Symbol"/>
        <family val="1"/>
      </rPr>
      <t>l</t>
    </r>
    <r>
      <rPr>
        <b/>
        <sz val="10"/>
        <color indexed="56"/>
        <rFont val="Arial"/>
        <family val="2"/>
      </rPr>
      <t>4</t>
    </r>
    <r>
      <rPr>
        <b/>
        <vertAlign val="subscript"/>
        <sz val="10"/>
        <color indexed="56"/>
        <rFont val="Arial"/>
        <family val="2"/>
      </rPr>
      <t xml:space="preserve">i </t>
    </r>
  </si>
  <si>
    <t>Total number of fluoroquinolone resistant infections from chicken seeking care, getting fluoroquinolone</t>
  </si>
  <si>
    <t xml:space="preserve">Affected FQ res cases </t>
  </si>
  <si>
    <t>Section 4</t>
  </si>
  <si>
    <r>
      <t xml:space="preserve">Number of fluoroquinolone-resistant </t>
    </r>
    <r>
      <rPr>
        <b/>
        <i/>
        <sz val="10"/>
        <color indexed="8"/>
        <rFont val="Arial"/>
        <family val="0"/>
      </rPr>
      <t>Campylobacter</t>
    </r>
    <r>
      <rPr>
        <b/>
        <sz val="10"/>
        <color indexed="8"/>
        <rFont val="Arial"/>
        <family val="0"/>
      </rPr>
      <t xml:space="preserve"> contaminated chicken carcasses consumed annually</t>
    </r>
  </si>
  <si>
    <r>
      <t>p</t>
    </r>
    <r>
      <rPr>
        <vertAlign val="subscript"/>
        <sz val="10"/>
        <color indexed="8"/>
        <rFont val="Arial"/>
        <family val="2"/>
      </rPr>
      <t>c</t>
    </r>
  </si>
  <si>
    <r>
      <t xml:space="preserve">Total prevalence of </t>
    </r>
    <r>
      <rPr>
        <i/>
        <sz val="10"/>
        <color indexed="8"/>
        <rFont val="Arial"/>
        <family val="0"/>
      </rPr>
      <t>Campylobacter</t>
    </r>
  </si>
  <si>
    <r>
      <t>p</t>
    </r>
    <r>
      <rPr>
        <vertAlign val="subscript"/>
        <sz val="10"/>
        <color indexed="8"/>
        <rFont val="Arial"/>
        <family val="2"/>
      </rPr>
      <t>rc</t>
    </r>
  </si>
  <si>
    <r>
      <t xml:space="preserve">Prevalence of fluoroquinolone resistant </t>
    </r>
    <r>
      <rPr>
        <i/>
        <sz val="10"/>
        <color indexed="8"/>
        <rFont val="Arial"/>
        <family val="0"/>
      </rPr>
      <t>Campylobacter</t>
    </r>
    <r>
      <rPr>
        <sz val="10"/>
        <color indexed="8"/>
        <rFont val="Arial"/>
        <family val="2"/>
      </rPr>
      <t xml:space="preserve"> among </t>
    </r>
    <r>
      <rPr>
        <i/>
        <sz val="10"/>
        <color indexed="8"/>
        <rFont val="Arial"/>
        <family val="0"/>
      </rPr>
      <t>Campylobacter</t>
    </r>
    <r>
      <rPr>
        <sz val="10"/>
        <color indexed="8"/>
        <rFont val="Arial"/>
        <family val="2"/>
      </rPr>
      <t xml:space="preserve"> isolates from slaughter plant</t>
    </r>
  </si>
  <si>
    <r>
      <t>p</t>
    </r>
    <r>
      <rPr>
        <vertAlign val="subscript"/>
        <sz val="10"/>
        <color indexed="8"/>
        <rFont val="Arial"/>
        <family val="2"/>
      </rPr>
      <t>p</t>
    </r>
  </si>
  <si>
    <r>
      <t xml:space="preserve">Estimated prevalence of fluoroquinolone-resistant </t>
    </r>
    <r>
      <rPr>
        <i/>
        <sz val="10"/>
        <color indexed="8"/>
        <rFont val="Arial"/>
        <family val="0"/>
      </rPr>
      <t>Campylobacter</t>
    </r>
    <r>
      <rPr>
        <sz val="10"/>
        <color indexed="8"/>
        <rFont val="Arial"/>
        <family val="2"/>
      </rPr>
      <t xml:space="preserve"> in broiler carcasses</t>
    </r>
  </si>
  <si>
    <t>c</t>
  </si>
  <si>
    <t>Consumption of boneless domestically reared chickens in US per head (lbs)</t>
  </si>
  <si>
    <r>
      <t>V</t>
    </r>
    <r>
      <rPr>
        <vertAlign val="subscript"/>
        <sz val="10"/>
        <color indexed="8"/>
        <rFont val="Arial"/>
        <family val="2"/>
      </rPr>
      <t>c</t>
    </r>
  </si>
  <si>
    <t>Total consumption of boneless domestically reared chicken in US (lbs)</t>
  </si>
  <si>
    <r>
      <t>V</t>
    </r>
    <r>
      <rPr>
        <b/>
        <vertAlign val="subscript"/>
        <sz val="10"/>
        <color indexed="56"/>
        <rFont val="Arial"/>
        <family val="2"/>
      </rPr>
      <t>i</t>
    </r>
  </si>
  <si>
    <r>
      <t xml:space="preserve">Total consumption of boneless domestically reared chicken contaminated at slaughter plant with fluoroquinolone resistant </t>
    </r>
    <r>
      <rPr>
        <b/>
        <i/>
        <sz val="10"/>
        <color indexed="56"/>
        <rFont val="Arial"/>
        <family val="2"/>
      </rPr>
      <t>Campylobacter</t>
    </r>
    <r>
      <rPr>
        <b/>
        <sz val="10"/>
        <color indexed="56"/>
        <rFont val="Arial"/>
        <family val="2"/>
      </rPr>
      <t xml:space="preserve"> in US (lbs)</t>
    </r>
  </si>
  <si>
    <t>Contaminated chicken (lbs)</t>
  </si>
  <si>
    <t>Human health risk estimators</t>
  </si>
  <si>
    <t>1998</t>
  </si>
  <si>
    <t>1999</t>
  </si>
  <si>
    <t>Denominators</t>
  </si>
  <si>
    <t>Denominator value</t>
  </si>
  <si>
    <t>Probability</t>
  </si>
  <si>
    <t>Equated to 1 in:</t>
  </si>
  <si>
    <t>P1</t>
  </si>
  <si>
    <t>US citizen</t>
  </si>
  <si>
    <t>P2</t>
  </si>
  <si>
    <t>Person with campylobacteriosis</t>
  </si>
  <si>
    <t>P3</t>
  </si>
  <si>
    <t>Person with campylobacteriosis seeking care</t>
  </si>
  <si>
    <t>P4</t>
  </si>
  <si>
    <t>Person with campylobacteriosis seeking care and prescribed antibiotic</t>
  </si>
  <si>
    <t>Human health impacts/lb infected poultry (k)</t>
  </si>
  <si>
    <t>Resistant</t>
  </si>
  <si>
    <t>All</t>
  </si>
  <si>
    <t>Data used in the risk assessment model</t>
  </si>
  <si>
    <t>US Population</t>
  </si>
  <si>
    <r>
      <t>Estimating p</t>
    </r>
    <r>
      <rPr>
        <b/>
        <vertAlign val="subscript"/>
        <sz val="10"/>
        <rFont val="Arial"/>
        <family val="2"/>
      </rPr>
      <t>b</t>
    </r>
  </si>
  <si>
    <t>a1</t>
  </si>
  <si>
    <t>a2</t>
  </si>
  <si>
    <t>mean</t>
  </si>
  <si>
    <r>
      <t>var V</t>
    </r>
    <r>
      <rPr>
        <vertAlign val="subscript"/>
        <sz val="10"/>
        <rFont val="Arial"/>
        <family val="2"/>
      </rPr>
      <t>i</t>
    </r>
  </si>
  <si>
    <r>
      <t>Vi*Wi</t>
    </r>
    <r>
      <rPr>
        <vertAlign val="superscript"/>
        <sz val="10"/>
        <rFont val="Arial"/>
        <family val="2"/>
      </rPr>
      <t>2</t>
    </r>
  </si>
  <si>
    <t>Summary result using Normal approx</t>
  </si>
  <si>
    <t>Mean</t>
  </si>
  <si>
    <t>Var</t>
  </si>
  <si>
    <t>Combined estimate for Pb</t>
  </si>
  <si>
    <r>
      <t xml:space="preserve">Wtd </t>
    </r>
    <r>
      <rPr>
        <sz val="10"/>
        <rFont val="Symbol"/>
        <family val="1"/>
      </rPr>
      <t>m</t>
    </r>
  </si>
  <si>
    <t>Wtd V.</t>
  </si>
  <si>
    <r>
      <t>Estimating p</t>
    </r>
    <r>
      <rPr>
        <b/>
        <vertAlign val="subscript"/>
        <sz val="10"/>
        <rFont val="Arial"/>
        <family val="2"/>
      </rPr>
      <t>ca</t>
    </r>
  </si>
  <si>
    <t>Lower bound</t>
  </si>
  <si>
    <t>Confidence:</t>
  </si>
  <si>
    <t>Min</t>
  </si>
  <si>
    <t>Max</t>
  </si>
  <si>
    <t>Stdev</t>
  </si>
  <si>
    <t>Lower bound estimate</t>
  </si>
  <si>
    <t>Upper bound</t>
  </si>
  <si>
    <t>Estimates</t>
  </si>
  <si>
    <t>Upper bound estimate</t>
  </si>
  <si>
    <r>
      <t>Estimating n</t>
    </r>
    <r>
      <rPr>
        <b/>
        <vertAlign val="subscript"/>
        <sz val="10"/>
        <color indexed="8"/>
        <rFont val="Arial"/>
        <family val="2"/>
      </rPr>
      <t>FN</t>
    </r>
    <r>
      <rPr>
        <b/>
        <sz val="10"/>
        <color indexed="8"/>
        <rFont val="Arial"/>
        <family val="2"/>
      </rPr>
      <t>,</t>
    </r>
    <r>
      <rPr>
        <b/>
        <sz val="10"/>
        <color indexed="8"/>
        <rFont val="Symbol"/>
        <family val="1"/>
      </rPr>
      <t xml:space="preserve"> l</t>
    </r>
    <r>
      <rPr>
        <b/>
        <vertAlign val="subscript"/>
        <sz val="10"/>
        <color indexed="8"/>
        <rFont val="Arial"/>
        <family val="2"/>
      </rPr>
      <t>e,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Symbol"/>
        <family val="1"/>
      </rPr>
      <t>l</t>
    </r>
    <r>
      <rPr>
        <b/>
        <vertAlign val="subscript"/>
        <sz val="10"/>
        <color indexed="8"/>
        <rFont val="Arial"/>
        <family val="2"/>
      </rPr>
      <t>i</t>
    </r>
  </si>
  <si>
    <t xml:space="preserve">98 FoodNet Campy Cases </t>
  </si>
  <si>
    <t>98 Catchment Population Estimate</t>
  </si>
  <si>
    <t>Nr. 98  Invasive Cases</t>
  </si>
  <si>
    <t>Nr. 98 Enteric Cases</t>
  </si>
  <si>
    <t>Preliminary 98 Data Total Campy Cases</t>
  </si>
  <si>
    <t>Mean Modeled Campy Culture Confirmed Cases-Invasive Illness</t>
  </si>
  <si>
    <t>Mean Modeled Campy Culture Confirmed Cases-Enteric Illness</t>
  </si>
  <si>
    <r>
      <t>Mean cases in catchment-Invasive Illness (</t>
    </r>
    <r>
      <rPr>
        <b/>
        <sz val="10"/>
        <rFont val="Symbol"/>
        <family val="1"/>
      </rPr>
      <t>l</t>
    </r>
    <r>
      <rPr>
        <b/>
        <sz val="10"/>
        <rFont val="Arial"/>
        <family val="2"/>
      </rPr>
      <t>1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</t>
    </r>
  </si>
  <si>
    <r>
      <t>Mean cases in catchment Enteric Illness (</t>
    </r>
    <r>
      <rPr>
        <b/>
        <sz val="10"/>
        <rFont val="Symbol"/>
        <family val="1"/>
      </rPr>
      <t>l</t>
    </r>
    <r>
      <rPr>
        <b/>
        <sz val="10"/>
        <rFont val="Arial"/>
        <family val="2"/>
      </rPr>
      <t>1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>)</t>
    </r>
  </si>
  <si>
    <t>CA</t>
  </si>
  <si>
    <t>CT</t>
  </si>
  <si>
    <t>GA</t>
  </si>
  <si>
    <t>MD</t>
  </si>
  <si>
    <t>MN</t>
  </si>
  <si>
    <t>NY</t>
  </si>
  <si>
    <t>OR</t>
  </si>
  <si>
    <t xml:space="preserve">Total </t>
  </si>
  <si>
    <t>99 FoodNet Campy Cases</t>
  </si>
  <si>
    <t>99 Catchment Population Estimate</t>
  </si>
  <si>
    <t>Nr. 99  Invasive Cases</t>
  </si>
  <si>
    <t>Nr. 99 Enteric Cases</t>
  </si>
  <si>
    <t>Preliminary 99 DataTotal Campy Cases</t>
  </si>
  <si>
    <t>1998-9 CDC Population Survey</t>
  </si>
  <si>
    <t>numerator</t>
  </si>
  <si>
    <t>denominator</t>
  </si>
  <si>
    <t>Wtd proportion</t>
  </si>
  <si>
    <t>Comments</t>
  </si>
  <si>
    <t>Seeking Care</t>
  </si>
  <si>
    <r>
      <t>Non-Bloody(p</t>
    </r>
    <r>
      <rPr>
        <vertAlign val="subscript"/>
        <sz val="10"/>
        <rFont val="Arial"/>
        <family val="2"/>
      </rPr>
      <t>mn</t>
    </r>
    <r>
      <rPr>
        <sz val="10"/>
        <rFont val="Arial"/>
        <family val="0"/>
      </rPr>
      <t>)</t>
    </r>
  </si>
  <si>
    <r>
      <t>Bloody(p</t>
    </r>
    <r>
      <rPr>
        <vertAlign val="subscript"/>
        <sz val="10"/>
        <rFont val="Arial"/>
        <family val="2"/>
      </rPr>
      <t>mb</t>
    </r>
    <r>
      <rPr>
        <sz val="10"/>
        <rFont val="Arial"/>
        <family val="0"/>
      </rPr>
      <t>)</t>
    </r>
  </si>
  <si>
    <t>Preliminary</t>
  </si>
  <si>
    <t>Stool Requested and Submitted</t>
  </si>
  <si>
    <r>
      <t>Non-Bloody (p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>)</t>
    </r>
  </si>
  <si>
    <r>
      <t>Bloody(p</t>
    </r>
    <r>
      <rPr>
        <vertAlign val="subscript"/>
        <sz val="10"/>
        <rFont val="Arial"/>
        <family val="2"/>
      </rPr>
      <t>cb</t>
    </r>
    <r>
      <rPr>
        <sz val="10"/>
        <rFont val="Arial"/>
        <family val="0"/>
      </rPr>
      <t>)</t>
    </r>
  </si>
  <si>
    <t>Proportion Treated with an Antibiotic</t>
  </si>
  <si>
    <t xml:space="preserve">Submitting a stool </t>
  </si>
  <si>
    <t>Not submitting stool (z)</t>
  </si>
  <si>
    <t>Proportion Treated with an Antibiotic and not seeking care</t>
  </si>
  <si>
    <t>Not modeled</t>
  </si>
  <si>
    <t>NA=not available</t>
  </si>
  <si>
    <r>
      <t>Estimating p</t>
    </r>
    <r>
      <rPr>
        <b/>
        <vertAlign val="subscript"/>
        <sz val="10"/>
        <rFont val="Arial"/>
        <family val="2"/>
      </rPr>
      <t>rh</t>
    </r>
  </si>
  <si>
    <t>1998 NARMS DATA &amp; ADJUSTMENT FOR LEVEL OF RESISTANT CAMPYLOBACTER</t>
  </si>
  <si>
    <t>Campylobacter Case Control Study: Calculation of the adjustment factor from the proportion of travelers and persons taking FQs for susceptible and resistant isolates by site</t>
  </si>
  <si>
    <t>State</t>
  </si>
  <si>
    <t>1998 Catchment Population</t>
  </si>
  <si>
    <t>1998 Population Weighting Factor</t>
  </si>
  <si>
    <t xml:space="preserve">98 FQ Resistant Isolates </t>
  </si>
  <si>
    <r>
      <t>98/9 CCC Proportion Resistant isolates that are Travelers and Prior FQ users a</t>
    </r>
    <r>
      <rPr>
        <b/>
        <vertAlign val="subscript"/>
        <sz val="10"/>
        <rFont val="Arial"/>
        <family val="2"/>
      </rPr>
      <t>j</t>
    </r>
  </si>
  <si>
    <t>98 FQ Resistant minus 98 Proportion Traveled and Prior Use</t>
  </si>
  <si>
    <t>98 FQ Susceptible Isolates</t>
  </si>
  <si>
    <r>
      <t>98/99 CCC Proportion Susceptible Isolates from Travelers and Prior FQ users b</t>
    </r>
    <r>
      <rPr>
        <b/>
        <vertAlign val="subscript"/>
        <sz val="10"/>
        <rFont val="Arial"/>
        <family val="2"/>
      </rPr>
      <t>j</t>
    </r>
  </si>
  <si>
    <t>98 FQ Susceptible minus 98 CCC Proportion Traveled and Prior Use</t>
  </si>
  <si>
    <t>1998 Total Adjusted Number of Isolates</t>
  </si>
  <si>
    <t>1998 Proportion Resistant</t>
  </si>
  <si>
    <t>1998 Weighted Proportion Resistant</t>
  </si>
  <si>
    <t>98/99 Total Tested</t>
  </si>
  <si>
    <t>98/99 Total Susceptible</t>
  </si>
  <si>
    <t>98/99 Total Resistant</t>
  </si>
  <si>
    <t>98/99 CCC Resistant Travelers and Prior FQ users</t>
  </si>
  <si>
    <t>98/99 CCC Susceptible Travelers and Prior FQ users</t>
  </si>
  <si>
    <t>98/99 Total Isolates Tested less Travelers and Prior FQ users</t>
  </si>
  <si>
    <t>98/99 Total "Domestically Acquired" Resistant Isolates</t>
  </si>
  <si>
    <t>98/99 Total "Domestically Acquired" Susceptible isolates</t>
  </si>
  <si>
    <t>TOTAL</t>
  </si>
  <si>
    <t>CCC-Campylobacter Case Control Study</t>
  </si>
  <si>
    <t>1999 NARMS DATA &amp; ADJUSTMENT FOR LEVEL OF RESISTANT CAMPYLOBACTER</t>
  </si>
  <si>
    <t>1999 Catchment Population</t>
  </si>
  <si>
    <t>1999 Population Weighting Factor</t>
  </si>
  <si>
    <t>99 FQ Resistant Isolates</t>
  </si>
  <si>
    <t>99 FQ Resistant minus 98 Proportion Traveled and Prior Use</t>
  </si>
  <si>
    <t>99 FQ Susceptible Isolates</t>
  </si>
  <si>
    <t>99 FQ Susceptible minus 98 CCC proportion traveled and Prior Use</t>
  </si>
  <si>
    <t>1999 Total Adjusted Number of Isolates</t>
  </si>
  <si>
    <t>1999 Proportion Resistant</t>
  </si>
  <si>
    <t>1999 Weighted Proportion Resistant</t>
  </si>
  <si>
    <t>TN</t>
  </si>
  <si>
    <t>ND</t>
  </si>
  <si>
    <r>
      <t>Estimating p</t>
    </r>
    <r>
      <rPr>
        <b/>
        <vertAlign val="subscript"/>
        <sz val="10"/>
        <rFont val="Arial"/>
        <family val="2"/>
      </rPr>
      <t>FQ</t>
    </r>
    <r>
      <rPr>
        <b/>
        <sz val="10"/>
        <rFont val="Arial"/>
        <family val="0"/>
      </rPr>
      <t>, p</t>
    </r>
    <r>
      <rPr>
        <b/>
        <vertAlign val="subscript"/>
        <sz val="10"/>
        <rFont val="Arial"/>
        <family val="2"/>
      </rPr>
      <t>em</t>
    </r>
  </si>
  <si>
    <t>Proportion treated with an antibiotic by site (CCC)</t>
  </si>
  <si>
    <t>Site</t>
  </si>
  <si>
    <t>Catchment</t>
  </si>
  <si>
    <t>Weighting Fraction</t>
  </si>
  <si>
    <t>Number for whom response was known</t>
  </si>
  <si>
    <t>Number who were treated with antibiotics</t>
  </si>
  <si>
    <t>Number who were treated with Fluoroquinolone</t>
  </si>
  <si>
    <t>Unweighted proportion who were treated with antibiotics</t>
  </si>
  <si>
    <r>
      <t>Weighted proportion who were treated with antibiotics (P</t>
    </r>
    <r>
      <rPr>
        <b/>
        <vertAlign val="subscript"/>
        <sz val="10"/>
        <rFont val="Arial"/>
        <family val="2"/>
      </rPr>
      <t>em</t>
    </r>
    <r>
      <rPr>
        <b/>
        <sz val="10"/>
        <rFont val="Arial"/>
        <family val="2"/>
      </rPr>
      <t>)</t>
    </r>
  </si>
  <si>
    <r>
      <t>Weighted proportion of those treated with antibiotic receiving Fluoroquinolone (p</t>
    </r>
    <r>
      <rPr>
        <b/>
        <vertAlign val="subscript"/>
        <sz val="10"/>
        <rFont val="Arial"/>
        <family val="2"/>
      </rPr>
      <t>FQ</t>
    </r>
    <r>
      <rPr>
        <b/>
        <sz val="10"/>
        <rFont val="Arial"/>
        <family val="2"/>
      </rPr>
      <t>)</t>
    </r>
  </si>
  <si>
    <t>Number who had bloody diarrhea</t>
  </si>
  <si>
    <t>total</t>
  </si>
  <si>
    <r>
      <t>Estimating p</t>
    </r>
    <r>
      <rPr>
        <b/>
        <vertAlign val="subscript"/>
        <sz val="10"/>
        <rFont val="Arial"/>
        <family val="2"/>
      </rPr>
      <t>c</t>
    </r>
  </si>
  <si>
    <t>99 Prevalence of Campylobacter jejuni/coli on  chicken carcasses</t>
  </si>
  <si>
    <r>
      <t>Estimating p</t>
    </r>
    <r>
      <rPr>
        <b/>
        <vertAlign val="subscript"/>
        <sz val="10"/>
        <rFont val="Arial"/>
        <family val="2"/>
      </rPr>
      <t>rc</t>
    </r>
  </si>
  <si>
    <t>Chicken Campylobacter Ciprofloxacin Susceptibility Data (C jejuni)</t>
  </si>
  <si>
    <t>99 FQ R Total Chicken Isolates</t>
  </si>
  <si>
    <t>99Total Chicken Isolates</t>
  </si>
  <si>
    <t>Estimating c</t>
  </si>
  <si>
    <t>Per capita consumption of boneless domestically reared chicken</t>
  </si>
  <si>
    <t>Pounds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</si>
</sst>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_-* #,##0.000_-;\-* #,##0.000_-;_-* &quot;-&quot;??_-;_-@_-"/>
    <numFmt numFmtId="174" formatCode="_-* #,##0.0000_-;\-* #,##0.0000_-;_-* &quot;-&quot;??_-;_-@_-"/>
    <numFmt numFmtId="175" formatCode="_-* #,##0.0_-;\-* #,##0.0_-;_-* &quot;-&quot;??_-;_-@_-"/>
    <numFmt numFmtId="176" formatCode="_-* #,##0_-;\-* #,##0_-;_-* &quot;-&quot;??_-;_-@_-"/>
    <numFmt numFmtId="177" formatCode="0.000%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E+00"/>
    <numFmt numFmtId="186" formatCode="0.0000E+00"/>
    <numFmt numFmtId="187" formatCode="0.000E+00"/>
    <numFmt numFmtId="188" formatCode="0.0E+00"/>
    <numFmt numFmtId="189" formatCode="0.0000%"/>
    <numFmt numFmtId="190" formatCode="0.00000%"/>
    <numFmt numFmtId="191" formatCode="#,##0.00_ ;\-#,##0.00\ "/>
    <numFmt numFmtId="192" formatCode="0,000"/>
    <numFmt numFmtId="193" formatCode="_(* #,##0.0_);_(* \(#,##0.0\);_(* &quot;-&quot;??_);_(@_)"/>
    <numFmt numFmtId="194" formatCode="_(* #,##0_);_(* \(#,##0\);_(* &quot;-&quot;??_);_(@_)"/>
    <numFmt numFmtId="195" formatCode="#,##0.0_ ;\-#,##0.0\ "/>
    <numFmt numFmtId="196" formatCode="#,##0_ ;\-#,##0\ "/>
    <numFmt numFmtId="197" formatCode="m/d/yy\ h:mm:ss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i/>
      <sz val="10"/>
      <color indexed="8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18"/>
      <color indexed="10"/>
      <name val="Arial"/>
      <family val="2"/>
    </font>
    <font>
      <b/>
      <sz val="10"/>
      <color indexed="12"/>
      <name val="Arial"/>
      <family val="0"/>
    </font>
    <font>
      <b/>
      <i/>
      <sz val="10"/>
      <color indexed="12"/>
      <name val="Arial"/>
      <family val="0"/>
    </font>
    <font>
      <b/>
      <sz val="10"/>
      <name val="Symbol"/>
      <family val="1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56"/>
      <name val="Symbol"/>
      <family val="1"/>
    </font>
    <font>
      <b/>
      <vertAlign val="subscript"/>
      <sz val="10"/>
      <color indexed="56"/>
      <name val="Arial"/>
      <family val="2"/>
    </font>
    <font>
      <sz val="10"/>
      <color indexed="8"/>
      <name val="Symbol"/>
      <family val="1"/>
    </font>
    <font>
      <vertAlign val="subscript"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sz val="10"/>
      <color indexed="8"/>
      <name val="Symbol"/>
      <family val="1"/>
    </font>
    <font>
      <b/>
      <vertAlign val="subscript"/>
      <sz val="10"/>
      <color indexed="8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ck">
        <color indexed="39"/>
      </left>
      <right style="thick">
        <color indexed="39"/>
      </right>
      <top style="thick">
        <color indexed="39"/>
      </top>
      <bottom style="thick">
        <color indexed="39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0" fillId="0" borderId="5" applyNumberFormat="0" applyFont="0" applyFill="0" applyAlignment="0" applyProtection="0"/>
    <xf numFmtId="0" fontId="0" fillId="2" borderId="0" applyNumberFormat="0" applyFont="0" applyBorder="0" applyAlignment="0" applyProtection="0"/>
    <xf numFmtId="0" fontId="0" fillId="0" borderId="6" applyNumberFormat="0" applyFont="0" applyFill="0" applyAlignment="0" applyProtection="0"/>
    <xf numFmtId="0" fontId="0" fillId="0" borderId="7" applyNumberFormat="0" applyFont="0" applyFill="0" applyAlignment="0" applyProtection="0"/>
    <xf numFmtId="4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8" applyNumberFormat="0" applyFont="0" applyFill="0" applyAlignment="0" applyProtection="0"/>
    <xf numFmtId="0" fontId="0" fillId="0" borderId="9" applyNumberFormat="0" applyFont="0" applyFill="0" applyAlignment="0" applyProtection="0"/>
    <xf numFmtId="0" fontId="0" fillId="0" borderId="10" applyNumberFormat="0" applyFont="0" applyFill="0" applyAlignment="0" applyProtection="0"/>
    <xf numFmtId="0" fontId="0" fillId="0" borderId="11" applyNumberFormat="0" applyFont="0" applyFill="0" applyAlignment="0" applyProtection="0"/>
    <xf numFmtId="0" fontId="0" fillId="0" borderId="10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Protection="0">
      <alignment horizontal="left"/>
    </xf>
    <xf numFmtId="0" fontId="0" fillId="2" borderId="0" applyNumberFormat="0" applyFont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12" applyNumberFormat="0" applyFont="0" applyFill="0" applyAlignment="0" applyProtection="0"/>
    <xf numFmtId="0" fontId="0" fillId="0" borderId="13" applyNumberFormat="0" applyFont="0" applyFill="0" applyAlignment="0" applyProtection="0"/>
    <xf numFmtId="197" fontId="0" fillId="0" borderId="0" applyFont="0" applyFill="0" applyBorder="0" applyAlignment="0" applyProtection="0"/>
    <xf numFmtId="0" fontId="0" fillId="0" borderId="14" applyNumberFormat="0" applyFont="0" applyFill="0" applyAlignment="0" applyProtection="0"/>
    <xf numFmtId="0" fontId="0" fillId="0" borderId="15" applyNumberFormat="0" applyFont="0" applyFill="0" applyAlignment="0" applyProtection="0"/>
    <xf numFmtId="0" fontId="0" fillId="0" borderId="16" applyNumberFormat="0" applyFont="0" applyFill="0" applyAlignment="0" applyProtection="0"/>
    <xf numFmtId="0" fontId="0" fillId="0" borderId="17" applyNumberFormat="0" applyFont="0" applyFill="0" applyAlignment="0" applyProtection="0"/>
    <xf numFmtId="0" fontId="0" fillId="0" borderId="18" applyNumberFormat="0" applyFont="0" applyFill="0" applyAlignment="0" applyProtection="0"/>
  </cellStyleXfs>
  <cellXfs count="377">
    <xf numFmtId="0" fontId="0" fillId="0" borderId="0" xfId="0" applyAlignment="1">
      <alignment/>
    </xf>
    <xf numFmtId="0" fontId="0" fillId="0" borderId="0" xfId="0" applyBorder="1" applyAlignment="1">
      <alignment/>
    </xf>
    <xf numFmtId="18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32" applyNumberFormat="1" applyBorder="1" applyAlignment="1">
      <alignment horizontal="center"/>
    </xf>
    <xf numFmtId="10" fontId="0" fillId="0" borderId="0" xfId="32" applyNumberForma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vertical="top" wrapText="1"/>
    </xf>
    <xf numFmtId="3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wrapText="1"/>
    </xf>
    <xf numFmtId="177" fontId="0" fillId="0" borderId="0" xfId="32" applyNumberForma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9" fontId="0" fillId="0" borderId="29" xfId="32" applyNumberFormat="1" applyBorder="1" applyAlignment="1">
      <alignment/>
    </xf>
    <xf numFmtId="189" fontId="0" fillId="0" borderId="30" xfId="32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0" fontId="0" fillId="0" borderId="23" xfId="32" applyNumberFormat="1" applyBorder="1" applyAlignment="1">
      <alignment horizontal="center"/>
    </xf>
    <xf numFmtId="10" fontId="0" fillId="0" borderId="33" xfId="32" applyNumberForma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182" fontId="0" fillId="0" borderId="0" xfId="0" applyNumberFormat="1" applyBorder="1" applyAlignment="1">
      <alignment wrapText="1"/>
    </xf>
    <xf numFmtId="10" fontId="0" fillId="0" borderId="0" xfId="32" applyNumberFormat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9" fontId="5" fillId="0" borderId="0" xfId="32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172" fontId="5" fillId="0" borderId="0" xfId="32" applyNumberFormat="1" applyFont="1" applyFill="1" applyBorder="1" applyAlignment="1">
      <alignment horizontal="center"/>
    </xf>
    <xf numFmtId="172" fontId="4" fillId="0" borderId="0" xfId="32" applyNumberFormat="1" applyFont="1" applyFill="1" applyBorder="1" applyAlignment="1">
      <alignment horizontal="center"/>
    </xf>
    <xf numFmtId="3" fontId="4" fillId="0" borderId="0" xfId="15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 quotePrefix="1">
      <alignment horizontal="center"/>
    </xf>
    <xf numFmtId="9" fontId="4" fillId="0" borderId="0" xfId="0" applyNumberFormat="1" applyFont="1" applyFill="1" applyBorder="1" applyAlignment="1">
      <alignment horizontal="center"/>
    </xf>
    <xf numFmtId="172" fontId="4" fillId="0" borderId="0" xfId="3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1" fontId="4" fillId="0" borderId="0" xfId="0" applyNumberFormat="1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3" fontId="11" fillId="0" borderId="34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 horizontal="center"/>
    </xf>
    <xf numFmtId="3" fontId="11" fillId="0" borderId="28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11" fillId="0" borderId="35" xfId="0" applyFont="1" applyFill="1" applyBorder="1" applyAlignment="1">
      <alignment horizontal="center"/>
    </xf>
    <xf numFmtId="0" fontId="11" fillId="0" borderId="35" xfId="0" applyFont="1" applyFill="1" applyBorder="1" applyAlignment="1">
      <alignment/>
    </xf>
    <xf numFmtId="176" fontId="4" fillId="0" borderId="35" xfId="15" applyNumberFormat="1" applyFont="1" applyFill="1" applyBorder="1" applyAlignment="1">
      <alignment/>
    </xf>
    <xf numFmtId="176" fontId="5" fillId="0" borderId="35" xfId="15" applyNumberFormat="1" applyFont="1" applyFill="1" applyBorder="1" applyAlignment="1">
      <alignment/>
    </xf>
    <xf numFmtId="0" fontId="11" fillId="0" borderId="35" xfId="0" applyFont="1" applyFill="1" applyBorder="1" applyAlignment="1">
      <alignment wrapText="1"/>
    </xf>
    <xf numFmtId="0" fontId="4" fillId="0" borderId="35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15" applyNumberFormat="1" applyFont="1" applyFill="1" applyBorder="1" applyAlignment="1">
      <alignment horizontal="center"/>
    </xf>
    <xf numFmtId="3" fontId="14" fillId="0" borderId="0" xfId="15" applyNumberFormat="1" applyFont="1" applyFill="1" applyBorder="1" applyAlignment="1">
      <alignment horizontal="center"/>
    </xf>
    <xf numFmtId="176" fontId="13" fillId="0" borderId="0" xfId="15" applyNumberFormat="1" applyFont="1" applyFill="1" applyBorder="1" applyAlignment="1">
      <alignment horizontal="center"/>
    </xf>
    <xf numFmtId="176" fontId="13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3" fontId="15" fillId="0" borderId="0" xfId="0" applyNumberFormat="1" applyFont="1" applyFill="1" applyBorder="1" applyAlignment="1">
      <alignment horizontal="center"/>
    </xf>
    <xf numFmtId="171" fontId="13" fillId="0" borderId="0" xfId="15" applyFont="1" applyFill="1" applyBorder="1" applyAlignment="1">
      <alignment horizontal="center"/>
    </xf>
    <xf numFmtId="11" fontId="15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189" fontId="15" fillId="0" borderId="37" xfId="32" applyNumberFormat="1" applyFont="1" applyFill="1" applyBorder="1" applyAlignment="1">
      <alignment horizontal="center"/>
    </xf>
    <xf numFmtId="3" fontId="15" fillId="0" borderId="38" xfId="0" applyNumberFormat="1" applyFont="1" applyFill="1" applyBorder="1" applyAlignment="1">
      <alignment horizontal="center"/>
    </xf>
    <xf numFmtId="189" fontId="15" fillId="0" borderId="29" xfId="32" applyNumberFormat="1" applyFont="1" applyFill="1" applyBorder="1" applyAlignment="1">
      <alignment horizontal="center"/>
    </xf>
    <xf numFmtId="3" fontId="15" fillId="0" borderId="39" xfId="0" applyNumberFormat="1" applyFont="1" applyFill="1" applyBorder="1" applyAlignment="1">
      <alignment horizontal="center"/>
    </xf>
    <xf numFmtId="189" fontId="15" fillId="0" borderId="30" xfId="32" applyNumberFormat="1" applyFont="1" applyFill="1" applyBorder="1" applyAlignment="1">
      <alignment horizontal="center"/>
    </xf>
    <xf numFmtId="3" fontId="15" fillId="0" borderId="40" xfId="0" applyNumberFormat="1" applyFont="1" applyFill="1" applyBorder="1" applyAlignment="1">
      <alignment horizontal="center"/>
    </xf>
    <xf numFmtId="0" fontId="15" fillId="0" borderId="36" xfId="0" applyFont="1" applyFill="1" applyBorder="1" applyAlignment="1">
      <alignment/>
    </xf>
    <xf numFmtId="0" fontId="15" fillId="0" borderId="38" xfId="0" applyFont="1" applyFill="1" applyBorder="1" applyAlignment="1">
      <alignment/>
    </xf>
    <xf numFmtId="0" fontId="15" fillId="0" borderId="39" xfId="0" applyFont="1" applyFill="1" applyBorder="1" applyAlignment="1">
      <alignment/>
    </xf>
    <xf numFmtId="0" fontId="15" fillId="0" borderId="40" xfId="0" applyFont="1" applyFill="1" applyBorder="1" applyAlignment="1">
      <alignment/>
    </xf>
    <xf numFmtId="0" fontId="0" fillId="0" borderId="31" xfId="0" applyBorder="1" applyAlignment="1">
      <alignment wrapText="1"/>
    </xf>
    <xf numFmtId="0" fontId="16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 horizontal="centerContinuous"/>
    </xf>
    <xf numFmtId="0" fontId="4" fillId="3" borderId="0" xfId="0" applyFont="1" applyFill="1" applyBorder="1" applyAlignment="1">
      <alignment/>
    </xf>
    <xf numFmtId="0" fontId="4" fillId="3" borderId="35" xfId="0" applyFont="1" applyFill="1" applyBorder="1" applyAlignment="1">
      <alignment/>
    </xf>
    <xf numFmtId="3" fontId="13" fillId="3" borderId="0" xfId="15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11" fillId="3" borderId="35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11" fillId="3" borderId="35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4" fillId="3" borderId="0" xfId="0" applyFont="1" applyFill="1" applyBorder="1" applyAlignment="1">
      <alignment wrapText="1"/>
    </xf>
    <xf numFmtId="0" fontId="11" fillId="3" borderId="3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wrapText="1"/>
    </xf>
    <xf numFmtId="0" fontId="15" fillId="3" borderId="31" xfId="0" applyFont="1" applyFill="1" applyBorder="1" applyAlignment="1">
      <alignment/>
    </xf>
    <xf numFmtId="0" fontId="15" fillId="3" borderId="34" xfId="0" applyFont="1" applyFill="1" applyBorder="1" applyAlignment="1">
      <alignment/>
    </xf>
    <xf numFmtId="0" fontId="15" fillId="3" borderId="27" xfId="0" applyFont="1" applyFill="1" applyBorder="1" applyAlignment="1">
      <alignment/>
    </xf>
    <xf numFmtId="0" fontId="15" fillId="3" borderId="28" xfId="0" applyFont="1" applyFill="1" applyBorder="1" applyAlignment="1">
      <alignment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1" fillId="0" borderId="31" xfId="0" applyFont="1" applyBorder="1" applyAlignment="1">
      <alignment wrapText="1"/>
    </xf>
    <xf numFmtId="3" fontId="1" fillId="0" borderId="41" xfId="0" applyNumberFormat="1" applyFont="1" applyBorder="1" applyAlignment="1">
      <alignment horizontal="center"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wrapText="1"/>
    </xf>
    <xf numFmtId="0" fontId="0" fillId="0" borderId="41" xfId="0" applyBorder="1" applyAlignment="1">
      <alignment wrapText="1"/>
    </xf>
    <xf numFmtId="180" fontId="0" fillId="0" borderId="0" xfId="0" applyNumberFormat="1" applyAlignment="1">
      <alignment/>
    </xf>
    <xf numFmtId="0" fontId="0" fillId="0" borderId="42" xfId="0" applyBorder="1" applyAlignment="1">
      <alignment wrapText="1"/>
    </xf>
    <xf numFmtId="3" fontId="19" fillId="0" borderId="0" xfId="0" applyNumberFormat="1" applyFont="1" applyFill="1" applyBorder="1" applyAlignment="1">
      <alignment horizontal="center"/>
    </xf>
    <xf numFmtId="191" fontId="19" fillId="0" borderId="0" xfId="15" applyNumberFormat="1" applyFont="1" applyFill="1" applyBorder="1" applyAlignment="1">
      <alignment horizontal="center"/>
    </xf>
    <xf numFmtId="172" fontId="19" fillId="0" borderId="0" xfId="32" applyNumberFormat="1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3" fontId="19" fillId="0" borderId="0" xfId="15" applyNumberFormat="1" applyFont="1" applyFill="1" applyBorder="1" applyAlignment="1">
      <alignment horizontal="center"/>
    </xf>
    <xf numFmtId="0" fontId="1" fillId="4" borderId="38" xfId="0" applyFont="1" applyFill="1" applyBorder="1" applyAlignment="1">
      <alignment wrapText="1"/>
    </xf>
    <xf numFmtId="0" fontId="1" fillId="4" borderId="31" xfId="0" applyFont="1" applyFill="1" applyBorder="1" applyAlignment="1">
      <alignment horizontal="centerContinuous" wrapText="1"/>
    </xf>
    <xf numFmtId="0" fontId="1" fillId="4" borderId="40" xfId="0" applyFont="1" applyFill="1" applyBorder="1" applyAlignment="1">
      <alignment wrapText="1"/>
    </xf>
    <xf numFmtId="0" fontId="1" fillId="0" borderId="39" xfId="0" applyFont="1" applyBorder="1" applyAlignment="1">
      <alignment wrapText="1"/>
    </xf>
    <xf numFmtId="0" fontId="0" fillId="5" borderId="27" xfId="0" applyFill="1" applyBorder="1" applyAlignment="1">
      <alignment horizontal="center" wrapText="1"/>
    </xf>
    <xf numFmtId="0" fontId="0" fillId="5" borderId="0" xfId="0" applyFill="1" applyBorder="1" applyAlignment="1">
      <alignment wrapText="1"/>
    </xf>
    <xf numFmtId="0" fontId="0" fillId="5" borderId="39" xfId="0" applyFill="1" applyBorder="1" applyAlignment="1">
      <alignment wrapText="1"/>
    </xf>
    <xf numFmtId="0" fontId="0" fillId="0" borderId="39" xfId="0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0" fontId="0" fillId="0" borderId="0" xfId="0" applyAlignment="1">
      <alignment horizontal="right"/>
    </xf>
    <xf numFmtId="0" fontId="0" fillId="5" borderId="0" xfId="0" applyFill="1" applyBorder="1" applyAlignment="1">
      <alignment horizontal="center" wrapText="1"/>
    </xf>
    <xf numFmtId="0" fontId="1" fillId="0" borderId="28" xfId="0" applyFont="1" applyBorder="1" applyAlignment="1">
      <alignment wrapText="1"/>
    </xf>
    <xf numFmtId="0" fontId="0" fillId="0" borderId="43" xfId="0" applyBorder="1" applyAlignment="1">
      <alignment horizontal="center" wrapText="1"/>
    </xf>
    <xf numFmtId="0" fontId="17" fillId="6" borderId="44" xfId="0" applyFont="1" applyFill="1" applyBorder="1" applyAlignment="1">
      <alignment horizontal="centerContinuous"/>
    </xf>
    <xf numFmtId="0" fontId="17" fillId="6" borderId="45" xfId="0" applyFont="1" applyFill="1" applyBorder="1" applyAlignment="1">
      <alignment horizontal="centerContinuous"/>
    </xf>
    <xf numFmtId="0" fontId="0" fillId="0" borderId="0" xfId="0" applyFont="1" applyBorder="1" applyAlignment="1">
      <alignment horizontal="right" wrapText="1"/>
    </xf>
    <xf numFmtId="0" fontId="20" fillId="0" borderId="0" xfId="0" applyFont="1" applyAlignment="1">
      <alignment/>
    </xf>
    <xf numFmtId="0" fontId="0" fillId="0" borderId="42" xfId="0" applyBorder="1" applyAlignment="1">
      <alignment/>
    </xf>
    <xf numFmtId="0" fontId="1" fillId="4" borderId="41" xfId="0" applyFont="1" applyFill="1" applyBorder="1" applyAlignment="1">
      <alignment horizontal="centerContinuous" wrapText="1"/>
    </xf>
    <xf numFmtId="0" fontId="1" fillId="4" borderId="32" xfId="0" applyFont="1" applyFill="1" applyBorder="1" applyAlignment="1">
      <alignment horizontal="centerContinuous" wrapText="1"/>
    </xf>
    <xf numFmtId="9" fontId="22" fillId="5" borderId="29" xfId="32" applyFont="1" applyFill="1" applyBorder="1" applyAlignment="1">
      <alignment horizontal="center" wrapText="1"/>
    </xf>
    <xf numFmtId="9" fontId="0" fillId="5" borderId="27" xfId="32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4" fillId="3" borderId="0" xfId="0" applyFont="1" applyFill="1" applyBorder="1" applyAlignment="1">
      <alignment/>
    </xf>
    <xf numFmtId="3" fontId="23" fillId="0" borderId="0" xfId="15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182" fontId="0" fillId="7" borderId="23" xfId="0" applyNumberFormat="1" applyFill="1" applyBorder="1" applyAlignment="1">
      <alignment horizontal="center"/>
    </xf>
    <xf numFmtId="172" fontId="19" fillId="0" borderId="0" xfId="0" applyNumberFormat="1" applyFont="1" applyFill="1" applyBorder="1" applyAlignment="1">
      <alignment horizontal="center"/>
    </xf>
    <xf numFmtId="172" fontId="0" fillId="0" borderId="0" xfId="32" applyNumberForma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172" fontId="20" fillId="7" borderId="46" xfId="32" applyNumberFormat="1" applyFont="1" applyFill="1" applyBorder="1" applyAlignment="1">
      <alignment horizontal="center"/>
    </xf>
    <xf numFmtId="1" fontId="0" fillId="0" borderId="41" xfId="0" applyNumberForma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5" borderId="39" xfId="0" applyFill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10" fontId="0" fillId="0" borderId="0" xfId="0" applyNumberFormat="1" applyBorder="1" applyAlignment="1">
      <alignment vertical="top" wrapText="1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41" xfId="0" applyBorder="1" applyAlignment="1">
      <alignment horizontal="center" wrapText="1"/>
    </xf>
    <xf numFmtId="172" fontId="4" fillId="0" borderId="47" xfId="32" applyNumberFormat="1" applyFont="1" applyFill="1" applyBorder="1" applyAlignment="1">
      <alignment horizontal="center"/>
    </xf>
    <xf numFmtId="172" fontId="4" fillId="0" borderId="47" xfId="32" applyNumberFormat="1" applyFont="1" applyFill="1" applyBorder="1" applyAlignment="1">
      <alignment horizontal="center"/>
    </xf>
    <xf numFmtId="10" fontId="4" fillId="0" borderId="47" xfId="32" applyNumberFormat="1" applyFont="1" applyFill="1" applyBorder="1" applyAlignment="1">
      <alignment horizontal="center"/>
    </xf>
    <xf numFmtId="172" fontId="0" fillId="0" borderId="47" xfId="32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28" xfId="0" applyFont="1" applyBorder="1" applyAlignment="1">
      <alignment/>
    </xf>
    <xf numFmtId="11" fontId="4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1" fontId="15" fillId="0" borderId="0" xfId="0" applyNumberFormat="1" applyFont="1" applyFill="1" applyBorder="1" applyAlignment="1">
      <alignment horizontal="center"/>
    </xf>
    <xf numFmtId="188" fontId="4" fillId="0" borderId="0" xfId="0" applyNumberFormat="1" applyFont="1" applyFill="1" applyBorder="1" applyAlignment="1">
      <alignment horizontal="center"/>
    </xf>
    <xf numFmtId="188" fontId="4" fillId="0" borderId="42" xfId="0" applyNumberFormat="1" applyFont="1" applyFill="1" applyBorder="1" applyAlignment="1">
      <alignment horizontal="center"/>
    </xf>
    <xf numFmtId="188" fontId="4" fillId="0" borderId="43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84" fontId="0" fillId="0" borderId="0" xfId="0" applyNumberFormat="1" applyBorder="1" applyAlignment="1">
      <alignment horizontal="center"/>
    </xf>
    <xf numFmtId="0" fontId="25" fillId="0" borderId="0" xfId="0" applyFont="1" applyAlignment="1">
      <alignment horizontal="left" wrapText="1"/>
    </xf>
    <xf numFmtId="0" fontId="26" fillId="3" borderId="0" xfId="0" applyFont="1" applyFill="1" applyBorder="1" applyAlignment="1">
      <alignment/>
    </xf>
    <xf numFmtId="176" fontId="27" fillId="0" borderId="35" xfId="15" applyNumberFormat="1" applyFont="1" applyFill="1" applyBorder="1" applyAlignment="1" quotePrefix="1">
      <alignment horizontal="center"/>
    </xf>
    <xf numFmtId="0" fontId="4" fillId="0" borderId="41" xfId="0" applyFont="1" applyBorder="1" applyAlignment="1">
      <alignment/>
    </xf>
    <xf numFmtId="188" fontId="4" fillId="0" borderId="41" xfId="0" applyNumberFormat="1" applyFont="1" applyFill="1" applyBorder="1" applyAlignment="1">
      <alignment horizontal="center"/>
    </xf>
    <xf numFmtId="188" fontId="4" fillId="0" borderId="32" xfId="0" applyNumberFormat="1" applyFont="1" applyFill="1" applyBorder="1" applyAlignment="1">
      <alignment horizontal="center"/>
    </xf>
    <xf numFmtId="188" fontId="4" fillId="0" borderId="38" xfId="0" applyNumberFormat="1" applyFont="1" applyFill="1" applyBorder="1" applyAlignment="1">
      <alignment horizontal="center"/>
    </xf>
    <xf numFmtId="188" fontId="4" fillId="0" borderId="40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41" xfId="0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10" fontId="0" fillId="0" borderId="42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0" fontId="0" fillId="0" borderId="42" xfId="0" applyBorder="1" applyAlignment="1">
      <alignment horizontal="right"/>
    </xf>
    <xf numFmtId="181" fontId="0" fillId="0" borderId="37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81" fontId="0" fillId="0" borderId="29" xfId="0" applyNumberFormat="1" applyBorder="1" applyAlignment="1">
      <alignment horizontal="center"/>
    </xf>
    <xf numFmtId="0" fontId="0" fillId="0" borderId="43" xfId="0" applyBorder="1" applyAlignment="1">
      <alignment/>
    </xf>
    <xf numFmtId="10" fontId="0" fillId="0" borderId="43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0" fontId="3" fillId="0" borderId="31" xfId="0" applyFont="1" applyBorder="1" applyAlignment="1">
      <alignment horizontal="centerContinuous"/>
    </xf>
    <xf numFmtId="0" fontId="0" fillId="0" borderId="36" xfId="0" applyBorder="1" applyAlignment="1">
      <alignment horizontal="center"/>
    </xf>
    <xf numFmtId="10" fontId="0" fillId="0" borderId="39" xfId="32" applyNumberFormat="1" applyFont="1" applyBorder="1" applyAlignment="1">
      <alignment horizontal="center" wrapText="1"/>
    </xf>
    <xf numFmtId="10" fontId="0" fillId="0" borderId="40" xfId="32" applyNumberFormat="1" applyFont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10" fillId="0" borderId="35" xfId="0" applyFont="1" applyBorder="1" applyAlignment="1">
      <alignment horizontal="centerContinuous"/>
    </xf>
    <xf numFmtId="0" fontId="10" fillId="0" borderId="35" xfId="0" applyFont="1" applyFill="1" applyBorder="1" applyAlignment="1">
      <alignment horizontal="centerContinuous"/>
    </xf>
    <xf numFmtId="0" fontId="4" fillId="0" borderId="35" xfId="0" applyFont="1" applyFill="1" applyBorder="1" applyAlignment="1">
      <alignment horizontal="centerContinuous"/>
    </xf>
    <xf numFmtId="0" fontId="10" fillId="0" borderId="48" xfId="0" applyFont="1" applyFill="1" applyBorder="1" applyAlignment="1">
      <alignment horizontal="centerContinuous"/>
    </xf>
    <xf numFmtId="0" fontId="10" fillId="0" borderId="49" xfId="0" applyFont="1" applyFill="1" applyBorder="1" applyAlignment="1">
      <alignment horizontal="centerContinuous"/>
    </xf>
    <xf numFmtId="0" fontId="4" fillId="0" borderId="49" xfId="0" applyFont="1" applyFill="1" applyBorder="1" applyAlignment="1">
      <alignment horizontal="centerContinuous"/>
    </xf>
    <xf numFmtId="0" fontId="10" fillId="0" borderId="50" xfId="0" applyFont="1" applyFill="1" applyBorder="1" applyAlignment="1">
      <alignment horizontal="centerContinuous"/>
    </xf>
    <xf numFmtId="0" fontId="4" fillId="0" borderId="51" xfId="0" applyFont="1" applyFill="1" applyBorder="1" applyAlignment="1">
      <alignment/>
    </xf>
    <xf numFmtId="0" fontId="9" fillId="0" borderId="35" xfId="0" applyFont="1" applyFill="1" applyBorder="1" applyAlignment="1">
      <alignment horizontal="centerContinuous"/>
    </xf>
    <xf numFmtId="0" fontId="4" fillId="0" borderId="52" xfId="0" applyFont="1" applyFill="1" applyBorder="1" applyAlignment="1">
      <alignment/>
    </xf>
    <xf numFmtId="0" fontId="9" fillId="0" borderId="49" xfId="0" applyFont="1" applyFill="1" applyBorder="1" applyAlignment="1">
      <alignment horizontal="centerContinuous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0" fontId="20" fillId="0" borderId="0" xfId="32" applyNumberFormat="1" applyFont="1" applyBorder="1" applyAlignment="1">
      <alignment horizontal="center" vertical="top" wrapText="1"/>
    </xf>
    <xf numFmtId="10" fontId="20" fillId="0" borderId="30" xfId="32" applyNumberFormat="1" applyFont="1" applyBorder="1" applyAlignment="1">
      <alignment horizontal="center" vertical="top" wrapText="1"/>
    </xf>
    <xf numFmtId="0" fontId="0" fillId="0" borderId="0" xfId="0" applyAlignment="1">
      <alignment horizontal="centerContinuous"/>
    </xf>
    <xf numFmtId="0" fontId="0" fillId="0" borderId="41" xfId="0" applyBorder="1" applyAlignment="1">
      <alignment horizontal="centerContinuous" wrapText="1"/>
    </xf>
    <xf numFmtId="0" fontId="1" fillId="0" borderId="41" xfId="0" applyFont="1" applyBorder="1" applyAlignment="1" quotePrefix="1">
      <alignment horizontal="centerContinuous" wrapText="1"/>
    </xf>
    <xf numFmtId="0" fontId="1" fillId="0" borderId="31" xfId="0" applyFont="1" applyBorder="1" applyAlignment="1">
      <alignment/>
    </xf>
    <xf numFmtId="0" fontId="0" fillId="0" borderId="28" xfId="0" applyBorder="1" applyAlignment="1">
      <alignment wrapText="1"/>
    </xf>
    <xf numFmtId="0" fontId="0" fillId="0" borderId="32" xfId="0" applyBorder="1" applyAlignment="1">
      <alignment wrapText="1"/>
    </xf>
    <xf numFmtId="0" fontId="1" fillId="0" borderId="32" xfId="0" applyFont="1" applyBorder="1" applyAlignment="1">
      <alignment horizontal="left" wrapText="1"/>
    </xf>
    <xf numFmtId="0" fontId="0" fillId="0" borderId="34" xfId="0" applyBorder="1" applyAlignment="1">
      <alignment horizontal="right" wrapText="1"/>
    </xf>
    <xf numFmtId="0" fontId="0" fillId="0" borderId="31" xfId="0" applyBorder="1" applyAlignment="1">
      <alignment horizontal="right" wrapText="1"/>
    </xf>
    <xf numFmtId="0" fontId="1" fillId="0" borderId="36" xfId="0" applyFont="1" applyBorder="1" applyAlignment="1">
      <alignment/>
    </xf>
    <xf numFmtId="3" fontId="4" fillId="0" borderId="42" xfId="0" applyNumberFormat="1" applyFont="1" applyBorder="1" applyAlignment="1">
      <alignment/>
    </xf>
    <xf numFmtId="0" fontId="4" fillId="0" borderId="42" xfId="0" applyFont="1" applyBorder="1" applyAlignment="1">
      <alignment wrapText="1"/>
    </xf>
    <xf numFmtId="0" fontId="4" fillId="0" borderId="42" xfId="0" applyFont="1" applyBorder="1" applyAlignment="1">
      <alignment/>
    </xf>
    <xf numFmtId="171" fontId="0" fillId="0" borderId="42" xfId="15" applyBorder="1" applyAlignment="1">
      <alignment wrapText="1"/>
    </xf>
    <xf numFmtId="176" fontId="0" fillId="0" borderId="42" xfId="15" applyNumberFormat="1" applyBorder="1" applyAlignment="1">
      <alignment horizontal="center"/>
    </xf>
    <xf numFmtId="176" fontId="0" fillId="0" borderId="37" xfId="15" applyNumberFormat="1" applyBorder="1" applyAlignment="1">
      <alignment horizontal="center"/>
    </xf>
    <xf numFmtId="3" fontId="4" fillId="0" borderId="0" xfId="0" applyNumberFormat="1" applyFont="1" applyBorder="1" applyAlignment="1">
      <alignment/>
    </xf>
    <xf numFmtId="171" fontId="0" fillId="0" borderId="0" xfId="15" applyBorder="1" applyAlignment="1">
      <alignment wrapText="1"/>
    </xf>
    <xf numFmtId="176" fontId="0" fillId="0" borderId="0" xfId="15" applyNumberFormat="1" applyBorder="1" applyAlignment="1">
      <alignment horizontal="center"/>
    </xf>
    <xf numFmtId="176" fontId="0" fillId="0" borderId="29" xfId="15" applyNumberFormat="1" applyBorder="1" applyAlignment="1">
      <alignment horizontal="center"/>
    </xf>
    <xf numFmtId="3" fontId="20" fillId="0" borderId="41" xfId="0" applyNumberFormat="1" applyFont="1" applyBorder="1" applyAlignment="1">
      <alignment wrapText="1"/>
    </xf>
    <xf numFmtId="9" fontId="1" fillId="0" borderId="41" xfId="32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184" fontId="20" fillId="0" borderId="41" xfId="0" applyNumberFormat="1" applyFont="1" applyBorder="1" applyAlignment="1">
      <alignment horizontal="center" wrapText="1"/>
    </xf>
    <xf numFmtId="176" fontId="20" fillId="0" borderId="32" xfId="15" applyNumberFormat="1" applyFont="1" applyBorder="1" applyAlignment="1">
      <alignment wrapText="1"/>
    </xf>
    <xf numFmtId="3" fontId="4" fillId="0" borderId="0" xfId="0" applyNumberFormat="1" applyFont="1" applyBorder="1" applyAlignment="1">
      <alignment/>
    </xf>
    <xf numFmtId="0" fontId="11" fillId="0" borderId="36" xfId="0" applyFont="1" applyFill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10" fontId="0" fillId="0" borderId="41" xfId="32" applyNumberFormat="1" applyBorder="1" applyAlignment="1">
      <alignment horizontal="center"/>
    </xf>
    <xf numFmtId="10" fontId="0" fillId="0" borderId="41" xfId="32" applyNumberFormat="1" applyFont="1" applyBorder="1" applyAlignment="1">
      <alignment horizontal="center"/>
    </xf>
    <xf numFmtId="10" fontId="20" fillId="0" borderId="32" xfId="32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wrapText="1"/>
    </xf>
    <xf numFmtId="3" fontId="20" fillId="0" borderId="43" xfId="0" applyNumberFormat="1" applyFont="1" applyBorder="1" applyAlignment="1">
      <alignment horizontal="center" wrapText="1"/>
    </xf>
    <xf numFmtId="3" fontId="20" fillId="0" borderId="30" xfId="0" applyNumberFormat="1" applyFont="1" applyBorder="1" applyAlignment="1">
      <alignment horizontal="center" wrapText="1"/>
    </xf>
    <xf numFmtId="0" fontId="37" fillId="0" borderId="0" xfId="0" applyFont="1" applyAlignment="1">
      <alignment horizontal="centerContinuous" wrapText="1"/>
    </xf>
    <xf numFmtId="10" fontId="20" fillId="0" borderId="38" xfId="32" applyNumberFormat="1" applyFont="1" applyBorder="1" applyAlignment="1">
      <alignment horizontal="center" wrapText="1"/>
    </xf>
    <xf numFmtId="10" fontId="20" fillId="0" borderId="40" xfId="32" applyNumberFormat="1" applyFont="1" applyBorder="1" applyAlignment="1">
      <alignment horizontal="center" wrapText="1"/>
    </xf>
    <xf numFmtId="0" fontId="0" fillId="0" borderId="39" xfId="0" applyBorder="1" applyAlignment="1">
      <alignment wrapText="1"/>
    </xf>
    <xf numFmtId="0" fontId="0" fillId="0" borderId="39" xfId="0" applyBorder="1" applyAlignment="1">
      <alignment/>
    </xf>
    <xf numFmtId="0" fontId="20" fillId="0" borderId="27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9" fontId="0" fillId="5" borderId="0" xfId="32" applyFill="1" applyBorder="1" applyAlignment="1">
      <alignment horizontal="center" wrapText="1"/>
    </xf>
    <xf numFmtId="3" fontId="20" fillId="0" borderId="27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10" fontId="0" fillId="0" borderId="43" xfId="0" applyNumberFormat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center" wrapText="1"/>
    </xf>
    <xf numFmtId="3" fontId="0" fillId="0" borderId="41" xfId="0" applyNumberFormat="1" applyBorder="1" applyAlignment="1">
      <alignment horizontal="center" wrapText="1"/>
    </xf>
    <xf numFmtId="180" fontId="0" fillId="0" borderId="41" xfId="0" applyNumberFormat="1" applyBorder="1" applyAlignment="1">
      <alignment horizontal="center"/>
    </xf>
    <xf numFmtId="0" fontId="0" fillId="8" borderId="41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 wrapText="1"/>
    </xf>
    <xf numFmtId="3" fontId="0" fillId="0" borderId="41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1" fillId="0" borderId="53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1" fillId="0" borderId="53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 wrapText="1"/>
    </xf>
    <xf numFmtId="3" fontId="1" fillId="4" borderId="31" xfId="0" applyNumberFormat="1" applyFont="1" applyFill="1" applyBorder="1" applyAlignment="1">
      <alignment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vertical="center" wrapText="1"/>
    </xf>
    <xf numFmtId="0" fontId="1" fillId="7" borderId="54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7" fillId="0" borderId="35" xfId="0" applyFont="1" applyFill="1" applyBorder="1" applyAlignment="1" quotePrefix="1">
      <alignment/>
    </xf>
    <xf numFmtId="0" fontId="27" fillId="0" borderId="35" xfId="0" applyFont="1" applyBorder="1" applyAlignment="1" quotePrefix="1">
      <alignment/>
    </xf>
    <xf numFmtId="0" fontId="1" fillId="4" borderId="36" xfId="0" applyFont="1" applyFill="1" applyBorder="1" applyAlignment="1">
      <alignment horizontal="center" vertical="center" wrapText="1"/>
    </xf>
    <xf numFmtId="183" fontId="0" fillId="8" borderId="0" xfId="0" applyNumberFormat="1" applyFill="1" applyBorder="1" applyAlignment="1">
      <alignment horizontal="center"/>
    </xf>
    <xf numFmtId="183" fontId="0" fillId="8" borderId="0" xfId="0" applyNumberFormat="1" applyFill="1" applyBorder="1" applyAlignment="1">
      <alignment horizontal="center" wrapText="1"/>
    </xf>
    <xf numFmtId="183" fontId="0" fillId="8" borderId="41" xfId="0" applyNumberFormat="1" applyFill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8" borderId="41" xfId="0" applyFont="1" applyFill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2" fontId="0" fillId="0" borderId="0" xfId="0" applyNumberFormat="1" applyBorder="1" applyAlignment="1">
      <alignment horizontal="center" wrapText="1"/>
    </xf>
    <xf numFmtId="183" fontId="0" fillId="8" borderId="49" xfId="0" applyNumberFormat="1" applyFill="1" applyBorder="1" applyAlignment="1">
      <alignment horizontal="center"/>
    </xf>
    <xf numFmtId="172" fontId="0" fillId="0" borderId="0" xfId="32" applyNumberFormat="1" applyAlignment="1">
      <alignment horizontal="center"/>
    </xf>
    <xf numFmtId="0" fontId="1" fillId="0" borderId="31" xfId="0" applyFont="1" applyBorder="1" applyAlignment="1">
      <alignment horizontal="right"/>
    </xf>
    <xf numFmtId="1" fontId="0" fillId="0" borderId="41" xfId="0" applyNumberFormat="1" applyBorder="1" applyAlignment="1">
      <alignment horizontal="center"/>
    </xf>
    <xf numFmtId="184" fontId="0" fillId="0" borderId="41" xfId="0" applyNumberFormat="1" applyBorder="1" applyAlignment="1">
      <alignment horizontal="center"/>
    </xf>
    <xf numFmtId="172" fontId="0" fillId="0" borderId="41" xfId="32" applyNumberFormat="1" applyBorder="1" applyAlignment="1">
      <alignment horizontal="center" wrapText="1"/>
    </xf>
    <xf numFmtId="172" fontId="20" fillId="7" borderId="59" xfId="32" applyNumberFormat="1" applyFont="1" applyFill="1" applyBorder="1" applyAlignment="1">
      <alignment horizontal="center"/>
    </xf>
    <xf numFmtId="11" fontId="4" fillId="0" borderId="0" xfId="0" applyNumberFormat="1" applyFont="1" applyAlignment="1">
      <alignment horizontal="center"/>
    </xf>
    <xf numFmtId="0" fontId="38" fillId="0" borderId="36" xfId="0" applyFont="1" applyBorder="1" applyAlignment="1">
      <alignment horizontal="right"/>
    </xf>
    <xf numFmtId="0" fontId="38" fillId="0" borderId="34" xfId="0" applyFont="1" applyBorder="1" applyAlignment="1">
      <alignment horizontal="right"/>
    </xf>
    <xf numFmtId="0" fontId="38" fillId="0" borderId="28" xfId="0" applyFont="1" applyBorder="1" applyAlignment="1">
      <alignment horizontal="right"/>
    </xf>
    <xf numFmtId="0" fontId="23" fillId="0" borderId="36" xfId="0" applyFont="1" applyBorder="1" applyAlignment="1">
      <alignment horizontal="right"/>
    </xf>
    <xf numFmtId="0" fontId="11" fillId="0" borderId="31" xfId="0" applyFont="1" applyBorder="1" applyAlignment="1">
      <alignment/>
    </xf>
    <xf numFmtId="0" fontId="11" fillId="0" borderId="41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189" fontId="4" fillId="0" borderId="0" xfId="0" applyNumberFormat="1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172" fontId="4" fillId="0" borderId="62" xfId="32" applyNumberFormat="1" applyFont="1" applyFill="1" applyBorder="1" applyAlignment="1">
      <alignment horizontal="center"/>
    </xf>
    <xf numFmtId="0" fontId="1" fillId="8" borderId="41" xfId="0" applyFont="1" applyFill="1" applyBorder="1" applyAlignment="1">
      <alignment horizontal="center" vertical="center" wrapText="1"/>
    </xf>
    <xf numFmtId="0" fontId="0" fillId="6" borderId="45" xfId="0" applyFill="1" applyBorder="1" applyAlignment="1">
      <alignment/>
    </xf>
    <xf numFmtId="0" fontId="0" fillId="6" borderId="63" xfId="0" applyFill="1" applyBorder="1" applyAlignment="1">
      <alignment/>
    </xf>
    <xf numFmtId="0" fontId="17" fillId="9" borderId="64" xfId="0" applyFont="1" applyFill="1" applyBorder="1" applyAlignment="1">
      <alignment horizontal="centerContinuous" wrapText="1"/>
    </xf>
    <xf numFmtId="0" fontId="0" fillId="0" borderId="65" xfId="0" applyBorder="1" applyAlignment="1">
      <alignment horizontal="centerContinuous"/>
    </xf>
    <xf numFmtId="0" fontId="0" fillId="0" borderId="66" xfId="0" applyBorder="1" applyAlignment="1">
      <alignment horizontal="centerContinuous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42" xfId="0" applyBorder="1" applyAlignment="1">
      <alignment horizontal="centerContinuous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0" fontId="20" fillId="0" borderId="32" xfId="0" applyFont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0" fillId="0" borderId="29" xfId="0" applyBorder="1" applyAlignment="1">
      <alignment/>
    </xf>
    <xf numFmtId="0" fontId="20" fillId="0" borderId="30" xfId="0" applyFont="1" applyBorder="1" applyAlignment="1">
      <alignment wrapText="1"/>
    </xf>
    <xf numFmtId="0" fontId="1" fillId="0" borderId="31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1" fillId="0" borderId="31" xfId="0" applyFont="1" applyBorder="1" applyAlignment="1">
      <alignment horizontal="left" wrapText="1"/>
    </xf>
    <xf numFmtId="0" fontId="20" fillId="0" borderId="28" xfId="0" applyFont="1" applyBorder="1" applyAlignment="1">
      <alignment wrapText="1"/>
    </xf>
  </cellXfs>
  <cellStyles count="50">
    <cellStyle name="Normal" xfId="0"/>
    <cellStyle name="Comma" xfId="15"/>
    <cellStyle name="Comma [0]" xfId="16"/>
    <cellStyle name="Comma [0]_99 Data" xfId="17"/>
    <cellStyle name="Comma [0]_99 Data (2)" xfId="18"/>
    <cellStyle name="Comma [0]_Sheet1" xfId="19"/>
    <cellStyle name="Comma_99 Data" xfId="20"/>
    <cellStyle name="Comma_99 Data (2)" xfId="21"/>
    <cellStyle name="Comma_Sheet1" xfId="22"/>
    <cellStyle name="Currency" xfId="23"/>
    <cellStyle name="Currency [0]" xfId="24"/>
    <cellStyle name="Currency [0]_99 Data" xfId="25"/>
    <cellStyle name="Currency [0]_99 Data (2)" xfId="26"/>
    <cellStyle name="Currency [0]_Sheet1" xfId="27"/>
    <cellStyle name="Currency_99 Data" xfId="28"/>
    <cellStyle name="Currency_99 Data (2)" xfId="29"/>
    <cellStyle name="Currency_Sheet1" xfId="30"/>
    <cellStyle name="Hyperlink" xfId="31"/>
    <cellStyle name="Percent" xfId="32"/>
    <cellStyle name="RISKbigPercent" xfId="33"/>
    <cellStyle name="RISKblandrEdge" xfId="34"/>
    <cellStyle name="RISKblCorner" xfId="35"/>
    <cellStyle name="RISKbottomEdge" xfId="36"/>
    <cellStyle name="RISKbrCorner" xfId="37"/>
    <cellStyle name="RISKdarkBoxed" xfId="38"/>
    <cellStyle name="RISKdarkShade" xfId="39"/>
    <cellStyle name="RISKdbottomEdge" xfId="40"/>
    <cellStyle name="RISKdrightEdge" xfId="41"/>
    <cellStyle name="RISKdurationTime" xfId="42"/>
    <cellStyle name="RISKinNumber" xfId="43"/>
    <cellStyle name="RISKlandrEdge" xfId="44"/>
    <cellStyle name="RISKleftEdge" xfId="45"/>
    <cellStyle name="RISKlightBoxed" xfId="46"/>
    <cellStyle name="RISKltandbEdge" xfId="47"/>
    <cellStyle name="RISKnormBoxed" xfId="48"/>
    <cellStyle name="RISKnormCenter" xfId="49"/>
    <cellStyle name="RISKnormHeading" xfId="50"/>
    <cellStyle name="RISKnormItal" xfId="51"/>
    <cellStyle name="RISKnormLabel" xfId="52"/>
    <cellStyle name="RISKnormShade" xfId="53"/>
    <cellStyle name="RISKnormTitle" xfId="54"/>
    <cellStyle name="RISKoutNumber" xfId="55"/>
    <cellStyle name="RISKrightEdge" xfId="56"/>
    <cellStyle name="RISKrtandbEdge" xfId="57"/>
    <cellStyle name="RISKssTime" xfId="58"/>
    <cellStyle name="RISKtandbEdge" xfId="59"/>
    <cellStyle name="RISKtlandrEdge" xfId="60"/>
    <cellStyle name="RISKtlCorner" xfId="61"/>
    <cellStyle name="RISKtopEdge" xfId="62"/>
    <cellStyle name="RISKtrCorner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RAVBLD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vel"/>
    </sheetNames>
    <sheetDataSet>
      <sheetData sheetId="0">
        <row r="13">
          <cell r="B13">
            <v>20723982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3"/>
  <sheetViews>
    <sheetView zoomScale="75" zoomScaleNormal="75" workbookViewId="0" topLeftCell="A1">
      <selection activeCell="E37" sqref="E37"/>
    </sheetView>
  </sheetViews>
  <sheetFormatPr defaultColWidth="9.140625" defaultRowHeight="12.75"/>
  <cols>
    <col min="1" max="1" width="2.7109375" style="41" customWidth="1"/>
    <col min="2" max="2" width="22.00390625" style="41" customWidth="1"/>
    <col min="3" max="3" width="52.7109375" style="41" customWidth="1"/>
    <col min="4" max="4" width="2.7109375" style="41" customWidth="1"/>
    <col min="5" max="5" width="22.421875" style="41" customWidth="1"/>
    <col min="6" max="6" width="16.57421875" style="41" customWidth="1"/>
    <col min="7" max="7" width="16.00390625" style="41" customWidth="1"/>
    <col min="8" max="8" width="2.7109375" style="41" customWidth="1"/>
    <col min="9" max="9" width="20.28125" style="41" customWidth="1"/>
    <col min="10" max="10" width="16.00390625" style="41" customWidth="1"/>
    <col min="11" max="11" width="16.57421875" style="41" customWidth="1"/>
    <col min="12" max="12" width="2.7109375" style="41" customWidth="1"/>
    <col min="13" max="13" width="12.8515625" style="50" customWidth="1"/>
    <col min="14" max="14" width="8.8515625" style="41" customWidth="1"/>
    <col min="15" max="15" width="11.57421875" style="41" customWidth="1"/>
    <col min="16" max="16" width="13.7109375" style="41" customWidth="1"/>
    <col min="17" max="16384" width="8.8515625" style="41" customWidth="1"/>
  </cols>
  <sheetData>
    <row r="1" ht="13.5" thickBot="1"/>
    <row r="2" spans="2:3" ht="14.25" thickBot="1" thickTop="1">
      <c r="B2" s="349"/>
      <c r="C2" s="41" t="s">
        <v>0</v>
      </c>
    </row>
    <row r="3" ht="14.25" thickBot="1" thickTop="1"/>
    <row r="4" spans="2:3" ht="14.25" thickBot="1" thickTop="1">
      <c r="B4" s="348"/>
      <c r="C4" s="41" t="s">
        <v>1</v>
      </c>
    </row>
    <row r="5" spans="3:4" ht="14.25" thickBot="1" thickTop="1">
      <c r="C5" s="42"/>
      <c r="D5" s="42"/>
    </row>
    <row r="6" spans="2:4" ht="14.25" thickBot="1" thickTop="1">
      <c r="B6" s="347"/>
      <c r="C6" s="42" t="s">
        <v>2</v>
      </c>
      <c r="D6" s="42"/>
    </row>
    <row r="7" spans="3:4" ht="14.25" thickBot="1" thickTop="1">
      <c r="C7" s="42"/>
      <c r="D7" s="42"/>
    </row>
    <row r="8" spans="1:12" ht="21">
      <c r="A8" s="237"/>
      <c r="B8" s="238" t="s">
        <v>3</v>
      </c>
      <c r="C8" s="230"/>
      <c r="D8" s="230"/>
      <c r="E8" s="231"/>
      <c r="F8" s="231"/>
      <c r="G8" s="231"/>
      <c r="H8" s="231"/>
      <c r="I8" s="232"/>
      <c r="J8" s="232"/>
      <c r="K8" s="232"/>
      <c r="L8" s="233"/>
    </row>
    <row r="9" spans="1:12" ht="21" thickBot="1">
      <c r="A9" s="239"/>
      <c r="B9" s="240" t="s">
        <v>4</v>
      </c>
      <c r="C9" s="234"/>
      <c r="D9" s="234"/>
      <c r="E9" s="234"/>
      <c r="F9" s="234"/>
      <c r="G9" s="234"/>
      <c r="H9" s="234"/>
      <c r="I9" s="235"/>
      <c r="J9" s="235"/>
      <c r="K9" s="235"/>
      <c r="L9" s="236"/>
    </row>
    <row r="10" spans="4:12" ht="23.25" thickBot="1">
      <c r="D10" s="95"/>
      <c r="E10" s="93">
        <v>1998</v>
      </c>
      <c r="F10" s="93"/>
      <c r="G10" s="93"/>
      <c r="H10" s="95"/>
      <c r="I10" s="94">
        <v>1999</v>
      </c>
      <c r="J10" s="94"/>
      <c r="K10" s="94"/>
      <c r="L10" s="95"/>
    </row>
    <row r="11" spans="2:13" s="60" customFormat="1" ht="12.75">
      <c r="B11" s="61" t="s">
        <v>5</v>
      </c>
      <c r="C11" s="62" t="s">
        <v>6</v>
      </c>
      <c r="D11" s="102"/>
      <c r="H11" s="96"/>
      <c r="L11" s="96"/>
      <c r="M11" s="66"/>
    </row>
    <row r="12" spans="2:12" ht="15">
      <c r="B12" s="50" t="s">
        <v>7</v>
      </c>
      <c r="C12" s="41" t="s">
        <v>8</v>
      </c>
      <c r="D12" s="95"/>
      <c r="E12" s="128">
        <f>Data!B4</f>
        <v>270248003</v>
      </c>
      <c r="H12" s="95"/>
      <c r="I12" s="128">
        <f>Data!C4</f>
        <v>272690813</v>
      </c>
      <c r="L12" s="95"/>
    </row>
    <row r="13" spans="2:12" ht="15">
      <c r="B13" s="50" t="s">
        <v>9</v>
      </c>
      <c r="C13" s="41" t="s">
        <v>10</v>
      </c>
      <c r="D13" s="95"/>
      <c r="E13" s="128">
        <f>Data!B34</f>
        <v>20723982</v>
      </c>
      <c r="H13" s="95"/>
      <c r="I13" s="128">
        <f>Data!B44</f>
        <v>25859311</v>
      </c>
      <c r="L13" s="95"/>
    </row>
    <row r="14" spans="2:12" ht="15">
      <c r="B14" s="221" t="s">
        <v>11</v>
      </c>
      <c r="C14" s="41" t="s">
        <v>12</v>
      </c>
      <c r="D14" s="95"/>
      <c r="E14" s="132">
        <f>Data!H34</f>
        <v>566.0225078728794</v>
      </c>
      <c r="F14" s="40"/>
      <c r="H14" s="95"/>
      <c r="I14" s="132">
        <f>Data!H44</f>
        <v>537.8036353327434</v>
      </c>
      <c r="L14" s="95"/>
    </row>
    <row r="15" spans="2:12" ht="15.75" thickBot="1">
      <c r="B15" s="221" t="s">
        <v>13</v>
      </c>
      <c r="C15" s="41" t="s">
        <v>14</v>
      </c>
      <c r="D15" s="95"/>
      <c r="E15" s="132">
        <f>Data!I34</f>
        <v>51965.799427687205</v>
      </c>
      <c r="F15" s="40"/>
      <c r="H15" s="95"/>
      <c r="I15" s="132">
        <f>Data!I44</f>
        <v>40419.63400451775</v>
      </c>
      <c r="L15" s="95"/>
    </row>
    <row r="16" spans="2:12" ht="15.75" thickBot="1">
      <c r="B16" s="50" t="s">
        <v>15</v>
      </c>
      <c r="C16" s="41" t="s">
        <v>16</v>
      </c>
      <c r="D16" s="95"/>
      <c r="E16" s="160">
        <f>Data!H10</f>
        <v>0.46485682521002586</v>
      </c>
      <c r="H16" s="95"/>
      <c r="I16" s="175">
        <f>E16</f>
        <v>0.46485682521002586</v>
      </c>
      <c r="L16" s="95"/>
    </row>
    <row r="17" spans="2:12" ht="12.75">
      <c r="B17" s="50"/>
      <c r="D17" s="95"/>
      <c r="E17" s="46" t="s">
        <v>17</v>
      </c>
      <c r="F17" s="46"/>
      <c r="G17" s="43" t="s">
        <v>18</v>
      </c>
      <c r="H17" s="95"/>
      <c r="I17" s="46" t="s">
        <v>17</v>
      </c>
      <c r="J17" s="46"/>
      <c r="K17" s="43" t="s">
        <v>18</v>
      </c>
      <c r="L17" s="95"/>
    </row>
    <row r="18" spans="2:16" ht="12.75">
      <c r="B18" s="47"/>
      <c r="D18" s="95"/>
      <c r="E18" s="43" t="s">
        <v>19</v>
      </c>
      <c r="F18" s="43" t="s">
        <v>20</v>
      </c>
      <c r="H18" s="95"/>
      <c r="I18" s="43" t="s">
        <v>19</v>
      </c>
      <c r="J18" s="43" t="s">
        <v>20</v>
      </c>
      <c r="L18" s="95"/>
      <c r="O18" s="50"/>
      <c r="P18" s="50"/>
    </row>
    <row r="19" spans="2:16" s="69" customFormat="1" ht="15.75" thickBot="1">
      <c r="B19" s="220" t="s">
        <v>21</v>
      </c>
      <c r="C19" s="70" t="s">
        <v>22</v>
      </c>
      <c r="D19" s="103"/>
      <c r="E19" s="71">
        <f>E15*(1-E16)</f>
        <v>27809.142886231555</v>
      </c>
      <c r="F19" s="71">
        <f>E15*E16</f>
        <v>24156.656541455653</v>
      </c>
      <c r="G19" s="72">
        <f>E14</f>
        <v>566.0225078728794</v>
      </c>
      <c r="H19" s="97"/>
      <c r="I19" s="71">
        <f>I15*(1-I16)</f>
        <v>21630.291265026426</v>
      </c>
      <c r="J19" s="71">
        <f>I15*I16</f>
        <v>18789.342739491323</v>
      </c>
      <c r="K19" s="72">
        <f>I14</f>
        <v>537.8036353327434</v>
      </c>
      <c r="L19" s="97"/>
      <c r="M19" s="79"/>
      <c r="O19" s="76"/>
      <c r="P19" s="76"/>
    </row>
    <row r="20" spans="2:13" s="60" customFormat="1" ht="27" thickBot="1">
      <c r="B20" s="61" t="s">
        <v>23</v>
      </c>
      <c r="C20" s="65" t="s">
        <v>24</v>
      </c>
      <c r="D20" s="102"/>
      <c r="E20" s="192"/>
      <c r="F20" s="63"/>
      <c r="G20" s="64"/>
      <c r="H20" s="96"/>
      <c r="I20" s="192"/>
      <c r="J20" s="63"/>
      <c r="K20" s="64"/>
      <c r="L20" s="96"/>
      <c r="M20" s="66"/>
    </row>
    <row r="21" spans="2:13" ht="15.75" thickBot="1">
      <c r="B21" s="50" t="s">
        <v>25</v>
      </c>
      <c r="C21" s="41" t="s">
        <v>26</v>
      </c>
      <c r="D21" s="95"/>
      <c r="E21" s="130">
        <f>Data!F49</f>
        <v>0.20596563011456628</v>
      </c>
      <c r="F21" s="130">
        <f>Data!F50</f>
        <v>0.3425</v>
      </c>
      <c r="G21" s="48"/>
      <c r="H21" s="95"/>
      <c r="I21" s="173">
        <f aca="true" t="shared" si="0" ref="I21:J24">E21</f>
        <v>0.20596563011456628</v>
      </c>
      <c r="J21" s="173">
        <f t="shared" si="0"/>
        <v>0.3425</v>
      </c>
      <c r="K21" s="48"/>
      <c r="L21" s="95"/>
      <c r="M21" s="180"/>
    </row>
    <row r="22" spans="2:13" ht="15.75" thickBot="1">
      <c r="B22" s="50" t="s">
        <v>27</v>
      </c>
      <c r="C22" s="41" t="s">
        <v>28</v>
      </c>
      <c r="D22" s="95"/>
      <c r="E22" s="130">
        <f>Data!F52</f>
        <v>0.15636923076923076</v>
      </c>
      <c r="F22" s="130">
        <f>Data!F53</f>
        <v>0.3044545454545455</v>
      </c>
      <c r="G22" s="48"/>
      <c r="H22" s="95"/>
      <c r="I22" s="173">
        <f t="shared" si="0"/>
        <v>0.15636923076923076</v>
      </c>
      <c r="J22" s="173">
        <f t="shared" si="0"/>
        <v>0.3044545454545455</v>
      </c>
      <c r="K22" s="48"/>
      <c r="L22" s="95"/>
      <c r="M22" s="180"/>
    </row>
    <row r="23" spans="2:13" ht="15.75" thickBot="1">
      <c r="B23" s="50" t="s">
        <v>29</v>
      </c>
      <c r="C23" s="41" t="s">
        <v>30</v>
      </c>
      <c r="D23" s="95"/>
      <c r="E23" s="49">
        <f>_XLL.RISKBETA(367846+1,389255-367846+1)</f>
        <v>0.94499777781774</v>
      </c>
      <c r="F23" s="38">
        <f>E23</f>
        <v>0.94499777781774</v>
      </c>
      <c r="G23" s="48"/>
      <c r="H23" s="95"/>
      <c r="I23" s="173">
        <f t="shared" si="0"/>
        <v>0.94499777781774</v>
      </c>
      <c r="J23" s="173">
        <f t="shared" si="0"/>
        <v>0.94499777781774</v>
      </c>
      <c r="K23" s="48"/>
      <c r="L23" s="95"/>
      <c r="M23" s="180"/>
    </row>
    <row r="24" spans="2:12" ht="15.75" thickBot="1">
      <c r="B24" s="50" t="s">
        <v>31</v>
      </c>
      <c r="C24" s="41" t="s">
        <v>32</v>
      </c>
      <c r="D24" s="95"/>
      <c r="E24" s="49">
        <f>_XLL.RISKBETA(12,4)</f>
        <v>0.75</v>
      </c>
      <c r="F24" s="38">
        <f>E24</f>
        <v>0.75</v>
      </c>
      <c r="G24" s="48"/>
      <c r="H24" s="95"/>
      <c r="I24" s="173">
        <f t="shared" si="0"/>
        <v>0.75</v>
      </c>
      <c r="J24" s="173">
        <f t="shared" si="0"/>
        <v>0.75</v>
      </c>
      <c r="K24" s="48"/>
      <c r="L24" s="95"/>
    </row>
    <row r="25" spans="2:13" s="31" customFormat="1" ht="15">
      <c r="B25" s="221" t="s">
        <v>33</v>
      </c>
      <c r="C25" s="31" t="s">
        <v>34</v>
      </c>
      <c r="D25" s="98"/>
      <c r="E25" s="40">
        <f>E19/PRODUCT(E21:E24)</f>
        <v>1218286.6867089032</v>
      </c>
      <c r="F25" s="40">
        <f>F19/PRODUCT(F21:F24)</f>
        <v>326859.9693945014</v>
      </c>
      <c r="G25" s="40">
        <f>G19</f>
        <v>566.0225078728794</v>
      </c>
      <c r="H25" s="98"/>
      <c r="I25" s="40">
        <f>I19/PRODUCT(I21:I24)</f>
        <v>947598.2767834434</v>
      </c>
      <c r="J25" s="40">
        <f>J19/PRODUCT(J21:J24)</f>
        <v>254235.6796038154</v>
      </c>
      <c r="K25" s="40">
        <f>K19</f>
        <v>537.8036353327434</v>
      </c>
      <c r="L25" s="98"/>
      <c r="M25" s="50" t="s">
        <v>35</v>
      </c>
    </row>
    <row r="26" spans="2:13" s="69" customFormat="1" ht="15.75" thickBot="1">
      <c r="B26" s="220" t="s">
        <v>36</v>
      </c>
      <c r="C26" s="70" t="s">
        <v>37</v>
      </c>
      <c r="D26" s="191" t="s">
        <v>38</v>
      </c>
      <c r="E26" s="71">
        <f>E25+F25+G25</f>
        <v>1545712.6786112776</v>
      </c>
      <c r="F26" s="73"/>
      <c r="G26" s="74"/>
      <c r="H26" s="99"/>
      <c r="I26" s="71">
        <f>I25+J25+K25</f>
        <v>1202371.7600225916</v>
      </c>
      <c r="J26" s="73"/>
      <c r="K26" s="74"/>
      <c r="L26" s="99"/>
      <c r="M26" s="182">
        <f>I26-E26</f>
        <v>-343340.91858868604</v>
      </c>
    </row>
    <row r="27" spans="2:13" s="60" customFormat="1" ht="26.25">
      <c r="B27" s="68" t="s">
        <v>39</v>
      </c>
      <c r="C27" s="65" t="s">
        <v>40</v>
      </c>
      <c r="D27" s="104"/>
      <c r="E27" s="66"/>
      <c r="F27" s="66"/>
      <c r="G27" s="66"/>
      <c r="H27" s="96"/>
      <c r="I27" s="66"/>
      <c r="J27" s="66"/>
      <c r="K27" s="66"/>
      <c r="L27" s="96"/>
      <c r="M27" s="66"/>
    </row>
    <row r="28" spans="2:12" ht="15">
      <c r="B28" s="50" t="s">
        <v>41</v>
      </c>
      <c r="C28" s="41" t="s">
        <v>42</v>
      </c>
      <c r="D28" s="95"/>
      <c r="E28" s="49">
        <f>Data!G19</f>
        <v>0.485</v>
      </c>
      <c r="F28" s="50"/>
      <c r="G28" s="50"/>
      <c r="H28" s="95"/>
      <c r="I28" s="49"/>
      <c r="J28" s="50"/>
      <c r="K28" s="50"/>
      <c r="L28" s="95"/>
    </row>
    <row r="29" spans="2:12" ht="15.75" thickBot="1">
      <c r="B29" s="50" t="s">
        <v>43</v>
      </c>
      <c r="C29" s="41" t="s">
        <v>44</v>
      </c>
      <c r="D29" s="95"/>
      <c r="E29" s="49">
        <f>Data!G23</f>
        <v>0.667</v>
      </c>
      <c r="F29" s="50"/>
      <c r="G29" s="219"/>
      <c r="H29" s="95"/>
      <c r="I29" s="49"/>
      <c r="J29" s="50"/>
      <c r="K29" s="50"/>
      <c r="L29" s="95"/>
    </row>
    <row r="30" spans="2:12" ht="15.75" thickBot="1">
      <c r="B30" s="50" t="s">
        <v>45</v>
      </c>
      <c r="C30" s="41" t="s">
        <v>46</v>
      </c>
      <c r="D30" s="95"/>
      <c r="E30" s="130">
        <f>_XLL.RISKUNIFORM(MIN(E28,E29),MAX(E28,E29))</f>
        <v>0.5760000000000001</v>
      </c>
      <c r="F30" s="50"/>
      <c r="G30" s="50"/>
      <c r="H30" s="95"/>
      <c r="I30" s="173">
        <f>E30</f>
        <v>0.5760000000000001</v>
      </c>
      <c r="J30" s="50"/>
      <c r="K30" s="50"/>
      <c r="L30" s="95"/>
    </row>
    <row r="31" spans="1:13" s="51" customFormat="1" ht="12.75">
      <c r="A31" s="41"/>
      <c r="B31" s="47"/>
      <c r="C31" s="51" t="s">
        <v>47</v>
      </c>
      <c r="D31" s="100"/>
      <c r="E31" s="40">
        <f>E25*$E30</f>
        <v>701733.1315443283</v>
      </c>
      <c r="F31" s="40">
        <f>F25*$E30</f>
        <v>188271.34237123284</v>
      </c>
      <c r="G31" s="40">
        <f>G25*$E30</f>
        <v>326.02896453477854</v>
      </c>
      <c r="H31" s="100"/>
      <c r="I31" s="40">
        <f>I25*$I30</f>
        <v>545816.6074272635</v>
      </c>
      <c r="J31" s="40">
        <f>J25*$I30</f>
        <v>146439.7514517977</v>
      </c>
      <c r="K31" s="40">
        <f>K25*$I30</f>
        <v>309.77489395166026</v>
      </c>
      <c r="L31" s="100"/>
      <c r="M31" s="45"/>
    </row>
    <row r="32" spans="2:12" ht="33" customHeight="1">
      <c r="B32" s="50" t="s">
        <v>48</v>
      </c>
      <c r="C32" s="54" t="s">
        <v>49</v>
      </c>
      <c r="D32" s="95"/>
      <c r="E32" s="130">
        <f>Data!L70</f>
        <v>0.1421126305200467</v>
      </c>
      <c r="F32" s="50"/>
      <c r="G32" s="50"/>
      <c r="H32" s="95"/>
      <c r="I32" s="130">
        <f>Data!L82</f>
        <v>0.19627981332088892</v>
      </c>
      <c r="J32" s="50"/>
      <c r="K32" s="50"/>
      <c r="L32" s="95"/>
    </row>
    <row r="33" spans="1:13" s="51" customFormat="1" ht="27">
      <c r="A33" s="41"/>
      <c r="B33" s="221" t="s">
        <v>50</v>
      </c>
      <c r="C33" s="54" t="s">
        <v>51</v>
      </c>
      <c r="D33" s="100"/>
      <c r="E33" s="40">
        <f>E31*$E$32</f>
        <v>99725.14124683445</v>
      </c>
      <c r="F33" s="40">
        <f>F31*$E$32</f>
        <v>26755.735715916224</v>
      </c>
      <c r="G33" s="40">
        <f>G31*$E$32</f>
        <v>46.332833775764385</v>
      </c>
      <c r="H33" s="100"/>
      <c r="I33" s="40">
        <f>I31*$I$32</f>
        <v>107132.7818132642</v>
      </c>
      <c r="J33" s="40">
        <f>J31*$I$32</f>
        <v>28743.167077716225</v>
      </c>
      <c r="K33" s="40">
        <f>K31*$I$32</f>
        <v>60.80255835633004</v>
      </c>
      <c r="L33" s="100"/>
      <c r="M33" s="50" t="s">
        <v>35</v>
      </c>
    </row>
    <row r="34" spans="1:13" s="158" customFormat="1" ht="27.75" thickBot="1">
      <c r="A34" s="155"/>
      <c r="B34" s="220" t="s">
        <v>52</v>
      </c>
      <c r="C34" s="229" t="s">
        <v>53</v>
      </c>
      <c r="D34" s="191" t="s">
        <v>54</v>
      </c>
      <c r="E34" s="157">
        <f>SUM(E33:G33)</f>
        <v>126527.20979652644</v>
      </c>
      <c r="F34" s="157"/>
      <c r="G34" s="157"/>
      <c r="H34" s="156"/>
      <c r="I34" s="157">
        <f>SUM(I33:K33)</f>
        <v>135936.75144933676</v>
      </c>
      <c r="J34" s="157"/>
      <c r="K34" s="157"/>
      <c r="L34" s="156"/>
      <c r="M34" s="182">
        <f>I34-E34</f>
        <v>9409.541652810323</v>
      </c>
    </row>
    <row r="35" spans="2:12" ht="15.75" thickBot="1">
      <c r="B35" s="50" t="s">
        <v>25</v>
      </c>
      <c r="C35" s="31" t="s">
        <v>55</v>
      </c>
      <c r="D35" s="98"/>
      <c r="E35" s="52">
        <f>E$21</f>
        <v>0.20596563011456628</v>
      </c>
      <c r="F35" s="52">
        <f>F$21</f>
        <v>0.3425</v>
      </c>
      <c r="G35" s="34"/>
      <c r="H35" s="95"/>
      <c r="I35" s="172">
        <f>E35</f>
        <v>0.20596563011456628</v>
      </c>
      <c r="J35" s="172">
        <f>F35</f>
        <v>0.3425</v>
      </c>
      <c r="K35" s="34"/>
      <c r="L35" s="95"/>
    </row>
    <row r="36" spans="1:13" s="51" customFormat="1" ht="13.5" thickBot="1">
      <c r="A36" s="41"/>
      <c r="B36" s="223"/>
      <c r="C36" s="32" t="s">
        <v>56</v>
      </c>
      <c r="D36" s="105"/>
      <c r="E36" s="40">
        <f>E35*E31</f>
        <v>144532.9066107954</v>
      </c>
      <c r="F36" s="40">
        <f>F35*F31</f>
        <v>64482.93476214725</v>
      </c>
      <c r="G36" s="40">
        <f>G31</f>
        <v>326.02896453477854</v>
      </c>
      <c r="H36" s="95"/>
      <c r="I36" s="40">
        <f>I35*I31</f>
        <v>112419.46147575119</v>
      </c>
      <c r="J36" s="40">
        <f>J35*J31</f>
        <v>50155.614872240716</v>
      </c>
      <c r="K36" s="40">
        <f>K31</f>
        <v>309.77489395166026</v>
      </c>
      <c r="L36" s="95"/>
      <c r="M36" s="45"/>
    </row>
    <row r="37" spans="2:12" ht="15.75" thickBot="1">
      <c r="B37" s="223" t="s">
        <v>57</v>
      </c>
      <c r="C37" s="31" t="s">
        <v>58</v>
      </c>
      <c r="D37" s="98"/>
      <c r="E37" s="130">
        <f>(E22*Data!I95)+(1-E22)*_XLL.RISKBETA(Data!$D$56*Data!$C$56+1,(1-Data!$D$56)*Data!$C$56+1)</f>
        <v>0.4530923350556056</v>
      </c>
      <c r="F37" s="130">
        <f>(F22*Data!I95)+(1-F22)*_XLL.RISKBETA(Data!$D$56*Data!$C$56+1,(1-Data!$D$56)*Data!$C$56+1)</f>
        <v>0.5194553626288789</v>
      </c>
      <c r="G37" s="48"/>
      <c r="H37" s="95"/>
      <c r="I37" s="172">
        <f>E37</f>
        <v>0.4530923350556056</v>
      </c>
      <c r="J37" s="172">
        <f>F37</f>
        <v>0.5194553626288789</v>
      </c>
      <c r="K37" s="48"/>
      <c r="L37" s="95"/>
    </row>
    <row r="38" spans="2:13" s="51" customFormat="1" ht="13.5" thickBot="1">
      <c r="B38" s="223"/>
      <c r="C38" s="32" t="s">
        <v>59</v>
      </c>
      <c r="D38" s="105"/>
      <c r="E38" s="40">
        <f>E37*E36</f>
        <v>65486.75214865907</v>
      </c>
      <c r="F38" s="40">
        <f>F36*F37</f>
        <v>33496.006260245544</v>
      </c>
      <c r="G38" s="40">
        <f>G36</f>
        <v>326.02896453477854</v>
      </c>
      <c r="H38" s="95"/>
      <c r="I38" s="40">
        <f>I37*I36</f>
        <v>50936.3963057418</v>
      </c>
      <c r="J38" s="40">
        <f>J36*J37</f>
        <v>26053.603111334192</v>
      </c>
      <c r="K38" s="40">
        <f>K36</f>
        <v>309.77489395166026</v>
      </c>
      <c r="L38" s="95"/>
      <c r="M38" s="45"/>
    </row>
    <row r="39" spans="2:12" ht="15.75" thickBot="1">
      <c r="B39" s="223" t="s">
        <v>60</v>
      </c>
      <c r="C39" s="31" t="s">
        <v>61</v>
      </c>
      <c r="D39" s="98"/>
      <c r="E39" s="130">
        <f>Data!J95</f>
        <v>0.5508076234922771</v>
      </c>
      <c r="F39" s="50"/>
      <c r="G39" s="53"/>
      <c r="H39" s="95"/>
      <c r="I39" s="174">
        <f>E39</f>
        <v>0.5508076234922771</v>
      </c>
      <c r="J39" s="50"/>
      <c r="K39" s="53"/>
      <c r="L39" s="95"/>
    </row>
    <row r="40" spans="2:13" s="51" customFormat="1" ht="12.75">
      <c r="B40" s="224"/>
      <c r="C40" s="32" t="s">
        <v>62</v>
      </c>
      <c r="D40" s="105"/>
      <c r="E40" s="40">
        <f>E38*$E39</f>
        <v>36070.602321230675</v>
      </c>
      <c r="F40" s="40">
        <f>F38*$E39</f>
        <v>18449.855604688284</v>
      </c>
      <c r="G40" s="40">
        <f>G38*$E39</f>
        <v>179.57923914504926</v>
      </c>
      <c r="H40" s="100"/>
      <c r="I40" s="40">
        <f>$I39*I38</f>
        <v>28056.155398426443</v>
      </c>
      <c r="J40" s="40">
        <f>$I39*J38</f>
        <v>14350.523213164983</v>
      </c>
      <c r="K40" s="40">
        <f>$I39*K38</f>
        <v>170.62637315508616</v>
      </c>
      <c r="L40" s="100"/>
      <c r="M40" s="45"/>
    </row>
    <row r="41" spans="2:13" ht="12.75">
      <c r="B41" s="225"/>
      <c r="D41" s="105"/>
      <c r="H41" s="100"/>
      <c r="L41" s="100"/>
      <c r="M41" s="183"/>
    </row>
    <row r="42" spans="2:13" ht="27">
      <c r="B42" s="221" t="s">
        <v>63</v>
      </c>
      <c r="C42" s="54" t="s">
        <v>64</v>
      </c>
      <c r="D42" s="106"/>
      <c r="E42" s="40">
        <f>$E32*E40</f>
        <v>5126.088180312593</v>
      </c>
      <c r="F42" s="40">
        <f>$E32*F40</f>
        <v>2621.9575126972786</v>
      </c>
      <c r="G42" s="40">
        <f>$E32*G40</f>
        <v>25.52047806169149</v>
      </c>
      <c r="H42" s="95"/>
      <c r="I42" s="40">
        <f>$I32*I40</f>
        <v>5506.856944104992</v>
      </c>
      <c r="J42" s="40">
        <f>$I32*J40</f>
        <v>2816.7180173371057</v>
      </c>
      <c r="K42" s="40">
        <f>$I32*K40</f>
        <v>33.49051267050064</v>
      </c>
      <c r="L42" s="95"/>
      <c r="M42" s="50" t="s">
        <v>35</v>
      </c>
    </row>
    <row r="43" spans="2:13" s="69" customFormat="1" ht="27.75" thickBot="1">
      <c r="B43" s="220" t="s">
        <v>65</v>
      </c>
      <c r="C43" s="75" t="s">
        <v>66</v>
      </c>
      <c r="D43" s="191" t="s">
        <v>67</v>
      </c>
      <c r="E43" s="76">
        <f>SUM(E42:G42)</f>
        <v>7773.566171071563</v>
      </c>
      <c r="F43" s="73"/>
      <c r="G43" s="77"/>
      <c r="H43" s="99"/>
      <c r="I43" s="76">
        <f>SUM(I42:K42)</f>
        <v>8357.065474112598</v>
      </c>
      <c r="J43" s="73"/>
      <c r="K43" s="77"/>
      <c r="L43" s="99"/>
      <c r="M43" s="181">
        <f>I43-E43</f>
        <v>583.4993030410351</v>
      </c>
    </row>
    <row r="44" spans="2:13" s="60" customFormat="1" ht="38.25" customHeight="1" thickBot="1">
      <c r="B44" s="67" t="s">
        <v>68</v>
      </c>
      <c r="C44" s="67" t="s">
        <v>69</v>
      </c>
      <c r="D44" s="107"/>
      <c r="E44" s="66"/>
      <c r="F44" s="66"/>
      <c r="G44" s="66"/>
      <c r="H44" s="96"/>
      <c r="I44" s="66"/>
      <c r="J44" s="66"/>
      <c r="K44" s="66"/>
      <c r="L44" s="96"/>
      <c r="M44" s="66"/>
    </row>
    <row r="45" spans="2:12" ht="15.75" thickBot="1">
      <c r="B45" s="223" t="s">
        <v>70</v>
      </c>
      <c r="C45" s="31" t="s">
        <v>71</v>
      </c>
      <c r="D45" s="98"/>
      <c r="E45" s="130">
        <f>_XLL.RISKBETA(1144+1,1297-1144+1)</f>
        <v>0.8814472671285605</v>
      </c>
      <c r="F45" s="38"/>
      <c r="G45" s="38"/>
      <c r="H45" s="95"/>
      <c r="I45" s="172">
        <f>E45</f>
        <v>0.8814472671285605</v>
      </c>
      <c r="J45" s="38"/>
      <c r="K45" s="38"/>
      <c r="L45" s="95"/>
    </row>
    <row r="46" spans="2:12" ht="27">
      <c r="B46" s="223" t="s">
        <v>72</v>
      </c>
      <c r="C46" s="33" t="s">
        <v>73</v>
      </c>
      <c r="D46" s="108"/>
      <c r="E46" s="130">
        <f>_XLL.RISKBETA(Data!B102+1,Data!C102-Data!B102+1)</f>
        <v>0.1</v>
      </c>
      <c r="F46" s="38"/>
      <c r="G46" s="38"/>
      <c r="H46" s="95"/>
      <c r="I46" s="130">
        <f>_XLL.RISKBETA(Data!B103+1,Data!C103-Data!B103+1)</f>
        <v>0.09523809523809523</v>
      </c>
      <c r="J46" s="38"/>
      <c r="K46" s="38"/>
      <c r="L46" s="95"/>
    </row>
    <row r="47" spans="2:12" ht="27">
      <c r="B47" s="223" t="s">
        <v>74</v>
      </c>
      <c r="C47" s="33" t="s">
        <v>75</v>
      </c>
      <c r="D47" s="108"/>
      <c r="E47" s="39">
        <f>E46*E45</f>
        <v>0.08814472671285606</v>
      </c>
      <c r="F47" s="38"/>
      <c r="G47" s="38"/>
      <c r="H47" s="95"/>
      <c r="I47" s="39">
        <f>I46*I45</f>
        <v>0.0839473587741486</v>
      </c>
      <c r="J47" s="38"/>
      <c r="K47" s="38"/>
      <c r="L47" s="95"/>
    </row>
    <row r="48" spans="2:12" ht="26.25">
      <c r="B48" s="223" t="s">
        <v>76</v>
      </c>
      <c r="C48" s="33" t="s">
        <v>77</v>
      </c>
      <c r="D48" s="108"/>
      <c r="E48" s="129">
        <f>Data!B107</f>
        <v>50.8</v>
      </c>
      <c r="F48" s="38"/>
      <c r="G48" s="38"/>
      <c r="H48" s="95"/>
      <c r="I48" s="129">
        <f>Data!C107</f>
        <v>54.3</v>
      </c>
      <c r="J48" s="38"/>
      <c r="K48" s="38"/>
      <c r="L48" s="95"/>
    </row>
    <row r="49" spans="2:13" ht="27">
      <c r="B49" s="223" t="s">
        <v>78</v>
      </c>
      <c r="C49" s="33" t="s">
        <v>79</v>
      </c>
      <c r="D49" s="108"/>
      <c r="E49" s="55">
        <f>E48*E12</f>
        <v>13728598552.4</v>
      </c>
      <c r="F49" s="50"/>
      <c r="G49" s="50"/>
      <c r="H49" s="95"/>
      <c r="I49" s="55">
        <f>I48*I12</f>
        <v>14807111145.9</v>
      </c>
      <c r="J49" s="50"/>
      <c r="K49" s="50"/>
      <c r="L49" s="95"/>
      <c r="M49" s="50" t="s">
        <v>35</v>
      </c>
    </row>
    <row r="50" spans="2:13" s="69" customFormat="1" ht="41.25" thickBot="1">
      <c r="B50" s="222" t="s">
        <v>80</v>
      </c>
      <c r="C50" s="75" t="s">
        <v>81</v>
      </c>
      <c r="D50" s="191" t="s">
        <v>82</v>
      </c>
      <c r="E50" s="78">
        <f>E49*E47</f>
        <v>1210103567.5518093</v>
      </c>
      <c r="F50" s="79"/>
      <c r="G50" s="79"/>
      <c r="H50" s="99"/>
      <c r="I50" s="78">
        <f>I49*I47</f>
        <v>1243017871.773562</v>
      </c>
      <c r="J50" s="79"/>
      <c r="K50" s="79"/>
      <c r="L50" s="99"/>
      <c r="M50" s="184">
        <f>I50-E50</f>
        <v>32914304.221752644</v>
      </c>
    </row>
    <row r="51" spans="2:13" s="60" customFormat="1" ht="12.75">
      <c r="B51" s="62" t="s">
        <v>83</v>
      </c>
      <c r="D51" s="96"/>
      <c r="F51" s="316" t="s">
        <v>84</v>
      </c>
      <c r="G51" s="317" t="s">
        <v>84</v>
      </c>
      <c r="H51" s="96"/>
      <c r="J51" s="316" t="s">
        <v>85</v>
      </c>
      <c r="K51" s="317" t="s">
        <v>85</v>
      </c>
      <c r="L51" s="96"/>
      <c r="M51" s="66"/>
    </row>
    <row r="52" spans="3:13" s="44" customFormat="1" ht="12.75">
      <c r="C52" s="88" t="s">
        <v>86</v>
      </c>
      <c r="D52" s="109"/>
      <c r="E52" s="56" t="s">
        <v>87</v>
      </c>
      <c r="F52" s="80" t="s">
        <v>88</v>
      </c>
      <c r="G52" s="81" t="s">
        <v>89</v>
      </c>
      <c r="H52" s="101"/>
      <c r="I52" s="56" t="s">
        <v>87</v>
      </c>
      <c r="J52" s="80" t="s">
        <v>88</v>
      </c>
      <c r="K52" s="81" t="s">
        <v>89</v>
      </c>
      <c r="L52" s="101"/>
      <c r="M52" s="43"/>
    </row>
    <row r="53" spans="2:12" ht="12.75">
      <c r="B53" s="226" t="s">
        <v>90</v>
      </c>
      <c r="C53" s="89" t="s">
        <v>91</v>
      </c>
      <c r="D53" s="110"/>
      <c r="E53" s="57">
        <f>E12</f>
        <v>270248003</v>
      </c>
      <c r="F53" s="82">
        <f>E$43/E53</f>
        <v>2.8764564713810532E-05</v>
      </c>
      <c r="G53" s="83">
        <f>1/F53</f>
        <v>34764.996792038255</v>
      </c>
      <c r="H53" s="101"/>
      <c r="I53" s="57">
        <f>I12</f>
        <v>272690813</v>
      </c>
      <c r="J53" s="82">
        <f>I$43/I53</f>
        <v>3.0646670425646494E-05</v>
      </c>
      <c r="K53" s="83">
        <f>1/J53</f>
        <v>32629.97206910789</v>
      </c>
      <c r="L53" s="101"/>
    </row>
    <row r="54" spans="2:12" ht="12.75">
      <c r="B54" s="227" t="s">
        <v>92</v>
      </c>
      <c r="C54" s="90" t="s">
        <v>93</v>
      </c>
      <c r="D54" s="111"/>
      <c r="E54" s="58">
        <f>E26</f>
        <v>1545712.6786112776</v>
      </c>
      <c r="F54" s="84">
        <f>$E$43/E54</f>
        <v>0.0050291145816670196</v>
      </c>
      <c r="G54" s="85">
        <f>1/F54</f>
        <v>198.84215874606824</v>
      </c>
      <c r="H54" s="101"/>
      <c r="I54" s="58">
        <f>I26</f>
        <v>1202371.7600225916</v>
      </c>
      <c r="J54" s="84">
        <f>$I$43/I54</f>
        <v>0.006950483828691698</v>
      </c>
      <c r="K54" s="85">
        <f>1/J54</f>
        <v>143.87487614487864</v>
      </c>
      <c r="L54" s="101"/>
    </row>
    <row r="55" spans="2:12" ht="12.75">
      <c r="B55" s="227" t="s">
        <v>94</v>
      </c>
      <c r="C55" s="90" t="s">
        <v>95</v>
      </c>
      <c r="D55" s="111"/>
      <c r="E55" s="58">
        <f>SUMPRODUCT(E25:F25,E35:F35)+G25</f>
        <v>363440.74711367604</v>
      </c>
      <c r="F55" s="84">
        <f>$E$43/E55</f>
        <v>0.02138881298480318</v>
      </c>
      <c r="G55" s="85">
        <f>1/F55</f>
        <v>46.753412670001985</v>
      </c>
      <c r="H55" s="101"/>
      <c r="I55" s="58">
        <f>SUMPRODUCT(I25:J25,I35:J35)+K25</f>
        <v>282786.20007281867</v>
      </c>
      <c r="J55" s="84">
        <f>$I$43/I55</f>
        <v>0.029552592990607807</v>
      </c>
      <c r="K55" s="85">
        <f>1/J55</f>
        <v>33.8379782890054</v>
      </c>
      <c r="L55" s="101"/>
    </row>
    <row r="56" spans="2:12" ht="12.75">
      <c r="B56" s="228" t="s">
        <v>96</v>
      </c>
      <c r="C56" s="91" t="s">
        <v>97</v>
      </c>
      <c r="D56" s="112"/>
      <c r="E56" s="59">
        <f>SUMPRODUCT(E25:F25,E35:F35,E37:F37)+G25</f>
        <v>172411.0891899989</v>
      </c>
      <c r="F56" s="86">
        <f>$E$43/E56</f>
        <v>0.0450873908841502</v>
      </c>
      <c r="G56" s="87">
        <f>1/F56</f>
        <v>22.179149877389225</v>
      </c>
      <c r="H56" s="101"/>
      <c r="I56" s="59">
        <f>SUMPRODUCT(I25:J25,I35:J35,I37:J37)+K25</f>
        <v>134200.9970677563</v>
      </c>
      <c r="J56" s="86">
        <f>$I$43/I56</f>
        <v>0.0622727524885171</v>
      </c>
      <c r="K56" s="87">
        <f>1/J56</f>
        <v>16.05838765813984</v>
      </c>
      <c r="L56" s="101"/>
    </row>
    <row r="57" spans="2:4" ht="12.75">
      <c r="B57" s="42"/>
      <c r="C57" s="42"/>
      <c r="D57" s="42"/>
    </row>
    <row r="58" spans="2:7" ht="12.75">
      <c r="B58" s="42"/>
      <c r="C58" s="342" t="s">
        <v>98</v>
      </c>
      <c r="D58" s="343"/>
      <c r="E58" s="344">
        <v>1998</v>
      </c>
      <c r="F58" s="344">
        <v>1999</v>
      </c>
      <c r="G58" s="345" t="s">
        <v>35</v>
      </c>
    </row>
    <row r="59" spans="2:9" ht="12.75">
      <c r="B59" s="42"/>
      <c r="C59" s="340" t="s">
        <v>99</v>
      </c>
      <c r="D59" s="177"/>
      <c r="E59" s="186">
        <f>E34/E50</f>
        <v>0.00010455899246087406</v>
      </c>
      <c r="F59" s="186">
        <f>I34/I50</f>
        <v>0.00010936025501819985</v>
      </c>
      <c r="G59" s="196">
        <f>F59-E59</f>
        <v>4.8012625573257855E-06</v>
      </c>
      <c r="I59"/>
    </row>
    <row r="60" spans="2:9" ht="12.75">
      <c r="B60" s="42"/>
      <c r="C60" s="341" t="s">
        <v>100</v>
      </c>
      <c r="D60" s="178"/>
      <c r="E60" s="187">
        <f>SUM(E31:G31)/(E49*E45)</f>
        <v>7.35747358121872E-05</v>
      </c>
      <c r="F60" s="187">
        <f>SUM(I31:K31)/(I49*I45)</f>
        <v>5.306333955829812E-05</v>
      </c>
      <c r="G60" s="197">
        <f>F60-E60</f>
        <v>-2.0511396253889084E-05</v>
      </c>
      <c r="I60"/>
    </row>
    <row r="61" spans="2:7" ht="12.75">
      <c r="B61" s="42"/>
      <c r="C61" s="339" t="s">
        <v>35</v>
      </c>
      <c r="D61" s="193"/>
      <c r="E61" s="194">
        <f>E60-E59</f>
        <v>-3.0984256648686854E-05</v>
      </c>
      <c r="F61" s="195">
        <f>F60-F59</f>
        <v>-5.629691545990172E-05</v>
      </c>
      <c r="G61" s="179"/>
    </row>
    <row r="62" spans="2:6" ht="12.75">
      <c r="B62" s="42"/>
      <c r="C62" s="188"/>
      <c r="D62" s="42"/>
      <c r="E62" s="185"/>
      <c r="F62" s="185"/>
    </row>
    <row r="63" spans="2:6" ht="12.75">
      <c r="B63" s="42"/>
      <c r="C63" s="42"/>
      <c r="D63" s="42"/>
      <c r="E63" s="338"/>
      <c r="F63" s="55"/>
    </row>
    <row r="64" spans="2:6" ht="12.75">
      <c r="B64" s="42"/>
      <c r="C64"/>
      <c r="D64" s="42"/>
      <c r="E64" s="55"/>
      <c r="F64" s="55"/>
    </row>
    <row r="65" spans="2:6" ht="12.75">
      <c r="B65" s="42"/>
      <c r="C65" s="42"/>
      <c r="D65" s="42"/>
      <c r="E65" s="55"/>
      <c r="F65" s="55"/>
    </row>
    <row r="66" spans="2:6" ht="12.75">
      <c r="B66" s="42"/>
      <c r="C66"/>
      <c r="D66" s="42"/>
      <c r="E66" s="55"/>
      <c r="F66" s="55"/>
    </row>
    <row r="67" spans="2:5" ht="12.75">
      <c r="B67" s="42"/>
      <c r="C67" s="188"/>
      <c r="D67" s="42"/>
      <c r="E67" s="185"/>
    </row>
    <row r="68" spans="2:5" ht="12.75">
      <c r="B68" s="42"/>
      <c r="C68" s="42"/>
      <c r="D68" s="42"/>
      <c r="E68" s="185"/>
    </row>
    <row r="69" spans="2:6" ht="12.75">
      <c r="B69" s="42"/>
      <c r="C69" s="42"/>
      <c r="D69" s="42"/>
      <c r="E69" s="346"/>
      <c r="F69" s="346"/>
    </row>
    <row r="70" spans="2:4" ht="12.75">
      <c r="B70" s="42"/>
      <c r="C70" s="42"/>
      <c r="D70" s="42"/>
    </row>
    <row r="71" spans="2:4" ht="12.75">
      <c r="B71" s="42"/>
      <c r="C71" s="42"/>
      <c r="D71" s="42"/>
    </row>
    <row r="72" spans="2:4" ht="12.75">
      <c r="B72" s="42"/>
      <c r="C72" s="42"/>
      <c r="D72" s="42"/>
    </row>
    <row r="73" spans="2:4" ht="12.75">
      <c r="B73" s="42"/>
      <c r="C73" s="42"/>
      <c r="D73" s="42"/>
    </row>
  </sheetData>
  <printOptions headings="1"/>
  <pageMargins left="0.75" right="0.75" top="1" bottom="1" header="0.5" footer="0.5"/>
  <pageSetup fitToHeight="1" fitToWidth="1" horizontalDpi="300" verticalDpi="300" orientation="portrait" scale="64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6"/>
  <sheetViews>
    <sheetView tabSelected="1" workbookViewId="0" topLeftCell="A1">
      <selection activeCell="I39" sqref="I39"/>
    </sheetView>
  </sheetViews>
  <sheetFormatPr defaultColWidth="9.140625" defaultRowHeight="12.75"/>
  <cols>
    <col min="1" max="1" width="33.7109375" style="18" customWidth="1"/>
    <col min="2" max="2" width="17.28125" style="18" customWidth="1"/>
    <col min="3" max="3" width="17.7109375" style="18" customWidth="1"/>
    <col min="4" max="4" width="15.7109375" style="120" customWidth="1"/>
    <col min="5" max="5" width="19.28125" style="18" customWidth="1"/>
    <col min="6" max="6" width="20.140625" style="18" customWidth="1"/>
    <col min="7" max="7" width="18.28125" style="18" customWidth="1"/>
    <col min="8" max="8" width="17.7109375" style="18" customWidth="1"/>
    <col min="9" max="9" width="16.421875" style="18" customWidth="1"/>
    <col min="10" max="10" width="14.7109375" style="0" customWidth="1"/>
    <col min="11" max="11" width="15.421875" style="0" customWidth="1"/>
    <col min="12" max="12" width="16.00390625" style="0" customWidth="1"/>
    <col min="15" max="24" width="16.57421875" style="0" customWidth="1"/>
  </cols>
  <sheetData>
    <row r="1" spans="1:12" ht="24">
      <c r="A1" s="283" t="s">
        <v>101</v>
      </c>
      <c r="B1" s="283"/>
      <c r="C1" s="283"/>
      <c r="D1" s="283"/>
      <c r="E1" s="283"/>
      <c r="F1" s="283"/>
      <c r="G1" s="283"/>
      <c r="H1" s="283"/>
      <c r="I1" s="113"/>
      <c r="J1" s="114"/>
      <c r="K1" s="114"/>
      <c r="L1" s="114"/>
    </row>
    <row r="2" spans="1:12" ht="12.75">
      <c r="A2" s="115"/>
      <c r="B2" s="115"/>
      <c r="C2"/>
      <c r="D2"/>
      <c r="E2" s="115"/>
      <c r="F2" s="115"/>
      <c r="G2" s="115"/>
      <c r="H2" s="115"/>
      <c r="I2" s="115"/>
      <c r="J2" s="116"/>
      <c r="K2" s="116"/>
      <c r="L2" s="116"/>
    </row>
    <row r="3" spans="1:12" ht="12.75">
      <c r="A3" s="117" t="s">
        <v>102</v>
      </c>
      <c r="B3" s="118">
        <v>98</v>
      </c>
      <c r="C3" s="280">
        <v>99</v>
      </c>
      <c r="D3"/>
      <c r="E3" s="115"/>
      <c r="F3" s="190"/>
      <c r="G3" s="115"/>
      <c r="H3" s="115"/>
      <c r="I3" s="115"/>
      <c r="J3" s="116"/>
      <c r="K3" s="116"/>
      <c r="L3" s="116"/>
    </row>
    <row r="4" spans="1:12" ht="12.75">
      <c r="A4" s="249"/>
      <c r="B4" s="281">
        <v>270248003</v>
      </c>
      <c r="C4" s="282">
        <v>272690813</v>
      </c>
      <c r="D4"/>
      <c r="E4" s="115"/>
      <c r="F4" s="115"/>
      <c r="G4" s="115"/>
      <c r="H4" s="115"/>
      <c r="I4" s="115"/>
      <c r="J4" s="116"/>
      <c r="K4" s="116"/>
      <c r="L4" s="116"/>
    </row>
    <row r="5" spans="1:12" ht="12.75">
      <c r="A5"/>
      <c r="B5"/>
      <c r="C5"/>
      <c r="D5"/>
      <c r="E5"/>
      <c r="F5"/>
      <c r="G5"/>
      <c r="H5"/>
      <c r="I5" s="115"/>
      <c r="J5" s="116"/>
      <c r="K5" s="116"/>
      <c r="L5" s="116"/>
    </row>
    <row r="6" spans="1:12" ht="16.5">
      <c r="A6" s="254" t="s">
        <v>103</v>
      </c>
      <c r="B6" s="272" t="s">
        <v>104</v>
      </c>
      <c r="C6" s="273" t="s">
        <v>105</v>
      </c>
      <c r="D6" s="273" t="s">
        <v>106</v>
      </c>
      <c r="E6" s="273" t="s">
        <v>107</v>
      </c>
      <c r="F6" s="274" t="s">
        <v>108</v>
      </c>
      <c r="G6" s="24" t="s">
        <v>109</v>
      </c>
      <c r="H6" s="25"/>
      <c r="I6"/>
      <c r="L6" s="116"/>
    </row>
    <row r="7" spans="1:12" ht="12.75">
      <c r="A7"/>
      <c r="B7" s="275">
        <f>L88+1</f>
        <v>3</v>
      </c>
      <c r="C7" s="3">
        <f>K88-L88+1</f>
        <v>10</v>
      </c>
      <c r="D7" s="4">
        <f aca="true" t="shared" si="0" ref="D7:D13">B7/(B7+C7)</f>
        <v>0.23076923076923078</v>
      </c>
      <c r="E7" s="19">
        <f aca="true" t="shared" si="1" ref="E7:E13">B7*C7/(((B7+C7)^2)*(B7+C7+1))</f>
        <v>0.01267962806424345</v>
      </c>
      <c r="F7" s="276">
        <f aca="true" t="shared" si="2" ref="F7:F13">E7*D88^2</f>
        <v>0.00013597478844837793</v>
      </c>
      <c r="G7" s="20" t="s">
        <v>110</v>
      </c>
      <c r="H7" s="22">
        <f>D14</f>
        <v>0.46485682521002586</v>
      </c>
      <c r="I7"/>
      <c r="L7" s="116"/>
    </row>
    <row r="8" spans="1:12" ht="12.75">
      <c r="A8"/>
      <c r="B8" s="275">
        <f aca="true" t="shared" si="3" ref="B8:B13">L89+1</f>
        <v>71</v>
      </c>
      <c r="C8" s="3">
        <f aca="true" t="shared" si="4" ref="C8:C13">K89-L89+1</f>
        <v>105</v>
      </c>
      <c r="D8" s="4">
        <f t="shared" si="0"/>
        <v>0.4034090909090909</v>
      </c>
      <c r="E8" s="19">
        <f t="shared" si="1"/>
        <v>0.0013597186230564504</v>
      </c>
      <c r="F8" s="276">
        <f t="shared" si="2"/>
        <v>3.393737822430678E-05</v>
      </c>
      <c r="G8" s="21" t="s">
        <v>111</v>
      </c>
      <c r="H8" s="23">
        <f>F14</f>
        <v>0.001088632179475926</v>
      </c>
      <c r="I8"/>
      <c r="L8" s="116"/>
    </row>
    <row r="9" spans="1:12" ht="12.75">
      <c r="A9"/>
      <c r="B9" s="275">
        <f t="shared" si="3"/>
        <v>16</v>
      </c>
      <c r="C9" s="3">
        <f t="shared" si="4"/>
        <v>14</v>
      </c>
      <c r="D9" s="4">
        <f t="shared" si="0"/>
        <v>0.5333333333333333</v>
      </c>
      <c r="E9" s="19">
        <f t="shared" si="1"/>
        <v>0.008028673835125448</v>
      </c>
      <c r="F9" s="276">
        <f t="shared" si="2"/>
        <v>0.00026232919624738277</v>
      </c>
      <c r="G9"/>
      <c r="H9"/>
      <c r="I9"/>
      <c r="L9" s="116"/>
    </row>
    <row r="10" spans="1:12" ht="26.25">
      <c r="A10"/>
      <c r="B10" s="275">
        <f t="shared" si="3"/>
        <v>11</v>
      </c>
      <c r="C10" s="3">
        <f t="shared" si="4"/>
        <v>12</v>
      </c>
      <c r="D10" s="4">
        <f t="shared" si="0"/>
        <v>0.4782608695652174</v>
      </c>
      <c r="E10" s="19">
        <f t="shared" si="1"/>
        <v>0.010396975425330813</v>
      </c>
      <c r="F10" s="276">
        <f t="shared" si="2"/>
        <v>0.00014463137435811516</v>
      </c>
      <c r="G10" s="92" t="s">
        <v>112</v>
      </c>
      <c r="H10" s="279">
        <f>_XLL.RISKNORMAL(H7,SQRT(H8))</f>
        <v>0.46485682521002586</v>
      </c>
      <c r="I10"/>
      <c r="L10" s="116"/>
    </row>
    <row r="11" spans="1:12" ht="12.75">
      <c r="A11"/>
      <c r="B11" s="275">
        <f t="shared" si="3"/>
        <v>114</v>
      </c>
      <c r="C11" s="3">
        <f t="shared" si="4"/>
        <v>118</v>
      </c>
      <c r="D11" s="4">
        <f t="shared" si="0"/>
        <v>0.49137931034482757</v>
      </c>
      <c r="E11" s="19">
        <f t="shared" si="1"/>
        <v>0.001072642419355662</v>
      </c>
      <c r="F11" s="276">
        <f t="shared" si="2"/>
        <v>5.576853055025685E-05</v>
      </c>
      <c r="G11"/>
      <c r="H11"/>
      <c r="I11"/>
      <c r="L11" s="116"/>
    </row>
    <row r="12" spans="1:12" ht="12.75">
      <c r="A12"/>
      <c r="B12" s="275">
        <f t="shared" si="3"/>
        <v>33</v>
      </c>
      <c r="C12" s="3">
        <f t="shared" si="4"/>
        <v>32</v>
      </c>
      <c r="D12" s="4">
        <f t="shared" si="0"/>
        <v>0.5076923076923077</v>
      </c>
      <c r="E12" s="19">
        <f t="shared" si="1"/>
        <v>0.00378698224852071</v>
      </c>
      <c r="F12" s="276">
        <f t="shared" si="2"/>
        <v>1.0787575842452649E-05</v>
      </c>
      <c r="G12"/>
      <c r="H12"/>
      <c r="I12"/>
      <c r="L12" s="116"/>
    </row>
    <row r="13" spans="1:12" ht="12.75">
      <c r="A13"/>
      <c r="B13" s="275">
        <f t="shared" si="3"/>
        <v>7</v>
      </c>
      <c r="C13" s="3">
        <f t="shared" si="4"/>
        <v>6</v>
      </c>
      <c r="D13" s="4">
        <f t="shared" si="0"/>
        <v>0.5384615384615384</v>
      </c>
      <c r="E13" s="19">
        <f t="shared" si="1"/>
        <v>0.01775147928994083</v>
      </c>
      <c r="F13" s="276">
        <f t="shared" si="2"/>
        <v>0.000445203335805034</v>
      </c>
      <c r="G13"/>
      <c r="H13"/>
      <c r="I13"/>
      <c r="L13" s="116"/>
    </row>
    <row r="14" spans="1:12" ht="12.75">
      <c r="A14"/>
      <c r="B14" s="272"/>
      <c r="C14" s="273" t="s">
        <v>113</v>
      </c>
      <c r="D14" s="277">
        <f>SUMPRODUCT(D88:D94,D7:D13)</f>
        <v>0.46485682521002586</v>
      </c>
      <c r="E14" s="278" t="s">
        <v>114</v>
      </c>
      <c r="F14" s="274">
        <f>SUM(F7:F13)</f>
        <v>0.001088632179475926</v>
      </c>
      <c r="G14"/>
      <c r="H14"/>
      <c r="I14"/>
      <c r="L14" s="116"/>
    </row>
    <row r="15" spans="1:12" ht="12.75">
      <c r="A15"/>
      <c r="B15"/>
      <c r="C15"/>
      <c r="D15"/>
      <c r="E15"/>
      <c r="F15"/>
      <c r="G15"/>
      <c r="H15"/>
      <c r="I15" s="115"/>
      <c r="J15" s="116"/>
      <c r="K15" s="116"/>
      <c r="L15" s="116"/>
    </row>
    <row r="16" spans="1:9" ht="15">
      <c r="A16" s="254" t="s">
        <v>115</v>
      </c>
      <c r="B16" s="215" t="s">
        <v>116</v>
      </c>
      <c r="C16" s="201"/>
      <c r="D16" s="201"/>
      <c r="E16" s="201"/>
      <c r="F16" s="201"/>
      <c r="G16" s="202"/>
      <c r="H16"/>
      <c r="I16"/>
    </row>
    <row r="17" spans="1:10" ht="12.75">
      <c r="A17"/>
      <c r="B17" s="203" t="s">
        <v>117</v>
      </c>
      <c r="C17" s="150" t="s">
        <v>118</v>
      </c>
      <c r="D17" s="204">
        <v>0.279</v>
      </c>
      <c r="E17" s="205">
        <f aca="true" t="shared" si="5" ref="E17:E23">LN(1-D17)</f>
        <v>-0.327116141697188</v>
      </c>
      <c r="F17" s="206" t="s">
        <v>110</v>
      </c>
      <c r="G17" s="207">
        <f>E19</f>
        <v>-0.6635883783184009</v>
      </c>
      <c r="H17"/>
      <c r="I17" s="198"/>
      <c r="J17" s="200"/>
    </row>
    <row r="18" spans="1:10" ht="12.75">
      <c r="A18"/>
      <c r="B18" s="20"/>
      <c r="C18" s="1" t="s">
        <v>119</v>
      </c>
      <c r="D18" s="208">
        <v>0.632</v>
      </c>
      <c r="E18" s="209">
        <f t="shared" si="5"/>
        <v>-0.9996723408132061</v>
      </c>
      <c r="F18" s="210" t="s">
        <v>120</v>
      </c>
      <c r="G18" s="211">
        <f>(E17-E19)/1.96</f>
        <v>0.17166950848021068</v>
      </c>
      <c r="H18"/>
      <c r="I18" s="198"/>
      <c r="J18" s="200"/>
    </row>
    <row r="19" spans="1:10" ht="12.75">
      <c r="A19"/>
      <c r="B19" s="21"/>
      <c r="C19" s="212" t="s">
        <v>110</v>
      </c>
      <c r="D19" s="213">
        <v>0.485</v>
      </c>
      <c r="E19" s="214">
        <f t="shared" si="5"/>
        <v>-0.6635883783184009</v>
      </c>
      <c r="F19" s="212" t="s">
        <v>121</v>
      </c>
      <c r="G19" s="243">
        <f>MAX(0,1-EXP(_XLL.RISKNORMAL(G17,G18)))</f>
        <v>0.485</v>
      </c>
      <c r="H19"/>
      <c r="I19" s="198"/>
      <c r="J19" s="200"/>
    </row>
    <row r="20" spans="1:9" ht="12.75">
      <c r="A20"/>
      <c r="B20" s="215" t="s">
        <v>122</v>
      </c>
      <c r="C20" s="201"/>
      <c r="D20" s="201"/>
      <c r="E20" s="201"/>
      <c r="F20" s="201"/>
      <c r="G20" s="202"/>
      <c r="H20"/>
      <c r="I20"/>
    </row>
    <row r="21" spans="1:12" ht="12.75">
      <c r="A21"/>
      <c r="B21" s="203" t="s">
        <v>117</v>
      </c>
      <c r="C21" s="150" t="s">
        <v>118</v>
      </c>
      <c r="D21" s="204">
        <v>0.202</v>
      </c>
      <c r="E21" s="205">
        <f t="shared" si="5"/>
        <v>-0.22564668153232822</v>
      </c>
      <c r="F21" s="206" t="s">
        <v>110</v>
      </c>
      <c r="G21" s="207">
        <f>E23</f>
        <v>-1.0996127890016933</v>
      </c>
      <c r="H21" s="216" t="s">
        <v>123</v>
      </c>
      <c r="I21"/>
      <c r="J21" s="116"/>
      <c r="K21" s="116"/>
      <c r="L21" s="116"/>
    </row>
    <row r="22" spans="1:12" ht="12.75">
      <c r="A22"/>
      <c r="B22" s="20"/>
      <c r="C22" s="1" t="s">
        <v>119</v>
      </c>
      <c r="D22" s="208">
        <v>0.861</v>
      </c>
      <c r="E22" s="209">
        <f t="shared" si="5"/>
        <v>-1.973281345851445</v>
      </c>
      <c r="F22" s="210" t="s">
        <v>120</v>
      </c>
      <c r="G22" s="211">
        <f>(E21-E23)/1.96</f>
        <v>0.445901075239472</v>
      </c>
      <c r="H22" s="217">
        <f>1-EXP(_XLL.RISKNORMAL(G21,G22))</f>
        <v>0.667</v>
      </c>
      <c r="I22"/>
      <c r="J22" s="116"/>
      <c r="K22" s="116"/>
      <c r="L22" s="116"/>
    </row>
    <row r="23" spans="1:12" ht="12.75">
      <c r="A23"/>
      <c r="B23" s="21"/>
      <c r="C23" s="212" t="s">
        <v>110</v>
      </c>
      <c r="D23" s="213">
        <v>0.667</v>
      </c>
      <c r="E23" s="214">
        <f t="shared" si="5"/>
        <v>-1.0996127890016933</v>
      </c>
      <c r="F23" s="212" t="s">
        <v>124</v>
      </c>
      <c r="G23" s="244">
        <f>IF(H22&lt;0,H23,H22)</f>
        <v>0.667</v>
      </c>
      <c r="H23" s="218">
        <f>1-EXP(_XLL.RISKNORMAL(G21,G22))</f>
        <v>0.667</v>
      </c>
      <c r="I23"/>
      <c r="J23" s="116"/>
      <c r="K23" s="116"/>
      <c r="L23" s="116"/>
    </row>
    <row r="24" spans="1:12" ht="12.75">
      <c r="A24"/>
      <c r="B24"/>
      <c r="C24"/>
      <c r="D24"/>
      <c r="E24"/>
      <c r="F24"/>
      <c r="G24"/>
      <c r="H24"/>
      <c r="I24" s="115"/>
      <c r="J24" s="116"/>
      <c r="K24" s="116"/>
      <c r="L24" s="116"/>
    </row>
    <row r="25" spans="1:9" ht="15">
      <c r="A25" s="271" t="s">
        <v>125</v>
      </c>
      <c r="B25"/>
      <c r="C25"/>
      <c r="D25"/>
      <c r="E25"/>
      <c r="F25"/>
      <c r="G25"/>
      <c r="H25" s="115"/>
      <c r="I25"/>
    </row>
    <row r="26" spans="1:9" ht="128.25" customHeight="1">
      <c r="A26" s="309" t="s">
        <v>126</v>
      </c>
      <c r="B26" s="310" t="s">
        <v>127</v>
      </c>
      <c r="C26" s="310" t="s">
        <v>128</v>
      </c>
      <c r="D26" s="310" t="s">
        <v>129</v>
      </c>
      <c r="E26" s="310" t="s">
        <v>130</v>
      </c>
      <c r="F26" s="310" t="s">
        <v>131</v>
      </c>
      <c r="G26" s="310" t="s">
        <v>132</v>
      </c>
      <c r="H26" s="310" t="s">
        <v>133</v>
      </c>
      <c r="I26" s="315" t="s">
        <v>134</v>
      </c>
    </row>
    <row r="27" spans="1:9" ht="12.75">
      <c r="A27" s="141" t="s">
        <v>135</v>
      </c>
      <c r="B27" s="270">
        <v>2146096</v>
      </c>
      <c r="C27" s="241">
        <v>10</v>
      </c>
      <c r="D27" s="242">
        <v>780</v>
      </c>
      <c r="E27" s="28">
        <f aca="true" t="shared" si="6" ref="E27:E33">SUM(C27:D27)</f>
        <v>790</v>
      </c>
      <c r="F27" s="262">
        <f>_XLL.RISKGAMMA(C27,1)</f>
        <v>10</v>
      </c>
      <c r="G27" s="262">
        <f>_XLL.RISKGAMMA(D27,1)</f>
        <v>780</v>
      </c>
      <c r="H27" s="263">
        <f>F27*$B$4/$B$34</f>
        <v>130.4035117382364</v>
      </c>
      <c r="I27" s="264">
        <f>G27*$B$4/$B$34</f>
        <v>10171.473915582439</v>
      </c>
    </row>
    <row r="28" spans="1:11" ht="12.75">
      <c r="A28" s="141" t="s">
        <v>136</v>
      </c>
      <c r="B28" s="270">
        <v>3274069</v>
      </c>
      <c r="C28" s="241">
        <v>8</v>
      </c>
      <c r="D28" s="242">
        <v>595</v>
      </c>
      <c r="E28" s="28">
        <f t="shared" si="6"/>
        <v>603</v>
      </c>
      <c r="F28" s="262">
        <f>_XLL.RISKGAMMA(C28,1)</f>
        <v>8</v>
      </c>
      <c r="G28" s="262">
        <f>_XLL.RISKGAMMA(D28,1)</f>
        <v>595</v>
      </c>
      <c r="H28" s="263">
        <f aca="true" t="shared" si="7" ref="H28:H33">F28*$B$4/$B$34</f>
        <v>104.32280939058913</v>
      </c>
      <c r="I28" s="264">
        <f aca="true" t="shared" si="8" ref="I28:I33">G28*$B$4/$B$34</f>
        <v>7759.008948425067</v>
      </c>
      <c r="K28" s="123"/>
    </row>
    <row r="29" spans="1:9" ht="12.75">
      <c r="A29" s="141" t="s">
        <v>137</v>
      </c>
      <c r="B29" s="270">
        <v>3746059</v>
      </c>
      <c r="C29" s="241">
        <v>9</v>
      </c>
      <c r="D29" s="242">
        <v>460</v>
      </c>
      <c r="E29" s="28">
        <f t="shared" si="6"/>
        <v>469</v>
      </c>
      <c r="F29" s="262">
        <f>_XLL.RISKGAMMA(C29,1)</f>
        <v>9</v>
      </c>
      <c r="G29" s="262">
        <f>_XLL.RISKGAMMA(D29,1)</f>
        <v>460</v>
      </c>
      <c r="H29" s="263">
        <f t="shared" si="7"/>
        <v>117.36316056441277</v>
      </c>
      <c r="I29" s="264">
        <f t="shared" si="8"/>
        <v>5998.561539958875</v>
      </c>
    </row>
    <row r="30" spans="1:9" ht="12.75">
      <c r="A30" s="141" t="s">
        <v>138</v>
      </c>
      <c r="B30" s="270">
        <v>2444280</v>
      </c>
      <c r="C30" s="241">
        <v>8</v>
      </c>
      <c r="D30" s="242">
        <v>240</v>
      </c>
      <c r="E30" s="28">
        <f t="shared" si="6"/>
        <v>248</v>
      </c>
      <c r="F30" s="262">
        <f>_XLL.RISKGAMMA(C30,1)</f>
        <v>8</v>
      </c>
      <c r="G30" s="262">
        <f>_XLL.RISKGAMMA(D30,1)</f>
        <v>240</v>
      </c>
      <c r="H30" s="263">
        <f t="shared" si="7"/>
        <v>104.32280939058913</v>
      </c>
      <c r="I30" s="264">
        <f t="shared" si="8"/>
        <v>3129.684281717674</v>
      </c>
    </row>
    <row r="31" spans="1:9" ht="12.75">
      <c r="A31" s="141" t="s">
        <v>139</v>
      </c>
      <c r="B31" s="270">
        <v>4725419</v>
      </c>
      <c r="C31" s="241">
        <v>6</v>
      </c>
      <c r="D31" s="242">
        <v>998</v>
      </c>
      <c r="E31" s="28">
        <f t="shared" si="6"/>
        <v>1004</v>
      </c>
      <c r="F31" s="262">
        <f>_XLL.RISKGAMMA(C31,1)</f>
        <v>6</v>
      </c>
      <c r="G31" s="262">
        <f>_XLL.RISKGAMMA(D31,1)</f>
        <v>998</v>
      </c>
      <c r="H31" s="263">
        <f t="shared" si="7"/>
        <v>78.24210704294184</v>
      </c>
      <c r="I31" s="264">
        <f t="shared" si="8"/>
        <v>13014.270471475993</v>
      </c>
    </row>
    <row r="32" spans="1:9" ht="12.75">
      <c r="A32" s="141" t="s">
        <v>140</v>
      </c>
      <c r="B32" s="270">
        <v>1106085</v>
      </c>
      <c r="C32" s="241">
        <v>0</v>
      </c>
      <c r="D32" s="242">
        <v>221</v>
      </c>
      <c r="E32" s="28">
        <f t="shared" si="6"/>
        <v>221</v>
      </c>
      <c r="F32" s="262">
        <f>-LN(_XLL.RISKBETA(2,1))</f>
        <v>0.40546510810816444</v>
      </c>
      <c r="G32" s="262">
        <f>_XLL.RISKGAMMA(D32,1)</f>
        <v>221</v>
      </c>
      <c r="H32" s="263">
        <f t="shared" si="7"/>
        <v>5.287407398462832</v>
      </c>
      <c r="I32" s="264">
        <f t="shared" si="8"/>
        <v>2881.917609415025</v>
      </c>
    </row>
    <row r="33" spans="1:9" ht="12.75">
      <c r="A33" s="141" t="s">
        <v>141</v>
      </c>
      <c r="B33" s="270">
        <v>3281974</v>
      </c>
      <c r="C33" s="241">
        <v>2</v>
      </c>
      <c r="D33" s="242">
        <v>691</v>
      </c>
      <c r="E33" s="28">
        <f t="shared" si="6"/>
        <v>693</v>
      </c>
      <c r="F33" s="262">
        <f>_XLL.RISKGAMMA(C33,1)</f>
        <v>2</v>
      </c>
      <c r="G33" s="262">
        <f>_XLL.RISKGAMMA(D33,1)</f>
        <v>691</v>
      </c>
      <c r="H33" s="263">
        <f t="shared" si="7"/>
        <v>26.080702347647282</v>
      </c>
      <c r="I33" s="264">
        <f t="shared" si="8"/>
        <v>9010.882661112135</v>
      </c>
    </row>
    <row r="34" spans="1:9" ht="12.75">
      <c r="A34" s="92" t="s">
        <v>142</v>
      </c>
      <c r="B34" s="265">
        <f>SUM(B27:B33)</f>
        <v>20723982</v>
      </c>
      <c r="C34" s="171">
        <f>SUM(C27:C33)</f>
        <v>43</v>
      </c>
      <c r="D34" s="171">
        <f>SUM(D27:D33)</f>
        <v>3985</v>
      </c>
      <c r="E34" s="125">
        <f>SUM(E27:E33)</f>
        <v>4028</v>
      </c>
      <c r="F34" s="266"/>
      <c r="G34" s="267"/>
      <c r="H34" s="268">
        <f>SUM(H27:H33)</f>
        <v>566.0225078728794</v>
      </c>
      <c r="I34" s="269">
        <f>SUM(I27:I33)</f>
        <v>51965.799427687205</v>
      </c>
    </row>
    <row r="35" spans="2:10" ht="12.75">
      <c r="B35" s="119"/>
      <c r="C35" s="120"/>
      <c r="E35" s="120"/>
      <c r="J35" s="18"/>
    </row>
    <row r="36" spans="1:9" ht="107.25" customHeight="1">
      <c r="A36" s="309" t="s">
        <v>143</v>
      </c>
      <c r="B36" s="310" t="s">
        <v>144</v>
      </c>
      <c r="C36" s="310" t="s">
        <v>145</v>
      </c>
      <c r="D36" s="310" t="s">
        <v>146</v>
      </c>
      <c r="E36" s="310" t="s">
        <v>147</v>
      </c>
      <c r="F36" s="310" t="s">
        <v>131</v>
      </c>
      <c r="G36" s="310" t="s">
        <v>132</v>
      </c>
      <c r="H36" s="310" t="s">
        <v>133</v>
      </c>
      <c r="I36" s="315" t="s">
        <v>134</v>
      </c>
    </row>
    <row r="37" spans="1:9" ht="12.75">
      <c r="A37" s="252" t="s">
        <v>135</v>
      </c>
      <c r="B37" s="255">
        <v>2162359</v>
      </c>
      <c r="C37" s="256">
        <v>11</v>
      </c>
      <c r="D37" s="257">
        <v>685</v>
      </c>
      <c r="E37" s="127">
        <f aca="true" t="shared" si="9" ref="E37:E43">SUM(C37:D37)</f>
        <v>696</v>
      </c>
      <c r="F37" s="258">
        <f>_XLL.RISKGAMMA(C37,1)</f>
        <v>11</v>
      </c>
      <c r="G37" s="258">
        <f>_XLL.RISKGAMMA(D37,1)</f>
        <v>685</v>
      </c>
      <c r="H37" s="259">
        <f>F37*$C$4/$B$44</f>
        <v>115.99686252274857</v>
      </c>
      <c r="I37" s="260">
        <f>G37*$C$4/$B$44</f>
        <v>7223.440984371161</v>
      </c>
    </row>
    <row r="38" spans="1:9" ht="12.75">
      <c r="A38" s="141" t="s">
        <v>136</v>
      </c>
      <c r="B38" s="261">
        <v>3282031</v>
      </c>
      <c r="C38" s="241">
        <v>11</v>
      </c>
      <c r="D38" s="242">
        <v>553</v>
      </c>
      <c r="E38" s="28">
        <f t="shared" si="9"/>
        <v>564</v>
      </c>
      <c r="F38" s="262">
        <f>_XLL.RISKGAMMA(C38,1)</f>
        <v>11</v>
      </c>
      <c r="G38" s="262">
        <f>_XLL.RISKGAMMA(D38,1)</f>
        <v>553</v>
      </c>
      <c r="H38" s="259">
        <f aca="true" t="shared" si="10" ref="H38:H43">F38*$C$4/$B$44</f>
        <v>115.99686252274857</v>
      </c>
      <c r="I38" s="260">
        <f aca="true" t="shared" si="11" ref="I38:I43">G38*$C$4/$B$44</f>
        <v>5831.478634098178</v>
      </c>
    </row>
    <row r="39" spans="1:9" ht="12.75">
      <c r="A39" s="141" t="s">
        <v>137</v>
      </c>
      <c r="B39" s="261">
        <v>7788240</v>
      </c>
      <c r="C39" s="241">
        <v>8</v>
      </c>
      <c r="D39" s="242">
        <v>715</v>
      </c>
      <c r="E39" s="28">
        <f t="shared" si="9"/>
        <v>723</v>
      </c>
      <c r="F39" s="262">
        <f>_XLL.RISKGAMMA(C39,1)</f>
        <v>8</v>
      </c>
      <c r="G39" s="262">
        <f>_XLL.RISKGAMMA(D39,1)</f>
        <v>715</v>
      </c>
      <c r="H39" s="259">
        <f t="shared" si="10"/>
        <v>84.36135456199897</v>
      </c>
      <c r="I39" s="260">
        <f t="shared" si="11"/>
        <v>7539.796063978657</v>
      </c>
    </row>
    <row r="40" spans="1:9" ht="12.75">
      <c r="A40" s="141" t="s">
        <v>138</v>
      </c>
      <c r="B40" s="261">
        <v>2450566</v>
      </c>
      <c r="C40" s="241">
        <v>10</v>
      </c>
      <c r="D40" s="242">
        <v>156</v>
      </c>
      <c r="E40" s="28">
        <f t="shared" si="9"/>
        <v>166</v>
      </c>
      <c r="F40" s="262">
        <f>_XLL.RISKGAMMA(C40,1)</f>
        <v>10</v>
      </c>
      <c r="G40" s="262">
        <f>_XLL.RISKGAMMA(D40,1)</f>
        <v>156</v>
      </c>
      <c r="H40" s="259">
        <f t="shared" si="10"/>
        <v>105.4516932024987</v>
      </c>
      <c r="I40" s="260">
        <f t="shared" si="11"/>
        <v>1645.0464139589799</v>
      </c>
    </row>
    <row r="41" spans="1:9" ht="12.75">
      <c r="A41" s="141" t="s">
        <v>139</v>
      </c>
      <c r="B41" s="261">
        <v>4775508</v>
      </c>
      <c r="C41" s="241">
        <v>3</v>
      </c>
      <c r="D41" s="242">
        <v>782</v>
      </c>
      <c r="E41" s="28">
        <f t="shared" si="9"/>
        <v>785</v>
      </c>
      <c r="F41" s="262">
        <f>_XLL.RISKGAMMA(C41,1)</f>
        <v>3</v>
      </c>
      <c r="G41" s="262">
        <f>_XLL.RISKGAMMA(D41,1)</f>
        <v>782</v>
      </c>
      <c r="H41" s="259">
        <f t="shared" si="10"/>
        <v>31.63550796074961</v>
      </c>
      <c r="I41" s="260">
        <f t="shared" si="11"/>
        <v>8246.322408435399</v>
      </c>
    </row>
    <row r="42" spans="1:9" ht="12.75">
      <c r="A42" s="141" t="s">
        <v>140</v>
      </c>
      <c r="B42" s="261">
        <v>2084453</v>
      </c>
      <c r="C42" s="241">
        <v>2</v>
      </c>
      <c r="D42" s="242">
        <v>356</v>
      </c>
      <c r="E42" s="28">
        <f t="shared" si="9"/>
        <v>358</v>
      </c>
      <c r="F42" s="262">
        <f>_XLL.RISKGAMMA(C42,1)</f>
        <v>2</v>
      </c>
      <c r="G42" s="262">
        <f>_XLL.RISKGAMMA(D42,1)</f>
        <v>356</v>
      </c>
      <c r="H42" s="259">
        <f t="shared" si="10"/>
        <v>21.09033864049974</v>
      </c>
      <c r="I42" s="260">
        <f t="shared" si="11"/>
        <v>3754.080278008954</v>
      </c>
    </row>
    <row r="43" spans="1:9" ht="12.75">
      <c r="A43" s="141" t="s">
        <v>141</v>
      </c>
      <c r="B43" s="261">
        <v>3316154</v>
      </c>
      <c r="C43" s="241">
        <v>6</v>
      </c>
      <c r="D43" s="242">
        <v>586</v>
      </c>
      <c r="E43" s="28">
        <f t="shared" si="9"/>
        <v>592</v>
      </c>
      <c r="F43" s="262">
        <f>_XLL.RISKGAMMA(C43,1)</f>
        <v>6</v>
      </c>
      <c r="G43" s="262">
        <f>_XLL.RISKGAMMA(D43,1)</f>
        <v>586</v>
      </c>
      <c r="H43" s="259">
        <f t="shared" si="10"/>
        <v>63.27101592149922</v>
      </c>
      <c r="I43" s="260">
        <f t="shared" si="11"/>
        <v>6179.469221666424</v>
      </c>
    </row>
    <row r="44" spans="1:9" ht="12.75">
      <c r="A44" s="92" t="s">
        <v>142</v>
      </c>
      <c r="B44" s="265">
        <f>SUM(B37:B43)</f>
        <v>25859311</v>
      </c>
      <c r="C44" s="171">
        <f>SUM(C37:C43)</f>
        <v>51</v>
      </c>
      <c r="D44" s="171">
        <f>SUM(D37:D43)</f>
        <v>3833</v>
      </c>
      <c r="E44" s="125">
        <f>SUM(E37:E43)</f>
        <v>3884</v>
      </c>
      <c r="F44" s="266"/>
      <c r="G44" s="267"/>
      <c r="H44" s="268">
        <f>SUM(H37:H43)</f>
        <v>537.8036353327434</v>
      </c>
      <c r="I44" s="269">
        <f>SUM(I37:I43)</f>
        <v>40419.63400451775</v>
      </c>
    </row>
    <row r="45" spans="2:10" ht="12.75">
      <c r="B45" s="119"/>
      <c r="C45" s="120"/>
      <c r="E45" s="120"/>
      <c r="J45" s="18"/>
    </row>
    <row r="46" spans="1:9" ht="12.75">
      <c r="A46" s="133"/>
      <c r="B46" s="134" t="s">
        <v>148</v>
      </c>
      <c r="C46" s="151"/>
      <c r="D46" s="151"/>
      <c r="E46" s="152"/>
      <c r="G46"/>
      <c r="H46"/>
      <c r="I46"/>
    </row>
    <row r="47" spans="1:9" ht="34.5" customHeight="1">
      <c r="A47" s="135"/>
      <c r="B47" s="311" t="s">
        <v>149</v>
      </c>
      <c r="C47" s="312" t="s">
        <v>150</v>
      </c>
      <c r="D47" s="312" t="s">
        <v>151</v>
      </c>
      <c r="E47" s="313" t="s">
        <v>152</v>
      </c>
      <c r="F47" s="318" t="s">
        <v>123</v>
      </c>
      <c r="G47"/>
      <c r="H47"/>
      <c r="I47"/>
    </row>
    <row r="48" spans="1:9" ht="12.75">
      <c r="A48" s="136" t="s">
        <v>153</v>
      </c>
      <c r="B48" s="137"/>
      <c r="C48" s="138"/>
      <c r="D48" s="138"/>
      <c r="E48" s="139"/>
      <c r="F48" s="286"/>
      <c r="G48"/>
      <c r="H48"/>
      <c r="I48"/>
    </row>
    <row r="49" spans="1:9" ht="15">
      <c r="A49" s="140" t="s">
        <v>154</v>
      </c>
      <c r="B49" s="288">
        <v>131</v>
      </c>
      <c r="C49" s="289">
        <v>609</v>
      </c>
      <c r="D49" s="292">
        <v>0.205</v>
      </c>
      <c r="E49" s="165"/>
      <c r="F49" s="284">
        <f>_XLL.RISKBETA(D49*C49+1,C49-D49*C49+1)</f>
        <v>0.20596563011456628</v>
      </c>
      <c r="G49" s="142"/>
      <c r="H49" s="142"/>
      <c r="I49" s="142"/>
    </row>
    <row r="50" spans="1:9" ht="15">
      <c r="A50" s="140" t="s">
        <v>155</v>
      </c>
      <c r="B50" s="288">
        <v>9</v>
      </c>
      <c r="C50" s="289">
        <v>30</v>
      </c>
      <c r="D50" s="292">
        <v>0.332</v>
      </c>
      <c r="E50" s="165" t="s">
        <v>156</v>
      </c>
      <c r="F50" s="285">
        <f>_XLL.RISKBETA(D50*C50+1,C50-D50*C50+1)</f>
        <v>0.3425</v>
      </c>
      <c r="G50" s="142"/>
      <c r="H50" s="142"/>
      <c r="I50" s="142"/>
    </row>
    <row r="51" spans="1:9" ht="33" customHeight="1">
      <c r="A51" s="136" t="s">
        <v>157</v>
      </c>
      <c r="B51" s="154"/>
      <c r="C51" s="290"/>
      <c r="D51" s="153"/>
      <c r="E51" s="166"/>
      <c r="F51" s="287"/>
      <c r="G51"/>
      <c r="H51"/>
      <c r="I51"/>
    </row>
    <row r="52" spans="1:9" ht="15">
      <c r="A52" s="140" t="s">
        <v>158</v>
      </c>
      <c r="B52" s="291">
        <v>18</v>
      </c>
      <c r="C52" s="289">
        <v>128</v>
      </c>
      <c r="D52" s="292">
        <v>0.151</v>
      </c>
      <c r="E52" s="165" t="s">
        <v>156</v>
      </c>
      <c r="F52" s="284">
        <f>_XLL.RISKBETA(D52*C52+1,C52-D52*C52+1)</f>
        <v>0.15636923076923076</v>
      </c>
      <c r="G52"/>
      <c r="H52"/>
      <c r="I52"/>
    </row>
    <row r="53" spans="1:9" ht="15">
      <c r="A53" s="140" t="s">
        <v>159</v>
      </c>
      <c r="B53" s="291">
        <v>3</v>
      </c>
      <c r="C53" s="289">
        <v>9</v>
      </c>
      <c r="D53" s="292">
        <v>0.261</v>
      </c>
      <c r="E53" s="165" t="s">
        <v>156</v>
      </c>
      <c r="F53" s="285">
        <f>_XLL.RISKBETA(D53*C53+1,C53-D53*C53+1)</f>
        <v>0.3044545454545455</v>
      </c>
      <c r="G53"/>
      <c r="H53"/>
      <c r="I53"/>
    </row>
    <row r="54" spans="1:5" ht="25.5" customHeight="1">
      <c r="A54" s="136" t="s">
        <v>160</v>
      </c>
      <c r="B54" s="137"/>
      <c r="C54" s="143"/>
      <c r="D54" s="143"/>
      <c r="E54" s="166"/>
    </row>
    <row r="55" spans="1:5" ht="12" customHeight="1">
      <c r="A55" s="140" t="s">
        <v>161</v>
      </c>
      <c r="B55" s="131"/>
      <c r="C55" s="131"/>
      <c r="D55" s="131"/>
      <c r="E55" s="165"/>
    </row>
    <row r="56" spans="1:5" ht="12" customHeight="1">
      <c r="A56" s="140" t="s">
        <v>162</v>
      </c>
      <c r="B56" s="288">
        <v>44</v>
      </c>
      <c r="C56" s="289">
        <v>116</v>
      </c>
      <c r="D56" s="292">
        <v>0.381</v>
      </c>
      <c r="E56" s="165" t="s">
        <v>156</v>
      </c>
    </row>
    <row r="57" spans="1:5" ht="45" customHeight="1">
      <c r="A57" s="144" t="s">
        <v>163</v>
      </c>
      <c r="B57" s="293">
        <v>28</v>
      </c>
      <c r="C57" s="145">
        <v>524</v>
      </c>
      <c r="D57" s="294">
        <v>0.059</v>
      </c>
      <c r="E57" s="167" t="s">
        <v>164</v>
      </c>
    </row>
    <row r="58" spans="1:10" ht="12.75">
      <c r="A58" s="18" t="s">
        <v>165</v>
      </c>
      <c r="B58" s="119"/>
      <c r="C58" s="120"/>
      <c r="E58" s="120"/>
      <c r="J58" s="18"/>
    </row>
    <row r="59" spans="2:10" ht="12.75">
      <c r="B59" s="119"/>
      <c r="C59" s="120"/>
      <c r="E59" s="120"/>
      <c r="J59" s="18"/>
    </row>
    <row r="60" spans="1:11" ht="15.75" thickBot="1">
      <c r="A60" s="254" t="s">
        <v>166</v>
      </c>
      <c r="B60" s="119"/>
      <c r="C60" s="119"/>
      <c r="D60" s="124"/>
      <c r="E60" s="120"/>
      <c r="F60" s="120"/>
      <c r="K60" s="18"/>
    </row>
    <row r="61" spans="1:24" ht="46.5" customHeight="1" thickTop="1">
      <c r="A61" s="146" t="s">
        <v>167</v>
      </c>
      <c r="B61" s="147"/>
      <c r="C61" s="147"/>
      <c r="D61" s="147"/>
      <c r="E61" s="147"/>
      <c r="F61" s="147"/>
      <c r="G61" s="147"/>
      <c r="H61" s="147"/>
      <c r="I61" s="147"/>
      <c r="J61" s="147"/>
      <c r="K61" s="351"/>
      <c r="L61" s="352"/>
      <c r="O61" s="353" t="s">
        <v>168</v>
      </c>
      <c r="P61" s="354"/>
      <c r="Q61" s="354"/>
      <c r="R61" s="354"/>
      <c r="S61" s="354"/>
      <c r="T61" s="354"/>
      <c r="U61" s="354"/>
      <c r="V61" s="354"/>
      <c r="W61" s="354"/>
      <c r="X61" s="355"/>
    </row>
    <row r="62" spans="1:24" ht="117" customHeight="1">
      <c r="A62" s="308" t="s">
        <v>169</v>
      </c>
      <c r="B62" s="310" t="s">
        <v>170</v>
      </c>
      <c r="C62" s="310" t="s">
        <v>171</v>
      </c>
      <c r="D62" s="310" t="s">
        <v>172</v>
      </c>
      <c r="E62" s="350" t="s">
        <v>173</v>
      </c>
      <c r="F62" s="310" t="s">
        <v>174</v>
      </c>
      <c r="G62" s="310" t="s">
        <v>175</v>
      </c>
      <c r="H62" s="323" t="s">
        <v>176</v>
      </c>
      <c r="I62" s="310" t="s">
        <v>177</v>
      </c>
      <c r="J62" s="310" t="s">
        <v>178</v>
      </c>
      <c r="K62" s="310" t="s">
        <v>179</v>
      </c>
      <c r="L62" s="314" t="s">
        <v>180</v>
      </c>
      <c r="O62" s="322" t="s">
        <v>181</v>
      </c>
      <c r="P62" s="121" t="s">
        <v>182</v>
      </c>
      <c r="Q62" s="121" t="s">
        <v>183</v>
      </c>
      <c r="R62" s="121" t="s">
        <v>184</v>
      </c>
      <c r="S62" s="121" t="s">
        <v>185</v>
      </c>
      <c r="T62" s="323" t="s">
        <v>173</v>
      </c>
      <c r="U62" s="323" t="s">
        <v>176</v>
      </c>
      <c r="V62" s="121" t="s">
        <v>186</v>
      </c>
      <c r="W62" s="121" t="s">
        <v>187</v>
      </c>
      <c r="X62" s="324" t="s">
        <v>188</v>
      </c>
    </row>
    <row r="63" spans="1:24" ht="12.75">
      <c r="A63" s="307" t="s">
        <v>135</v>
      </c>
      <c r="B63" s="295">
        <v>2146096</v>
      </c>
      <c r="C63" s="296">
        <f aca="true" t="shared" si="12" ref="C63:C70">B63/$B$70</f>
        <v>0.10355616020125862</v>
      </c>
      <c r="D63" s="131">
        <v>7</v>
      </c>
      <c r="E63" s="319">
        <f aca="true" t="shared" si="13" ref="E63:E69">T63</f>
        <v>0.5</v>
      </c>
      <c r="F63" s="330">
        <f aca="true" t="shared" si="14" ref="F63:F69">D63-(D63*E63)</f>
        <v>3.5</v>
      </c>
      <c r="G63" s="162">
        <v>53</v>
      </c>
      <c r="H63" s="320">
        <f aca="true" t="shared" si="15" ref="H63:H69">U63</f>
        <v>0.3</v>
      </c>
      <c r="I63" s="176">
        <f>_XLL.RISKBINOMIAL(ROUND(G63-(G63*H63),0),Model!$E$30)</f>
        <v>21</v>
      </c>
      <c r="J63" s="189">
        <f>I63+F63</f>
        <v>24.5</v>
      </c>
      <c r="K63" s="161">
        <f>_XLL.RISKBETA(F63+1,J63-F63+1)</f>
        <v>0.16981132075471697</v>
      </c>
      <c r="L63" s="159">
        <f aca="true" t="shared" si="16" ref="L63:L69">K63*C63</f>
        <v>0.01758500833606278</v>
      </c>
      <c r="O63" s="325">
        <v>12</v>
      </c>
      <c r="P63" s="3">
        <f>O63-Q63</f>
        <v>10</v>
      </c>
      <c r="Q63" s="3">
        <v>2</v>
      </c>
      <c r="R63" s="3">
        <f aca="true" t="shared" si="17" ref="R63:R70">Q63-W63</f>
        <v>1</v>
      </c>
      <c r="S63" s="3">
        <f aca="true" t="shared" si="18" ref="S63:S70">P63-X63</f>
        <v>3</v>
      </c>
      <c r="T63" s="319">
        <f>R63/Q63</f>
        <v>0.5</v>
      </c>
      <c r="U63" s="319">
        <f>S63/P63</f>
        <v>0.3</v>
      </c>
      <c r="V63" s="3">
        <v>8</v>
      </c>
      <c r="W63" s="3">
        <v>1</v>
      </c>
      <c r="X63" s="326">
        <f aca="true" t="shared" si="19" ref="X63:X70">V63-W63</f>
        <v>7</v>
      </c>
    </row>
    <row r="64" spans="1:24" ht="12.75">
      <c r="A64" s="307" t="s">
        <v>136</v>
      </c>
      <c r="B64" s="295">
        <v>3274069</v>
      </c>
      <c r="C64" s="296">
        <f t="shared" si="12"/>
        <v>0.15798455142452836</v>
      </c>
      <c r="D64" s="131">
        <v>7</v>
      </c>
      <c r="E64" s="319">
        <f t="shared" si="13"/>
        <v>0.5769230769230769</v>
      </c>
      <c r="F64" s="330">
        <f t="shared" si="14"/>
        <v>2.9615384615384617</v>
      </c>
      <c r="G64" s="162">
        <v>43</v>
      </c>
      <c r="H64" s="320">
        <f t="shared" si="15"/>
        <v>0.29518072289156627</v>
      </c>
      <c r="I64" s="176">
        <f>_XLL.RISKBINOMIAL(ROUND(G64-(G64*H64),0),Model!$E$30)</f>
        <v>17</v>
      </c>
      <c r="J64" s="189">
        <f aca="true" t="shared" si="20" ref="J64:J70">I64+F64</f>
        <v>19.96153846153846</v>
      </c>
      <c r="K64" s="161">
        <f>_XLL.RISKBETA(F64+1,J64-F64+1)</f>
        <v>0.18038528896672507</v>
      </c>
      <c r="L64" s="159">
        <f t="shared" si="16"/>
        <v>0.028498088960991985</v>
      </c>
      <c r="O64" s="325">
        <v>192</v>
      </c>
      <c r="P64" s="3">
        <f aca="true" t="shared" si="21" ref="P64:P70">O64-Q64</f>
        <v>166</v>
      </c>
      <c r="Q64" s="3">
        <v>26</v>
      </c>
      <c r="R64" s="3">
        <f t="shared" si="17"/>
        <v>15</v>
      </c>
      <c r="S64" s="3">
        <f t="shared" si="18"/>
        <v>49</v>
      </c>
      <c r="T64" s="319">
        <f aca="true" t="shared" si="22" ref="T64:T70">R64/Q64</f>
        <v>0.5769230769230769</v>
      </c>
      <c r="U64" s="319">
        <f aca="true" t="shared" si="23" ref="U64:U70">S64/P64</f>
        <v>0.29518072289156627</v>
      </c>
      <c r="V64" s="3">
        <v>128</v>
      </c>
      <c r="W64" s="3">
        <v>11</v>
      </c>
      <c r="X64" s="326">
        <f t="shared" si="19"/>
        <v>117</v>
      </c>
    </row>
    <row r="65" spans="1:24" ht="12.75">
      <c r="A65" s="307" t="s">
        <v>137</v>
      </c>
      <c r="B65" s="295">
        <v>3746059</v>
      </c>
      <c r="C65" s="296">
        <f t="shared" si="12"/>
        <v>0.18075961463390577</v>
      </c>
      <c r="D65" s="131">
        <v>9</v>
      </c>
      <c r="E65" s="319">
        <f t="shared" si="13"/>
        <v>0.6666666666666666</v>
      </c>
      <c r="F65" s="330">
        <f t="shared" si="14"/>
        <v>3</v>
      </c>
      <c r="G65" s="162">
        <v>63</v>
      </c>
      <c r="H65" s="320">
        <f t="shared" si="15"/>
        <v>0.3103448275862069</v>
      </c>
      <c r="I65" s="176">
        <f>_XLL.RISKBINOMIAL(ROUND(G65-(G65*H65),0),Model!$E$30)</f>
        <v>25</v>
      </c>
      <c r="J65" s="189">
        <f t="shared" si="20"/>
        <v>28</v>
      </c>
      <c r="K65" s="161">
        <f>_XLL.RISKBETA(F65+1,J65-F65+1)</f>
        <v>0.13333333333333333</v>
      </c>
      <c r="L65" s="159">
        <f t="shared" si="16"/>
        <v>0.024101281951187437</v>
      </c>
      <c r="O65" s="325">
        <v>32</v>
      </c>
      <c r="P65" s="3">
        <f t="shared" si="21"/>
        <v>29</v>
      </c>
      <c r="Q65" s="3">
        <v>3</v>
      </c>
      <c r="R65" s="3">
        <f t="shared" si="17"/>
        <v>2</v>
      </c>
      <c r="S65" s="3">
        <f t="shared" si="18"/>
        <v>9</v>
      </c>
      <c r="T65" s="319">
        <f t="shared" si="22"/>
        <v>0.6666666666666666</v>
      </c>
      <c r="U65" s="319">
        <f t="shared" si="23"/>
        <v>0.3103448275862069</v>
      </c>
      <c r="V65" s="3">
        <v>21</v>
      </c>
      <c r="W65" s="3">
        <v>1</v>
      </c>
      <c r="X65" s="326">
        <f t="shared" si="19"/>
        <v>20</v>
      </c>
    </row>
    <row r="66" spans="1:24" ht="12.75">
      <c r="A66" s="307" t="s">
        <v>138</v>
      </c>
      <c r="B66" s="295">
        <v>2444280</v>
      </c>
      <c r="C66" s="296">
        <f t="shared" si="12"/>
        <v>0.1179445147172971</v>
      </c>
      <c r="D66" s="131">
        <v>3</v>
      </c>
      <c r="E66" s="319">
        <f t="shared" si="13"/>
        <v>0</v>
      </c>
      <c r="F66" s="330">
        <f t="shared" si="14"/>
        <v>3</v>
      </c>
      <c r="G66" s="162">
        <v>21</v>
      </c>
      <c r="H66" s="320">
        <f t="shared" si="15"/>
        <v>0.3157894736842105</v>
      </c>
      <c r="I66" s="176">
        <f>_XLL.RISKBINOMIAL(ROUND(G66-(G66*H66),0),Model!$E$30)</f>
        <v>8</v>
      </c>
      <c r="J66" s="189">
        <f t="shared" si="20"/>
        <v>11</v>
      </c>
      <c r="K66" s="161">
        <f>_XLL.RISKBETA(F66+1,J66-F66+1)</f>
        <v>0.3076923076923077</v>
      </c>
      <c r="L66" s="159">
        <f t="shared" si="16"/>
        <v>0.036290619913014494</v>
      </c>
      <c r="O66" s="325">
        <v>22</v>
      </c>
      <c r="P66" s="3">
        <f t="shared" si="21"/>
        <v>19</v>
      </c>
      <c r="Q66" s="3">
        <v>3</v>
      </c>
      <c r="R66" s="3">
        <f t="shared" si="17"/>
        <v>0</v>
      </c>
      <c r="S66" s="3">
        <f t="shared" si="18"/>
        <v>6</v>
      </c>
      <c r="T66" s="319">
        <f t="shared" si="22"/>
        <v>0</v>
      </c>
      <c r="U66" s="319">
        <f t="shared" si="23"/>
        <v>0.3157894736842105</v>
      </c>
      <c r="V66" s="3">
        <v>16</v>
      </c>
      <c r="W66" s="3">
        <v>3</v>
      </c>
      <c r="X66" s="326">
        <f t="shared" si="19"/>
        <v>13</v>
      </c>
    </row>
    <row r="67" spans="1:24" ht="12.75">
      <c r="A67" s="307" t="s">
        <v>139</v>
      </c>
      <c r="B67" s="295">
        <v>4725419</v>
      </c>
      <c r="C67" s="296">
        <f t="shared" si="12"/>
        <v>0.22801694191782254</v>
      </c>
      <c r="D67" s="131">
        <v>4</v>
      </c>
      <c r="E67" s="319">
        <f t="shared" si="13"/>
        <v>0.7647058823529411</v>
      </c>
      <c r="F67" s="330">
        <f t="shared" si="14"/>
        <v>0.9411764705882355</v>
      </c>
      <c r="G67" s="162">
        <v>54</v>
      </c>
      <c r="H67" s="320">
        <f t="shared" si="15"/>
        <v>0.2311111111111111</v>
      </c>
      <c r="I67" s="176">
        <f>_XLL.RISKBINOMIAL(ROUND(G67-(G67*H67),0),Model!$E$30)</f>
        <v>24</v>
      </c>
      <c r="J67" s="189">
        <f t="shared" si="20"/>
        <v>24.941176470588236</v>
      </c>
      <c r="K67" s="161">
        <f>_XLL.RISKBETA(F67+1,J67-F67+1)</f>
        <v>0.07205240174672489</v>
      </c>
      <c r="L67" s="159">
        <f t="shared" si="16"/>
        <v>0.016429168304122586</v>
      </c>
      <c r="O67" s="325">
        <v>242</v>
      </c>
      <c r="P67" s="3">
        <f t="shared" si="21"/>
        <v>225</v>
      </c>
      <c r="Q67" s="3">
        <v>17</v>
      </c>
      <c r="R67" s="3">
        <f t="shared" si="17"/>
        <v>13</v>
      </c>
      <c r="S67" s="3">
        <f t="shared" si="18"/>
        <v>52</v>
      </c>
      <c r="T67" s="319">
        <f t="shared" si="22"/>
        <v>0.7647058823529411</v>
      </c>
      <c r="U67" s="319">
        <f t="shared" si="23"/>
        <v>0.2311111111111111</v>
      </c>
      <c r="V67" s="3">
        <v>177</v>
      </c>
      <c r="W67" s="3">
        <v>4</v>
      </c>
      <c r="X67" s="326">
        <f t="shared" si="19"/>
        <v>173</v>
      </c>
    </row>
    <row r="68" spans="1:24" ht="12.75">
      <c r="A68" s="307" t="s">
        <v>140</v>
      </c>
      <c r="B68" s="295">
        <v>1106085</v>
      </c>
      <c r="C68" s="296">
        <f t="shared" si="12"/>
        <v>0.05337222354275351</v>
      </c>
      <c r="D68" s="131">
        <v>5</v>
      </c>
      <c r="E68" s="319">
        <f t="shared" si="13"/>
        <v>0.4</v>
      </c>
      <c r="F68" s="330">
        <f t="shared" si="14"/>
        <v>3</v>
      </c>
      <c r="G68" s="162">
        <v>26</v>
      </c>
      <c r="H68" s="320">
        <f t="shared" si="15"/>
        <v>0.2711864406779661</v>
      </c>
      <c r="I68" s="176">
        <f>_XLL.RISKBINOMIAL(ROUND(G68-(G68*H68),0),Model!$E$30)</f>
        <v>11</v>
      </c>
      <c r="J68" s="189">
        <f t="shared" si="20"/>
        <v>14</v>
      </c>
      <c r="K68" s="161">
        <f>_XLL.RISKBETA(F68+1,J68-F68+1)</f>
        <v>0.25</v>
      </c>
      <c r="L68" s="159">
        <f t="shared" si="16"/>
        <v>0.013343055885688378</v>
      </c>
      <c r="O68" s="325">
        <v>69</v>
      </c>
      <c r="P68" s="3">
        <f t="shared" si="21"/>
        <v>59</v>
      </c>
      <c r="Q68" s="3">
        <v>10</v>
      </c>
      <c r="R68" s="3">
        <f t="shared" si="17"/>
        <v>4</v>
      </c>
      <c r="S68" s="3">
        <f t="shared" si="18"/>
        <v>16</v>
      </c>
      <c r="T68" s="319">
        <f t="shared" si="22"/>
        <v>0.4</v>
      </c>
      <c r="U68" s="319">
        <f t="shared" si="23"/>
        <v>0.2711864406779661</v>
      </c>
      <c r="V68" s="3">
        <v>49</v>
      </c>
      <c r="W68" s="3">
        <v>6</v>
      </c>
      <c r="X68" s="326">
        <f t="shared" si="19"/>
        <v>43</v>
      </c>
    </row>
    <row r="69" spans="1:24" ht="12.75">
      <c r="A69" s="307" t="s">
        <v>141</v>
      </c>
      <c r="B69" s="295">
        <v>3281974</v>
      </c>
      <c r="C69" s="296">
        <f t="shared" si="12"/>
        <v>0.15836599356243408</v>
      </c>
      <c r="D69" s="131">
        <v>7</v>
      </c>
      <c r="E69" s="319">
        <f t="shared" si="13"/>
        <v>1</v>
      </c>
      <c r="F69" s="330">
        <f t="shared" si="14"/>
        <v>0</v>
      </c>
      <c r="G69" s="162">
        <v>44</v>
      </c>
      <c r="H69" s="320">
        <f t="shared" si="15"/>
        <v>0</v>
      </c>
      <c r="I69" s="176">
        <f>_XLL.RISKBINOMIAL(ROUND(G69-(G69*H69),0),Model!$E$30)</f>
        <v>25</v>
      </c>
      <c r="J69" s="189">
        <f t="shared" si="20"/>
        <v>25</v>
      </c>
      <c r="K69" s="161">
        <f>_XLL.RISKBETA(F69+1,J69-F69+1)</f>
        <v>0.037037037037037035</v>
      </c>
      <c r="L69" s="159">
        <f t="shared" si="16"/>
        <v>0.0058654071689790395</v>
      </c>
      <c r="O69" s="325">
        <v>11</v>
      </c>
      <c r="P69" s="3">
        <f t="shared" si="21"/>
        <v>10</v>
      </c>
      <c r="Q69" s="3">
        <v>1</v>
      </c>
      <c r="R69" s="3">
        <f t="shared" si="17"/>
        <v>1</v>
      </c>
      <c r="S69" s="3">
        <f t="shared" si="18"/>
        <v>0</v>
      </c>
      <c r="T69" s="319">
        <f t="shared" si="22"/>
        <v>1</v>
      </c>
      <c r="U69" s="319">
        <f t="shared" si="23"/>
        <v>0</v>
      </c>
      <c r="V69" s="3">
        <v>10</v>
      </c>
      <c r="W69" s="3">
        <v>0</v>
      </c>
      <c r="X69" s="326">
        <f t="shared" si="19"/>
        <v>10</v>
      </c>
    </row>
    <row r="70" spans="1:24" ht="13.5" thickBot="1">
      <c r="A70" s="333" t="s">
        <v>189</v>
      </c>
      <c r="B70" s="299">
        <f>SUM(B63:B69)</f>
        <v>20723982</v>
      </c>
      <c r="C70" s="300">
        <f t="shared" si="12"/>
        <v>1</v>
      </c>
      <c r="D70" s="171">
        <f>SUM(D63:D69)</f>
        <v>42</v>
      </c>
      <c r="E70" s="301"/>
      <c r="F70" s="164">
        <f>SUM(F63:F69)</f>
        <v>16.4027149321267</v>
      </c>
      <c r="G70" s="164">
        <f>SUM(G63:G69)</f>
        <v>304</v>
      </c>
      <c r="H70" s="321"/>
      <c r="I70" s="334">
        <f>G70</f>
        <v>304</v>
      </c>
      <c r="J70" s="335">
        <f t="shared" si="20"/>
        <v>320.4027149321267</v>
      </c>
      <c r="K70" s="336">
        <f>_XLL.RISKBETA(F70+1,J70-F70+1)</f>
        <v>0.053978189779792574</v>
      </c>
      <c r="L70" s="337">
        <f>SUM(L63:L69)</f>
        <v>0.1421126305200467</v>
      </c>
      <c r="O70" s="327">
        <f>SUM(O63:O69)</f>
        <v>580</v>
      </c>
      <c r="P70" s="328">
        <f t="shared" si="21"/>
        <v>518</v>
      </c>
      <c r="Q70" s="328">
        <f>SUM(Q63:Q69)</f>
        <v>62</v>
      </c>
      <c r="R70" s="328">
        <f t="shared" si="17"/>
        <v>36</v>
      </c>
      <c r="S70" s="328">
        <f t="shared" si="18"/>
        <v>135</v>
      </c>
      <c r="T70" s="331">
        <f t="shared" si="22"/>
        <v>0.5806451612903226</v>
      </c>
      <c r="U70" s="331">
        <f t="shared" si="23"/>
        <v>0.2606177606177606</v>
      </c>
      <c r="V70" s="328">
        <v>409</v>
      </c>
      <c r="W70" s="328">
        <v>26</v>
      </c>
      <c r="X70" s="329">
        <f t="shared" si="19"/>
        <v>383</v>
      </c>
    </row>
    <row r="71" spans="1:11" ht="27" thickBot="1">
      <c r="A71" s="122" t="s">
        <v>190</v>
      </c>
      <c r="B71" s="119"/>
      <c r="C71" s="126"/>
      <c r="D71" s="18"/>
      <c r="J71" s="120"/>
      <c r="K71" s="18"/>
    </row>
    <row r="72" spans="1:22" ht="42" customHeight="1" thickTop="1">
      <c r="A72" s="146" t="s">
        <v>191</v>
      </c>
      <c r="B72" s="147"/>
      <c r="C72" s="147"/>
      <c r="D72" s="147"/>
      <c r="E72" s="147"/>
      <c r="F72" s="147"/>
      <c r="G72" s="147"/>
      <c r="H72" s="147"/>
      <c r="I72" s="147"/>
      <c r="J72" s="147"/>
      <c r="K72" s="351"/>
      <c r="L72" s="352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11" customHeight="1">
      <c r="A73" s="308" t="s">
        <v>169</v>
      </c>
      <c r="B73" s="310" t="s">
        <v>192</v>
      </c>
      <c r="C73" s="310" t="s">
        <v>193</v>
      </c>
      <c r="D73" s="310" t="s">
        <v>194</v>
      </c>
      <c r="E73" s="350" t="s">
        <v>173</v>
      </c>
      <c r="F73" s="310" t="s">
        <v>195</v>
      </c>
      <c r="G73" s="310" t="s">
        <v>196</v>
      </c>
      <c r="H73" s="323" t="s">
        <v>176</v>
      </c>
      <c r="I73" s="310" t="s">
        <v>197</v>
      </c>
      <c r="J73" s="310" t="s">
        <v>198</v>
      </c>
      <c r="K73" s="310" t="s">
        <v>199</v>
      </c>
      <c r="L73" s="314" t="s">
        <v>200</v>
      </c>
      <c r="M73" s="28"/>
      <c r="N73" s="28"/>
      <c r="O73" s="28"/>
      <c r="P73" s="28"/>
      <c r="Q73" s="28"/>
      <c r="R73" s="28"/>
      <c r="S73" s="28"/>
      <c r="T73" s="28"/>
      <c r="U73" s="28"/>
      <c r="V73" s="28"/>
    </row>
    <row r="74" spans="1:22" ht="12.75">
      <c r="A74" s="148" t="s">
        <v>135</v>
      </c>
      <c r="B74" s="295">
        <v>2162359</v>
      </c>
      <c r="C74" s="3">
        <f aca="true" t="shared" si="24" ref="C74:C82">B74/$B$82</f>
        <v>0.07567092113701004</v>
      </c>
      <c r="D74" s="131">
        <v>8</v>
      </c>
      <c r="E74" s="319">
        <f aca="true" t="shared" si="25" ref="E74:E80">E63</f>
        <v>0.5</v>
      </c>
      <c r="F74" s="302">
        <f aca="true" t="shared" si="26" ref="F74:F80">D74-(D74*E74)</f>
        <v>4</v>
      </c>
      <c r="G74" s="3">
        <v>40</v>
      </c>
      <c r="H74" s="319">
        <f aca="true" t="shared" si="27" ref="H74:H80">H63</f>
        <v>0.3</v>
      </c>
      <c r="I74" s="176">
        <f>_XLL.RISKBINOMIAL(ROUND(G74-(G74*H74),0),Model!$E$30)</f>
        <v>16</v>
      </c>
      <c r="J74" s="189">
        <f>I74+F74</f>
        <v>20</v>
      </c>
      <c r="K74" s="161">
        <f>_XLL.RISKBETA(F74+1,J74-F74+1)</f>
        <v>0.22727272727272727</v>
      </c>
      <c r="L74" s="159">
        <f aca="true" t="shared" si="28" ref="L74:L81">K74*C74</f>
        <v>0.017197936622047737</v>
      </c>
      <c r="M74" s="28"/>
      <c r="N74" s="28"/>
      <c r="Q74" s="28"/>
      <c r="R74" s="28"/>
      <c r="S74" s="28"/>
      <c r="T74" s="28"/>
      <c r="U74" s="28"/>
      <c r="V74" s="28"/>
    </row>
    <row r="75" spans="1:12" ht="12.75">
      <c r="A75" s="122" t="s">
        <v>136</v>
      </c>
      <c r="B75" s="295">
        <v>3282031</v>
      </c>
      <c r="C75" s="3">
        <f t="shared" si="24"/>
        <v>0.11485341193123907</v>
      </c>
      <c r="D75" s="131">
        <v>16</v>
      </c>
      <c r="E75" s="320">
        <f t="shared" si="25"/>
        <v>0.5769230769230769</v>
      </c>
      <c r="F75" s="302">
        <f t="shared" si="26"/>
        <v>6.76923076923077</v>
      </c>
      <c r="G75" s="3">
        <v>37</v>
      </c>
      <c r="H75" s="320">
        <f t="shared" si="27"/>
        <v>0.29518072289156627</v>
      </c>
      <c r="I75" s="176">
        <f>_XLL.RISKBINOMIAL(ROUND(G75-(G75*H75),0),Model!$E$30)</f>
        <v>15</v>
      </c>
      <c r="J75" s="189">
        <f aca="true" t="shared" si="29" ref="J75:J81">I75+F75</f>
        <v>21.76923076923077</v>
      </c>
      <c r="K75" s="161">
        <f>_XLL.RISKBETA(F75+1,J75-F75+1)</f>
        <v>0.3268608414239482</v>
      </c>
      <c r="L75" s="159">
        <f t="shared" si="28"/>
        <v>0.037541082864256135</v>
      </c>
    </row>
    <row r="76" spans="1:12" ht="12.75">
      <c r="A76" s="122" t="s">
        <v>137</v>
      </c>
      <c r="B76" s="295">
        <v>7788240</v>
      </c>
      <c r="C76" s="3">
        <f t="shared" si="24"/>
        <v>0.2725464619131731</v>
      </c>
      <c r="D76" s="131">
        <v>11</v>
      </c>
      <c r="E76" s="320">
        <f t="shared" si="25"/>
        <v>0.6666666666666666</v>
      </c>
      <c r="F76" s="302">
        <f t="shared" si="26"/>
        <v>3.666666666666667</v>
      </c>
      <c r="G76" s="3">
        <v>40</v>
      </c>
      <c r="H76" s="320">
        <f t="shared" si="27"/>
        <v>0.3103448275862069</v>
      </c>
      <c r="I76" s="176">
        <f>_XLL.RISKBINOMIAL(ROUND(G76-(G76*H76),0),Model!$E$30)</f>
        <v>16</v>
      </c>
      <c r="J76" s="189">
        <f t="shared" si="29"/>
        <v>19.666666666666668</v>
      </c>
      <c r="K76" s="161">
        <f>_XLL.RISKBETA(F76+1,J76-F76+1)</f>
        <v>0.2153846153846154</v>
      </c>
      <c r="L76" s="159">
        <f t="shared" si="28"/>
        <v>0.05870231487360652</v>
      </c>
    </row>
    <row r="77" spans="1:12" ht="12.75">
      <c r="A77" s="122" t="s">
        <v>138</v>
      </c>
      <c r="B77" s="295">
        <v>2450566</v>
      </c>
      <c r="C77" s="3">
        <f t="shared" si="24"/>
        <v>0.08575661420098982</v>
      </c>
      <c r="D77" s="131">
        <v>3</v>
      </c>
      <c r="E77" s="320">
        <f t="shared" si="25"/>
        <v>0</v>
      </c>
      <c r="F77" s="302">
        <f t="shared" si="26"/>
        <v>3</v>
      </c>
      <c r="G77" s="3">
        <v>19</v>
      </c>
      <c r="H77" s="320">
        <f t="shared" si="27"/>
        <v>0.3157894736842105</v>
      </c>
      <c r="I77" s="176">
        <f>_XLL.RISKBINOMIAL(ROUND(G77-(G77*H77),0),Model!$E$30)</f>
        <v>7</v>
      </c>
      <c r="J77" s="189">
        <f t="shared" si="29"/>
        <v>10</v>
      </c>
      <c r="K77" s="161">
        <f>_XLL.RISKBETA(F77+1,J77-F77+1)</f>
        <v>0.3333333333333333</v>
      </c>
      <c r="L77" s="159">
        <f t="shared" si="28"/>
        <v>0.028585538066996603</v>
      </c>
    </row>
    <row r="78" spans="1:12" ht="12.75">
      <c r="A78" s="122" t="s">
        <v>139</v>
      </c>
      <c r="B78" s="295">
        <v>4775508</v>
      </c>
      <c r="C78" s="3">
        <f t="shared" si="24"/>
        <v>0.1671170648616444</v>
      </c>
      <c r="D78" s="131">
        <v>9</v>
      </c>
      <c r="E78" s="320">
        <f t="shared" si="25"/>
        <v>0.7647058823529411</v>
      </c>
      <c r="F78" s="302">
        <f t="shared" si="26"/>
        <v>2.11764705882353</v>
      </c>
      <c r="G78" s="3">
        <v>33</v>
      </c>
      <c r="H78" s="320">
        <f t="shared" si="27"/>
        <v>0.2311111111111111</v>
      </c>
      <c r="I78" s="176">
        <f>_XLL.RISKBINOMIAL(ROUND(G78-(G78*H78),0),Model!$E$30)</f>
        <v>14</v>
      </c>
      <c r="J78" s="189">
        <f t="shared" si="29"/>
        <v>16.11764705882353</v>
      </c>
      <c r="K78" s="161">
        <f>_XLL.RISKBETA(F78+1,J78-F78+1)</f>
        <v>0.1720779220779221</v>
      </c>
      <c r="L78" s="159">
        <f t="shared" si="28"/>
        <v>0.0287571572651531</v>
      </c>
    </row>
    <row r="79" spans="1:12" ht="12.75">
      <c r="A79" s="122" t="s">
        <v>140</v>
      </c>
      <c r="B79" s="295">
        <v>2084453</v>
      </c>
      <c r="C79" s="3">
        <f t="shared" si="24"/>
        <v>0.07294463064495951</v>
      </c>
      <c r="D79" s="131">
        <v>6</v>
      </c>
      <c r="E79" s="320">
        <f t="shared" si="25"/>
        <v>0.4</v>
      </c>
      <c r="F79" s="302">
        <f t="shared" si="26"/>
        <v>3.5999999999999996</v>
      </c>
      <c r="G79" s="3">
        <v>46</v>
      </c>
      <c r="H79" s="320">
        <f t="shared" si="27"/>
        <v>0.2711864406779661</v>
      </c>
      <c r="I79" s="176">
        <f>_XLL.RISKBINOMIAL(ROUND(G79-(G79*H79),0),Model!$E$30)</f>
        <v>20</v>
      </c>
      <c r="J79" s="189">
        <f t="shared" si="29"/>
        <v>23.6</v>
      </c>
      <c r="K79" s="161">
        <f>_XLL.RISKBETA(F79+1,J79-F79+1)</f>
        <v>0.17968749999999997</v>
      </c>
      <c r="L79" s="159">
        <f t="shared" si="28"/>
        <v>0.013107238319016161</v>
      </c>
    </row>
    <row r="80" spans="1:12" ht="12.75">
      <c r="A80" s="122" t="s">
        <v>141</v>
      </c>
      <c r="B80" s="295">
        <v>3316154</v>
      </c>
      <c r="C80" s="3">
        <f t="shared" si="24"/>
        <v>0.11604753318583103</v>
      </c>
      <c r="D80" s="131">
        <v>5</v>
      </c>
      <c r="E80" s="320">
        <f t="shared" si="25"/>
        <v>1</v>
      </c>
      <c r="F80" s="302">
        <f t="shared" si="26"/>
        <v>0</v>
      </c>
      <c r="G80" s="3">
        <v>27</v>
      </c>
      <c r="H80" s="320">
        <f t="shared" si="27"/>
        <v>0</v>
      </c>
      <c r="I80" s="176">
        <f>_XLL.RISKBINOMIAL(ROUND(G80-(G80*H80),0),Model!$E$30)</f>
        <v>16</v>
      </c>
      <c r="J80" s="189">
        <f t="shared" si="29"/>
        <v>16</v>
      </c>
      <c r="K80" s="161">
        <f>_XLL.RISKBETA(F80+1,J80-F80+1)</f>
        <v>0.05555555555555555</v>
      </c>
      <c r="L80" s="159">
        <f t="shared" si="28"/>
        <v>0.006447085176990612</v>
      </c>
    </row>
    <row r="81" spans="1:13" ht="12.75">
      <c r="A81" s="122" t="s">
        <v>201</v>
      </c>
      <c r="B81" s="303">
        <v>2716514</v>
      </c>
      <c r="C81" s="3">
        <f t="shared" si="24"/>
        <v>0.095063362125153</v>
      </c>
      <c r="D81" s="131">
        <v>0</v>
      </c>
      <c r="E81" s="298" t="s">
        <v>202</v>
      </c>
      <c r="F81" s="302">
        <v>0</v>
      </c>
      <c r="G81" s="3">
        <v>14</v>
      </c>
      <c r="H81" s="297" t="s">
        <v>202</v>
      </c>
      <c r="I81" s="176">
        <f>G81</f>
        <v>14</v>
      </c>
      <c r="J81" s="189">
        <f t="shared" si="29"/>
        <v>14</v>
      </c>
      <c r="K81" s="161">
        <f>_XLL.RISKBETA(F81+1,J81-F81+1)</f>
        <v>0.0625</v>
      </c>
      <c r="L81" s="159">
        <f t="shared" si="28"/>
        <v>0.005941460132822062</v>
      </c>
      <c r="M81" s="149"/>
    </row>
    <row r="82" spans="1:12" ht="12.75">
      <c r="A82" s="306" t="s">
        <v>189</v>
      </c>
      <c r="B82" s="304">
        <f>SUM(B74:B81)</f>
        <v>28575825</v>
      </c>
      <c r="C82" s="273">
        <f t="shared" si="24"/>
        <v>1</v>
      </c>
      <c r="D82" s="273">
        <f>SUM(D74:D81)</f>
        <v>58</v>
      </c>
      <c r="E82" s="301"/>
      <c r="F82" s="305">
        <f>SUM(F74:F81)</f>
        <v>23.15354449472097</v>
      </c>
      <c r="G82" s="273">
        <f>SUM(G74:G81)</f>
        <v>256</v>
      </c>
      <c r="H82" s="301"/>
      <c r="I82" s="305">
        <f>SUM(I74:I81)</f>
        <v>118</v>
      </c>
      <c r="J82" s="305">
        <f>SUM(J74:J81)</f>
        <v>141.15354449472096</v>
      </c>
      <c r="K82" s="273"/>
      <c r="L82" s="163">
        <f>SUM(L74:L81)</f>
        <v>0.19627981332088892</v>
      </c>
    </row>
    <row r="83" spans="1:9" ht="13.5" thickBot="1">
      <c r="A83"/>
      <c r="B83"/>
      <c r="C83"/>
      <c r="D83"/>
      <c r="E83"/>
      <c r="F83"/>
      <c r="G83"/>
      <c r="H83"/>
      <c r="I83"/>
    </row>
    <row r="84" spans="1:12" ht="15.75" thickTop="1">
      <c r="A84" s="254" t="s">
        <v>203</v>
      </c>
      <c r="B84" s="6"/>
      <c r="C84" s="7"/>
      <c r="D84" s="7"/>
      <c r="E84" s="7"/>
      <c r="F84" s="7"/>
      <c r="G84" s="7"/>
      <c r="H84" s="7"/>
      <c r="I84" s="7"/>
      <c r="J84" s="8"/>
      <c r="K84" s="6"/>
      <c r="L84" s="8"/>
    </row>
    <row r="85" spans="1:13" ht="12.75">
      <c r="A85"/>
      <c r="B85" s="9" t="s">
        <v>204</v>
      </c>
      <c r="C85" s="10"/>
      <c r="D85" s="10"/>
      <c r="E85" s="10"/>
      <c r="F85" s="10"/>
      <c r="G85" s="10"/>
      <c r="H85" s="1"/>
      <c r="I85" s="1"/>
      <c r="J85" s="11"/>
      <c r="K85" s="9"/>
      <c r="L85" s="35"/>
      <c r="M85" s="1"/>
    </row>
    <row r="86" spans="1:13" ht="12.75">
      <c r="A86"/>
      <c r="B86" s="12"/>
      <c r="C86" s="1"/>
      <c r="D86" s="1"/>
      <c r="E86" s="13"/>
      <c r="F86" s="13"/>
      <c r="G86" s="13"/>
      <c r="H86" s="1"/>
      <c r="I86" s="1"/>
      <c r="J86" s="11"/>
      <c r="K86" s="36"/>
      <c r="L86" s="37"/>
      <c r="M86" s="1"/>
    </row>
    <row r="87" spans="1:13" ht="94.5">
      <c r="A87"/>
      <c r="B87" s="356" t="s">
        <v>205</v>
      </c>
      <c r="C87" s="357" t="s">
        <v>206</v>
      </c>
      <c r="D87" s="358" t="s">
        <v>207</v>
      </c>
      <c r="E87" s="358" t="s">
        <v>208</v>
      </c>
      <c r="F87" s="358" t="s">
        <v>209</v>
      </c>
      <c r="G87" s="358" t="s">
        <v>210</v>
      </c>
      <c r="H87" s="358" t="s">
        <v>211</v>
      </c>
      <c r="I87" s="358" t="s">
        <v>212</v>
      </c>
      <c r="J87" s="358" t="s">
        <v>213</v>
      </c>
      <c r="K87" s="359" t="s">
        <v>208</v>
      </c>
      <c r="L87" s="360" t="s">
        <v>214</v>
      </c>
      <c r="M87" s="1"/>
    </row>
    <row r="88" spans="1:13" ht="12.75">
      <c r="A88"/>
      <c r="B88" s="12" t="s">
        <v>135</v>
      </c>
      <c r="C88" s="14">
        <v>2146096</v>
      </c>
      <c r="D88" s="1">
        <f>C88/$C$95</f>
        <v>0.10355616020125862</v>
      </c>
      <c r="E88" s="13">
        <v>12</v>
      </c>
      <c r="F88" s="13">
        <v>11</v>
      </c>
      <c r="G88">
        <v>5</v>
      </c>
      <c r="H88" s="168">
        <f>_XLL.RISKBETA(F88+1,E88-F88+1)</f>
        <v>0.8571428571428571</v>
      </c>
      <c r="I88" s="30">
        <f>D88*H88</f>
        <v>0.08876242302965023</v>
      </c>
      <c r="J88" s="26">
        <f>_XLL.RISKBETA(G88+1,F88-G88+1)*D88</f>
        <v>0.047795150862119364</v>
      </c>
      <c r="K88" s="36">
        <v>11</v>
      </c>
      <c r="L88" s="37">
        <v>2</v>
      </c>
      <c r="M88" s="1"/>
    </row>
    <row r="89" spans="1:13" ht="12.75">
      <c r="A89"/>
      <c r="B89" s="12" t="s">
        <v>136</v>
      </c>
      <c r="C89" s="14">
        <v>3274069</v>
      </c>
      <c r="D89" s="1">
        <f aca="true" t="shared" si="30" ref="D89:D95">C89/$C$95</f>
        <v>0.15798455142452836</v>
      </c>
      <c r="E89" s="13">
        <v>192</v>
      </c>
      <c r="F89" s="13">
        <v>162</v>
      </c>
      <c r="G89">
        <v>93</v>
      </c>
      <c r="H89" s="168">
        <f>_XLL.RISKBETA(F89+1,E89-F89+1)</f>
        <v>0.8402061855670103</v>
      </c>
      <c r="I89" s="30">
        <f aca="true" t="shared" si="31" ref="I89:I94">D89*H89</f>
        <v>0.13273959733091817</v>
      </c>
      <c r="J89" s="26">
        <f>_XLL.RISKBETA(G89+1,F89-G89+1)*D89</f>
        <v>0.09055212093844918</v>
      </c>
      <c r="K89" s="36">
        <v>174</v>
      </c>
      <c r="L89" s="37">
        <v>70</v>
      </c>
      <c r="M89" s="1"/>
    </row>
    <row r="90" spans="1:13" ht="12.75">
      <c r="A90"/>
      <c r="B90" s="12" t="s">
        <v>137</v>
      </c>
      <c r="C90" s="14">
        <v>3746059</v>
      </c>
      <c r="D90" s="1">
        <f t="shared" si="30"/>
        <v>0.18075961463390577</v>
      </c>
      <c r="E90" s="13">
        <v>32</v>
      </c>
      <c r="F90" s="13">
        <v>30</v>
      </c>
      <c r="G90">
        <v>19</v>
      </c>
      <c r="H90" s="168">
        <f>_XLL.RISKBETA(F90+1,E90-F90+1)</f>
        <v>0.9117647058823529</v>
      </c>
      <c r="I90" s="30">
        <f t="shared" si="31"/>
        <v>0.16481023687209057</v>
      </c>
      <c r="J90" s="26">
        <f>_XLL.RISKBETA(G90+1,F90-G90+1)*D90</f>
        <v>0.11297475914619111</v>
      </c>
      <c r="K90" s="36">
        <v>28</v>
      </c>
      <c r="L90" s="37">
        <v>15</v>
      </c>
      <c r="M90" s="1"/>
    </row>
    <row r="91" spans="1:13" ht="12.75">
      <c r="A91"/>
      <c r="B91" s="12" t="s">
        <v>138</v>
      </c>
      <c r="C91" s="14">
        <v>2444280</v>
      </c>
      <c r="D91" s="1">
        <f t="shared" si="30"/>
        <v>0.1179445147172971</v>
      </c>
      <c r="E91" s="13">
        <v>21</v>
      </c>
      <c r="F91" s="13">
        <v>19</v>
      </c>
      <c r="G91">
        <v>8</v>
      </c>
      <c r="H91" s="168">
        <f>_XLL.RISKBETA(F91+1,E91-F91+1)</f>
        <v>0.8695652173913043</v>
      </c>
      <c r="I91" s="30">
        <f t="shared" si="31"/>
        <v>0.10256044758025834</v>
      </c>
      <c r="J91" s="26">
        <f>_XLL.RISKBETA(G91+1,F91-G91+1)*D91</f>
        <v>0.0505476491645559</v>
      </c>
      <c r="K91" s="36">
        <v>21</v>
      </c>
      <c r="L91" s="37">
        <v>10</v>
      </c>
      <c r="M91" s="1"/>
    </row>
    <row r="92" spans="1:13" ht="12.75">
      <c r="A92"/>
      <c r="B92" s="12" t="s">
        <v>139</v>
      </c>
      <c r="C92" s="14">
        <v>4725419</v>
      </c>
      <c r="D92" s="1">
        <f t="shared" si="30"/>
        <v>0.22801694191782254</v>
      </c>
      <c r="E92" s="13">
        <v>242</v>
      </c>
      <c r="F92" s="13">
        <v>199</v>
      </c>
      <c r="G92">
        <v>110</v>
      </c>
      <c r="H92" s="168">
        <f>_XLL.RISKBETA(F92+1,E92-F92+1)</f>
        <v>0.819672131147541</v>
      </c>
      <c r="I92" s="30">
        <f t="shared" si="31"/>
        <v>0.18689913271952668</v>
      </c>
      <c r="J92" s="26">
        <f>_XLL.RISKBETA(G92+1,F92-G92+1)*D92</f>
        <v>0.1259198037456632</v>
      </c>
      <c r="K92" s="36">
        <v>230</v>
      </c>
      <c r="L92" s="37">
        <v>113</v>
      </c>
      <c r="M92" s="1"/>
    </row>
    <row r="93" spans="1:13" ht="12.75">
      <c r="A93"/>
      <c r="B93" s="12" t="s">
        <v>140</v>
      </c>
      <c r="C93" s="14">
        <v>1106085</v>
      </c>
      <c r="D93" s="1">
        <f t="shared" si="30"/>
        <v>0.05337222354275351</v>
      </c>
      <c r="E93" s="13">
        <v>68</v>
      </c>
      <c r="F93" s="13">
        <v>59</v>
      </c>
      <c r="G93">
        <v>31</v>
      </c>
      <c r="H93" s="168">
        <f>_XLL.RISKBETA(F93+1,E93-F93+1)</f>
        <v>0.8571428571428571</v>
      </c>
      <c r="I93" s="30">
        <f t="shared" si="31"/>
        <v>0.045747620179503005</v>
      </c>
      <c r="J93" s="26">
        <f>_XLL.RISKBETA(G93+1,F93-G93+1)*D93</f>
        <v>0.02799854349783791</v>
      </c>
      <c r="K93" s="36">
        <v>63</v>
      </c>
      <c r="L93" s="37">
        <v>32</v>
      </c>
      <c r="M93" s="1"/>
    </row>
    <row r="94" spans="1:13" ht="13.5" thickBot="1">
      <c r="A94"/>
      <c r="B94" s="12" t="s">
        <v>141</v>
      </c>
      <c r="C94" s="14">
        <v>3281974</v>
      </c>
      <c r="D94" s="1">
        <f t="shared" si="30"/>
        <v>0.15836599356243408</v>
      </c>
      <c r="E94" s="13">
        <v>11</v>
      </c>
      <c r="F94" s="13">
        <v>8</v>
      </c>
      <c r="G94">
        <v>5</v>
      </c>
      <c r="H94" s="168">
        <f>_XLL.RISKBETA(F94+1,E94-F94+1)</f>
        <v>0.6923076923076923</v>
      </c>
      <c r="I94" s="30">
        <f t="shared" si="31"/>
        <v>0.1096379955432236</v>
      </c>
      <c r="J94" s="26">
        <f>_XLL.RISKBETA(G94+1,F94-G94+1)*D94</f>
        <v>0.09501959613746044</v>
      </c>
      <c r="K94" s="36">
        <v>11</v>
      </c>
      <c r="L94" s="37">
        <v>6</v>
      </c>
      <c r="M94" s="1"/>
    </row>
    <row r="95" spans="1:13" ht="14.25" thickBot="1" thickTop="1">
      <c r="A95"/>
      <c r="B95" s="12" t="s">
        <v>215</v>
      </c>
      <c r="C95" s="14">
        <f>SUM(C88:C94)</f>
        <v>20723982</v>
      </c>
      <c r="D95" s="1">
        <f t="shared" si="30"/>
        <v>1</v>
      </c>
      <c r="E95" s="14">
        <f>SUM(E88:E94)</f>
        <v>578</v>
      </c>
      <c r="F95" s="14">
        <f>SUM(F88:F94)</f>
        <v>488</v>
      </c>
      <c r="G95">
        <f>SUM(G88:G94)</f>
        <v>271</v>
      </c>
      <c r="H95" s="168">
        <f>F95/E95</f>
        <v>0.8442906574394463</v>
      </c>
      <c r="I95" s="27">
        <f>SUM(I88:I94)</f>
        <v>0.8311574532551705</v>
      </c>
      <c r="J95" s="27">
        <f>SUM(J88:J94)</f>
        <v>0.5508076234922771</v>
      </c>
      <c r="K95" s="169">
        <f>SUM(K88:K94)</f>
        <v>538</v>
      </c>
      <c r="L95" s="170">
        <f>SUM(L88:L94)</f>
        <v>248</v>
      </c>
      <c r="M95" s="1"/>
    </row>
    <row r="96" spans="1:13" ht="14.25" thickBot="1" thickTop="1">
      <c r="A96"/>
      <c r="B96" s="15"/>
      <c r="C96" s="16"/>
      <c r="D96" s="16"/>
      <c r="E96" s="16"/>
      <c r="F96" s="16"/>
      <c r="G96" s="16"/>
      <c r="H96" s="16"/>
      <c r="I96" s="16"/>
      <c r="J96" s="17"/>
      <c r="K96" s="15"/>
      <c r="L96" s="17"/>
      <c r="M96" s="1"/>
    </row>
    <row r="97" spans="1:9" ht="13.5" thickTop="1">
      <c r="A97"/>
      <c r="B97"/>
      <c r="C97"/>
      <c r="D97"/>
      <c r="E97"/>
      <c r="F97"/>
      <c r="G97"/>
      <c r="H97"/>
      <c r="I97"/>
    </row>
    <row r="98" spans="1:9" ht="37.5" customHeight="1">
      <c r="A98" s="248" t="s">
        <v>216</v>
      </c>
      <c r="B98" s="247" t="s">
        <v>217</v>
      </c>
      <c r="C98" s="201"/>
      <c r="D98" s="246"/>
      <c r="E98" s="246"/>
      <c r="F98" s="202"/>
      <c r="G98"/>
      <c r="H98"/>
      <c r="I98"/>
    </row>
    <row r="99" spans="1:9" ht="12.75">
      <c r="A99" s="199"/>
      <c r="B99" s="247"/>
      <c r="C99" s="245"/>
      <c r="D99" s="361"/>
      <c r="E99" s="361"/>
      <c r="F99" s="245"/>
      <c r="G99"/>
      <c r="H99"/>
      <c r="I99"/>
    </row>
    <row r="100" spans="1:9" ht="12.75" customHeight="1">
      <c r="A100" s="248" t="s">
        <v>218</v>
      </c>
      <c r="B100" s="92"/>
      <c r="C100" s="250"/>
      <c r="D100" s="28"/>
      <c r="E100" s="28"/>
      <c r="F100" s="1"/>
      <c r="G100"/>
      <c r="H100"/>
      <c r="I100"/>
    </row>
    <row r="101" spans="1:9" ht="26.25">
      <c r="A101" s="309" t="s">
        <v>219</v>
      </c>
      <c r="B101" s="372" t="s">
        <v>220</v>
      </c>
      <c r="C101" s="315" t="s">
        <v>221</v>
      </c>
      <c r="D101" s="358"/>
      <c r="E101" s="362"/>
      <c r="F101" s="1"/>
      <c r="G101"/>
      <c r="H101"/>
      <c r="I101"/>
    </row>
    <row r="102" spans="1:9" ht="12.75">
      <c r="A102" s="253">
        <v>98</v>
      </c>
      <c r="B102" s="373">
        <v>12</v>
      </c>
      <c r="C102" s="368">
        <v>128</v>
      </c>
      <c r="D102" s="363"/>
      <c r="E102" s="364"/>
      <c r="F102" s="1"/>
      <c r="G102" s="332"/>
      <c r="H102"/>
      <c r="I102"/>
    </row>
    <row r="103" spans="1:9" ht="12.75">
      <c r="A103" s="21">
        <v>99</v>
      </c>
      <c r="B103" s="374">
        <v>45</v>
      </c>
      <c r="C103" s="369">
        <v>481</v>
      </c>
      <c r="D103" s="365"/>
      <c r="E103" s="28"/>
      <c r="F103" s="1"/>
      <c r="G103" s="332"/>
      <c r="H103"/>
      <c r="I103"/>
    </row>
    <row r="104" spans="1:9" ht="12.75">
      <c r="A104"/>
      <c r="B104" s="20"/>
      <c r="C104" s="370"/>
      <c r="D104" s="1"/>
      <c r="E104" s="1"/>
      <c r="F104" s="1"/>
      <c r="G104"/>
      <c r="H104"/>
      <c r="I104"/>
    </row>
    <row r="105" spans="1:9" ht="12.75">
      <c r="A105" s="248" t="s">
        <v>222</v>
      </c>
      <c r="B105" s="375"/>
      <c r="C105" s="251"/>
      <c r="D105" s="366"/>
      <c r="E105" s="367"/>
      <c r="F105" s="366"/>
      <c r="G105"/>
      <c r="H105"/>
      <c r="I105"/>
    </row>
    <row r="106" spans="1:9" ht="26.25">
      <c r="A106" s="309" t="s">
        <v>223</v>
      </c>
      <c r="B106" s="309">
        <v>98</v>
      </c>
      <c r="C106" s="315">
        <v>99</v>
      </c>
      <c r="D106" s="358"/>
      <c r="E106" s="362"/>
      <c r="F106" s="362"/>
      <c r="G106"/>
      <c r="H106"/>
      <c r="I106"/>
    </row>
    <row r="107" spans="1:9" ht="12.75">
      <c r="A107" s="249" t="s">
        <v>224</v>
      </c>
      <c r="B107" s="376">
        <v>50.8</v>
      </c>
      <c r="C107" s="371">
        <v>54.3</v>
      </c>
      <c r="D107" s="365"/>
      <c r="E107" s="28"/>
      <c r="F107" s="28"/>
      <c r="G107"/>
      <c r="H107"/>
      <c r="I107"/>
    </row>
    <row r="108" spans="4:9" ht="12.75">
      <c r="D108" s="131"/>
      <c r="E108" s="28"/>
      <c r="F108" s="28"/>
      <c r="G108"/>
      <c r="H108"/>
      <c r="I108"/>
    </row>
    <row r="109" spans="1:9" ht="12.75">
      <c r="A109" s="1"/>
      <c r="B109" s="2"/>
      <c r="C109" s="28"/>
      <c r="D109" s="28"/>
      <c r="E109" s="29"/>
      <c r="F109" s="28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21" ht="12.75">
      <c r="A126"/>
      <c r="B126"/>
      <c r="C126"/>
      <c r="D126"/>
      <c r="E126"/>
      <c r="F126"/>
      <c r="G126"/>
      <c r="H126"/>
      <c r="I126"/>
      <c r="U126" s="5"/>
    </row>
  </sheetData>
  <printOptions gridLines="1"/>
  <pageMargins left="0.75" right="0.75" top="1" bottom="1" header="0.5" footer="0.5"/>
  <pageSetup horizontalDpi="600" verticalDpi="600" orientation="landscape" scale="69" r:id="rId1"/>
  <rowBreaks count="1" manualBreakCount="1">
    <brk id="7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Peggy Miller</Manager>
  <Company>DVRAS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Effect of FQ resistant Campy in chicken</dc:title>
  <dc:subject/>
  <dc:creator>David Vose</dc:creator>
  <cp:keywords>FQ Campylobacter</cp:keywords>
  <dc:description/>
  <cp:lastModifiedBy>CVM</cp:lastModifiedBy>
  <cp:lastPrinted>2000-11-01T19:30:03Z</cp:lastPrinted>
  <dcterms:created xsi:type="dcterms:W3CDTF">1999-06-11T11:00:49Z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