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66" yWindow="2625" windowWidth="14280" windowHeight="4155" tabRatio="757" activeTab="0"/>
  </bookViews>
  <sheets>
    <sheet name="Mush1" sheetId="1" r:id="rId1"/>
    <sheet name="Mush2" sheetId="2" r:id="rId2"/>
    <sheet name="Mush3" sheetId="3" r:id="rId3"/>
    <sheet name="Mush4" sheetId="4" r:id="rId4"/>
    <sheet name="Mush5" sheetId="5" r:id="rId5"/>
    <sheet name="Mush6" sheetId="6" r:id="rId6"/>
    <sheet name="Mush7" sheetId="7" r:id="rId7"/>
    <sheet name="Mush8" sheetId="8" r:id="rId8"/>
    <sheet name="Mush9" sheetId="9" r:id="rId9"/>
    <sheet name="Mush10" sheetId="10" r:id="rId10"/>
    <sheet name="Mush1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D" localSheetId="5">'[2]tab132'!#REF!</definedName>
    <definedName name="\D" localSheetId="7">'[2]tab132'!#REF!</definedName>
    <definedName name="\D" localSheetId="8">'Mush9'!#REF!</definedName>
    <definedName name="__123Graph_BPRIC_APP" localSheetId="7" hidden="1">'[4]TAB01'!#REF!</definedName>
    <definedName name="__123Graph_BPRIC_APP" hidden="1">'[1]TAB01'!#REF!</definedName>
    <definedName name="__123Graph_CEXPORTS" localSheetId="7" hidden="1">'[5]TAB01'!#REF!</definedName>
    <definedName name="__123Graph_CEXPORTS" hidden="1">'[1]TAB01'!#REF!</definedName>
    <definedName name="__123Graph_XEXP_DEB" hidden="1">'[6]Trade11'!$B$4:$J$4</definedName>
    <definedName name="__123Graph_XEXPORTS" hidden="1">'[6]Trade11'!$B$4:$J$4</definedName>
    <definedName name="__123Graph_XPRICE_VG" hidden="1">'[6]Trade11'!$B$4:$J$4</definedName>
    <definedName name="_Fill" localSheetId="5" hidden="1">#REF!</definedName>
    <definedName name="_Fill" localSheetId="6" hidden="1">#REF!</definedName>
    <definedName name="_Fill" localSheetId="7" hidden="1">'Mush8'!$V$2:$V$2</definedName>
    <definedName name="_Fill" localSheetId="8" hidden="1">'Mush9'!$A$6:$A$17</definedName>
    <definedName name="_Fill" hidden="1">'[1]Tab26'!#REF!</definedName>
    <definedName name="_Key1" hidden="1">#REF!</definedName>
    <definedName name="_Order1" hidden="1">255</definedName>
    <definedName name="_Order2" hidden="1">0</definedName>
    <definedName name="_Regression_Out" hidden="1">'[4]TAB05'!#REF!</definedName>
    <definedName name="_Sort" hidden="1">#REF!</definedName>
    <definedName name="Database_MI" localSheetId="7">'[3]Tab17'!#REF!</definedName>
    <definedName name="_xlnm.Print_Area" localSheetId="0">'Mush1'!$A$1:$L$14</definedName>
    <definedName name="_xlnm.Print_Area" localSheetId="9">'Mush10'!$A$3:$V$67</definedName>
    <definedName name="_xlnm.Print_Area" localSheetId="10">'Mush11'!$A$3:$V$67</definedName>
    <definedName name="_xlnm.Print_Area" localSheetId="1">'Mush2'!$A$1:$J$29</definedName>
    <definedName name="_xlnm.Print_Area" localSheetId="2">'Mush3'!$A$2:$F$31</definedName>
    <definedName name="_xlnm.Print_Area" localSheetId="3">'Mush4'!$A$2:$M$16</definedName>
    <definedName name="_xlnm.Print_Area" localSheetId="5">'Mush6'!$A$2:$U$34</definedName>
    <definedName name="_xlnm.Print_Area" localSheetId="6">'Mush7'!$A$2:$N$84</definedName>
    <definedName name="_xlnm.Print_Area" localSheetId="7">'Mush8'!$A$1:$U$24</definedName>
    <definedName name="_xlnm.Print_Area" localSheetId="8">'Mush9'!$A$2:$H$42</definedName>
    <definedName name="Print_Area_MI" localSheetId="7">#REF!</definedName>
    <definedName name="TABLE" localSheetId="8">'Mush9'!#REF!</definedName>
    <definedName name="TABLE_2" localSheetId="8">'Mush9'!#REF!</definedName>
  </definedNames>
  <calcPr fullCalcOnLoad="1"/>
</workbook>
</file>

<file path=xl/sharedStrings.xml><?xml version="1.0" encoding="utf-8"?>
<sst xmlns="http://schemas.openxmlformats.org/spreadsheetml/2006/main" count="530" uniqueCount="252">
  <si>
    <t>Value of sales</t>
  </si>
  <si>
    <t>Year</t>
  </si>
  <si>
    <t>Growers 2/</t>
  </si>
  <si>
    <t>Volume of sales</t>
  </si>
  <si>
    <t>Per pound</t>
  </si>
  <si>
    <t>Total</t>
  </si>
  <si>
    <t>Number</t>
  </si>
  <si>
    <t>1,000 pounds</t>
  </si>
  <si>
    <t>Dollars/pound</t>
  </si>
  <si>
    <t>1,000 dollars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</si>
  <si>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</si>
  <si>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</si>
  <si>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</si>
  <si>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</si>
  <si>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</si>
  <si>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</si>
  <si>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</si>
  <si>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</si>
  <si>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</si>
  <si>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</si>
  <si>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</si>
  <si>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</si>
  <si>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</si>
  <si>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Category</t>
  </si>
  <si>
    <t>I</t>
  </si>
  <si>
    <t>II</t>
  </si>
  <si>
    <t>III</t>
  </si>
  <si>
    <t>IV</t>
  </si>
  <si>
    <t>Change</t>
  </si>
  <si>
    <t>Percent</t>
  </si>
  <si>
    <t xml:space="preserve"> </t>
  </si>
  <si>
    <t>Exports:</t>
  </si>
  <si>
    <t xml:space="preserve"> Fresh 1/  </t>
  </si>
  <si>
    <t xml:space="preserve"> Prepared/preserved 2/  </t>
  </si>
  <si>
    <t xml:space="preserve"> Spawn  3/  </t>
  </si>
  <si>
    <t xml:space="preserve">  Total  </t>
  </si>
  <si>
    <t xml:space="preserve">Imports:  </t>
  </si>
  <si>
    <t xml:space="preserve"> Canned 4/  </t>
  </si>
  <si>
    <t xml:space="preserve"> Frozen  </t>
  </si>
  <si>
    <t xml:space="preserve"> Dried  </t>
  </si>
  <si>
    <t xml:space="preserve">  Total </t>
  </si>
  <si>
    <t xml:space="preserve"> Source: Bureau of the Census, U.S. Department of Commerce.</t>
  </si>
  <si>
    <t>Price</t>
  </si>
  <si>
    <t xml:space="preserve"> Value</t>
  </si>
  <si>
    <t>State</t>
  </si>
  <si>
    <t xml:space="preserve">1,000 pounds  </t>
  </si>
  <si>
    <t>Dollars per pound</t>
  </si>
  <si>
    <t>Pennsylvania</t>
  </si>
  <si>
    <t>California</t>
  </si>
  <si>
    <t>Other States</t>
  </si>
  <si>
    <t xml:space="preserve"> United States</t>
  </si>
  <si>
    <t>Brown 2/</t>
  </si>
  <si>
    <t>All specialty</t>
  </si>
  <si>
    <t xml:space="preserve">  Shiitake</t>
  </si>
  <si>
    <t xml:space="preserve">  Oyster</t>
  </si>
  <si>
    <t xml:space="preserve">  Other</t>
  </si>
  <si>
    <t xml:space="preserve"> Total</t>
  </si>
  <si>
    <t>Item/year</t>
  </si>
  <si>
    <t xml:space="preserve">  Jan.</t>
  </si>
  <si>
    <t xml:space="preserve">  Feb.</t>
  </si>
  <si>
    <t xml:space="preserve">  Mar.</t>
  </si>
  <si>
    <t xml:space="preserve">  Apr.</t>
  </si>
  <si>
    <t xml:space="preserve">  May</t>
  </si>
  <si>
    <t xml:space="preserve">  June</t>
  </si>
  <si>
    <t xml:space="preserve">  July</t>
  </si>
  <si>
    <t xml:space="preserve">  Aug.</t>
  </si>
  <si>
    <t xml:space="preserve">    Sep.</t>
  </si>
  <si>
    <t xml:space="preserve">  Oct.</t>
  </si>
  <si>
    <t xml:space="preserve">  Nov.</t>
  </si>
  <si>
    <t xml:space="preserve">  Dec.</t>
  </si>
  <si>
    <t xml:space="preserve">  Annual</t>
  </si>
  <si>
    <t xml:space="preserve">                -- 1,000 pounds --</t>
  </si>
  <si>
    <t>Fresh: 2/</t>
  </si>
  <si>
    <t xml:space="preserve">Frozen: 3/  </t>
  </si>
  <si>
    <t xml:space="preserve">           --</t>
  </si>
  <si>
    <t xml:space="preserve">             --</t>
  </si>
  <si>
    <t xml:space="preserve">Canned: 4/  </t>
  </si>
  <si>
    <t xml:space="preserve"> -- = Not available.</t>
  </si>
  <si>
    <t>Crop year</t>
  </si>
  <si>
    <t xml:space="preserve">                           Fresh</t>
  </si>
  <si>
    <t xml:space="preserve">                           Total </t>
  </si>
  <si>
    <t xml:space="preserve">1995 </t>
  </si>
  <si>
    <t xml:space="preserve">1996 </t>
  </si>
  <si>
    <t>1997</t>
  </si>
  <si>
    <t>1998</t>
  </si>
  <si>
    <t xml:space="preserve">1999 </t>
  </si>
  <si>
    <t xml:space="preserve"> Crop</t>
  </si>
  <si>
    <t xml:space="preserve">    Shiitake </t>
  </si>
  <si>
    <t xml:space="preserve">     Oyster </t>
  </si>
  <si>
    <t xml:space="preserve">    All specialties 2/</t>
  </si>
  <si>
    <t>year 1/</t>
  </si>
  <si>
    <t xml:space="preserve">   Production</t>
  </si>
  <si>
    <t xml:space="preserve">     Price</t>
  </si>
  <si>
    <t xml:space="preserve">    Value 3/</t>
  </si>
  <si>
    <t xml:space="preserve">   1,000 lb</t>
  </si>
  <si>
    <t xml:space="preserve">    $/lb</t>
  </si>
  <si>
    <t xml:space="preserve">   $1,000</t>
  </si>
  <si>
    <t xml:space="preserve">     $/lb</t>
  </si>
  <si>
    <t xml:space="preserve">      $/lb</t>
  </si>
  <si>
    <t>1986/87</t>
  </si>
  <si>
    <t xml:space="preserve"> 3/ Value of sales.</t>
  </si>
  <si>
    <t>2000/01</t>
  </si>
  <si>
    <t>1999/2000</t>
  </si>
  <si>
    <t>Shipping</t>
  </si>
  <si>
    <t xml:space="preserve"> Change</t>
  </si>
  <si>
    <t>Item</t>
  </si>
  <si>
    <t>Pack</t>
  </si>
  <si>
    <t>Size</t>
  </si>
  <si>
    <t>$/carton</t>
  </si>
  <si>
    <t>White button</t>
  </si>
  <si>
    <t>PA</t>
  </si>
  <si>
    <t>10-lb ctn</t>
  </si>
  <si>
    <t>Med</t>
  </si>
  <si>
    <t>Oyster</t>
  </si>
  <si>
    <t>5-lb ctn</t>
  </si>
  <si>
    <t>--</t>
  </si>
  <si>
    <t>Portobellas</t>
  </si>
  <si>
    <t>Shiitake</t>
  </si>
  <si>
    <t>3-lb ctn</t>
  </si>
  <si>
    <t>Med-Lge</t>
  </si>
  <si>
    <t>Source:  USDA, AMS, Market News.</t>
  </si>
  <si>
    <t>Sales 1/</t>
  </si>
  <si>
    <t xml:space="preserve">2000 </t>
  </si>
  <si>
    <t>3/ Product-weight may also include the weight of packing media.  4/ Includes all canned preserved mushrooms and truffles.</t>
  </si>
  <si>
    <t xml:space="preserve">2001  </t>
  </si>
  <si>
    <t>2002</t>
  </si>
  <si>
    <t>f</t>
  </si>
  <si>
    <t>January-December</t>
  </si>
  <si>
    <t>2001/02</t>
  </si>
  <si>
    <t xml:space="preserve">    State</t>
  </si>
  <si>
    <t xml:space="preserve">            1,000 dollars</t>
  </si>
  <si>
    <t xml:space="preserve"> 1/ Includes fresh mushrooms and truffles.  2/ Includes all prepared and dried mushrooms and truffles.  </t>
  </si>
  <si>
    <t>Imports</t>
  </si>
  <si>
    <t>Exports</t>
  </si>
  <si>
    <t>percent of</t>
  </si>
  <si>
    <t xml:space="preserve"> Supply</t>
  </si>
  <si>
    <t xml:space="preserve">         Season-average</t>
  </si>
  <si>
    <t xml:space="preserve">                  price 5/</t>
  </si>
  <si>
    <t xml:space="preserve"> year</t>
  </si>
  <si>
    <t xml:space="preserve">    Produc-</t>
  </si>
  <si>
    <t xml:space="preserve"> Per</t>
  </si>
  <si>
    <t xml:space="preserve"> Exports</t>
  </si>
  <si>
    <t xml:space="preserve">  Total</t>
  </si>
  <si>
    <t xml:space="preserve"> capita</t>
  </si>
  <si>
    <t xml:space="preserve">     Current</t>
  </si>
  <si>
    <t xml:space="preserve">  Constant</t>
  </si>
  <si>
    <t xml:space="preserve">     dollars</t>
  </si>
  <si>
    <t xml:space="preserve">   dollars</t>
  </si>
  <si>
    <t xml:space="preserve"> Pounds</t>
  </si>
  <si>
    <t xml:space="preserve">              Cents/pound</t>
  </si>
  <si>
    <t xml:space="preserve">                Percent</t>
  </si>
  <si>
    <t xml:space="preserve">   1/</t>
  </si>
  <si>
    <t>-- Million pounds --</t>
  </si>
  <si>
    <t xml:space="preserve">        2/</t>
  </si>
  <si>
    <t xml:space="preserve">       2/</t>
  </si>
  <si>
    <t xml:space="preserve">      3/</t>
  </si>
  <si>
    <t xml:space="preserve"> use   4/</t>
  </si>
  <si>
    <t xml:space="preserve">   as a </t>
  </si>
  <si>
    <t xml:space="preserve">    use</t>
  </si>
  <si>
    <t xml:space="preserve">   supply</t>
  </si>
  <si>
    <t xml:space="preserve">       Total</t>
  </si>
  <si>
    <t xml:space="preserve">     Imports</t>
  </si>
  <si>
    <t xml:space="preserve">         3/</t>
  </si>
  <si>
    <t xml:space="preserve">       tion</t>
  </si>
  <si>
    <t xml:space="preserve">            --</t>
  </si>
  <si>
    <t>2002/03</t>
  </si>
  <si>
    <t xml:space="preserve">                                     1,000 dollars</t>
  </si>
  <si>
    <t xml:space="preserve"> Value of sales</t>
  </si>
  <si>
    <t xml:space="preserve">             -- Pounds, farm weight --</t>
  </si>
  <si>
    <t xml:space="preserve">                      Processing</t>
  </si>
  <si>
    <t xml:space="preserve">     2000</t>
  </si>
  <si>
    <t>2003/04</t>
  </si>
  <si>
    <t xml:space="preserve"> Service, USDA.   3/ Source:  Bureau of the Census, U.S. Department of Commerce and Statistics Canada.   4/ Total disappearance divided by total U.S. population </t>
  </si>
  <si>
    <t>organic</t>
  </si>
  <si>
    <t xml:space="preserve">       All</t>
  </si>
  <si>
    <t>Sold as</t>
  </si>
  <si>
    <t>certified</t>
  </si>
  <si>
    <t xml:space="preserve">                            Million lbs</t>
  </si>
  <si>
    <t>Share of</t>
  </si>
  <si>
    <t>all growers</t>
  </si>
  <si>
    <t>Organic growers</t>
  </si>
  <si>
    <t>Organic share</t>
  </si>
  <si>
    <t>of all mushroom</t>
  </si>
  <si>
    <t>Year 2/</t>
  </si>
  <si>
    <t xml:space="preserve">         --</t>
  </si>
  <si>
    <t>Agaricus</t>
  </si>
  <si>
    <t>share of</t>
  </si>
  <si>
    <t>volume 3/</t>
  </si>
  <si>
    <t xml:space="preserve"> -- = not available.   1/ Organic data collection began with the 1999/2000 season.   2/ July to June crop year.    3/ Share of all mushroom sales that</t>
  </si>
  <si>
    <t>Mushroom table 5--U.S. certified organic mushrooms:  Number of growers and sales volume 1/</t>
  </si>
  <si>
    <t xml:space="preserve"> 1/  Includes Portobello and Crimini.</t>
  </si>
  <si>
    <t>Brown 1/</t>
  </si>
  <si>
    <t>organic volume 4/</t>
  </si>
  <si>
    <t xml:space="preserve"> 1/ Crop year begins July 1 and ends June 30.  Series began in 1986/87.    2/ Includes Shiitake, Oyster, and all other specialty varieties.</t>
  </si>
  <si>
    <t>were certified organic.   4/ Share of certified organic volume composed of Agaricus types with the remainder in specialty mushroom types.</t>
  </si>
  <si>
    <t xml:space="preserve"> 1/ July to June crop year.  2/ Number of growers counted once if growing both Agaricus and specialties.    </t>
  </si>
  <si>
    <t>Cremini</t>
  </si>
  <si>
    <t xml:space="preserve"> 1/ Import data beginning in January 1989 are reported under the Harmonized Tariff Schedule (HS) of the U.S. Department of Commerce.    2/ Fresh imports   </t>
  </si>
  <si>
    <t xml:space="preserve">1/ Mid-point of daily price range.  </t>
  </si>
  <si>
    <t>2004/05</t>
  </si>
  <si>
    <t>on a drained-weight basis.  Includes truffles and provisionally prepared products.</t>
  </si>
  <si>
    <t>2005/06</t>
  </si>
  <si>
    <r>
      <t xml:space="preserve"> Source:   USDA, National Agricultural Statistics Service, </t>
    </r>
    <r>
      <rPr>
        <i/>
        <sz val="7"/>
        <rFont val="Helvetica"/>
        <family val="2"/>
      </rPr>
      <t>Mushrooms.</t>
    </r>
  </si>
  <si>
    <r>
      <t xml:space="preserve"> Source:  USDA, National Agricultural Statistics Service,</t>
    </r>
    <r>
      <rPr>
        <i/>
        <sz val="7"/>
        <rFont val="Helvetica"/>
        <family val="0"/>
      </rPr>
      <t xml:space="preserve"> Mushrooms.</t>
    </r>
  </si>
  <si>
    <r>
      <t xml:space="preserve"> Source:  Derived by ERS from data of USDA, National Agricultural Statistics Service,</t>
    </r>
    <r>
      <rPr>
        <i/>
        <sz val="7"/>
        <rFont val="Helvetica"/>
        <family val="0"/>
      </rPr>
      <t xml:space="preserve"> Mushrooms.</t>
    </r>
  </si>
  <si>
    <t xml:space="preserve"> 1/ Crop year begins July 1 of the year listed and ends on June 30 of the following year.   2/ Sales volume for all fresh mushrooms.  Source:  National Agricultural Statistics </t>
  </si>
  <si>
    <t xml:space="preserve"> Source:  Compiled and computed by USDA, Economic Research Service.  </t>
  </si>
  <si>
    <t xml:space="preserve"> Source:   Computed by USDA, Economic Research Service.  </t>
  </si>
  <si>
    <t>Source:   Compiled by USDA, ERS from data of  U.S. Department of Commerce, U.S. Census Bureau.</t>
  </si>
  <si>
    <t xml:space="preserve">                    Annual</t>
  </si>
  <si>
    <t>Mushroom table 7--Mushrooms:  U.S.  trade volume, 2000-04</t>
  </si>
  <si>
    <t>Archive:</t>
  </si>
  <si>
    <t>1,000 lbs, product-weight</t>
  </si>
  <si>
    <t>ARCHIVED DATA:</t>
  </si>
  <si>
    <t xml:space="preserve">              --</t>
  </si>
  <si>
    <t xml:space="preserve">   dollars 5/</t>
  </si>
  <si>
    <t xml:space="preserve">                  price </t>
  </si>
  <si>
    <t xml:space="preserve"> 1/ Crop year begins July 1 of the year listed and ends on June 30 of the following year.   2/  Source:  USDA, National Agricultural Statistics Service. </t>
  </si>
  <si>
    <t xml:space="preserve"> 3/ Source:  Bureau of the Census, U.S. Department of Commerce.  Includes canned, frozen, and dried mushrooms.  Canned converted to fresh-weight basis</t>
  </si>
  <si>
    <t xml:space="preserve"> total U.S. population on January 1.  Represents volume available for consumption per person.   5/ Deflated using the GDP implicit deflator, 2000=100.</t>
  </si>
  <si>
    <t xml:space="preserve"> using a factor of 1.538, frozen factor is 1.5, and dried factor is 10.0.   Dried exports adjusted using Canadian data from 1979-88.    4/ Total disappearance divided by</t>
  </si>
  <si>
    <t xml:space="preserve">           2/</t>
  </si>
  <si>
    <t xml:space="preserve">        Trade shares</t>
  </si>
  <si>
    <t xml:space="preserve"> on January 1.  Represents volume available for consumption per person.   5/ Deflated using the GDP implicit price deflator, 2000=100.</t>
  </si>
  <si>
    <t xml:space="preserve"> Note:  Due to lack of data, this table excludes changes in processed mushroom inventories.</t>
  </si>
  <si>
    <t>Disappearance</t>
  </si>
  <si>
    <t>2006/07</t>
  </si>
  <si>
    <t xml:space="preserve"> -- = not available (in others).  1/ Volume of sales.     Production, price, and value data for the 2007/08 season will be released by USDA/NASS in August 2008.</t>
  </si>
  <si>
    <t>Mushroom table 4b--U.S. brown agaricus and specialty mushrooms:  Volume of sales, price, and value, 1998/99-2003/04</t>
  </si>
  <si>
    <t>Unit value</t>
  </si>
  <si>
    <t xml:space="preserve">include truffles.  3/ Monthly data for 1983 frozen imports were insufficient and will be replaced in the future.  4/ Canned mushrooms are reported   </t>
  </si>
  <si>
    <t>2008/2007</t>
  </si>
  <si>
    <t>2006-07</t>
  </si>
  <si>
    <t xml:space="preserve">Mushroom table 9--Mushrooms, all:  U.S. per capita utilization, 1977-2008  </t>
  </si>
  <si>
    <t>Mushroom table 10--U.S. fresh-market mushrooms:  Supply, disappearance, and price, farm weight, 1965-08</t>
  </si>
  <si>
    <t>Mushroom table 11--U.S. mushrooms for processing:  Supply, disappearance, and price, farm weight, 1965-08</t>
  </si>
  <si>
    <t>Shiitake (sliced)</t>
  </si>
  <si>
    <t>Mushroom table 7--Mushrooms:  U.S. monthly and annual imports, 1988-2008 1/</t>
  </si>
  <si>
    <t>Note:  Trade data reported are from U.S. Census Bureau and may not match U.S. Customs data since census data may not capture small shipments.</t>
  </si>
  <si>
    <t>percent</t>
  </si>
  <si>
    <t>2007/08</t>
  </si>
  <si>
    <t>Mushroom table 1--U.S. agaricus mushrooms:  Sales volume, price, and value, selected States, 2005/06-2007/08</t>
  </si>
  <si>
    <t>Mushroom table 3--All mushrooms combined:  Number of growers, volume, and value of sales, 1987/88-2007/08  1/</t>
  </si>
  <si>
    <t>Mushroom table 4--U.S. brown agaricus and specialty mushrooms:  Volume of sales, price, and value, 2005/06-2007/08</t>
  </si>
  <si>
    <t>Mushroom table 6--Specialty mushrooms:  Price and value, by type of sale, 1986/87-2007/08</t>
  </si>
  <si>
    <t>Mushroom  table 8--Mushrooms:  U.S.  trade volume, 2006-08</t>
  </si>
  <si>
    <t xml:space="preserve">  f = ERS forecast as of 10/23/08.  </t>
  </si>
  <si>
    <t>Rev:  10/23/2008.</t>
  </si>
  <si>
    <t xml:space="preserve"> -- = Not available.    f = ERS forecast as of 10/23/08.   Production and price data for the 2008/09 season will be released by USDA/NASS in August 2009.</t>
  </si>
  <si>
    <t xml:space="preserve"> -- = Not available.   r = revised.  f = ERS forecast as of 10/23/08.   Production and price data for the 2008/09 season will be released by USDA/NASS in August 2009.</t>
  </si>
  <si>
    <t>Table 2a--Mushroom Wholesale Prices, Boston Terminal Market, early December 1/</t>
  </si>
  <si>
    <t>Table 2b--Mushroom Wholesale Prices, Chicago Terminal Market, early December 1/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</si>
</sst>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"/>
    <numFmt numFmtId="168" formatCode="#,##0___)"/>
    <numFmt numFmtId="169" formatCode="#,##0_)"/>
    <numFmt numFmtId="170" formatCode="0.0___)"/>
    <numFmt numFmtId="171" formatCode="#,##0_____________________)"/>
    <numFmt numFmtId="172" formatCode="0.00___________________)"/>
    <numFmt numFmtId="173" formatCode="#,##0_______________)"/>
    <numFmt numFmtId="174" formatCode="0.000_____)"/>
    <numFmt numFmtId="175" formatCode="0_);\(0\)"/>
    <numFmt numFmtId="176" formatCode="0.00_____)"/>
    <numFmt numFmtId="177" formatCode="0.00___________)"/>
    <numFmt numFmtId="178" formatCode="#,##0.0_);\(#,##0.0\)"/>
    <numFmt numFmtId="179" formatCode="General_)"/>
    <numFmt numFmtId="180" formatCode="0.000_)"/>
    <numFmt numFmtId="181" formatCode="#,##0.0"/>
    <numFmt numFmtId="182" formatCode="0___)"/>
    <numFmt numFmtId="183" formatCode="#,##0_________)"/>
    <numFmt numFmtId="184" formatCode="#,##0_______)"/>
    <numFmt numFmtId="185" formatCode="#,##0_____)"/>
    <numFmt numFmtId="186" formatCode="#,##0.0___)"/>
    <numFmt numFmtId="187" formatCode="0.000"/>
    <numFmt numFmtId="188" formatCode="#,##0_____________)"/>
    <numFmt numFmtId="189" formatCode="#,##0___________)"/>
    <numFmt numFmtId="190" formatCode="0.0_______)"/>
    <numFmt numFmtId="191" formatCode="0.0_____________)"/>
    <numFmt numFmtId="192" formatCode="#,##0.0_________)"/>
    <numFmt numFmtId="193" formatCode="#,##0.0_______)"/>
    <numFmt numFmtId="194" formatCode="#,##0.0_____________)"/>
    <numFmt numFmtId="195" formatCode="#,##0.0___________)"/>
    <numFmt numFmtId="196" formatCode="#,##0.0___________________)"/>
    <numFmt numFmtId="197" formatCode="#,##0.0_____)"/>
    <numFmt numFmtId="198" formatCode="0.0_____)"/>
    <numFmt numFmtId="199" formatCode="0.0___________________)"/>
    <numFmt numFmtId="200" formatCode="0.0_______________________)"/>
    <numFmt numFmtId="201" formatCode="#,##0.0_______________________)"/>
    <numFmt numFmtId="202" formatCode="0.00___)"/>
    <numFmt numFmtId="203" formatCode="0.000___)"/>
    <numFmt numFmtId="204" formatCode="#,##0.0000_);\(#,##0.0000\)"/>
    <numFmt numFmtId="205" formatCode="#,##0.00___)"/>
    <numFmt numFmtId="206" formatCode="#,##0___);\(#,##0\)"/>
    <numFmt numFmtId="207" formatCode=".00_)"/>
    <numFmt numFmtId="208" formatCode="#,##0____"/>
    <numFmt numFmtId="209" formatCode="###.0___);\(#,###.0\)"/>
    <numFmt numFmtId="210" formatCode="###.00_______)"/>
    <numFmt numFmtId="211" formatCode="###.0_______)"/>
    <numFmt numFmtId="212" formatCode="#,##0.0____"/>
    <numFmt numFmtId="213" formatCode="###.0______"/>
    <numFmt numFmtId="214" formatCode="0.00000000000000"/>
    <numFmt numFmtId="215" formatCode="0.0000"/>
    <numFmt numFmtId="216" formatCode="#,##0.000_);\(#,##0.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Courier New"/>
      <family val="0"/>
    </font>
    <font>
      <sz val="9"/>
      <name val="Arial MT"/>
      <family val="0"/>
    </font>
    <font>
      <sz val="9"/>
      <name val="Arial"/>
      <family val="0"/>
    </font>
    <font>
      <sz val="10"/>
      <name val="Arial MT"/>
      <family val="0"/>
    </font>
    <font>
      <sz val="8"/>
      <name val="Helvetica"/>
      <family val="2"/>
    </font>
    <font>
      <sz val="7"/>
      <name val="Helvetica"/>
      <family val="2"/>
    </font>
    <font>
      <sz val="9"/>
      <name val="TimesNewRomanPS"/>
      <family val="0"/>
    </font>
    <font>
      <sz val="10"/>
      <name val="Helvetica"/>
      <family val="2"/>
    </font>
    <font>
      <sz val="7.5"/>
      <name val="TimesNewRomanPS"/>
      <family val="0"/>
    </font>
    <font>
      <u val="single"/>
      <sz val="9"/>
      <color indexed="36"/>
      <name val="Arial"/>
      <family val="0"/>
    </font>
    <font>
      <sz val="12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b/>
      <sz val="8"/>
      <name val="Helvetica"/>
      <family val="2"/>
    </font>
    <font>
      <sz val="8"/>
      <name val="Arial"/>
      <family val="0"/>
    </font>
    <font>
      <b/>
      <sz val="10"/>
      <name val="Arial"/>
      <family val="0"/>
    </font>
    <font>
      <i/>
      <sz val="7"/>
      <name val="Helvetica"/>
      <family val="0"/>
    </font>
    <font>
      <i/>
      <sz val="8"/>
      <name val="Helvetica"/>
      <family val="0"/>
    </font>
    <font>
      <i/>
      <sz val="9"/>
      <name val="Arial"/>
      <family val="2"/>
    </font>
    <font>
      <i/>
      <sz val="10"/>
      <name val="Arial MT"/>
      <family val="0"/>
    </font>
    <font>
      <i/>
      <sz val="9"/>
      <name val="Helvetica"/>
      <family val="0"/>
    </font>
    <font>
      <i/>
      <sz val="10"/>
      <name val="Arial"/>
      <family val="2"/>
    </font>
    <font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i/>
      <sz val="9"/>
      <name val="Arial"/>
      <family val="2"/>
    </font>
    <font>
      <sz val="8"/>
      <name val="Arial MT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5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6" fillId="0" borderId="1" xfId="21" applyFont="1" applyBorder="1">
      <alignment/>
      <protection/>
    </xf>
    <xf numFmtId="0" fontId="3" fillId="0" borderId="0" xfId="2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171" fontId="6" fillId="0" borderId="0" xfId="21" applyNumberFormat="1" applyFont="1">
      <alignment/>
      <protection/>
    </xf>
    <xf numFmtId="173" fontId="6" fillId="0" borderId="0" xfId="21" applyNumberFormat="1" applyFont="1" applyProtection="1">
      <alignment/>
      <protection/>
    </xf>
    <xf numFmtId="172" fontId="6" fillId="0" borderId="0" xfId="21" applyNumberFormat="1" applyFont="1" applyProtection="1">
      <alignment/>
      <protection/>
    </xf>
    <xf numFmtId="37" fontId="3" fillId="0" borderId="0" xfId="21" applyNumberFormat="1" applyProtection="1">
      <alignment/>
      <protection/>
    </xf>
    <xf numFmtId="0" fontId="6" fillId="0" borderId="0" xfId="21" applyFont="1" applyAlignment="1" quotePrefix="1">
      <alignment horizontal="left"/>
      <protection/>
    </xf>
    <xf numFmtId="37" fontId="6" fillId="0" borderId="2" xfId="26" applyFont="1" applyBorder="1">
      <alignment/>
      <protection/>
    </xf>
    <xf numFmtId="37" fontId="8" fillId="0" borderId="0" xfId="26" applyFont="1">
      <alignment/>
      <protection/>
    </xf>
    <xf numFmtId="37" fontId="5" fillId="0" borderId="0" xfId="26">
      <alignment/>
      <protection/>
    </xf>
    <xf numFmtId="37" fontId="6" fillId="0" borderId="0" xfId="26" applyFont="1" applyBorder="1">
      <alignment/>
      <protection/>
    </xf>
    <xf numFmtId="0" fontId="6" fillId="0" borderId="1" xfId="23" applyNumberFormat="1" applyFont="1" applyBorder="1" applyAlignment="1">
      <alignment horizontal="centerContinuous"/>
      <protection/>
    </xf>
    <xf numFmtId="166" fontId="6" fillId="0" borderId="1" xfId="23" applyFont="1" applyBorder="1" applyAlignment="1">
      <alignment horizontal="centerContinuous"/>
      <protection/>
    </xf>
    <xf numFmtId="165" fontId="6" fillId="0" borderId="1" xfId="25" applyNumberFormat="1" applyFont="1" applyBorder="1" applyAlignment="1" applyProtection="1" quotePrefix="1">
      <alignment horizontal="centerContinuous"/>
      <protection/>
    </xf>
    <xf numFmtId="37" fontId="6" fillId="0" borderId="1" xfId="25" applyFont="1" applyBorder="1" applyAlignment="1">
      <alignment horizontal="centerContinuous"/>
      <protection/>
    </xf>
    <xf numFmtId="37" fontId="6" fillId="0" borderId="1" xfId="26" applyFont="1" applyBorder="1" applyAlignment="1">
      <alignment horizontal="left"/>
      <protection/>
    </xf>
    <xf numFmtId="166" fontId="6" fillId="0" borderId="1" xfId="23" applyFont="1" applyBorder="1" applyAlignment="1">
      <alignment horizontal="center"/>
      <protection/>
    </xf>
    <xf numFmtId="37" fontId="6" fillId="0" borderId="1" xfId="26" applyFont="1" applyBorder="1">
      <alignment/>
      <protection/>
    </xf>
    <xf numFmtId="37" fontId="6" fillId="0" borderId="0" xfId="26" applyFont="1">
      <alignment/>
      <protection/>
    </xf>
    <xf numFmtId="37" fontId="6" fillId="0" borderId="0" xfId="26" applyFont="1" applyAlignment="1">
      <alignment horizontal="left"/>
      <protection/>
    </xf>
    <xf numFmtId="169" fontId="6" fillId="0" borderId="0" xfId="26" applyNumberFormat="1" applyFont="1">
      <alignment/>
      <protection/>
    </xf>
    <xf numFmtId="169" fontId="6" fillId="0" borderId="0" xfId="26" applyNumberFormat="1" applyFont="1" applyProtection="1">
      <alignment/>
      <protection/>
    </xf>
    <xf numFmtId="169" fontId="6" fillId="0" borderId="0" xfId="26" applyNumberFormat="1" applyFont="1" applyAlignment="1" applyProtection="1">
      <alignment horizontal="left"/>
      <protection/>
    </xf>
    <xf numFmtId="170" fontId="6" fillId="0" borderId="0" xfId="26" applyNumberFormat="1" applyFont="1" applyProtection="1">
      <alignment/>
      <protection/>
    </xf>
    <xf numFmtId="37" fontId="7" fillId="0" borderId="3" xfId="26" applyFont="1" applyBorder="1" applyAlignment="1">
      <alignment horizontal="left"/>
      <protection/>
    </xf>
    <xf numFmtId="37" fontId="6" fillId="0" borderId="3" xfId="26" applyFont="1" applyBorder="1">
      <alignment/>
      <protection/>
    </xf>
    <xf numFmtId="37" fontId="6" fillId="0" borderId="3" xfId="26" applyNumberFormat="1" applyFont="1" applyBorder="1" applyProtection="1">
      <alignment/>
      <protection/>
    </xf>
    <xf numFmtId="164" fontId="6" fillId="0" borderId="3" xfId="26" applyNumberFormat="1" applyFont="1" applyBorder="1" applyProtection="1">
      <alignment/>
      <protection/>
    </xf>
    <xf numFmtId="37" fontId="6" fillId="0" borderId="0" xfId="26" applyNumberFormat="1" applyFont="1" applyProtection="1">
      <alignment/>
      <protection/>
    </xf>
    <xf numFmtId="37" fontId="7" fillId="0" borderId="0" xfId="26" applyFont="1" applyAlignment="1" applyProtection="1">
      <alignment horizontal="left"/>
      <protection locked="0"/>
    </xf>
    <xf numFmtId="37" fontId="6" fillId="0" borderId="0" xfId="26" applyNumberFormat="1" applyFont="1" applyAlignment="1" applyProtection="1">
      <alignment horizontal="left"/>
      <protection/>
    </xf>
    <xf numFmtId="37" fontId="10" fillId="0" borderId="0" xfId="26" applyFont="1">
      <alignment/>
      <protection/>
    </xf>
    <xf numFmtId="0" fontId="6" fillId="0" borderId="2" xfId="24" applyFont="1" applyBorder="1">
      <alignment/>
      <protection/>
    </xf>
    <xf numFmtId="0" fontId="8" fillId="0" borderId="0" xfId="24" applyFont="1">
      <alignment/>
      <protection/>
    </xf>
    <xf numFmtId="0" fontId="5" fillId="0" borderId="0" xfId="24">
      <alignment/>
      <protection/>
    </xf>
    <xf numFmtId="0" fontId="6" fillId="0" borderId="0" xfId="24" applyFont="1" applyBorder="1">
      <alignment/>
      <protection/>
    </xf>
    <xf numFmtId="0" fontId="6" fillId="0" borderId="0" xfId="24" applyFont="1">
      <alignment/>
      <protection/>
    </xf>
    <xf numFmtId="0" fontId="6" fillId="0" borderId="0" xfId="24" applyFont="1" applyAlignment="1">
      <alignment horizontal="centerContinuous"/>
      <protection/>
    </xf>
    <xf numFmtId="0" fontId="6" fillId="0" borderId="0" xfId="24" applyFont="1" applyAlignment="1">
      <alignment horizontal="left"/>
      <protection/>
    </xf>
    <xf numFmtId="168" fontId="6" fillId="0" borderId="0" xfId="24" applyNumberFormat="1" applyFont="1" applyProtection="1">
      <alignment/>
      <protection/>
    </xf>
    <xf numFmtId="174" fontId="6" fillId="0" borderId="0" xfId="24" applyNumberFormat="1" applyFont="1" applyProtection="1">
      <alignment/>
      <protection/>
    </xf>
    <xf numFmtId="168" fontId="6" fillId="0" borderId="0" xfId="24" applyNumberFormat="1" applyFont="1">
      <alignment/>
      <protection/>
    </xf>
    <xf numFmtId="174" fontId="6" fillId="0" borderId="0" xfId="24" applyNumberFormat="1" applyFont="1">
      <alignment/>
      <protection/>
    </xf>
    <xf numFmtId="168" fontId="6" fillId="0" borderId="1" xfId="24" applyNumberFormat="1" applyFont="1" applyBorder="1" applyProtection="1">
      <alignment/>
      <protection/>
    </xf>
    <xf numFmtId="0" fontId="7" fillId="0" borderId="0" xfId="24" applyFont="1" applyAlignment="1">
      <alignment horizontal="left"/>
      <protection/>
    </xf>
    <xf numFmtId="37" fontId="6" fillId="0" borderId="0" xfId="24" applyNumberFormat="1" applyFont="1" applyProtection="1">
      <alignment/>
      <protection/>
    </xf>
    <xf numFmtId="165" fontId="5" fillId="0" borderId="0" xfId="24" applyNumberFormat="1" applyProtection="1">
      <alignment/>
      <protection/>
    </xf>
    <xf numFmtId="166" fontId="5" fillId="0" borderId="0" xfId="24" applyNumberFormat="1" applyProtection="1">
      <alignment/>
      <protection/>
    </xf>
    <xf numFmtId="164" fontId="5" fillId="0" borderId="0" xfId="24" applyNumberFormat="1" applyProtection="1">
      <alignment/>
      <protection/>
    </xf>
    <xf numFmtId="0" fontId="2" fillId="0" borderId="0" xfId="29">
      <alignment/>
      <protection/>
    </xf>
    <xf numFmtId="0" fontId="6" fillId="0" borderId="0" xfId="24" applyFont="1" applyAlignment="1" quotePrefix="1">
      <alignment horizontal="left"/>
      <protection/>
    </xf>
    <xf numFmtId="176" fontId="6" fillId="0" borderId="0" xfId="24" applyNumberFormat="1" applyFont="1" applyProtection="1">
      <alignment/>
      <protection/>
    </xf>
    <xf numFmtId="176" fontId="6" fillId="0" borderId="0" xfId="24" applyNumberFormat="1" applyFont="1">
      <alignment/>
      <protection/>
    </xf>
    <xf numFmtId="0" fontId="6" fillId="0" borderId="1" xfId="24" applyFont="1" applyBorder="1" applyAlignment="1" quotePrefix="1">
      <alignment horizontal="left"/>
      <protection/>
    </xf>
    <xf numFmtId="0" fontId="7" fillId="0" borderId="0" xfId="24" applyFont="1" applyAlignment="1" quotePrefix="1">
      <alignment horizontal="left"/>
      <protection/>
    </xf>
    <xf numFmtId="0" fontId="6" fillId="0" borderId="1" xfId="30" applyFont="1" applyBorder="1">
      <alignment/>
      <protection/>
    </xf>
    <xf numFmtId="0" fontId="4" fillId="0" borderId="0" xfId="30">
      <alignment/>
      <protection/>
    </xf>
    <xf numFmtId="0" fontId="6" fillId="0" borderId="0" xfId="30" applyFont="1">
      <alignment/>
      <protection/>
    </xf>
    <xf numFmtId="0" fontId="6" fillId="0" borderId="0" xfId="30" applyFont="1" applyAlignment="1" applyProtection="1">
      <alignment horizontal="left"/>
      <protection locked="0"/>
    </xf>
    <xf numFmtId="37" fontId="6" fillId="0" borderId="0" xfId="30" applyNumberFormat="1" applyFont="1" applyProtection="1">
      <alignment/>
      <protection/>
    </xf>
    <xf numFmtId="37" fontId="4" fillId="0" borderId="0" xfId="30" applyNumberFormat="1" applyProtection="1">
      <alignment/>
      <protection/>
    </xf>
    <xf numFmtId="37" fontId="6" fillId="0" borderId="0" xfId="30" applyNumberFormat="1" applyFont="1" applyAlignment="1" applyProtection="1">
      <alignment/>
      <protection/>
    </xf>
    <xf numFmtId="37" fontId="4" fillId="0" borderId="0" xfId="30" applyNumberFormat="1" applyAlignment="1" applyProtection="1">
      <alignment horizontal="left"/>
      <protection/>
    </xf>
    <xf numFmtId="0" fontId="4" fillId="0" borderId="0" xfId="30" applyAlignment="1">
      <alignment horizontal="left"/>
      <protection/>
    </xf>
    <xf numFmtId="0" fontId="7" fillId="0" borderId="3" xfId="30" applyFont="1" applyBorder="1" applyAlignment="1">
      <alignment horizontal="left"/>
      <protection/>
    </xf>
    <xf numFmtId="37" fontId="6" fillId="0" borderId="3" xfId="30" applyNumberFormat="1" applyFont="1" applyBorder="1" applyProtection="1">
      <alignment/>
      <protection/>
    </xf>
    <xf numFmtId="0" fontId="7" fillId="0" borderId="0" xfId="30" applyFont="1" applyAlignment="1" quotePrefix="1">
      <alignment horizontal="left"/>
      <protection/>
    </xf>
    <xf numFmtId="0" fontId="6" fillId="0" borderId="1" xfId="27" applyFont="1" applyBorder="1">
      <alignment/>
      <protection/>
    </xf>
    <xf numFmtId="0" fontId="3" fillId="0" borderId="0" xfId="27" applyFont="1">
      <alignment/>
      <protection/>
    </xf>
    <xf numFmtId="0" fontId="12" fillId="0" borderId="0" xfId="27">
      <alignment/>
      <protection/>
    </xf>
    <xf numFmtId="0" fontId="6" fillId="0" borderId="0" xfId="27" applyFont="1">
      <alignment/>
      <protection/>
    </xf>
    <xf numFmtId="0" fontId="6" fillId="0" borderId="0" xfId="27" applyFont="1" applyAlignment="1" applyProtection="1">
      <alignment horizontal="left"/>
      <protection locked="0"/>
    </xf>
    <xf numFmtId="177" fontId="6" fillId="0" borderId="0" xfId="27" applyNumberFormat="1" applyFont="1" applyProtection="1">
      <alignment/>
      <protection/>
    </xf>
    <xf numFmtId="164" fontId="6" fillId="0" borderId="0" xfId="27" applyNumberFormat="1" applyFont="1" applyProtection="1">
      <alignment/>
      <protection/>
    </xf>
    <xf numFmtId="0" fontId="6" fillId="0" borderId="0" xfId="27" applyFont="1" applyAlignment="1" applyProtection="1" quotePrefix="1">
      <alignment horizontal="left"/>
      <protection locked="0"/>
    </xf>
    <xf numFmtId="0" fontId="6" fillId="0" borderId="3" xfId="27" applyFont="1" applyBorder="1">
      <alignment/>
      <protection/>
    </xf>
    <xf numFmtId="0" fontId="7" fillId="0" borderId="0" xfId="27" applyFont="1" applyAlignment="1" applyProtection="1">
      <alignment horizontal="left"/>
      <protection locked="0"/>
    </xf>
    <xf numFmtId="9" fontId="6" fillId="0" borderId="0" xfId="27" applyNumberFormat="1" applyFont="1" applyProtection="1">
      <alignment/>
      <protection/>
    </xf>
    <xf numFmtId="9" fontId="12" fillId="0" borderId="0" xfId="27" applyNumberFormat="1" applyProtection="1">
      <alignment/>
      <protection/>
    </xf>
    <xf numFmtId="0" fontId="6" fillId="0" borderId="1" xfId="22" applyFont="1" applyBorder="1">
      <alignment/>
      <protection/>
    </xf>
    <xf numFmtId="0" fontId="3" fillId="0" borderId="0" xfId="22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 applyProtection="1">
      <alignment/>
      <protection locked="0"/>
    </xf>
    <xf numFmtId="37" fontId="6" fillId="0" borderId="0" xfId="22" applyNumberFormat="1" applyFont="1" applyProtection="1">
      <alignment/>
      <protection/>
    </xf>
    <xf numFmtId="166" fontId="6" fillId="0" borderId="0" xfId="22" applyNumberFormat="1" applyFont="1" applyProtection="1">
      <alignment/>
      <protection/>
    </xf>
    <xf numFmtId="0" fontId="6" fillId="0" borderId="0" xfId="22" applyFont="1" applyBorder="1" applyAlignment="1" applyProtection="1">
      <alignment/>
      <protection locked="0"/>
    </xf>
    <xf numFmtId="37" fontId="6" fillId="0" borderId="0" xfId="22" applyNumberFormat="1" applyFont="1" applyBorder="1" applyProtection="1">
      <alignment/>
      <protection/>
    </xf>
    <xf numFmtId="0" fontId="6" fillId="0" borderId="0" xfId="22" applyFont="1" applyBorder="1">
      <alignment/>
      <protection/>
    </xf>
    <xf numFmtId="166" fontId="6" fillId="0" borderId="0" xfId="22" applyNumberFormat="1" applyFont="1" applyBorder="1" applyProtection="1">
      <alignment/>
      <protection/>
    </xf>
    <xf numFmtId="0" fontId="6" fillId="0" borderId="0" xfId="22" applyFont="1" applyBorder="1" applyAlignment="1" applyProtection="1" quotePrefix="1">
      <alignment/>
      <protection locked="0"/>
    </xf>
    <xf numFmtId="0" fontId="6" fillId="0" borderId="0" xfId="22" applyFont="1" applyBorder="1" applyAlignment="1" applyProtection="1" quotePrefix="1">
      <alignment horizontal="left"/>
      <protection locked="0"/>
    </xf>
    <xf numFmtId="0" fontId="7" fillId="0" borderId="4" xfId="22" applyFont="1" applyBorder="1" applyAlignment="1" quotePrefix="1">
      <alignment horizontal="left"/>
      <protection/>
    </xf>
    <xf numFmtId="0" fontId="6" fillId="0" borderId="4" xfId="22" applyFont="1" applyBorder="1">
      <alignment/>
      <protection/>
    </xf>
    <xf numFmtId="0" fontId="7" fillId="0" borderId="0" xfId="22" applyFont="1" applyAlignment="1">
      <alignment horizontal="left"/>
      <protection/>
    </xf>
    <xf numFmtId="0" fontId="9" fillId="0" borderId="0" xfId="0" applyFont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 quotePrefix="1">
      <alignment horizontal="center"/>
    </xf>
    <xf numFmtId="167" fontId="13" fillId="0" borderId="0" xfId="0" applyNumberFormat="1" applyFont="1" applyAlignment="1">
      <alignment/>
    </xf>
    <xf numFmtId="37" fontId="7" fillId="0" borderId="0" xfId="26" applyFont="1" applyAlignment="1" quotePrefix="1">
      <alignment horizontal="left"/>
      <protection/>
    </xf>
    <xf numFmtId="0" fontId="7" fillId="0" borderId="3" xfId="27" applyFont="1" applyBorder="1" applyAlignment="1" quotePrefix="1">
      <alignment horizontal="left"/>
      <protection/>
    </xf>
    <xf numFmtId="166" fontId="6" fillId="0" borderId="1" xfId="23" applyFont="1" applyBorder="1" applyAlignment="1" quotePrefix="1">
      <alignment horizontal="center"/>
      <protection/>
    </xf>
    <xf numFmtId="2" fontId="13" fillId="0" borderId="0" xfId="0" applyNumberFormat="1" applyFont="1" applyAlignment="1" quotePrefix="1">
      <alignment horizontal="right"/>
    </xf>
    <xf numFmtId="0" fontId="14" fillId="0" borderId="0" xfId="0" applyFont="1" applyAlignment="1" quotePrefix="1">
      <alignment horizontal="left"/>
    </xf>
    <xf numFmtId="0" fontId="15" fillId="0" borderId="2" xfId="24" applyFont="1" applyBorder="1" applyAlignment="1" quotePrefix="1">
      <alignment horizontal="left"/>
      <protection/>
    </xf>
    <xf numFmtId="0" fontId="15" fillId="0" borderId="1" xfId="27" applyFont="1" applyBorder="1" applyAlignment="1" quotePrefix="1">
      <alignment horizontal="left"/>
      <protection/>
    </xf>
    <xf numFmtId="0" fontId="6" fillId="0" borderId="0" xfId="21" applyFont="1" applyBorder="1" applyAlignment="1" quotePrefix="1">
      <alignment horizontal="left"/>
      <protection/>
    </xf>
    <xf numFmtId="171" fontId="6" fillId="0" borderId="0" xfId="21" applyNumberFormat="1" applyFont="1" applyBorder="1">
      <alignment/>
      <protection/>
    </xf>
    <xf numFmtId="173" fontId="6" fillId="0" borderId="0" xfId="21" applyNumberFormat="1" applyFont="1" applyBorder="1" applyProtection="1">
      <alignment/>
      <protection/>
    </xf>
    <xf numFmtId="0" fontId="6" fillId="0" borderId="0" xfId="21" applyFont="1" applyBorder="1">
      <alignment/>
      <protection/>
    </xf>
    <xf numFmtId="172" fontId="6" fillId="0" borderId="0" xfId="21" applyNumberFormat="1" applyFont="1" applyBorder="1" applyProtection="1">
      <alignment/>
      <protection/>
    </xf>
    <xf numFmtId="0" fontId="7" fillId="0" borderId="4" xfId="21" applyFont="1" applyBorder="1" applyAlignment="1">
      <alignment horizontal="left"/>
      <protection/>
    </xf>
    <xf numFmtId="0" fontId="6" fillId="0" borderId="4" xfId="21" applyFont="1" applyBorder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23" applyNumberFormat="1" applyFont="1" applyBorder="1" applyAlignment="1">
      <alignment horizontal="centerContinuous"/>
      <protection/>
    </xf>
    <xf numFmtId="166" fontId="6" fillId="0" borderId="5" xfId="23" applyFont="1" applyBorder="1" applyAlignment="1">
      <alignment horizontal="center"/>
      <protection/>
    </xf>
    <xf numFmtId="166" fontId="6" fillId="0" borderId="5" xfId="23" applyFont="1" applyBorder="1" applyAlignment="1" quotePrefix="1">
      <alignment horizontal="center"/>
      <protection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18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16" fillId="0" borderId="0" xfId="0" applyFont="1" applyAlignment="1">
      <alignment/>
    </xf>
    <xf numFmtId="37" fontId="6" fillId="0" borderId="0" xfId="25" applyFont="1" applyBorder="1" applyAlignment="1">
      <alignment horizontal="centerContinuous"/>
      <protection/>
    </xf>
    <xf numFmtId="0" fontId="15" fillId="0" borderId="0" xfId="30" applyFont="1" applyAlignment="1">
      <alignment horizontal="left"/>
      <protection/>
    </xf>
    <xf numFmtId="0" fontId="6" fillId="0" borderId="0" xfId="23" applyNumberFormat="1" applyFont="1" applyBorder="1" applyAlignment="1" quotePrefix="1">
      <alignment horizontal="centerContinuous"/>
      <protection/>
    </xf>
    <xf numFmtId="0" fontId="14" fillId="0" borderId="2" xfId="24" applyFont="1" applyBorder="1" applyAlignment="1" quotePrefix="1">
      <alignment horizontal="left"/>
      <protection/>
    </xf>
    <xf numFmtId="0" fontId="14" fillId="0" borderId="1" xfId="21" applyFont="1" applyBorder="1" applyAlignment="1" quotePrefix="1">
      <alignment horizontal="left"/>
      <protection/>
    </xf>
    <xf numFmtId="0" fontId="14" fillId="0" borderId="1" xfId="22" applyFont="1" applyBorder="1" applyAlignment="1" quotePrefix="1">
      <alignment horizontal="left"/>
      <protection/>
    </xf>
    <xf numFmtId="0" fontId="14" fillId="0" borderId="1" xfId="30" applyFont="1" applyBorder="1" applyAlignment="1" quotePrefix="1">
      <alignment horizontal="left"/>
      <protection/>
    </xf>
    <xf numFmtId="37" fontId="14" fillId="0" borderId="2" xfId="26" applyFont="1" applyBorder="1" applyAlignment="1" applyProtection="1" quotePrefix="1">
      <alignment horizontal="left"/>
      <protection locked="0"/>
    </xf>
    <xf numFmtId="0" fontId="14" fillId="0" borderId="1" xfId="27" applyFont="1" applyBorder="1" applyAlignment="1" quotePrefix="1">
      <alignment horizontal="left"/>
      <protection/>
    </xf>
    <xf numFmtId="0" fontId="19" fillId="0" borderId="0" xfId="30" applyFont="1" applyAlignment="1" quotePrefix="1">
      <alignment horizontal="left"/>
      <protection/>
    </xf>
    <xf numFmtId="37" fontId="15" fillId="0" borderId="0" xfId="26" applyFont="1" applyAlignment="1">
      <alignment horizontal="left"/>
      <protection/>
    </xf>
    <xf numFmtId="0" fontId="19" fillId="0" borderId="0" xfId="27" applyFont="1" applyAlignment="1">
      <alignment horizontal="left"/>
      <protection/>
    </xf>
    <xf numFmtId="0" fontId="18" fillId="0" borderId="0" xfId="21" applyFont="1" applyAlignment="1">
      <alignment horizontal="left"/>
      <protection/>
    </xf>
    <xf numFmtId="0" fontId="19" fillId="0" borderId="0" xfId="21" applyFont="1" applyAlignment="1">
      <alignment horizontal="center"/>
      <protection/>
    </xf>
    <xf numFmtId="0" fontId="19" fillId="0" borderId="0" xfId="21" applyFont="1" applyAlignment="1" quotePrefix="1">
      <alignment horizontal="center"/>
      <protection/>
    </xf>
    <xf numFmtId="0" fontId="19" fillId="0" borderId="0" xfId="24" applyFont="1" applyAlignment="1" quotePrefix="1">
      <alignment horizontal="centerContinuous"/>
      <protection/>
    </xf>
    <xf numFmtId="0" fontId="19" fillId="0" borderId="0" xfId="22" applyFont="1">
      <alignment/>
      <protection/>
    </xf>
    <xf numFmtId="0" fontId="19" fillId="0" borderId="0" xfId="22" applyFont="1" applyAlignment="1" quotePrefix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19" fillId="0" borderId="0" xfId="24" applyFont="1">
      <alignment/>
      <protection/>
    </xf>
    <xf numFmtId="0" fontId="19" fillId="0" borderId="0" xfId="24" applyFont="1" applyAlignment="1">
      <alignment horizontal="centerContinuous"/>
      <protection/>
    </xf>
    <xf numFmtId="0" fontId="19" fillId="0" borderId="4" xfId="0" applyFont="1" applyBorder="1" applyAlignment="1">
      <alignment/>
    </xf>
    <xf numFmtId="2" fontId="22" fillId="0" borderId="0" xfId="0" applyNumberFormat="1" applyFont="1" applyAlignment="1" quotePrefix="1">
      <alignment horizontal="left"/>
    </xf>
    <xf numFmtId="2" fontId="22" fillId="0" borderId="0" xfId="0" applyNumberFormat="1" applyFont="1" applyAlignment="1">
      <alignment/>
    </xf>
    <xf numFmtId="168" fontId="6" fillId="0" borderId="0" xfId="21" applyNumberFormat="1" applyFont="1">
      <alignment/>
      <protection/>
    </xf>
    <xf numFmtId="168" fontId="6" fillId="0" borderId="0" xfId="21" applyNumberFormat="1" applyFont="1" applyBorder="1">
      <alignment/>
      <protection/>
    </xf>
    <xf numFmtId="170" fontId="6" fillId="0" borderId="0" xfId="21" applyNumberFormat="1" applyFont="1" applyProtection="1">
      <alignment/>
      <protection/>
    </xf>
    <xf numFmtId="170" fontId="6" fillId="0" borderId="0" xfId="21" applyNumberFormat="1" applyFont="1" applyBorder="1" applyProtection="1">
      <alignment/>
      <protection/>
    </xf>
    <xf numFmtId="170" fontId="6" fillId="0" borderId="0" xfId="21" applyNumberFormat="1" applyFont="1" applyProtection="1" quotePrefix="1">
      <alignment/>
      <protection/>
    </xf>
    <xf numFmtId="0" fontId="6" fillId="0" borderId="0" xfId="21" applyFont="1" applyBorder="1" applyAlignment="1">
      <alignment horizontal="center"/>
      <protection/>
    </xf>
    <xf numFmtId="0" fontId="7" fillId="0" borderId="0" xfId="21" applyFont="1" applyBorder="1" applyAlignment="1">
      <alignment horizontal="left"/>
      <protection/>
    </xf>
    <xf numFmtId="0" fontId="7" fillId="0" borderId="0" xfId="21" applyFont="1" applyBorder="1" applyAlignment="1" quotePrefix="1">
      <alignment horizontal="left"/>
      <protection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23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7" fillId="0" borderId="0" xfId="24" applyFont="1" applyAlignment="1" quotePrefix="1">
      <alignment horizontal="left"/>
      <protection/>
    </xf>
    <xf numFmtId="0" fontId="13" fillId="2" borderId="4" xfId="0" applyFont="1" applyFill="1" applyBorder="1" applyAlignment="1">
      <alignment/>
    </xf>
    <xf numFmtId="0" fontId="13" fillId="2" borderId="4" xfId="0" applyFont="1" applyFill="1" applyBorder="1" applyAlignment="1" quotePrefix="1">
      <alignment horizontal="center"/>
    </xf>
    <xf numFmtId="16" fontId="13" fillId="2" borderId="4" xfId="0" applyNumberFormat="1" applyFont="1" applyFill="1" applyBorder="1" applyAlignment="1">
      <alignment/>
    </xf>
    <xf numFmtId="0" fontId="13" fillId="2" borderId="4" xfId="0" applyFont="1" applyFill="1" applyBorder="1" applyAlignment="1" quotePrefix="1">
      <alignment horizontal="left"/>
    </xf>
    <xf numFmtId="0" fontId="13" fillId="2" borderId="2" xfId="0" applyFont="1" applyFill="1" applyBorder="1" applyAlignment="1" quotePrefix="1">
      <alignment horizontal="center"/>
    </xf>
    <xf numFmtId="0" fontId="13" fillId="2" borderId="2" xfId="0" applyFont="1" applyFill="1" applyBorder="1" applyAlignment="1">
      <alignment/>
    </xf>
    <xf numFmtId="0" fontId="13" fillId="2" borderId="2" xfId="0" applyFont="1" applyFill="1" applyBorder="1" applyAlignment="1" quotePrefix="1">
      <alignment horizontal="left"/>
    </xf>
    <xf numFmtId="0" fontId="6" fillId="2" borderId="0" xfId="24" applyFont="1" applyFill="1" applyBorder="1">
      <alignment/>
      <protection/>
    </xf>
    <xf numFmtId="0" fontId="6" fillId="2" borderId="6" xfId="24" applyFont="1" applyFill="1" applyBorder="1" applyAlignment="1">
      <alignment horizontal="centerContinuous"/>
      <protection/>
    </xf>
    <xf numFmtId="0" fontId="6" fillId="2" borderId="1" xfId="24" applyFont="1" applyFill="1" applyBorder="1" applyAlignment="1">
      <alignment horizontal="centerContinuous"/>
      <protection/>
    </xf>
    <xf numFmtId="0" fontId="6" fillId="2" borderId="1" xfId="24" applyFont="1" applyFill="1" applyBorder="1" applyAlignment="1">
      <alignment horizontal="left"/>
      <protection/>
    </xf>
    <xf numFmtId="0" fontId="6" fillId="2" borderId="1" xfId="24" applyFont="1" applyFill="1" applyBorder="1" applyAlignment="1" quotePrefix="1">
      <alignment horizontal="center"/>
      <protection/>
    </xf>
    <xf numFmtId="0" fontId="6" fillId="2" borderId="1" xfId="24" applyFont="1" applyFill="1" applyBorder="1">
      <alignment/>
      <protection/>
    </xf>
    <xf numFmtId="0" fontId="6" fillId="3" borderId="1" xfId="24" applyFont="1" applyFill="1" applyBorder="1" applyAlignment="1">
      <alignment horizontal="left"/>
      <protection/>
    </xf>
    <xf numFmtId="168" fontId="6" fillId="3" borderId="1" xfId="24" applyNumberFormat="1" applyFont="1" applyFill="1" applyBorder="1" applyProtection="1">
      <alignment/>
      <protection/>
    </xf>
    <xf numFmtId="0" fontId="6" fillId="3" borderId="1" xfId="24" applyFont="1" applyFill="1" applyBorder="1">
      <alignment/>
      <protection/>
    </xf>
    <xf numFmtId="174" fontId="6" fillId="3" borderId="1" xfId="24" applyNumberFormat="1" applyFont="1" applyFill="1" applyBorder="1" applyProtection="1">
      <alignment/>
      <protection/>
    </xf>
    <xf numFmtId="0" fontId="6" fillId="2" borderId="0" xfId="21" applyFont="1" applyFill="1">
      <alignment/>
      <protection/>
    </xf>
    <xf numFmtId="0" fontId="6" fillId="2" borderId="1" xfId="21" applyFont="1" applyFill="1" applyBorder="1" applyAlignment="1">
      <alignment horizontal="centerContinuous"/>
      <protection/>
    </xf>
    <xf numFmtId="0" fontId="6" fillId="2" borderId="1" xfId="21" applyFont="1" applyFill="1" applyBorder="1" applyAlignment="1">
      <alignment horizontal="left"/>
      <protection/>
    </xf>
    <xf numFmtId="0" fontId="6" fillId="2" borderId="1" xfId="21" applyFont="1" applyFill="1" applyBorder="1" applyAlignment="1">
      <alignment horizontal="center"/>
      <protection/>
    </xf>
    <xf numFmtId="0" fontId="6" fillId="3" borderId="0" xfId="21" applyFont="1" applyFill="1" applyBorder="1" applyAlignment="1" quotePrefix="1">
      <alignment horizontal="left"/>
      <protection/>
    </xf>
    <xf numFmtId="171" fontId="6" fillId="3" borderId="0" xfId="21" applyNumberFormat="1" applyFont="1" applyFill="1" applyBorder="1">
      <alignment/>
      <protection/>
    </xf>
    <xf numFmtId="173" fontId="6" fillId="3" borderId="0" xfId="21" applyNumberFormat="1" applyFont="1" applyFill="1" applyBorder="1" applyProtection="1">
      <alignment/>
      <protection/>
    </xf>
    <xf numFmtId="0" fontId="6" fillId="3" borderId="0" xfId="21" applyFont="1" applyFill="1" applyBorder="1">
      <alignment/>
      <protection/>
    </xf>
    <xf numFmtId="172" fontId="6" fillId="3" borderId="0" xfId="21" applyNumberFormat="1" applyFont="1" applyFill="1" applyBorder="1" applyProtection="1">
      <alignment/>
      <protection/>
    </xf>
    <xf numFmtId="0" fontId="6" fillId="3" borderId="1" xfId="24" applyFont="1" applyFill="1" applyBorder="1" applyAlignment="1" quotePrefix="1">
      <alignment horizontal="left"/>
      <protection/>
    </xf>
    <xf numFmtId="176" fontId="6" fillId="3" borderId="1" xfId="24" applyNumberFormat="1" applyFont="1" applyFill="1" applyBorder="1" applyProtection="1">
      <alignment/>
      <protection/>
    </xf>
    <xf numFmtId="0" fontId="6" fillId="2" borderId="5" xfId="21" applyFont="1" applyFill="1" applyBorder="1" applyAlignment="1">
      <alignment horizontal="centerContinuous"/>
      <protection/>
    </xf>
    <xf numFmtId="0" fontId="6" fillId="2" borderId="3" xfId="21" applyFont="1" applyFill="1" applyBorder="1" applyAlignment="1">
      <alignment horizontal="center"/>
      <protection/>
    </xf>
    <xf numFmtId="0" fontId="6" fillId="2" borderId="3" xfId="21" applyFont="1" applyFill="1" applyBorder="1" applyAlignment="1">
      <alignment horizontal="centerContinuous"/>
      <protection/>
    </xf>
    <xf numFmtId="0" fontId="6" fillId="2" borderId="0" xfId="0" applyFont="1" applyFill="1" applyAlignment="1">
      <alignment/>
    </xf>
    <xf numFmtId="0" fontId="6" fillId="2" borderId="0" xfId="21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168" fontId="6" fillId="3" borderId="0" xfId="21" applyNumberFormat="1" applyFont="1" applyFill="1" applyBorder="1">
      <alignment/>
      <protection/>
    </xf>
    <xf numFmtId="170" fontId="6" fillId="3" borderId="0" xfId="21" applyNumberFormat="1" applyFont="1" applyFill="1" applyProtection="1">
      <alignment/>
      <protection/>
    </xf>
    <xf numFmtId="170" fontId="6" fillId="3" borderId="0" xfId="21" applyNumberFormat="1" applyFont="1" applyFill="1" applyBorder="1" applyProtection="1">
      <alignment/>
      <protection/>
    </xf>
    <xf numFmtId="0" fontId="6" fillId="2" borderId="0" xfId="22" applyFont="1" applyFill="1" applyAlignment="1" applyProtection="1">
      <alignment horizontal="left"/>
      <protection locked="0"/>
    </xf>
    <xf numFmtId="0" fontId="6" fillId="2" borderId="1" xfId="22" applyFont="1" applyFill="1" applyBorder="1">
      <alignment/>
      <protection/>
    </xf>
    <xf numFmtId="0" fontId="6" fillId="2" borderId="1" xfId="22" applyFont="1" applyFill="1" applyBorder="1" applyProtection="1">
      <alignment/>
      <protection locked="0"/>
    </xf>
    <xf numFmtId="0" fontId="6" fillId="2" borderId="1" xfId="22" applyFont="1" applyFill="1" applyBorder="1" applyAlignment="1" applyProtection="1">
      <alignment horizontal="left"/>
      <protection locked="0"/>
    </xf>
    <xf numFmtId="0" fontId="6" fillId="2" borderId="0" xfId="22" applyFont="1" applyFill="1" applyProtection="1">
      <alignment/>
      <protection locked="0"/>
    </xf>
    <xf numFmtId="0" fontId="6" fillId="2" borderId="1" xfId="22" applyFont="1" applyFill="1" applyBorder="1" applyAlignment="1" applyProtection="1" quotePrefix="1">
      <alignment horizontal="left"/>
      <protection locked="0"/>
    </xf>
    <xf numFmtId="0" fontId="6" fillId="2" borderId="0" xfId="22" applyFont="1" applyFill="1">
      <alignment/>
      <protection/>
    </xf>
    <xf numFmtId="0" fontId="6" fillId="2" borderId="1" xfId="22" applyFont="1" applyFill="1" applyBorder="1" applyAlignment="1" applyProtection="1">
      <alignment horizontal="center"/>
      <protection locked="0"/>
    </xf>
    <xf numFmtId="0" fontId="6" fillId="2" borderId="5" xfId="22" applyFont="1" applyFill="1" applyBorder="1" applyAlignment="1" applyProtection="1">
      <alignment horizontal="center"/>
      <protection locked="0"/>
    </xf>
    <xf numFmtId="0" fontId="6" fillId="2" borderId="5" xfId="22" applyFont="1" applyFill="1" applyBorder="1">
      <alignment/>
      <protection/>
    </xf>
    <xf numFmtId="0" fontId="6" fillId="3" borderId="0" xfId="22" applyFont="1" applyFill="1" applyBorder="1" applyAlignment="1" applyProtection="1" quotePrefix="1">
      <alignment horizontal="left"/>
      <protection locked="0"/>
    </xf>
    <xf numFmtId="37" fontId="6" fillId="3" borderId="0" xfId="22" applyNumberFormat="1" applyFont="1" applyFill="1" applyBorder="1" applyProtection="1">
      <alignment/>
      <protection/>
    </xf>
    <xf numFmtId="0" fontId="6" fillId="3" borderId="0" xfId="22" applyFont="1" applyFill="1" applyBorder="1">
      <alignment/>
      <protection/>
    </xf>
    <xf numFmtId="166" fontId="6" fillId="3" borderId="0" xfId="22" applyNumberFormat="1" applyFont="1" applyFill="1" applyBorder="1" applyProtection="1">
      <alignment/>
      <protection/>
    </xf>
    <xf numFmtId="0" fontId="6" fillId="2" borderId="1" xfId="30" applyFont="1" applyFill="1" applyBorder="1" applyAlignment="1" applyProtection="1">
      <alignment horizontal="left"/>
      <protection locked="0"/>
    </xf>
    <xf numFmtId="0" fontId="6" fillId="2" borderId="1" xfId="30" applyFont="1" applyFill="1" applyBorder="1" applyAlignment="1" applyProtection="1">
      <alignment horizontal="right"/>
      <protection locked="0"/>
    </xf>
    <xf numFmtId="0" fontId="6" fillId="2" borderId="1" xfId="30" applyFont="1" applyFill="1" applyBorder="1" applyAlignment="1" applyProtection="1">
      <alignment horizontal="center"/>
      <protection locked="0"/>
    </xf>
    <xf numFmtId="0" fontId="6" fillId="3" borderId="0" xfId="30" applyFont="1" applyFill="1" applyAlignment="1" applyProtection="1">
      <alignment horizontal="left"/>
      <protection locked="0"/>
    </xf>
    <xf numFmtId="37" fontId="6" fillId="3" borderId="0" xfId="30" applyNumberFormat="1" applyFont="1" applyFill="1" applyProtection="1">
      <alignment/>
      <protection/>
    </xf>
    <xf numFmtId="37" fontId="6" fillId="3" borderId="0" xfId="0" applyNumberFormat="1" applyFont="1" applyFill="1" applyAlignment="1" applyProtection="1">
      <alignment/>
      <protection/>
    </xf>
    <xf numFmtId="37" fontId="6" fillId="3" borderId="0" xfId="0" applyNumberFormat="1" applyFont="1" applyFill="1" applyAlignment="1" applyProtection="1">
      <alignment/>
      <protection/>
    </xf>
    <xf numFmtId="37" fontId="6" fillId="2" borderId="0" xfId="26" applyFont="1" applyFill="1" applyBorder="1">
      <alignment/>
      <protection/>
    </xf>
    <xf numFmtId="37" fontId="6" fillId="2" borderId="0" xfId="25" applyFont="1" applyFill="1">
      <alignment/>
      <protection/>
    </xf>
    <xf numFmtId="0" fontId="6" fillId="2" borderId="1" xfId="23" applyNumberFormat="1" applyFont="1" applyFill="1" applyBorder="1" applyAlignment="1">
      <alignment horizontal="centerContinuous"/>
      <protection/>
    </xf>
    <xf numFmtId="0" fontId="6" fillId="2" borderId="0" xfId="23" applyNumberFormat="1" applyFont="1" applyFill="1" applyBorder="1" applyAlignment="1">
      <alignment horizontal="centerContinuous"/>
      <protection/>
    </xf>
    <xf numFmtId="37" fontId="6" fillId="2" borderId="1" xfId="25" applyFont="1" applyFill="1" applyBorder="1" applyAlignment="1">
      <alignment horizontal="centerContinuous"/>
      <protection/>
    </xf>
    <xf numFmtId="37" fontId="6" fillId="2" borderId="0" xfId="25" applyFont="1" applyFill="1" applyBorder="1" applyAlignment="1">
      <alignment horizontal="centerContinuous"/>
      <protection/>
    </xf>
    <xf numFmtId="37" fontId="6" fillId="2" borderId="4" xfId="25" applyFont="1" applyFill="1" applyBorder="1" applyAlignment="1">
      <alignment horizontal="centerContinuous"/>
      <protection/>
    </xf>
    <xf numFmtId="37" fontId="6" fillId="2" borderId="0" xfId="25" applyFont="1" applyFill="1" applyBorder="1" applyAlignment="1" quotePrefix="1">
      <alignment horizontal="left"/>
      <protection/>
    </xf>
    <xf numFmtId="37" fontId="6" fillId="2" borderId="1" xfId="26" applyFont="1" applyFill="1" applyBorder="1" applyAlignment="1">
      <alignment horizontal="left"/>
      <protection/>
    </xf>
    <xf numFmtId="37" fontId="6" fillId="2" borderId="1" xfId="25" applyFont="1" applyFill="1" applyBorder="1">
      <alignment/>
      <protection/>
    </xf>
    <xf numFmtId="166" fontId="6" fillId="2" borderId="1" xfId="23" applyFont="1" applyFill="1" applyBorder="1" applyAlignment="1">
      <alignment horizontal="center"/>
      <protection/>
    </xf>
    <xf numFmtId="166" fontId="6" fillId="2" borderId="5" xfId="23" applyFont="1" applyFill="1" applyBorder="1" applyAlignment="1">
      <alignment horizontal="center"/>
      <protection/>
    </xf>
    <xf numFmtId="166" fontId="6" fillId="2" borderId="5" xfId="23" applyFont="1" applyFill="1" applyBorder="1" applyAlignment="1" quotePrefix="1">
      <alignment horizontal="center"/>
      <protection/>
    </xf>
    <xf numFmtId="165" fontId="6" fillId="2" borderId="1" xfId="25" applyNumberFormat="1" applyFont="1" applyFill="1" applyBorder="1" applyAlignment="1" applyProtection="1">
      <alignment horizontal="center"/>
      <protection/>
    </xf>
    <xf numFmtId="165" fontId="6" fillId="2" borderId="5" xfId="25" applyNumberFormat="1" applyFont="1" applyFill="1" applyBorder="1" applyAlignment="1" applyProtection="1">
      <alignment horizontal="center"/>
      <protection/>
    </xf>
    <xf numFmtId="37" fontId="6" fillId="2" borderId="1" xfId="25" applyFont="1" applyFill="1" applyBorder="1" applyAlignment="1">
      <alignment horizontal="center"/>
      <protection/>
    </xf>
    <xf numFmtId="37" fontId="6" fillId="3" borderId="0" xfId="26" applyFont="1" applyFill="1" applyAlignment="1">
      <alignment horizontal="left"/>
      <protection/>
    </xf>
    <xf numFmtId="169" fontId="6" fillId="3" borderId="0" xfId="26" applyNumberFormat="1" applyFont="1" applyFill="1" applyProtection="1">
      <alignment/>
      <protection/>
    </xf>
    <xf numFmtId="169" fontId="6" fillId="3" borderId="0" xfId="26" applyNumberFormat="1" applyFont="1" applyFill="1">
      <alignment/>
      <protection/>
    </xf>
    <xf numFmtId="37" fontId="5" fillId="3" borderId="0" xfId="26" applyFill="1">
      <alignment/>
      <protection/>
    </xf>
    <xf numFmtId="170" fontId="6" fillId="3" borderId="0" xfId="26" applyNumberFormat="1" applyFont="1" applyFill="1" applyProtection="1">
      <alignment/>
      <protection/>
    </xf>
    <xf numFmtId="0" fontId="6" fillId="2" borderId="1" xfId="27" applyFont="1" applyFill="1" applyBorder="1" applyAlignment="1">
      <alignment horizontal="left"/>
      <protection/>
    </xf>
    <xf numFmtId="0" fontId="6" fillId="2" borderId="1" xfId="27" applyFont="1" applyFill="1" applyBorder="1" applyAlignment="1" quotePrefix="1">
      <alignment horizontal="left"/>
      <protection/>
    </xf>
    <xf numFmtId="0" fontId="6" fillId="2" borderId="1" xfId="27" applyFont="1" applyFill="1" applyBorder="1">
      <alignment/>
      <protection/>
    </xf>
    <xf numFmtId="0" fontId="6" fillId="3" borderId="0" xfId="27" applyFont="1" applyFill="1" applyAlignment="1" applyProtection="1" quotePrefix="1">
      <alignment horizontal="left"/>
      <protection locked="0"/>
    </xf>
    <xf numFmtId="0" fontId="6" fillId="3" borderId="0" xfId="27" applyFont="1" applyFill="1" applyAlignment="1" applyProtection="1">
      <alignment horizontal="left"/>
      <protection locked="0"/>
    </xf>
    <xf numFmtId="177" fontId="6" fillId="3" borderId="0" xfId="27" applyNumberFormat="1" applyFont="1" applyFill="1" applyProtection="1">
      <alignment/>
      <protection/>
    </xf>
    <xf numFmtId="164" fontId="6" fillId="3" borderId="0" xfId="27" applyNumberFormat="1" applyFont="1" applyFill="1" applyProtection="1">
      <alignment/>
      <protection/>
    </xf>
    <xf numFmtId="0" fontId="6" fillId="3" borderId="0" xfId="27" applyFont="1" applyFill="1">
      <alignment/>
      <protection/>
    </xf>
    <xf numFmtId="0" fontId="4" fillId="2" borderId="4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 quotePrefix="1">
      <alignment/>
    </xf>
    <xf numFmtId="0" fontId="4" fillId="3" borderId="0" xfId="0" applyFont="1" applyFill="1" applyAlignment="1">
      <alignment/>
    </xf>
    <xf numFmtId="181" fontId="4" fillId="3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167" fontId="4" fillId="3" borderId="0" xfId="0" applyNumberFormat="1" applyFont="1" applyFill="1" applyAlignment="1">
      <alignment/>
    </xf>
    <xf numFmtId="0" fontId="6" fillId="2" borderId="0" xfId="24" applyFont="1" applyFill="1" applyBorder="1" applyAlignment="1">
      <alignment horizontal="centerContinuous"/>
      <protection/>
    </xf>
    <xf numFmtId="0" fontId="6" fillId="0" borderId="4" xfId="24" applyFont="1" applyBorder="1">
      <alignment/>
      <protection/>
    </xf>
    <xf numFmtId="0" fontId="6" fillId="3" borderId="0" xfId="21" applyFont="1" applyFill="1" applyBorder="1" applyAlignment="1">
      <alignment horizontal="center"/>
      <protection/>
    </xf>
    <xf numFmtId="0" fontId="7" fillId="0" borderId="0" xfId="30" applyFont="1" applyAlignment="1" applyProtection="1" quotePrefix="1">
      <alignment horizontal="left"/>
      <protection locked="0"/>
    </xf>
    <xf numFmtId="0" fontId="7" fillId="0" borderId="0" xfId="27" applyFont="1" applyAlignment="1" applyProtection="1" quotePrefix="1">
      <alignment horizontal="left"/>
      <protection locked="0"/>
    </xf>
    <xf numFmtId="16" fontId="16" fillId="0" borderId="0" xfId="0" applyNumberFormat="1" applyFont="1" applyAlignment="1">
      <alignment/>
    </xf>
    <xf numFmtId="0" fontId="6" fillId="0" borderId="0" xfId="27" applyFont="1" applyAlignment="1" applyProtection="1" quotePrefix="1">
      <alignment horizontal="left"/>
      <protection locked="0"/>
    </xf>
    <xf numFmtId="37" fontId="4" fillId="0" borderId="0" xfId="30" applyNumberFormat="1">
      <alignment/>
      <protection/>
    </xf>
    <xf numFmtId="2" fontId="4" fillId="3" borderId="0" xfId="0" applyNumberFormat="1" applyFont="1" applyFill="1" applyAlignment="1" quotePrefix="1">
      <alignment horizontal="left"/>
    </xf>
    <xf numFmtId="169" fontId="6" fillId="3" borderId="0" xfId="26" applyNumberFormat="1" applyFont="1" applyFill="1" applyAlignment="1" applyProtection="1" quotePrefix="1">
      <alignment horizontal="left"/>
      <protection/>
    </xf>
    <xf numFmtId="37" fontId="6" fillId="3" borderId="0" xfId="26" applyFont="1" applyFill="1">
      <alignment/>
      <protection/>
    </xf>
    <xf numFmtId="169" fontId="6" fillId="3" borderId="2" xfId="26" applyNumberFormat="1" applyFont="1" applyFill="1" applyBorder="1">
      <alignment/>
      <protection/>
    </xf>
    <xf numFmtId="165" fontId="6" fillId="3" borderId="5" xfId="25" applyNumberFormat="1" applyFont="1" applyFill="1" applyBorder="1" applyAlignment="1" applyProtection="1">
      <alignment horizontal="center"/>
      <protection/>
    </xf>
    <xf numFmtId="37" fontId="21" fillId="0" borderId="0" xfId="26" applyFont="1">
      <alignment/>
      <protection/>
    </xf>
    <xf numFmtId="4" fontId="4" fillId="0" borderId="0" xfId="30" applyNumberFormat="1">
      <alignment/>
      <protection/>
    </xf>
    <xf numFmtId="0" fontId="6" fillId="0" borderId="0" xfId="30" applyFont="1" applyFill="1" applyAlignment="1" applyProtection="1">
      <alignment horizontal="left"/>
      <protection locked="0"/>
    </xf>
    <xf numFmtId="37" fontId="6" fillId="0" borderId="0" xfId="30" applyNumberFormat="1" applyFont="1" applyFill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0" fontId="4" fillId="0" borderId="0" xfId="30" applyFont="1">
      <alignment/>
      <protection/>
    </xf>
    <xf numFmtId="0" fontId="24" fillId="0" borderId="0" xfId="28" applyNumberFormat="1" applyFont="1" applyAlignment="1" quotePrefix="1">
      <alignment horizontal="left"/>
      <protection locked="0"/>
    </xf>
    <xf numFmtId="0" fontId="25" fillId="0" borderId="0" xfId="28" applyNumberFormat="1" applyFont="1" applyAlignment="1">
      <alignment/>
      <protection/>
    </xf>
    <xf numFmtId="0" fontId="4" fillId="2" borderId="0" xfId="0" applyFont="1" applyFill="1" applyAlignment="1" quotePrefix="1">
      <alignment horizontal="left"/>
    </xf>
    <xf numFmtId="0" fontId="4" fillId="2" borderId="2" xfId="0" applyFont="1" applyFill="1" applyBorder="1" applyAlignment="1">
      <alignment/>
    </xf>
    <xf numFmtId="0" fontId="6" fillId="0" borderId="0" xfId="21" applyFont="1" applyFill="1" applyBorder="1" applyAlignment="1" quotePrefix="1">
      <alignment horizontal="left"/>
      <protection/>
    </xf>
    <xf numFmtId="171" fontId="6" fillId="0" borderId="0" xfId="21" applyNumberFormat="1" applyFont="1" applyFill="1" applyBorder="1">
      <alignment/>
      <protection/>
    </xf>
    <xf numFmtId="173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>
      <alignment/>
      <protection/>
    </xf>
    <xf numFmtId="172" fontId="6" fillId="0" borderId="0" xfId="21" applyNumberFormat="1" applyFont="1" applyFill="1" applyBorder="1" applyProtection="1">
      <alignment/>
      <protection/>
    </xf>
    <xf numFmtId="0" fontId="6" fillId="4" borderId="0" xfId="24" applyFont="1" applyFill="1" applyBorder="1">
      <alignment/>
      <protection/>
    </xf>
    <xf numFmtId="0" fontId="6" fillId="4" borderId="6" xfId="24" applyFont="1" applyFill="1" applyBorder="1" applyAlignment="1">
      <alignment horizontal="centerContinuous"/>
      <protection/>
    </xf>
    <xf numFmtId="0" fontId="9" fillId="4" borderId="6" xfId="24" applyFont="1" applyFill="1" applyBorder="1" applyAlignment="1">
      <alignment horizontal="centerContinuous"/>
      <protection/>
    </xf>
    <xf numFmtId="0" fontId="2" fillId="4" borderId="0" xfId="29" applyFill="1">
      <alignment/>
      <protection/>
    </xf>
    <xf numFmtId="0" fontId="6" fillId="4" borderId="1" xfId="24" applyFont="1" applyFill="1" applyBorder="1" applyAlignment="1">
      <alignment horizontal="centerContinuous"/>
      <protection/>
    </xf>
    <xf numFmtId="0" fontId="6" fillId="4" borderId="1" xfId="24" applyFont="1" applyFill="1" applyBorder="1" applyAlignment="1" quotePrefix="1">
      <alignment horizontal="center"/>
      <protection/>
    </xf>
    <xf numFmtId="168" fontId="6" fillId="4" borderId="1" xfId="24" applyNumberFormat="1" applyFont="1" applyFill="1" applyBorder="1" applyProtection="1">
      <alignment/>
      <protection/>
    </xf>
    <xf numFmtId="0" fontId="6" fillId="4" borderId="2" xfId="24" applyFont="1" applyFill="1" applyBorder="1">
      <alignment/>
      <protection/>
    </xf>
    <xf numFmtId="168" fontId="6" fillId="0" borderId="0" xfId="21" applyNumberFormat="1" applyFont="1" applyFill="1" applyBorder="1">
      <alignment/>
      <protection/>
    </xf>
    <xf numFmtId="170" fontId="6" fillId="0" borderId="0" xfId="21" applyNumberFormat="1" applyFont="1" applyFill="1" applyProtection="1">
      <alignment/>
      <protection/>
    </xf>
    <xf numFmtId="170" fontId="6" fillId="0" borderId="0" xfId="21" applyNumberFormat="1" applyFont="1" applyFill="1" applyBorder="1" applyProtection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2" applyFont="1" applyFill="1" applyBorder="1" applyAlignment="1" applyProtection="1" quotePrefix="1">
      <alignment horizontal="left"/>
      <protection locked="0"/>
    </xf>
    <xf numFmtId="37" fontId="6" fillId="0" borderId="0" xfId="22" applyNumberFormat="1" applyFont="1" applyFill="1" applyBorder="1" applyProtection="1">
      <alignment/>
      <protection/>
    </xf>
    <xf numFmtId="0" fontId="6" fillId="0" borderId="0" xfId="22" applyFont="1" applyFill="1" applyBorder="1">
      <alignment/>
      <protection/>
    </xf>
    <xf numFmtId="166" fontId="6" fillId="0" borderId="0" xfId="22" applyNumberFormat="1" applyFont="1" applyFill="1" applyBorder="1" applyProtection="1">
      <alignment/>
      <protection/>
    </xf>
    <xf numFmtId="0" fontId="26" fillId="0" borderId="0" xfId="30" applyFont="1">
      <alignment/>
      <protection/>
    </xf>
    <xf numFmtId="166" fontId="6" fillId="2" borderId="0" xfId="23" applyFont="1" applyFill="1" applyBorder="1" applyAlignment="1">
      <alignment horizontal="center"/>
      <protection/>
    </xf>
    <xf numFmtId="166" fontId="6" fillId="2" borderId="0" xfId="23" applyFont="1" applyFill="1" applyBorder="1" applyAlignment="1" quotePrefix="1">
      <alignment horizontal="center"/>
      <protection/>
    </xf>
    <xf numFmtId="37" fontId="6" fillId="0" borderId="0" xfId="26" applyFont="1" applyBorder="1" applyAlignment="1">
      <alignment horizontal="left"/>
      <protection/>
    </xf>
    <xf numFmtId="166" fontId="6" fillId="0" borderId="0" xfId="23" applyFont="1" applyBorder="1" applyAlignment="1">
      <alignment horizontal="center"/>
      <protection/>
    </xf>
    <xf numFmtId="166" fontId="6" fillId="0" borderId="0" xfId="23" applyFont="1" applyBorder="1" applyAlignment="1" quotePrefix="1">
      <alignment horizontal="center"/>
      <protection/>
    </xf>
    <xf numFmtId="165" fontId="6" fillId="3" borderId="0" xfId="25" applyNumberFormat="1" applyFont="1" applyFill="1" applyBorder="1" applyAlignment="1" applyProtection="1">
      <alignment horizontal="center"/>
      <protection/>
    </xf>
    <xf numFmtId="37" fontId="6" fillId="0" borderId="0" xfId="26" applyFont="1" applyFill="1" applyBorder="1" applyAlignment="1">
      <alignment horizontal="left"/>
      <protection/>
    </xf>
    <xf numFmtId="166" fontId="6" fillId="0" borderId="0" xfId="23" applyFont="1" applyFill="1" applyBorder="1" applyAlignment="1">
      <alignment horizontal="center"/>
      <protection/>
    </xf>
    <xf numFmtId="166" fontId="6" fillId="0" borderId="0" xfId="23" applyFont="1" applyFill="1" applyBorder="1" applyAlignment="1" quotePrefix="1">
      <alignment horizontal="center"/>
      <protection/>
    </xf>
    <xf numFmtId="37" fontId="6" fillId="0" borderId="0" xfId="25" applyFont="1" applyFill="1" applyBorder="1">
      <alignment/>
      <protection/>
    </xf>
    <xf numFmtId="165" fontId="6" fillId="0" borderId="0" xfId="25" applyNumberFormat="1" applyFont="1" applyFill="1" applyBorder="1" applyAlignment="1" applyProtection="1">
      <alignment horizontal="center"/>
      <protection/>
    </xf>
    <xf numFmtId="37" fontId="19" fillId="0" borderId="0" xfId="25" applyFont="1" applyFill="1" applyBorder="1" applyAlignment="1">
      <alignment horizontal="center"/>
      <protection/>
    </xf>
    <xf numFmtId="0" fontId="6" fillId="3" borderId="0" xfId="21" applyFont="1" applyFill="1" applyBorder="1" applyAlignment="1">
      <alignment horizontal="left"/>
      <protection/>
    </xf>
    <xf numFmtId="0" fontId="6" fillId="4" borderId="5" xfId="24" applyFont="1" applyFill="1" applyBorder="1" applyAlignment="1" quotePrefix="1">
      <alignment horizontal="center"/>
      <protection/>
    </xf>
    <xf numFmtId="0" fontId="9" fillId="4" borderId="5" xfId="24" applyFont="1" applyFill="1" applyBorder="1" applyAlignment="1">
      <alignment horizontal="centerContinuous"/>
      <protection/>
    </xf>
    <xf numFmtId="168" fontId="6" fillId="0" borderId="1" xfId="24" applyNumberFormat="1" applyFont="1" applyFill="1" applyBorder="1" applyProtection="1">
      <alignment/>
      <protection/>
    </xf>
    <xf numFmtId="176" fontId="6" fillId="0" borderId="1" xfId="24" applyNumberFormat="1" applyFont="1" applyFill="1" applyBorder="1" applyProtection="1">
      <alignment/>
      <protection/>
    </xf>
    <xf numFmtId="176" fontId="6" fillId="0" borderId="2" xfId="24" applyNumberFormat="1" applyFont="1" applyFill="1" applyBorder="1" applyProtection="1">
      <alignment/>
      <protection/>
    </xf>
    <xf numFmtId="176" fontId="6" fillId="0" borderId="0" xfId="24" applyNumberFormat="1" applyFont="1" applyFill="1" applyProtection="1">
      <alignment/>
      <protection/>
    </xf>
    <xf numFmtId="0" fontId="6" fillId="3" borderId="0" xfId="22" applyFont="1" applyFill="1" applyBorder="1" applyAlignment="1" applyProtection="1">
      <alignment horizontal="left"/>
      <protection locked="0"/>
    </xf>
    <xf numFmtId="10" fontId="6" fillId="3" borderId="0" xfId="22" applyNumberFormat="1" applyFont="1" applyFill="1" applyBorder="1">
      <alignment/>
      <protection/>
    </xf>
    <xf numFmtId="10" fontId="3" fillId="0" borderId="0" xfId="22" applyNumberFormat="1">
      <alignment/>
      <protection/>
    </xf>
    <xf numFmtId="37" fontId="6" fillId="0" borderId="0" xfId="22" applyNumberFormat="1" applyFont="1">
      <alignment/>
      <protection/>
    </xf>
    <xf numFmtId="10" fontId="6" fillId="0" borderId="0" xfId="22" applyNumberFormat="1" applyFont="1" applyFill="1" applyBorder="1">
      <alignment/>
      <protection/>
    </xf>
    <xf numFmtId="0" fontId="6" fillId="0" borderId="0" xfId="27" applyFont="1" applyFill="1" applyAlignment="1" applyProtection="1" quotePrefix="1">
      <alignment horizontal="left"/>
      <protection locked="0"/>
    </xf>
    <xf numFmtId="0" fontId="6" fillId="0" borderId="0" xfId="27" applyFont="1" applyFill="1" applyAlignment="1" applyProtection="1">
      <alignment horizontal="left"/>
      <protection locked="0"/>
    </xf>
    <xf numFmtId="177" fontId="6" fillId="0" borderId="0" xfId="27" applyNumberFormat="1" applyFont="1" applyFill="1" applyProtection="1">
      <alignment/>
      <protection/>
    </xf>
    <xf numFmtId="164" fontId="6" fillId="0" borderId="0" xfId="27" applyNumberFormat="1" applyFont="1" applyFill="1" applyProtection="1">
      <alignment/>
      <protection/>
    </xf>
    <xf numFmtId="0" fontId="6" fillId="0" borderId="0" xfId="27" applyFont="1" applyFill="1">
      <alignment/>
      <protection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37" fontId="27" fillId="0" borderId="0" xfId="26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" xfId="21"/>
    <cellStyle name="Normal_A_1_Yrbk2001_3" xfId="22"/>
    <cellStyle name="Normal_A_2" xfId="23"/>
    <cellStyle name="Normal_A_4" xfId="24"/>
    <cellStyle name="Normal_A_6" xfId="25"/>
    <cellStyle name="Normal_A_7" xfId="26"/>
    <cellStyle name="Normal_A_Yrbk2001_3" xfId="27"/>
    <cellStyle name="Normal_Mush11" xfId="28"/>
    <cellStyle name="Normal_NOV2000TAB" xfId="29"/>
    <cellStyle name="Normal_Yrbk2001_3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SC\VEGEYS\S&amp;OTABS\NOVEMBER\2000Tables\NOV2000T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16\Preview\fdrive\S&amp;OTABS\YEARBOOK\2001tables\Yrbk2001_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SC\VEGEYS\S&amp;OTABS\NOVEMBER\2001Tables\NOV2001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SC\VEGEYS\S&amp;OTABS\APRIL\2001tables\APR2001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16\Preview\fdrive\S&amp;OTABS\NOVEMBER\2000tables\Nov2000ta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on16\Preview\August01\Tables\T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06"/>
      <sheetName val="TAB07"/>
      <sheetName val="tab09"/>
      <sheetName val="tab10"/>
      <sheetName val="Tab11"/>
      <sheetName val="Tab12"/>
      <sheetName val="Tab13"/>
      <sheetName val="Tab14"/>
      <sheetName val="Tab15"/>
      <sheetName val="Tab16"/>
      <sheetName val="Tab17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  <sheetName val="Tab49"/>
      <sheetName val="Tab50"/>
      <sheetName val="Tab51"/>
      <sheetName val="Tab52"/>
      <sheetName val="Tab53"/>
      <sheetName val="Tab54"/>
      <sheetName val="TabA-1"/>
      <sheetName val="TabA-2"/>
      <sheetName val="Tab34"/>
      <sheetName val="Tab35"/>
      <sheetName val="TAB08"/>
      <sheetName val="TAB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tab081"/>
      <sheetName val="tab082"/>
      <sheetName val="tab083"/>
      <sheetName val="tab084"/>
      <sheetName val="tab085"/>
      <sheetName val="tab086"/>
      <sheetName val="tab087"/>
      <sheetName val="tab088"/>
      <sheetName val="tab089"/>
      <sheetName val="tab090"/>
      <sheetName val="tab091"/>
      <sheetName val="tab092"/>
      <sheetName val="tab093"/>
      <sheetName val="tab094"/>
      <sheetName val="tab095"/>
      <sheetName val="tab096"/>
      <sheetName val="tab097"/>
      <sheetName val="tab098"/>
      <sheetName val="tab099"/>
      <sheetName val="tab100"/>
      <sheetName val="tab101"/>
      <sheetName val="tab102"/>
      <sheetName val="tab103"/>
      <sheetName val="tab104"/>
      <sheetName val="tab105"/>
      <sheetName val="tab106"/>
      <sheetName val="tab107"/>
      <sheetName val="tab108"/>
      <sheetName val="tab109"/>
      <sheetName val="tab110"/>
      <sheetName val="tab111"/>
      <sheetName val="tab112"/>
      <sheetName val="tab113"/>
      <sheetName val="tab114"/>
      <sheetName val="tab115"/>
      <sheetName val="tab116"/>
      <sheetName val="tab117"/>
      <sheetName val="tab118"/>
      <sheetName val="tab119"/>
      <sheetName val="tab120"/>
      <sheetName val="tab121"/>
      <sheetName val="tab122"/>
      <sheetName val="tab123"/>
      <sheetName val="tab124"/>
      <sheetName val="tab125"/>
      <sheetName val="tab126"/>
      <sheetName val="tab127"/>
      <sheetName val="tab128"/>
      <sheetName val="tab129"/>
      <sheetName val="tab130"/>
      <sheetName val="tab131"/>
      <sheetName val="tab132"/>
      <sheetName val="tab133"/>
      <sheetName val="tab134"/>
      <sheetName val="tab135"/>
      <sheetName val="tab136"/>
      <sheetName val="tab137"/>
      <sheetName val="tab138"/>
      <sheetName val="tab139"/>
      <sheetName val="tab140"/>
      <sheetName val="tab141"/>
      <sheetName val="tab141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06"/>
      <sheetName val="TAB07"/>
      <sheetName val="Tab08"/>
      <sheetName val="Tab0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 (2)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  <sheetName val="Tab49"/>
      <sheetName val="Tab50"/>
      <sheetName val="Tab51"/>
      <sheetName val="Tab52"/>
      <sheetName val="Tab53"/>
      <sheetName val="TabA-1 (2)"/>
      <sheetName val="TabA-1"/>
      <sheetName val="TabA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11"/>
      <sheetName val="TAB12"/>
      <sheetName val="TAB13"/>
      <sheetName val="TAB14"/>
      <sheetName val="TAB17"/>
      <sheetName val="TAB19"/>
      <sheetName val="TAB20"/>
      <sheetName val="TAB24"/>
      <sheetName val="TAB26"/>
      <sheetName val="TAB29"/>
      <sheetName val="TAB30"/>
      <sheetName val="TAB31"/>
      <sheetName val="TAB32"/>
      <sheetName val="TAB33"/>
      <sheetName val="TAB34"/>
      <sheetName val="TAB37"/>
      <sheetName val="TAB38"/>
      <sheetName val="TAB39"/>
      <sheetName val="TAB40"/>
      <sheetName val="TAB41"/>
      <sheetName val="Tab42"/>
      <sheetName val="TAB47"/>
      <sheetName val="TAB48"/>
      <sheetName val="TAB49"/>
      <sheetName val="TAB50"/>
      <sheetName val="TAB51"/>
      <sheetName val="TabA-1"/>
      <sheetName val="TabA-2"/>
      <sheetName val="TabB-1"/>
      <sheetName val="TabB-2"/>
      <sheetName val="TabB-3"/>
      <sheetName val="TabB-4"/>
      <sheetName val="TAB06"/>
      <sheetName val="TAB07"/>
      <sheetName val="TAB08"/>
      <sheetName val="TAB10"/>
      <sheetName val="TAB15"/>
      <sheetName val="TAB16"/>
      <sheetName val="tab18"/>
      <sheetName val="TAB21"/>
      <sheetName val="TAB22"/>
      <sheetName val="TAB23"/>
      <sheetName val="TAB25"/>
      <sheetName val="TAB27"/>
      <sheetName val="TAB28"/>
      <sheetName val="TAB35"/>
      <sheetName val="TAB36"/>
      <sheetName val="TAB43"/>
      <sheetName val="TAB44"/>
      <sheetName val="TAB45"/>
      <sheetName val="TAB46"/>
      <sheetName val="TAB0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01"/>
      <sheetName val="TAB02"/>
      <sheetName val="tab03"/>
      <sheetName val="TAB04"/>
      <sheetName val="TAB05"/>
      <sheetName val="TAB06"/>
      <sheetName val="TAB07"/>
      <sheetName val="TAB08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5"/>
      <sheetName val="Tab46"/>
      <sheetName val="Tab47"/>
      <sheetName val="Tab48"/>
      <sheetName val="Tab49"/>
      <sheetName val="Tab50"/>
      <sheetName val="Tab51"/>
      <sheetName val="Tab52"/>
      <sheetName val="Tab53"/>
      <sheetName val="Tab54"/>
      <sheetName val="TabA-1"/>
      <sheetName val="TabA-2"/>
      <sheetName val="tab09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rade1"/>
      <sheetName val="Trade2"/>
      <sheetName val="Trade3"/>
      <sheetName val="Trade4"/>
      <sheetName val="Trade5"/>
      <sheetName val="Trade6"/>
      <sheetName val="Trade7"/>
      <sheetName val="Trade8"/>
      <sheetName val="Trade9"/>
      <sheetName val="Trade10"/>
      <sheetName val="Trade11"/>
    </sheetNames>
    <sheetDataSet>
      <sheetData sheetId="10">
        <row r="4">
          <cell r="B4" t="str">
            <v>--1,000 lbs--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2:M47"/>
  <sheetViews>
    <sheetView showGridLines="0" tabSelected="1" workbookViewId="0" topLeftCell="A1">
      <selection activeCell="A1" sqref="A1"/>
    </sheetView>
  </sheetViews>
  <sheetFormatPr defaultColWidth="9.7109375" defaultRowHeight="12.75"/>
  <cols>
    <col min="1" max="1" width="11.57421875" style="37" customWidth="1"/>
    <col min="2" max="2" width="10.140625" style="37" customWidth="1"/>
    <col min="3" max="4" width="8.28125" style="37" customWidth="1"/>
    <col min="5" max="5" width="1.7109375" style="37" customWidth="1"/>
    <col min="6" max="8" width="8.28125" style="37" customWidth="1"/>
    <col min="9" max="9" width="1.7109375" style="37" customWidth="1"/>
    <col min="10" max="12" width="8.421875" style="37" customWidth="1"/>
    <col min="13" max="16384" width="9.7109375" style="37" customWidth="1"/>
  </cols>
  <sheetData>
    <row r="2" spans="1:13" ht="12.75" customHeight="1">
      <c r="A2" s="133" t="s">
        <v>241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ht="12.75" customHeight="1">
      <c r="A3" s="178"/>
      <c r="B3" s="179" t="s">
        <v>121</v>
      </c>
      <c r="C3" s="180"/>
      <c r="D3" s="180"/>
      <c r="E3" s="178"/>
      <c r="F3" s="180" t="s">
        <v>42</v>
      </c>
      <c r="G3" s="180"/>
      <c r="H3" s="180"/>
      <c r="I3" s="178"/>
      <c r="J3" s="180" t="s">
        <v>43</v>
      </c>
      <c r="K3" s="180"/>
      <c r="L3" s="180"/>
      <c r="M3" s="36"/>
    </row>
    <row r="4" spans="1:13" ht="12.75" customHeight="1">
      <c r="A4" s="181" t="s">
        <v>129</v>
      </c>
      <c r="B4" s="182" t="s">
        <v>201</v>
      </c>
      <c r="C4" s="182" t="s">
        <v>226</v>
      </c>
      <c r="D4" s="182" t="s">
        <v>240</v>
      </c>
      <c r="E4" s="183"/>
      <c r="F4" s="182" t="s">
        <v>201</v>
      </c>
      <c r="G4" s="182" t="s">
        <v>226</v>
      </c>
      <c r="H4" s="182" t="s">
        <v>240</v>
      </c>
      <c r="I4" s="183"/>
      <c r="J4" s="182" t="s">
        <v>201</v>
      </c>
      <c r="K4" s="182" t="s">
        <v>226</v>
      </c>
      <c r="L4" s="182" t="s">
        <v>240</v>
      </c>
      <c r="M4" s="36"/>
    </row>
    <row r="5" spans="1:13" ht="12.75" customHeight="1">
      <c r="A5" s="150"/>
      <c r="B5" s="151"/>
      <c r="C5" s="151"/>
      <c r="D5" s="151"/>
      <c r="E5" s="150"/>
      <c r="F5" s="151"/>
      <c r="G5" s="151"/>
      <c r="H5" s="151"/>
      <c r="I5" s="150"/>
      <c r="J5" s="36"/>
      <c r="K5" s="36"/>
      <c r="L5" s="36"/>
      <c r="M5" s="36"/>
    </row>
    <row r="6" spans="1:13" ht="4.5" customHeight="1">
      <c r="A6" s="39"/>
      <c r="B6" s="39"/>
      <c r="C6" s="39"/>
      <c r="D6" s="39"/>
      <c r="E6" s="39"/>
      <c r="F6" s="39"/>
      <c r="G6" s="39"/>
      <c r="H6" s="39"/>
      <c r="I6" s="39"/>
      <c r="J6" s="36"/>
      <c r="K6" s="36"/>
      <c r="L6" s="36"/>
      <c r="M6" s="36"/>
    </row>
    <row r="7" spans="1:13" ht="12" customHeight="1">
      <c r="A7" s="41" t="s">
        <v>47</v>
      </c>
      <c r="B7" s="42">
        <v>492426</v>
      </c>
      <c r="C7" s="42">
        <v>496566</v>
      </c>
      <c r="D7" s="42">
        <v>496721</v>
      </c>
      <c r="E7" s="39"/>
      <c r="F7" s="43">
        <v>0.767</v>
      </c>
      <c r="G7" s="43">
        <v>0.891</v>
      </c>
      <c r="H7" s="43">
        <v>0.912</v>
      </c>
      <c r="I7" s="39"/>
      <c r="J7" s="42">
        <v>377702</v>
      </c>
      <c r="K7" s="42">
        <v>442292</v>
      </c>
      <c r="L7" s="42">
        <v>453013</v>
      </c>
      <c r="M7" s="36"/>
    </row>
    <row r="8" spans="1:13" ht="12" customHeight="1">
      <c r="A8" s="41" t="s">
        <v>48</v>
      </c>
      <c r="B8" s="42">
        <v>117916</v>
      </c>
      <c r="C8" s="42">
        <v>117851</v>
      </c>
      <c r="D8" s="42">
        <v>114318</v>
      </c>
      <c r="E8" s="39"/>
      <c r="F8" s="43">
        <v>1.5</v>
      </c>
      <c r="G8" s="43">
        <v>1.59</v>
      </c>
      <c r="H8" s="43">
        <v>1.62</v>
      </c>
      <c r="I8" s="39"/>
      <c r="J8" s="42">
        <v>176638</v>
      </c>
      <c r="K8" s="42">
        <v>187473</v>
      </c>
      <c r="L8" s="42">
        <v>185662</v>
      </c>
      <c r="M8" s="36"/>
    </row>
    <row r="9" spans="1:13" ht="12" customHeight="1">
      <c r="A9" s="41" t="s">
        <v>49</v>
      </c>
      <c r="B9" s="42">
        <f>B12-SUM(B7:B8)</f>
        <v>223335</v>
      </c>
      <c r="C9" s="42">
        <f>C12-SUM(C7:C8)</f>
        <v>199432</v>
      </c>
      <c r="D9" s="42">
        <f>D12-SUM(D7:D8)</f>
        <v>181807</v>
      </c>
      <c r="E9" s="39"/>
      <c r="F9" s="43">
        <v>1.32</v>
      </c>
      <c r="G9" s="43">
        <v>1.43</v>
      </c>
      <c r="H9" s="43">
        <v>1.51</v>
      </c>
      <c r="I9" s="39"/>
      <c r="J9" s="42">
        <f>J12-SUM(J7:J8)</f>
        <v>294496</v>
      </c>
      <c r="K9" s="42">
        <f>K12-SUM(K7:K8)</f>
        <v>285796</v>
      </c>
      <c r="L9" s="42">
        <f>L12-SUM(L7:L8)</f>
        <v>274911</v>
      </c>
      <c r="M9" s="36"/>
    </row>
    <row r="10" ht="12" customHeight="1" hidden="1">
      <c r="M10" s="36"/>
    </row>
    <row r="11" spans="1:13" ht="6" customHeight="1">
      <c r="A11" s="39"/>
      <c r="B11" s="44"/>
      <c r="C11" s="44"/>
      <c r="D11" s="44"/>
      <c r="E11" s="39"/>
      <c r="F11" s="45"/>
      <c r="G11" s="45"/>
      <c r="H11" s="45"/>
      <c r="I11" s="39"/>
      <c r="J11" s="42"/>
      <c r="K11" s="42"/>
      <c r="L11" s="42"/>
      <c r="M11" s="36"/>
    </row>
    <row r="12" spans="1:13" ht="12" customHeight="1">
      <c r="A12" s="184" t="s">
        <v>50</v>
      </c>
      <c r="B12" s="185">
        <v>833677</v>
      </c>
      <c r="C12" s="185">
        <v>813849</v>
      </c>
      <c r="D12" s="185">
        <v>792846</v>
      </c>
      <c r="E12" s="186"/>
      <c r="F12" s="187">
        <v>1.02</v>
      </c>
      <c r="G12" s="187">
        <v>1.12</v>
      </c>
      <c r="H12" s="187">
        <v>1.5</v>
      </c>
      <c r="I12" s="186"/>
      <c r="J12" s="185">
        <v>848836</v>
      </c>
      <c r="K12" s="185">
        <v>915561</v>
      </c>
      <c r="L12" s="185">
        <v>913586</v>
      </c>
      <c r="M12" s="36"/>
    </row>
    <row r="13" spans="1:13" ht="12" customHeight="1">
      <c r="A13" s="57" t="s">
        <v>227</v>
      </c>
      <c r="B13" s="39"/>
      <c r="C13" s="39"/>
      <c r="D13" s="39"/>
      <c r="E13" s="39"/>
      <c r="F13" s="39"/>
      <c r="G13" s="39"/>
      <c r="H13" s="39"/>
      <c r="I13" s="39"/>
      <c r="J13" s="48"/>
      <c r="K13" s="48"/>
      <c r="L13" s="48"/>
      <c r="M13" s="36"/>
    </row>
    <row r="14" spans="1:10" ht="12.75" customHeight="1">
      <c r="A14" s="170" t="s">
        <v>203</v>
      </c>
      <c r="B14" s="39"/>
      <c r="C14" s="39"/>
      <c r="D14" s="39"/>
      <c r="E14" s="39"/>
      <c r="F14" s="39"/>
      <c r="G14" s="39"/>
      <c r="H14" s="39"/>
      <c r="I14" s="39"/>
      <c r="J14" s="48"/>
    </row>
    <row r="15" ht="12.75" customHeight="1"/>
    <row r="23" spans="2:10" ht="12.75">
      <c r="B23" s="49"/>
      <c r="C23" s="49"/>
      <c r="D23" s="49"/>
      <c r="F23" s="50"/>
      <c r="G23" s="50"/>
      <c r="H23" s="50"/>
      <c r="J23" s="50"/>
    </row>
    <row r="24" spans="2:10" ht="12.75">
      <c r="B24" s="49"/>
      <c r="C24" s="49"/>
      <c r="D24" s="49"/>
      <c r="F24" s="50"/>
      <c r="G24" s="50"/>
      <c r="H24" s="50"/>
      <c r="J24" s="50"/>
    </row>
    <row r="25" spans="2:10" ht="12.75">
      <c r="B25" s="49"/>
      <c r="C25" s="49"/>
      <c r="D25" s="49"/>
      <c r="F25" s="50"/>
      <c r="G25" s="50"/>
      <c r="H25" s="50"/>
      <c r="J25" s="50"/>
    </row>
    <row r="26" spans="2:10" ht="12.75">
      <c r="B26" s="49"/>
      <c r="C26" s="49"/>
      <c r="D26" s="49"/>
      <c r="F26" s="50"/>
      <c r="G26" s="50"/>
      <c r="H26" s="50"/>
      <c r="J26" s="50"/>
    </row>
    <row r="38" spans="2:4" ht="12.75">
      <c r="B38" s="51"/>
      <c r="C38" s="51"/>
      <c r="D38" s="51"/>
    </row>
    <row r="39" spans="2:4" ht="12.75">
      <c r="B39" s="51"/>
      <c r="C39" s="51"/>
      <c r="D39" s="51"/>
    </row>
    <row r="40" spans="2:4" ht="12.75">
      <c r="B40" s="51"/>
      <c r="C40" s="51"/>
      <c r="D40" s="51"/>
    </row>
    <row r="41" spans="2:4" ht="12.75">
      <c r="B41" s="51"/>
      <c r="C41" s="51"/>
      <c r="D41" s="51"/>
    </row>
    <row r="42" spans="2:4" ht="12.75">
      <c r="B42" s="51"/>
      <c r="C42" s="51"/>
      <c r="D42" s="51"/>
    </row>
    <row r="43" spans="2:4" ht="12.75">
      <c r="B43" s="51"/>
      <c r="C43" s="51"/>
      <c r="D43" s="51"/>
    </row>
    <row r="44" spans="2:4" ht="12.75">
      <c r="B44" s="51"/>
      <c r="C44" s="51"/>
      <c r="D44" s="51"/>
    </row>
    <row r="45" spans="2:4" ht="12.75">
      <c r="B45" s="51"/>
      <c r="C45" s="51"/>
      <c r="D45" s="51"/>
    </row>
    <row r="46" spans="2:4" ht="12.75">
      <c r="B46" s="51"/>
      <c r="C46" s="51"/>
      <c r="D46" s="51"/>
    </row>
    <row r="47" spans="2:4" ht="12.75">
      <c r="B47" s="51"/>
      <c r="C47" s="51"/>
      <c r="D47" s="51"/>
    </row>
  </sheetData>
  <printOptions horizontalCentered="1"/>
  <pageMargins left="0.417" right="0.417" top="0.5" bottom="0.75" header="0" footer="0.27"/>
  <pageSetup fitToHeight="1" fitToWidth="1" horizontalDpi="600" verticalDpi="600" orientation="portrait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6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.7109375" style="0" customWidth="1"/>
    <col min="3" max="3" width="8.00390625" style="0" customWidth="1"/>
    <col min="4" max="4" width="3.421875" style="0" customWidth="1"/>
    <col min="5" max="5" width="8.140625" style="0" customWidth="1"/>
    <col min="6" max="6" width="4.421875" style="0" customWidth="1"/>
    <col min="8" max="8" width="3.57421875" style="0" customWidth="1"/>
    <col min="9" max="9" width="7.421875" style="0" customWidth="1"/>
    <col min="10" max="10" width="3.28125" style="0" customWidth="1"/>
    <col min="11" max="11" width="7.57421875" style="0" customWidth="1"/>
    <col min="12" max="12" width="3.421875" style="0" customWidth="1"/>
    <col min="13" max="13" width="6.7109375" style="0" customWidth="1"/>
    <col min="14" max="14" width="4.140625" style="0" customWidth="1"/>
    <col min="15" max="15" width="8.421875" style="0" customWidth="1"/>
    <col min="16" max="16" width="3.140625" style="0" customWidth="1"/>
    <col min="18" max="18" width="3.8515625" style="0" customWidth="1"/>
    <col min="19" max="19" width="8.7109375" style="0" customWidth="1"/>
    <col min="20" max="20" width="2.421875" style="0" customWidth="1"/>
    <col min="21" max="21" width="8.140625" style="0" customWidth="1"/>
    <col min="22" max="22" width="2.421875" style="0" customWidth="1"/>
  </cols>
  <sheetData>
    <row r="1" ht="12.75">
      <c r="A1" s="168" t="s">
        <v>247</v>
      </c>
    </row>
    <row r="2" s="124" customFormat="1" ht="12"/>
    <row r="3" s="124" customFormat="1" ht="19.5" customHeight="1">
      <c r="A3" s="169" t="s">
        <v>234</v>
      </c>
    </row>
    <row r="4" spans="1:22" s="124" customFormat="1" ht="5.2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s="124" customFormat="1" ht="10.5" customHeight="1">
      <c r="A5" s="259"/>
      <c r="B5" s="259"/>
      <c r="C5" s="259"/>
      <c r="D5" s="259"/>
      <c r="E5" s="259" t="s">
        <v>135</v>
      </c>
      <c r="F5" s="259"/>
      <c r="G5" s="259"/>
      <c r="H5" s="259"/>
      <c r="I5" s="259"/>
      <c r="J5" s="287" t="s">
        <v>225</v>
      </c>
      <c r="K5" s="259"/>
      <c r="L5" s="259"/>
      <c r="M5" s="259"/>
      <c r="N5" s="259"/>
      <c r="O5" s="259"/>
      <c r="P5" s="259"/>
      <c r="Q5" s="259"/>
      <c r="R5" s="259"/>
      <c r="S5" s="287" t="s">
        <v>222</v>
      </c>
      <c r="T5" s="259"/>
      <c r="U5" s="259"/>
      <c r="V5" s="259"/>
    </row>
    <row r="6" spans="1:22" s="124" customFormat="1" ht="10.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 t="s">
        <v>136</v>
      </c>
      <c r="P6" s="259"/>
      <c r="Q6" s="259"/>
      <c r="R6" s="259"/>
      <c r="S6" s="288"/>
      <c r="T6" s="288"/>
      <c r="U6" s="288"/>
      <c r="V6" s="259"/>
    </row>
    <row r="7" spans="1:22" s="124" customFormat="1" ht="10.5" customHeight="1">
      <c r="A7" s="259" t="s">
        <v>86</v>
      </c>
      <c r="B7" s="259"/>
      <c r="C7" s="258"/>
      <c r="D7" s="258"/>
      <c r="E7" s="258"/>
      <c r="F7" s="258"/>
      <c r="G7" s="258"/>
      <c r="H7" s="259"/>
      <c r="I7" s="258"/>
      <c r="J7" s="258"/>
      <c r="K7" s="258"/>
      <c r="L7" s="258"/>
      <c r="M7" s="258"/>
      <c r="N7" s="259"/>
      <c r="O7" s="259" t="s">
        <v>137</v>
      </c>
      <c r="P7" s="259"/>
      <c r="Q7" s="259"/>
      <c r="R7" s="259"/>
      <c r="S7" s="259" t="s">
        <v>132</v>
      </c>
      <c r="T7" s="259"/>
      <c r="U7" s="259" t="s">
        <v>133</v>
      </c>
      <c r="V7" s="259"/>
    </row>
    <row r="8" spans="1:22" s="124" customFormat="1" ht="10.5" customHeight="1">
      <c r="A8" s="259" t="s">
        <v>138</v>
      </c>
      <c r="B8" s="259"/>
      <c r="C8" s="259" t="s">
        <v>139</v>
      </c>
      <c r="D8" s="259"/>
      <c r="E8" s="259"/>
      <c r="F8" s="259"/>
      <c r="G8" s="259"/>
      <c r="H8" s="259"/>
      <c r="I8" s="259"/>
      <c r="J8" s="259"/>
      <c r="K8" s="259"/>
      <c r="L8" s="259"/>
      <c r="M8" s="259" t="s">
        <v>140</v>
      </c>
      <c r="N8" s="259"/>
      <c r="O8" s="258"/>
      <c r="P8" s="258"/>
      <c r="Q8" s="258"/>
      <c r="R8" s="259"/>
      <c r="S8" s="259" t="s">
        <v>157</v>
      </c>
      <c r="T8" s="259"/>
      <c r="U8" s="259" t="s">
        <v>157</v>
      </c>
      <c r="V8" s="259"/>
    </row>
    <row r="9" spans="1:22" s="124" customFormat="1" ht="10.5" customHeight="1">
      <c r="A9" s="259" t="s">
        <v>151</v>
      </c>
      <c r="B9" s="259"/>
      <c r="C9" s="259" t="s">
        <v>163</v>
      </c>
      <c r="D9" s="259"/>
      <c r="E9" s="259" t="s">
        <v>161</v>
      </c>
      <c r="F9" s="259"/>
      <c r="G9" s="259" t="s">
        <v>160</v>
      </c>
      <c r="H9" s="259"/>
      <c r="I9" s="259" t="s">
        <v>141</v>
      </c>
      <c r="J9" s="259"/>
      <c r="K9" s="259" t="s">
        <v>142</v>
      </c>
      <c r="L9" s="259"/>
      <c r="M9" s="259" t="s">
        <v>143</v>
      </c>
      <c r="N9" s="259"/>
      <c r="O9" s="259" t="s">
        <v>144</v>
      </c>
      <c r="P9" s="259"/>
      <c r="Q9" s="259" t="s">
        <v>145</v>
      </c>
      <c r="R9" s="259"/>
      <c r="S9" s="259" t="s">
        <v>134</v>
      </c>
      <c r="T9" s="259"/>
      <c r="U9" s="259" t="s">
        <v>134</v>
      </c>
      <c r="V9" s="259"/>
    </row>
    <row r="10" spans="1:22" s="124" customFormat="1" ht="10.5" customHeight="1">
      <c r="A10" s="259"/>
      <c r="B10" s="259"/>
      <c r="C10" s="259" t="s">
        <v>154</v>
      </c>
      <c r="D10" s="259"/>
      <c r="E10" s="259" t="s">
        <v>162</v>
      </c>
      <c r="F10" s="259"/>
      <c r="G10" s="259"/>
      <c r="H10" s="259"/>
      <c r="I10" s="259" t="s">
        <v>155</v>
      </c>
      <c r="J10" s="259"/>
      <c r="K10" s="259"/>
      <c r="L10" s="259"/>
      <c r="M10" s="259" t="s">
        <v>156</v>
      </c>
      <c r="N10" s="259"/>
      <c r="O10" s="259" t="s">
        <v>146</v>
      </c>
      <c r="P10" s="259"/>
      <c r="Q10" s="260" t="s">
        <v>170</v>
      </c>
      <c r="R10" s="259"/>
      <c r="S10" s="259" t="s">
        <v>158</v>
      </c>
      <c r="T10" s="259"/>
      <c r="U10" s="259" t="s">
        <v>159</v>
      </c>
      <c r="V10" s="259"/>
    </row>
    <row r="11" spans="1:22" s="124" customFormat="1" ht="10.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 t="s">
        <v>153</v>
      </c>
      <c r="P11" s="259"/>
      <c r="Q11" s="259" t="s">
        <v>147</v>
      </c>
      <c r="R11" s="259"/>
      <c r="S11" s="259"/>
      <c r="T11" s="259"/>
      <c r="U11" s="259"/>
      <c r="V11" s="259"/>
    </row>
    <row r="12" spans="1:22" s="124" customFormat="1" ht="5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1" s="124" customFormat="1" ht="12">
      <c r="A13" s="148"/>
      <c r="B13" s="148"/>
      <c r="C13" s="148"/>
      <c r="D13" s="148"/>
      <c r="E13" s="148"/>
      <c r="F13" s="149" t="s">
        <v>152</v>
      </c>
      <c r="G13" s="148"/>
      <c r="H13" s="148"/>
      <c r="I13" s="148"/>
      <c r="J13" s="148"/>
      <c r="K13" s="148"/>
      <c r="L13" s="148"/>
      <c r="M13" s="148" t="s">
        <v>148</v>
      </c>
      <c r="N13" s="148"/>
      <c r="O13" s="148" t="s">
        <v>149</v>
      </c>
      <c r="P13" s="148"/>
      <c r="Q13" s="148"/>
      <c r="R13" s="148"/>
      <c r="S13" s="148" t="s">
        <v>150</v>
      </c>
      <c r="T13" s="148"/>
      <c r="U13" s="148"/>
    </row>
    <row r="14" s="124" customFormat="1" ht="6.75" customHeight="1"/>
    <row r="15" spans="1:22" s="124" customFormat="1" ht="10.5" customHeight="1">
      <c r="A15" s="124">
        <v>1965</v>
      </c>
      <c r="C15" s="126">
        <v>30.6</v>
      </c>
      <c r="D15" s="126"/>
      <c r="E15" s="126">
        <v>0</v>
      </c>
      <c r="F15" s="126"/>
      <c r="G15" s="126">
        <v>30.6</v>
      </c>
      <c r="H15" s="126"/>
      <c r="I15" s="126">
        <v>0</v>
      </c>
      <c r="J15" s="126"/>
      <c r="K15" s="126">
        <v>30.6</v>
      </c>
      <c r="M15" s="127">
        <v>0.16</v>
      </c>
      <c r="N15" s="127"/>
      <c r="O15" s="128">
        <v>44.9</v>
      </c>
      <c r="P15" s="128"/>
      <c r="Q15" s="128">
        <v>199.24561792766806</v>
      </c>
      <c r="S15" s="128">
        <v>0</v>
      </c>
      <c r="T15" s="128"/>
      <c r="U15" s="128" t="s">
        <v>75</v>
      </c>
      <c r="V15" s="128"/>
    </row>
    <row r="16" spans="1:22" s="124" customFormat="1" ht="10.5" customHeight="1">
      <c r="A16" s="124">
        <v>1966</v>
      </c>
      <c r="C16" s="126">
        <v>42</v>
      </c>
      <c r="D16" s="126"/>
      <c r="E16" s="126">
        <v>0</v>
      </c>
      <c r="F16" s="126"/>
      <c r="G16" s="126">
        <v>42</v>
      </c>
      <c r="H16" s="126"/>
      <c r="I16" s="126">
        <v>0</v>
      </c>
      <c r="J16" s="126"/>
      <c r="K16" s="126">
        <v>42</v>
      </c>
      <c r="M16" s="127">
        <v>0.21</v>
      </c>
      <c r="N16" s="127"/>
      <c r="O16" s="128">
        <v>46.5</v>
      </c>
      <c r="P16" s="128"/>
      <c r="Q16" s="128">
        <v>200.63859164653093</v>
      </c>
      <c r="S16" s="128">
        <v>0</v>
      </c>
      <c r="T16" s="128"/>
      <c r="U16" s="128" t="s">
        <v>75</v>
      </c>
      <c r="V16" s="128"/>
    </row>
    <row r="17" spans="1:22" s="124" customFormat="1" ht="10.5" customHeight="1">
      <c r="A17" s="124">
        <v>1967</v>
      </c>
      <c r="C17" s="126">
        <v>47.6</v>
      </c>
      <c r="D17" s="126"/>
      <c r="E17" s="126">
        <v>0</v>
      </c>
      <c r="F17" s="126"/>
      <c r="G17" s="126">
        <v>47.6</v>
      </c>
      <c r="H17" s="126"/>
      <c r="I17" s="126">
        <v>0</v>
      </c>
      <c r="J17" s="126"/>
      <c r="K17" s="126">
        <v>47.6</v>
      </c>
      <c r="M17" s="127">
        <v>0.24</v>
      </c>
      <c r="N17" s="127"/>
      <c r="O17" s="128">
        <v>44.9</v>
      </c>
      <c r="P17" s="128"/>
      <c r="Q17" s="128">
        <v>187.92114845352194</v>
      </c>
      <c r="S17" s="128">
        <v>0</v>
      </c>
      <c r="T17" s="128"/>
      <c r="U17" s="128" t="s">
        <v>75</v>
      </c>
      <c r="V17" s="128"/>
    </row>
    <row r="18" spans="1:22" s="124" customFormat="1" ht="10.5" customHeight="1">
      <c r="A18" s="124">
        <v>1968</v>
      </c>
      <c r="C18" s="126">
        <v>56</v>
      </c>
      <c r="D18" s="126"/>
      <c r="E18" s="126">
        <v>0</v>
      </c>
      <c r="F18" s="126"/>
      <c r="G18" s="126">
        <v>56</v>
      </c>
      <c r="H18" s="126"/>
      <c r="I18" s="126">
        <v>0</v>
      </c>
      <c r="J18" s="126"/>
      <c r="K18" s="126">
        <v>56</v>
      </c>
      <c r="M18" s="127">
        <v>0.28</v>
      </c>
      <c r="N18" s="127"/>
      <c r="O18" s="128">
        <v>46.1</v>
      </c>
      <c r="P18" s="128"/>
      <c r="Q18" s="128">
        <v>185.04395295628788</v>
      </c>
      <c r="S18" s="128">
        <v>0</v>
      </c>
      <c r="T18" s="128"/>
      <c r="U18" s="128" t="s">
        <v>75</v>
      </c>
      <c r="V18" s="128"/>
    </row>
    <row r="19" spans="1:22" s="124" customFormat="1" ht="10.5" customHeight="1">
      <c r="A19" s="124">
        <v>1969</v>
      </c>
      <c r="C19" s="126">
        <v>62.1</v>
      </c>
      <c r="D19" s="126"/>
      <c r="E19" s="126">
        <v>0.1</v>
      </c>
      <c r="F19" s="126"/>
      <c r="G19" s="126">
        <v>62.3</v>
      </c>
      <c r="H19" s="126"/>
      <c r="I19" s="126">
        <v>0</v>
      </c>
      <c r="J19" s="126"/>
      <c r="K19" s="126">
        <v>62.3</v>
      </c>
      <c r="M19" s="127">
        <v>0.31</v>
      </c>
      <c r="N19" s="127"/>
      <c r="O19" s="128">
        <v>45.1</v>
      </c>
      <c r="P19" s="128"/>
      <c r="Q19" s="128">
        <v>172.47313472790546</v>
      </c>
      <c r="S19" s="128">
        <v>0.2</v>
      </c>
      <c r="T19" s="128"/>
      <c r="U19" s="128" t="s">
        <v>75</v>
      </c>
      <c r="V19" s="128"/>
    </row>
    <row r="20" spans="3:22" s="124" customFormat="1" ht="5.25" customHeight="1">
      <c r="C20" s="126"/>
      <c r="D20" s="126"/>
      <c r="E20" s="126"/>
      <c r="F20" s="126"/>
      <c r="G20" s="126"/>
      <c r="H20" s="126"/>
      <c r="I20" s="126"/>
      <c r="J20" s="126"/>
      <c r="K20" s="126"/>
      <c r="M20" s="127"/>
      <c r="N20" s="127"/>
      <c r="O20" s="128"/>
      <c r="P20" s="128"/>
      <c r="Q20" s="128"/>
      <c r="S20" s="128"/>
      <c r="T20" s="128"/>
      <c r="U20" s="128"/>
      <c r="V20" s="128"/>
    </row>
    <row r="21" spans="1:22" s="124" customFormat="1" ht="10.5" customHeight="1">
      <c r="A21" s="124">
        <v>1970</v>
      </c>
      <c r="C21" s="126">
        <v>58.3</v>
      </c>
      <c r="D21" s="126"/>
      <c r="E21" s="126">
        <v>0.3</v>
      </c>
      <c r="F21" s="126"/>
      <c r="G21" s="126">
        <v>58.6</v>
      </c>
      <c r="H21" s="126"/>
      <c r="I21" s="126">
        <v>0</v>
      </c>
      <c r="J21" s="126"/>
      <c r="K21" s="126">
        <v>58.6</v>
      </c>
      <c r="M21" s="127">
        <v>0.28</v>
      </c>
      <c r="N21" s="127"/>
      <c r="O21" s="128">
        <v>54.4</v>
      </c>
      <c r="P21" s="128"/>
      <c r="Q21" s="128">
        <v>197.57390862206728</v>
      </c>
      <c r="S21" s="128">
        <v>0.5</v>
      </c>
      <c r="T21" s="128"/>
      <c r="U21" s="128" t="s">
        <v>75</v>
      </c>
      <c r="V21" s="128"/>
    </row>
    <row r="22" spans="1:22" s="124" customFormat="1" ht="10.5" customHeight="1">
      <c r="A22" s="124">
        <v>1971</v>
      </c>
      <c r="C22" s="126">
        <v>66.3</v>
      </c>
      <c r="D22" s="126"/>
      <c r="E22" s="126">
        <v>0.4</v>
      </c>
      <c r="F22" s="126"/>
      <c r="G22" s="126">
        <v>66.7</v>
      </c>
      <c r="H22" s="126"/>
      <c r="I22" s="126">
        <v>0</v>
      </c>
      <c r="J22" s="126"/>
      <c r="K22" s="126">
        <v>66.7</v>
      </c>
      <c r="M22" s="127">
        <v>0.32</v>
      </c>
      <c r="N22" s="127"/>
      <c r="O22" s="128">
        <v>57.9</v>
      </c>
      <c r="P22" s="128"/>
      <c r="Q22" s="128">
        <v>200.26979350420254</v>
      </c>
      <c r="S22" s="128">
        <v>0.5</v>
      </c>
      <c r="T22" s="128"/>
      <c r="U22" s="128" t="s">
        <v>75</v>
      </c>
      <c r="V22" s="128"/>
    </row>
    <row r="23" spans="1:22" s="124" customFormat="1" ht="10.5" customHeight="1">
      <c r="A23" s="124">
        <v>1972</v>
      </c>
      <c r="C23" s="126">
        <v>76.7</v>
      </c>
      <c r="D23" s="126"/>
      <c r="E23" s="126">
        <v>0.1</v>
      </c>
      <c r="F23" s="126"/>
      <c r="G23" s="126">
        <v>76.8</v>
      </c>
      <c r="H23" s="126"/>
      <c r="I23" s="126">
        <v>0</v>
      </c>
      <c r="J23" s="126"/>
      <c r="K23" s="126">
        <v>76.8</v>
      </c>
      <c r="M23" s="127">
        <v>0.36</v>
      </c>
      <c r="N23" s="127"/>
      <c r="O23" s="128">
        <v>55.5</v>
      </c>
      <c r="P23" s="128"/>
      <c r="Q23" s="128">
        <v>183.98196645229729</v>
      </c>
      <c r="S23" s="128">
        <v>0.1</v>
      </c>
      <c r="T23" s="128"/>
      <c r="U23" s="128" t="s">
        <v>75</v>
      </c>
      <c r="V23" s="128"/>
    </row>
    <row r="24" spans="1:22" s="124" customFormat="1" ht="10.5" customHeight="1">
      <c r="A24" s="124">
        <v>1973</v>
      </c>
      <c r="C24" s="126">
        <v>102.3</v>
      </c>
      <c r="D24" s="126"/>
      <c r="E24" s="126">
        <v>0.2</v>
      </c>
      <c r="F24" s="126"/>
      <c r="G24" s="126">
        <v>102.5</v>
      </c>
      <c r="H24" s="126"/>
      <c r="I24" s="126">
        <v>0</v>
      </c>
      <c r="J24" s="126"/>
      <c r="K24" s="126">
        <v>102.5</v>
      </c>
      <c r="M24" s="127">
        <v>0.48</v>
      </c>
      <c r="N24" s="127"/>
      <c r="O24" s="128">
        <v>57.1</v>
      </c>
      <c r="P24" s="128"/>
      <c r="Q24" s="128">
        <v>179.28349398725234</v>
      </c>
      <c r="S24" s="128">
        <v>0.2</v>
      </c>
      <c r="T24" s="128"/>
      <c r="U24" s="128" t="s">
        <v>75</v>
      </c>
      <c r="V24" s="128"/>
    </row>
    <row r="25" spans="1:22" s="124" customFormat="1" ht="10.5" customHeight="1">
      <c r="A25" s="124">
        <v>1974</v>
      </c>
      <c r="C25" s="126">
        <v>126.1</v>
      </c>
      <c r="D25" s="126"/>
      <c r="E25" s="126">
        <v>0</v>
      </c>
      <c r="F25" s="126"/>
      <c r="G25" s="126">
        <v>126.1</v>
      </c>
      <c r="H25" s="126"/>
      <c r="I25" s="126">
        <v>0</v>
      </c>
      <c r="J25" s="126"/>
      <c r="K25" s="126">
        <v>126.1</v>
      </c>
      <c r="M25" s="127">
        <v>0.59</v>
      </c>
      <c r="N25" s="127"/>
      <c r="O25" s="128">
        <v>60.7</v>
      </c>
      <c r="P25" s="128"/>
      <c r="Q25" s="128">
        <v>174.8020158387329</v>
      </c>
      <c r="S25" s="128">
        <v>0</v>
      </c>
      <c r="T25" s="128"/>
      <c r="U25" s="128" t="s">
        <v>75</v>
      </c>
      <c r="V25" s="128"/>
    </row>
    <row r="26" spans="1:22" s="124" customFormat="1" ht="10.5" customHeight="1">
      <c r="A26" s="124">
        <v>1975</v>
      </c>
      <c r="C26" s="126">
        <v>142.1</v>
      </c>
      <c r="D26" s="126"/>
      <c r="E26" s="126">
        <v>0.3</v>
      </c>
      <c r="F26" s="126"/>
      <c r="G26" s="126">
        <v>142.4</v>
      </c>
      <c r="H26" s="126"/>
      <c r="I26" s="126">
        <v>0</v>
      </c>
      <c r="J26" s="126"/>
      <c r="K26" s="126">
        <v>142.4</v>
      </c>
      <c r="M26" s="127">
        <v>0.66</v>
      </c>
      <c r="N26" s="127"/>
      <c r="O26" s="128">
        <v>71.9</v>
      </c>
      <c r="P26" s="128"/>
      <c r="Q26" s="128">
        <v>189.2005683911373</v>
      </c>
      <c r="S26" s="128">
        <v>0.2</v>
      </c>
      <c r="T26" s="128"/>
      <c r="U26" s="128" t="s">
        <v>75</v>
      </c>
      <c r="V26" s="128"/>
    </row>
    <row r="27" spans="1:22" s="124" customFormat="1" ht="10.5" customHeight="1">
      <c r="A27" s="124">
        <v>1976</v>
      </c>
      <c r="C27" s="126">
        <v>151.2</v>
      </c>
      <c r="D27" s="126"/>
      <c r="E27" s="126">
        <v>0</v>
      </c>
      <c r="F27" s="126"/>
      <c r="G27" s="126">
        <v>151.2</v>
      </c>
      <c r="H27" s="126"/>
      <c r="I27" s="126">
        <v>0</v>
      </c>
      <c r="J27" s="126"/>
      <c r="K27" s="126">
        <v>151.2</v>
      </c>
      <c r="M27" s="127">
        <v>0.69</v>
      </c>
      <c r="N27" s="127"/>
      <c r="O27" s="128">
        <v>82.4</v>
      </c>
      <c r="P27" s="128"/>
      <c r="Q27" s="128">
        <v>204.99552194248184</v>
      </c>
      <c r="S27" s="128">
        <v>0</v>
      </c>
      <c r="T27" s="128"/>
      <c r="U27" s="128" t="s">
        <v>75</v>
      </c>
      <c r="V27" s="128"/>
    </row>
    <row r="28" spans="1:22" s="124" customFormat="1" ht="10.5" customHeight="1">
      <c r="A28" s="124">
        <v>1977</v>
      </c>
      <c r="C28" s="126">
        <v>191.1</v>
      </c>
      <c r="D28" s="126"/>
      <c r="E28" s="126">
        <v>0</v>
      </c>
      <c r="F28" s="126"/>
      <c r="G28" s="126">
        <v>191.1</v>
      </c>
      <c r="H28" s="126"/>
      <c r="I28" s="126">
        <v>0</v>
      </c>
      <c r="J28" s="126"/>
      <c r="K28" s="126">
        <v>191.1</v>
      </c>
      <c r="M28" s="127">
        <v>0.86</v>
      </c>
      <c r="N28" s="127"/>
      <c r="O28" s="128">
        <v>90.1</v>
      </c>
      <c r="P28" s="128"/>
      <c r="Q28" s="128">
        <v>210.750374251497</v>
      </c>
      <c r="S28" s="128">
        <v>0</v>
      </c>
      <c r="T28" s="128"/>
      <c r="U28" s="128" t="s">
        <v>75</v>
      </c>
      <c r="V28" s="128"/>
    </row>
    <row r="29" spans="1:22" s="124" customFormat="1" ht="10.5" customHeight="1">
      <c r="A29" s="124">
        <v>1978</v>
      </c>
      <c r="C29" s="126">
        <v>229.5</v>
      </c>
      <c r="D29" s="126"/>
      <c r="E29" s="126">
        <v>0.4</v>
      </c>
      <c r="F29" s="126"/>
      <c r="G29" s="126">
        <v>230</v>
      </c>
      <c r="H29" s="126"/>
      <c r="I29" s="126">
        <v>0.6</v>
      </c>
      <c r="J29" s="126"/>
      <c r="K29" s="126">
        <v>229.3</v>
      </c>
      <c r="M29" s="127">
        <v>1.02</v>
      </c>
      <c r="N29" s="127"/>
      <c r="O29" s="128">
        <v>94.9</v>
      </c>
      <c r="P29" s="128"/>
      <c r="Q29" s="128">
        <v>207.3999606617567</v>
      </c>
      <c r="S29" s="128">
        <v>0.2</v>
      </c>
      <c r="T29" s="128"/>
      <c r="U29" s="128">
        <v>0.3</v>
      </c>
      <c r="V29" s="128"/>
    </row>
    <row r="30" spans="1:22" s="124" customFormat="1" ht="10.5" customHeight="1">
      <c r="A30" s="124">
        <v>1979</v>
      </c>
      <c r="C30" s="126">
        <v>255.8</v>
      </c>
      <c r="D30" s="126"/>
      <c r="E30" s="126">
        <v>0.5</v>
      </c>
      <c r="F30" s="126"/>
      <c r="G30" s="126">
        <v>256.3</v>
      </c>
      <c r="H30" s="126"/>
      <c r="I30" s="126">
        <v>0.7</v>
      </c>
      <c r="J30" s="126"/>
      <c r="K30" s="126">
        <v>255.6</v>
      </c>
      <c r="M30" s="127">
        <v>1.13</v>
      </c>
      <c r="N30" s="127"/>
      <c r="O30" s="128">
        <v>95.8</v>
      </c>
      <c r="P30" s="128"/>
      <c r="Q30" s="128">
        <v>193.3478646968596</v>
      </c>
      <c r="S30" s="128">
        <v>0.2</v>
      </c>
      <c r="T30" s="128"/>
      <c r="U30" s="128">
        <v>0.3</v>
      </c>
      <c r="V30" s="128"/>
    </row>
    <row r="31" spans="3:22" s="124" customFormat="1" ht="6" customHeight="1">
      <c r="C31" s="126"/>
      <c r="D31" s="126"/>
      <c r="E31" s="126"/>
      <c r="F31" s="126"/>
      <c r="G31" s="126"/>
      <c r="H31" s="126"/>
      <c r="I31" s="126"/>
      <c r="J31" s="126"/>
      <c r="K31" s="126"/>
      <c r="M31" s="127"/>
      <c r="N31" s="127"/>
      <c r="O31" s="128"/>
      <c r="P31" s="128"/>
      <c r="Q31" s="128"/>
      <c r="S31" s="128"/>
      <c r="T31" s="128"/>
      <c r="U31" s="128"/>
      <c r="V31" s="128"/>
    </row>
    <row r="32" spans="1:22" s="124" customFormat="1" ht="10.5" customHeight="1">
      <c r="A32" s="124">
        <v>1980</v>
      </c>
      <c r="C32" s="126">
        <v>275.1</v>
      </c>
      <c r="D32" s="126"/>
      <c r="E32" s="126">
        <v>0.7</v>
      </c>
      <c r="F32" s="126"/>
      <c r="G32" s="126">
        <v>275.7</v>
      </c>
      <c r="H32" s="126"/>
      <c r="I32" s="126">
        <v>0.6</v>
      </c>
      <c r="J32" s="126"/>
      <c r="K32" s="126">
        <v>275.2</v>
      </c>
      <c r="M32" s="127">
        <v>1.2</v>
      </c>
      <c r="N32" s="127"/>
      <c r="O32" s="128">
        <v>94.7</v>
      </c>
      <c r="P32" s="128"/>
      <c r="Q32" s="128">
        <v>175.2308347056973</v>
      </c>
      <c r="S32" s="128">
        <v>0.2</v>
      </c>
      <c r="T32" s="128"/>
      <c r="U32" s="128">
        <v>0.2</v>
      </c>
      <c r="V32" s="128"/>
    </row>
    <row r="33" spans="1:22" s="124" customFormat="1" ht="10.5" customHeight="1">
      <c r="A33" s="124">
        <v>1981</v>
      </c>
      <c r="C33" s="126">
        <v>319.1</v>
      </c>
      <c r="D33" s="126"/>
      <c r="E33" s="126">
        <v>0.8</v>
      </c>
      <c r="F33" s="126"/>
      <c r="G33" s="126">
        <v>319.9</v>
      </c>
      <c r="H33" s="126"/>
      <c r="I33" s="126">
        <v>1.8</v>
      </c>
      <c r="J33" s="126"/>
      <c r="K33" s="126">
        <v>318.1</v>
      </c>
      <c r="M33" s="127">
        <v>1.38</v>
      </c>
      <c r="N33" s="127"/>
      <c r="O33" s="128">
        <v>96.8</v>
      </c>
      <c r="P33" s="128"/>
      <c r="Q33" s="128">
        <v>163.7375463049104</v>
      </c>
      <c r="S33" s="128">
        <v>0.3</v>
      </c>
      <c r="T33" s="128"/>
      <c r="U33" s="128">
        <v>0.6</v>
      </c>
      <c r="V33" s="128"/>
    </row>
    <row r="34" spans="1:22" s="124" customFormat="1" ht="10.5" customHeight="1">
      <c r="A34" s="124">
        <v>1982</v>
      </c>
      <c r="C34" s="126">
        <v>337.2</v>
      </c>
      <c r="D34" s="126"/>
      <c r="E34" s="126">
        <v>1.1</v>
      </c>
      <c r="F34" s="126"/>
      <c r="G34" s="126">
        <v>338.3</v>
      </c>
      <c r="H34" s="126"/>
      <c r="I34" s="126">
        <v>1.6</v>
      </c>
      <c r="J34" s="126"/>
      <c r="K34" s="126">
        <v>336.7</v>
      </c>
      <c r="M34" s="127">
        <v>1.44</v>
      </c>
      <c r="N34" s="127"/>
      <c r="O34" s="128">
        <v>100</v>
      </c>
      <c r="P34" s="128"/>
      <c r="Q34" s="128">
        <v>159.42352453528045</v>
      </c>
      <c r="S34" s="128">
        <v>0.3</v>
      </c>
      <c r="T34" s="128"/>
      <c r="U34" s="128">
        <v>0.5</v>
      </c>
      <c r="V34" s="128"/>
    </row>
    <row r="35" spans="1:22" s="124" customFormat="1" ht="10.5" customHeight="1">
      <c r="A35" s="124">
        <v>1983</v>
      </c>
      <c r="C35" s="126">
        <v>388.1</v>
      </c>
      <c r="D35" s="126"/>
      <c r="E35" s="126">
        <v>0.8</v>
      </c>
      <c r="F35" s="126"/>
      <c r="G35" s="126">
        <v>388.9</v>
      </c>
      <c r="H35" s="126"/>
      <c r="I35" s="126">
        <v>1.6</v>
      </c>
      <c r="J35" s="126"/>
      <c r="K35" s="126">
        <v>387.4</v>
      </c>
      <c r="M35" s="127">
        <v>1.65</v>
      </c>
      <c r="N35" s="127"/>
      <c r="O35" s="128">
        <v>96.5</v>
      </c>
      <c r="P35" s="128"/>
      <c r="Q35" s="128">
        <v>147.99024644593374</v>
      </c>
      <c r="S35" s="128">
        <v>0.2</v>
      </c>
      <c r="T35" s="128"/>
      <c r="U35" s="128">
        <v>0.4</v>
      </c>
      <c r="V35" s="128"/>
    </row>
    <row r="36" spans="1:22" s="124" customFormat="1" ht="10.5" customHeight="1">
      <c r="A36" s="124">
        <v>1984</v>
      </c>
      <c r="C36" s="126">
        <v>419.9</v>
      </c>
      <c r="D36" s="126"/>
      <c r="E36" s="126">
        <v>1</v>
      </c>
      <c r="F36" s="126"/>
      <c r="G36" s="126">
        <v>420.9</v>
      </c>
      <c r="H36" s="126"/>
      <c r="I36" s="126">
        <v>1.4</v>
      </c>
      <c r="J36" s="126"/>
      <c r="K36" s="126">
        <v>419.5</v>
      </c>
      <c r="M36" s="127">
        <v>1.77</v>
      </c>
      <c r="N36" s="127"/>
      <c r="O36" s="128">
        <v>93.5</v>
      </c>
      <c r="P36" s="128"/>
      <c r="Q36" s="128">
        <v>138.20116768901042</v>
      </c>
      <c r="S36" s="128">
        <v>0.2</v>
      </c>
      <c r="T36" s="128"/>
      <c r="U36" s="128">
        <v>0.3</v>
      </c>
      <c r="V36" s="128"/>
    </row>
    <row r="37" spans="1:22" s="124" customFormat="1" ht="10.5" customHeight="1">
      <c r="A37" s="124">
        <v>1985</v>
      </c>
      <c r="C37" s="126">
        <v>427.2</v>
      </c>
      <c r="D37" s="126"/>
      <c r="E37" s="126">
        <v>1</v>
      </c>
      <c r="F37" s="126"/>
      <c r="G37" s="126">
        <v>428.2</v>
      </c>
      <c r="H37" s="126"/>
      <c r="I37" s="126">
        <v>1.9</v>
      </c>
      <c r="J37" s="126"/>
      <c r="K37" s="126">
        <v>426.3</v>
      </c>
      <c r="M37" s="127">
        <v>1.78</v>
      </c>
      <c r="N37" s="127"/>
      <c r="O37" s="128">
        <v>94.8</v>
      </c>
      <c r="P37" s="128"/>
      <c r="Q37" s="128">
        <v>135.9861144980133</v>
      </c>
      <c r="S37" s="128">
        <v>0.2</v>
      </c>
      <c r="T37" s="128"/>
      <c r="U37" s="128">
        <v>0.4</v>
      </c>
      <c r="V37" s="128"/>
    </row>
    <row r="38" spans="1:22" s="124" customFormat="1" ht="10.5" customHeight="1">
      <c r="A38" s="124">
        <v>1986</v>
      </c>
      <c r="C38" s="126">
        <v>454.8</v>
      </c>
      <c r="D38" s="126"/>
      <c r="E38" s="126">
        <v>1.4</v>
      </c>
      <c r="F38" s="126"/>
      <c r="G38" s="126">
        <v>456.2</v>
      </c>
      <c r="H38" s="126"/>
      <c r="I38" s="126">
        <v>2.9</v>
      </c>
      <c r="J38" s="126"/>
      <c r="K38" s="126">
        <v>453.3</v>
      </c>
      <c r="M38" s="127">
        <v>1.87</v>
      </c>
      <c r="N38" s="127"/>
      <c r="O38" s="128">
        <v>96.9</v>
      </c>
      <c r="P38" s="128"/>
      <c r="Q38" s="128">
        <v>136</v>
      </c>
      <c r="S38" s="128">
        <v>0.3</v>
      </c>
      <c r="T38" s="128"/>
      <c r="U38" s="128">
        <v>0.6</v>
      </c>
      <c r="V38" s="128"/>
    </row>
    <row r="39" spans="1:22" s="124" customFormat="1" ht="10.5" customHeight="1">
      <c r="A39" s="124">
        <v>1987</v>
      </c>
      <c r="C39" s="126">
        <v>471.1</v>
      </c>
      <c r="D39" s="126"/>
      <c r="E39" s="126">
        <v>1.2</v>
      </c>
      <c r="F39" s="126"/>
      <c r="G39" s="126">
        <v>472.3</v>
      </c>
      <c r="H39" s="126"/>
      <c r="I39" s="126">
        <v>2.9</v>
      </c>
      <c r="J39" s="126"/>
      <c r="K39" s="126">
        <v>469.5</v>
      </c>
      <c r="M39" s="127">
        <v>1.92</v>
      </c>
      <c r="N39" s="127"/>
      <c r="O39" s="128">
        <v>94.9</v>
      </c>
      <c r="P39" s="128"/>
      <c r="Q39" s="128">
        <v>129.65189354609544</v>
      </c>
      <c r="S39" s="128">
        <v>0.3</v>
      </c>
      <c r="T39" s="128"/>
      <c r="U39" s="128">
        <v>0.6</v>
      </c>
      <c r="V39" s="128"/>
    </row>
    <row r="40" spans="1:22" s="124" customFormat="1" ht="10.5" customHeight="1">
      <c r="A40" s="124">
        <v>1988</v>
      </c>
      <c r="C40" s="126">
        <v>488.2</v>
      </c>
      <c r="D40" s="126"/>
      <c r="E40" s="126">
        <v>1.9</v>
      </c>
      <c r="F40" s="126"/>
      <c r="G40" s="126">
        <v>490.1</v>
      </c>
      <c r="H40" s="126"/>
      <c r="I40" s="126">
        <v>3.2</v>
      </c>
      <c r="J40" s="126"/>
      <c r="K40" s="126">
        <v>486.9</v>
      </c>
      <c r="M40" s="127">
        <v>1.98</v>
      </c>
      <c r="N40" s="127"/>
      <c r="O40" s="128">
        <v>97.9</v>
      </c>
      <c r="P40" s="128"/>
      <c r="Q40" s="128">
        <v>129.33653922371656</v>
      </c>
      <c r="S40" s="128">
        <v>0.4</v>
      </c>
      <c r="T40" s="128"/>
      <c r="U40" s="128">
        <v>0.7</v>
      </c>
      <c r="V40" s="128"/>
    </row>
    <row r="41" spans="1:22" s="124" customFormat="1" ht="10.5" customHeight="1">
      <c r="A41" s="124">
        <v>1989</v>
      </c>
      <c r="C41" s="126">
        <v>516</v>
      </c>
      <c r="D41" s="126"/>
      <c r="E41" s="126">
        <v>2.1</v>
      </c>
      <c r="F41" s="126"/>
      <c r="G41" s="126">
        <v>518</v>
      </c>
      <c r="H41" s="126"/>
      <c r="I41" s="126">
        <v>9.9</v>
      </c>
      <c r="J41" s="126"/>
      <c r="K41" s="126">
        <v>508.1</v>
      </c>
      <c r="M41" s="127">
        <v>2.04</v>
      </c>
      <c r="N41" s="127"/>
      <c r="O41" s="128">
        <v>100</v>
      </c>
      <c r="P41" s="128"/>
      <c r="Q41" s="128">
        <v>127.29772391669638</v>
      </c>
      <c r="S41" s="128">
        <v>0.4</v>
      </c>
      <c r="T41" s="128"/>
      <c r="U41" s="128">
        <v>1.9</v>
      </c>
      <c r="V41" s="128"/>
    </row>
    <row r="42" spans="3:22" s="124" customFormat="1" ht="6.75" customHeight="1">
      <c r="C42" s="126"/>
      <c r="D42" s="126"/>
      <c r="E42" s="126"/>
      <c r="F42" s="126"/>
      <c r="G42" s="126"/>
      <c r="H42" s="126"/>
      <c r="I42" s="126"/>
      <c r="J42" s="126"/>
      <c r="K42" s="126"/>
      <c r="M42" s="127"/>
      <c r="N42" s="127"/>
      <c r="O42" s="128"/>
      <c r="P42" s="128"/>
      <c r="Q42" s="128"/>
      <c r="S42" s="128"/>
      <c r="T42" s="128"/>
      <c r="U42" s="128"/>
      <c r="V42" s="128"/>
    </row>
    <row r="43" spans="1:22" s="124" customFormat="1" ht="10.5" customHeight="1">
      <c r="A43" s="124">
        <v>1990</v>
      </c>
      <c r="C43" s="126">
        <v>516.1</v>
      </c>
      <c r="D43" s="126"/>
      <c r="E43" s="126">
        <v>3.5</v>
      </c>
      <c r="F43" s="126"/>
      <c r="G43" s="126">
        <v>519.5</v>
      </c>
      <c r="H43" s="126"/>
      <c r="I43" s="126">
        <v>17.7</v>
      </c>
      <c r="J43" s="126"/>
      <c r="K43" s="126">
        <v>501.8</v>
      </c>
      <c r="M43" s="127">
        <v>1.99</v>
      </c>
      <c r="N43" s="127"/>
      <c r="O43" s="128">
        <v>98.1</v>
      </c>
      <c r="P43" s="128"/>
      <c r="Q43" s="128">
        <v>120.23532295624462</v>
      </c>
      <c r="S43" s="128">
        <v>0.7</v>
      </c>
      <c r="T43" s="128"/>
      <c r="U43" s="128">
        <v>3.4</v>
      </c>
      <c r="V43" s="128"/>
    </row>
    <row r="44" spans="1:22" s="124" customFormat="1" ht="10.5" customHeight="1">
      <c r="A44" s="124">
        <v>1991</v>
      </c>
      <c r="C44" s="126">
        <v>501.2</v>
      </c>
      <c r="D44" s="126"/>
      <c r="E44" s="126">
        <v>4.6</v>
      </c>
      <c r="F44" s="126"/>
      <c r="G44" s="126">
        <v>505.8</v>
      </c>
      <c r="H44" s="126"/>
      <c r="I44" s="126">
        <v>14.5</v>
      </c>
      <c r="J44" s="126"/>
      <c r="K44" s="126">
        <v>491.3</v>
      </c>
      <c r="M44" s="127">
        <v>1.93</v>
      </c>
      <c r="N44" s="127"/>
      <c r="O44" s="128">
        <v>99.5</v>
      </c>
      <c r="P44" s="128"/>
      <c r="Q44" s="128">
        <v>117.82956752403959</v>
      </c>
      <c r="S44" s="128">
        <v>0.9</v>
      </c>
      <c r="T44" s="128"/>
      <c r="U44" s="128">
        <v>2.9</v>
      </c>
      <c r="V44" s="128"/>
    </row>
    <row r="45" spans="1:22" s="124" customFormat="1" ht="10.5" customHeight="1">
      <c r="A45" s="124">
        <v>1992</v>
      </c>
      <c r="C45" s="126">
        <v>527</v>
      </c>
      <c r="D45" s="126"/>
      <c r="E45" s="126">
        <v>3.8</v>
      </c>
      <c r="F45" s="126"/>
      <c r="G45" s="126">
        <v>530.8</v>
      </c>
      <c r="H45" s="126"/>
      <c r="I45" s="126">
        <v>17.4</v>
      </c>
      <c r="J45" s="126"/>
      <c r="K45" s="126">
        <v>513.4</v>
      </c>
      <c r="M45" s="127">
        <v>1.98</v>
      </c>
      <c r="N45" s="127"/>
      <c r="O45" s="128">
        <v>99.8</v>
      </c>
      <c r="P45" s="128"/>
      <c r="Q45" s="128">
        <v>115.52931643225095</v>
      </c>
      <c r="S45" s="128">
        <v>0.7</v>
      </c>
      <c r="T45" s="128"/>
      <c r="U45" s="128">
        <v>3.3</v>
      </c>
      <c r="V45" s="128"/>
    </row>
    <row r="46" spans="1:22" s="124" customFormat="1" ht="10.5" customHeight="1">
      <c r="A46" s="124">
        <v>1993</v>
      </c>
      <c r="C46" s="126">
        <v>525.3</v>
      </c>
      <c r="D46" s="126"/>
      <c r="E46" s="126">
        <v>3.3</v>
      </c>
      <c r="F46" s="126"/>
      <c r="G46" s="126">
        <v>528.5</v>
      </c>
      <c r="H46" s="126"/>
      <c r="I46" s="126">
        <v>11.6</v>
      </c>
      <c r="J46" s="126"/>
      <c r="K46" s="126">
        <v>516.9</v>
      </c>
      <c r="M46" s="127">
        <v>1.97</v>
      </c>
      <c r="N46" s="127"/>
      <c r="O46" s="128">
        <v>103</v>
      </c>
      <c r="P46" s="128"/>
      <c r="Q46" s="128">
        <v>116.5408854844367</v>
      </c>
      <c r="S46" s="128">
        <v>0.6</v>
      </c>
      <c r="T46" s="128"/>
      <c r="U46" s="128">
        <v>2.2</v>
      </c>
      <c r="V46" s="128"/>
    </row>
    <row r="47" spans="1:22" s="124" customFormat="1" ht="10.5" customHeight="1">
      <c r="A47" s="124">
        <v>1994</v>
      </c>
      <c r="B47" s="124" t="s">
        <v>30</v>
      </c>
      <c r="C47" s="126">
        <v>541</v>
      </c>
      <c r="D47" s="126"/>
      <c r="E47" s="126">
        <v>5</v>
      </c>
      <c r="F47" s="126"/>
      <c r="G47" s="126">
        <v>546</v>
      </c>
      <c r="H47" s="126"/>
      <c r="I47" s="126">
        <v>9.9</v>
      </c>
      <c r="J47" s="126"/>
      <c r="K47" s="126">
        <v>536.1</v>
      </c>
      <c r="M47" s="127">
        <v>2.02</v>
      </c>
      <c r="N47" s="127"/>
      <c r="O47" s="128">
        <v>105</v>
      </c>
      <c r="P47" s="128"/>
      <c r="Q47" s="128">
        <v>116.33188934067518</v>
      </c>
      <c r="S47" s="128">
        <v>0.9</v>
      </c>
      <c r="T47" s="128"/>
      <c r="U47" s="128">
        <v>1.8</v>
      </c>
      <c r="V47" s="128"/>
    </row>
    <row r="48" spans="1:22" s="124" customFormat="1" ht="10.5" customHeight="1">
      <c r="A48" s="124">
        <v>1995</v>
      </c>
      <c r="B48" s="124" t="s">
        <v>30</v>
      </c>
      <c r="C48" s="126">
        <v>546</v>
      </c>
      <c r="D48" s="126"/>
      <c r="E48" s="126">
        <v>7</v>
      </c>
      <c r="F48" s="126"/>
      <c r="G48" s="126">
        <v>553</v>
      </c>
      <c r="H48" s="126"/>
      <c r="I48" s="126">
        <v>10.3</v>
      </c>
      <c r="J48" s="126"/>
      <c r="K48" s="126">
        <v>542.7</v>
      </c>
      <c r="M48" s="127">
        <v>2.02</v>
      </c>
      <c r="N48" s="127"/>
      <c r="O48" s="128">
        <v>109</v>
      </c>
      <c r="P48" s="128"/>
      <c r="Q48" s="128">
        <v>118.34191040757389</v>
      </c>
      <c r="S48" s="128">
        <v>1.3</v>
      </c>
      <c r="T48" s="128"/>
      <c r="U48" s="128">
        <v>1.9</v>
      </c>
      <c r="V48" s="128"/>
    </row>
    <row r="49" spans="1:22" s="124" customFormat="1" ht="10.5" customHeight="1">
      <c r="A49" s="124">
        <v>1996</v>
      </c>
      <c r="C49" s="126">
        <v>564.5</v>
      </c>
      <c r="D49" s="126"/>
      <c r="E49" s="126">
        <v>11.3</v>
      </c>
      <c r="F49" s="126"/>
      <c r="G49" s="126">
        <v>575.8</v>
      </c>
      <c r="H49" s="126"/>
      <c r="I49" s="126">
        <v>11.7</v>
      </c>
      <c r="J49" s="126"/>
      <c r="K49" s="126">
        <v>564.1</v>
      </c>
      <c r="M49" s="127">
        <v>2.08</v>
      </c>
      <c r="N49" s="127"/>
      <c r="O49" s="128">
        <v>109</v>
      </c>
      <c r="P49" s="128"/>
      <c r="Q49" s="128">
        <v>116.14030601372374</v>
      </c>
      <c r="S49" s="128">
        <v>2</v>
      </c>
      <c r="T49" s="128"/>
      <c r="U49" s="128">
        <v>2</v>
      </c>
      <c r="V49" s="128"/>
    </row>
    <row r="50" spans="1:22" s="124" customFormat="1" ht="10.5" customHeight="1">
      <c r="A50" s="124">
        <v>1997</v>
      </c>
      <c r="C50" s="126">
        <v>631.1</v>
      </c>
      <c r="D50" s="126"/>
      <c r="E50" s="126">
        <v>18.8</v>
      </c>
      <c r="F50" s="126"/>
      <c r="G50" s="126">
        <v>649.8</v>
      </c>
      <c r="H50" s="126"/>
      <c r="I50" s="126">
        <v>16.9</v>
      </c>
      <c r="J50" s="126"/>
      <c r="K50" s="126">
        <v>632.9</v>
      </c>
      <c r="M50" s="127">
        <v>2.3</v>
      </c>
      <c r="N50" s="127"/>
      <c r="O50" s="128">
        <v>108</v>
      </c>
      <c r="P50" s="128"/>
      <c r="Q50" s="128">
        <v>113.19093634057896</v>
      </c>
      <c r="S50" s="128">
        <v>3</v>
      </c>
      <c r="T50" s="128"/>
      <c r="U50" s="128">
        <v>2.6</v>
      </c>
      <c r="V50" s="128"/>
    </row>
    <row r="51" spans="1:22" s="124" customFormat="1" ht="10.5" customHeight="1">
      <c r="A51" s="124">
        <v>1998</v>
      </c>
      <c r="C51" s="126">
        <v>671.5</v>
      </c>
      <c r="D51" s="126"/>
      <c r="E51" s="126">
        <v>23.2</v>
      </c>
      <c r="F51" s="126"/>
      <c r="G51" s="126">
        <v>694.7</v>
      </c>
      <c r="H51" s="126"/>
      <c r="I51" s="126">
        <v>13.8</v>
      </c>
      <c r="J51" s="126"/>
      <c r="K51" s="126">
        <v>680.9</v>
      </c>
      <c r="M51" s="127">
        <v>2.45</v>
      </c>
      <c r="N51" s="127"/>
      <c r="O51" s="128">
        <v>108</v>
      </c>
      <c r="P51" s="128"/>
      <c r="Q51" s="128">
        <v>111.9495812256406</v>
      </c>
      <c r="S51" s="128">
        <v>3.4</v>
      </c>
      <c r="T51" s="128"/>
      <c r="U51" s="128">
        <v>2</v>
      </c>
      <c r="V51" s="128"/>
    </row>
    <row r="52" spans="1:22" s="124" customFormat="1" ht="10.5" customHeight="1">
      <c r="A52" s="124">
        <v>1999</v>
      </c>
      <c r="C52" s="126">
        <v>682.1</v>
      </c>
      <c r="D52" s="126"/>
      <c r="E52" s="126">
        <v>29.8</v>
      </c>
      <c r="F52" s="126"/>
      <c r="G52" s="126">
        <v>711.9</v>
      </c>
      <c r="H52" s="126"/>
      <c r="I52" s="126">
        <v>15.2</v>
      </c>
      <c r="J52" s="126"/>
      <c r="K52" s="126">
        <v>696.7</v>
      </c>
      <c r="M52" s="127">
        <v>2.48</v>
      </c>
      <c r="N52" s="127"/>
      <c r="O52" s="128">
        <v>107</v>
      </c>
      <c r="P52" s="128"/>
      <c r="Q52" s="128">
        <v>109.33093554583726</v>
      </c>
      <c r="S52" s="128">
        <v>4.3</v>
      </c>
      <c r="T52" s="128"/>
      <c r="U52" s="128">
        <v>2.1</v>
      </c>
      <c r="V52" s="128"/>
    </row>
    <row r="53" spans="3:22" s="124" customFormat="1" ht="6" customHeight="1">
      <c r="C53" s="126"/>
      <c r="D53" s="126"/>
      <c r="E53" s="126"/>
      <c r="F53" s="126"/>
      <c r="G53" s="126"/>
      <c r="H53" s="126"/>
      <c r="I53" s="126"/>
      <c r="J53" s="126"/>
      <c r="K53" s="126"/>
      <c r="M53" s="127"/>
      <c r="N53" s="127"/>
      <c r="O53" s="128"/>
      <c r="P53" s="128"/>
      <c r="Q53" s="128"/>
      <c r="S53" s="128"/>
      <c r="T53" s="128"/>
      <c r="U53" s="128"/>
      <c r="V53" s="128"/>
    </row>
    <row r="54" spans="1:22" s="124" customFormat="1" ht="10.5" customHeight="1">
      <c r="A54" s="124">
        <v>2000</v>
      </c>
      <c r="C54" s="126">
        <v>707.2</v>
      </c>
      <c r="D54" s="126"/>
      <c r="E54" s="126">
        <v>38.2</v>
      </c>
      <c r="F54" s="126"/>
      <c r="G54" s="126">
        <v>745.4</v>
      </c>
      <c r="H54" s="126"/>
      <c r="I54" s="126">
        <v>13</v>
      </c>
      <c r="J54" s="126"/>
      <c r="K54" s="126">
        <v>732.4</v>
      </c>
      <c r="M54" s="127">
        <v>2.578</v>
      </c>
      <c r="N54" s="127"/>
      <c r="O54" s="128">
        <v>106</v>
      </c>
      <c r="P54" s="128"/>
      <c r="Q54" s="128">
        <v>106</v>
      </c>
      <c r="S54" s="128">
        <v>5.2</v>
      </c>
      <c r="T54" s="128"/>
      <c r="U54" s="128">
        <v>1.7</v>
      </c>
      <c r="V54" s="128"/>
    </row>
    <row r="55" spans="1:22" s="124" customFormat="1" ht="10.5" customHeight="1">
      <c r="A55" s="124">
        <v>2001</v>
      </c>
      <c r="C55" s="126">
        <v>704.2</v>
      </c>
      <c r="D55" s="126"/>
      <c r="E55" s="126">
        <v>44.6</v>
      </c>
      <c r="F55" s="126"/>
      <c r="G55" s="126">
        <v>753.2</v>
      </c>
      <c r="H55" s="126"/>
      <c r="I55" s="126">
        <v>11.6</v>
      </c>
      <c r="J55" s="126"/>
      <c r="K55" s="126">
        <v>741.6</v>
      </c>
      <c r="M55" s="127">
        <v>2.57</v>
      </c>
      <c r="N55" s="127"/>
      <c r="O55" s="128">
        <v>115</v>
      </c>
      <c r="P55" s="128"/>
      <c r="Q55" s="128">
        <v>112.33430689732644</v>
      </c>
      <c r="S55" s="128">
        <v>6</v>
      </c>
      <c r="T55" s="128"/>
      <c r="U55" s="128">
        <v>1.5</v>
      </c>
      <c r="V55" s="128"/>
    </row>
    <row r="56" spans="1:22" s="124" customFormat="1" ht="10.5" customHeight="1">
      <c r="A56" s="124">
        <v>2002</v>
      </c>
      <c r="C56" s="126">
        <v>709.2</v>
      </c>
      <c r="D56" s="126"/>
      <c r="E56" s="126">
        <v>54</v>
      </c>
      <c r="F56" s="126"/>
      <c r="G56" s="126">
        <f aca="true" t="shared" si="0" ref="G56:G62">+C56+E56</f>
        <v>763.2</v>
      </c>
      <c r="H56" s="126"/>
      <c r="I56" s="126">
        <v>8.3</v>
      </c>
      <c r="J56" s="126"/>
      <c r="K56" s="126">
        <f aca="true" t="shared" si="1" ref="K56:K62">+G56-I56</f>
        <v>754.9000000000001</v>
      </c>
      <c r="M56" s="127">
        <v>2.61</v>
      </c>
      <c r="N56" s="127"/>
      <c r="O56" s="128">
        <v>112</v>
      </c>
      <c r="P56" s="128"/>
      <c r="Q56" s="128">
        <v>107.5</v>
      </c>
      <c r="S56" s="128">
        <v>7.1</v>
      </c>
      <c r="T56" s="128"/>
      <c r="U56" s="128">
        <v>1.1</v>
      </c>
      <c r="V56" s="128"/>
    </row>
    <row r="57" spans="1:22" s="124" customFormat="1" ht="10.5" customHeight="1">
      <c r="A57" s="124">
        <v>2003</v>
      </c>
      <c r="C57" s="126">
        <v>716.8</v>
      </c>
      <c r="D57" s="126"/>
      <c r="E57" s="126">
        <v>59.9</v>
      </c>
      <c r="F57" s="126"/>
      <c r="G57" s="126">
        <f t="shared" si="0"/>
        <v>776.6999999999999</v>
      </c>
      <c r="H57" s="126"/>
      <c r="I57" s="126">
        <v>7.7</v>
      </c>
      <c r="J57" s="126"/>
      <c r="K57" s="126">
        <f t="shared" si="1"/>
        <v>768.9999999999999</v>
      </c>
      <c r="M57" s="127">
        <v>2.63</v>
      </c>
      <c r="N57" s="127"/>
      <c r="O57" s="128">
        <v>114</v>
      </c>
      <c r="P57" s="128"/>
      <c r="Q57" s="128">
        <v>107.1</v>
      </c>
      <c r="S57" s="128">
        <v>7.8</v>
      </c>
      <c r="T57" s="128"/>
      <c r="U57" s="128">
        <v>1</v>
      </c>
      <c r="V57" s="128"/>
    </row>
    <row r="58" spans="1:22" s="124" customFormat="1" ht="10.5" customHeight="1">
      <c r="A58" s="124">
        <v>2004</v>
      </c>
      <c r="C58" s="126">
        <v>711.4</v>
      </c>
      <c r="D58" s="126"/>
      <c r="E58" s="126">
        <v>62.4</v>
      </c>
      <c r="F58" s="126"/>
      <c r="G58" s="126">
        <f t="shared" si="0"/>
        <v>773.8</v>
      </c>
      <c r="H58" s="126"/>
      <c r="I58" s="126">
        <v>8.3</v>
      </c>
      <c r="J58" s="126"/>
      <c r="K58" s="126">
        <f t="shared" si="1"/>
        <v>765.5</v>
      </c>
      <c r="M58" s="127">
        <v>2.59</v>
      </c>
      <c r="N58" s="127"/>
      <c r="O58" s="128">
        <v>114</v>
      </c>
      <c r="P58" s="127"/>
      <c r="Q58" s="128">
        <v>104.2</v>
      </c>
      <c r="S58" s="128">
        <v>8.2</v>
      </c>
      <c r="T58" s="128"/>
      <c r="U58" s="128">
        <v>1.1</v>
      </c>
      <c r="V58" s="128"/>
    </row>
    <row r="59" spans="1:22" s="124" customFormat="1" ht="10.5" customHeight="1">
      <c r="A59" s="124">
        <v>2005</v>
      </c>
      <c r="C59" s="126">
        <v>718</v>
      </c>
      <c r="D59" s="126"/>
      <c r="E59" s="126">
        <v>72.1</v>
      </c>
      <c r="F59" s="126"/>
      <c r="G59" s="126">
        <f t="shared" si="0"/>
        <v>790.1</v>
      </c>
      <c r="H59" s="126"/>
      <c r="I59" s="126">
        <v>8.8</v>
      </c>
      <c r="J59" s="126"/>
      <c r="K59" s="126">
        <f t="shared" si="1"/>
        <v>781.3000000000001</v>
      </c>
      <c r="M59" s="127">
        <v>2.62</v>
      </c>
      <c r="N59" s="127"/>
      <c r="O59" s="128">
        <v>113</v>
      </c>
      <c r="P59" s="127"/>
      <c r="Q59" s="128">
        <v>100.2</v>
      </c>
      <c r="S59" s="128">
        <v>9.2</v>
      </c>
      <c r="T59" s="128"/>
      <c r="U59" s="128">
        <v>1.1</v>
      </c>
      <c r="V59" s="128"/>
    </row>
    <row r="60" spans="1:22" s="124" customFormat="1" ht="10.5" customHeight="1">
      <c r="A60" s="340">
        <v>2006</v>
      </c>
      <c r="B60" s="340"/>
      <c r="C60" s="341">
        <v>710.9</v>
      </c>
      <c r="D60" s="341"/>
      <c r="E60" s="341">
        <v>68.9</v>
      </c>
      <c r="F60" s="341"/>
      <c r="G60" s="341">
        <f t="shared" si="0"/>
        <v>779.8</v>
      </c>
      <c r="H60" s="341"/>
      <c r="I60" s="341">
        <v>11.6</v>
      </c>
      <c r="J60" s="341"/>
      <c r="K60" s="341">
        <f t="shared" si="1"/>
        <v>768.1999999999999</v>
      </c>
      <c r="L60" s="340"/>
      <c r="M60" s="342">
        <v>2.55</v>
      </c>
      <c r="N60" s="342"/>
      <c r="O60" s="343">
        <v>121</v>
      </c>
      <c r="P60" s="342"/>
      <c r="Q60" s="343">
        <v>103.8</v>
      </c>
      <c r="R60" s="340"/>
      <c r="S60" s="343">
        <f>+E60/K60*100</f>
        <v>8.969018484769594</v>
      </c>
      <c r="T60" s="343"/>
      <c r="U60" s="343">
        <f>+I60/G60*100</f>
        <v>1.4875609130546295</v>
      </c>
      <c r="V60" s="343"/>
    </row>
    <row r="61" spans="1:22" s="124" customFormat="1" ht="10.5" customHeight="1">
      <c r="A61" s="261">
        <v>2007</v>
      </c>
      <c r="B61" s="261"/>
      <c r="C61" s="262">
        <v>691.4</v>
      </c>
      <c r="D61" s="262"/>
      <c r="E61" s="262">
        <v>66.8</v>
      </c>
      <c r="F61" s="262"/>
      <c r="G61" s="262">
        <f t="shared" si="0"/>
        <v>758.1999999999999</v>
      </c>
      <c r="H61" s="262"/>
      <c r="I61" s="262">
        <v>13.2</v>
      </c>
      <c r="J61" s="262"/>
      <c r="K61" s="262">
        <f t="shared" si="1"/>
        <v>744.9999999999999</v>
      </c>
      <c r="L61" s="261"/>
      <c r="M61" s="263">
        <v>2.45</v>
      </c>
      <c r="N61" s="263"/>
      <c r="O61" s="264">
        <v>124</v>
      </c>
      <c r="P61" s="263"/>
      <c r="Q61" s="264">
        <v>103.7</v>
      </c>
      <c r="R61" s="261"/>
      <c r="S61" s="264">
        <f>+E61/K61*100</f>
        <v>8.966442953020136</v>
      </c>
      <c r="T61" s="264"/>
      <c r="U61" s="264">
        <f>+I61/G61*100</f>
        <v>1.740965444473754</v>
      </c>
      <c r="V61" s="264"/>
    </row>
    <row r="62" spans="1:22" s="124" customFormat="1" ht="10.5" customHeight="1">
      <c r="A62" s="261">
        <v>2008</v>
      </c>
      <c r="B62" s="261" t="s">
        <v>126</v>
      </c>
      <c r="C62" s="262">
        <v>700</v>
      </c>
      <c r="D62" s="262"/>
      <c r="E62" s="262">
        <v>69.3</v>
      </c>
      <c r="F62" s="262"/>
      <c r="G62" s="262">
        <f t="shared" si="0"/>
        <v>769.3</v>
      </c>
      <c r="H62" s="262"/>
      <c r="I62" s="262">
        <v>13.4</v>
      </c>
      <c r="J62" s="262"/>
      <c r="K62" s="262">
        <f t="shared" si="1"/>
        <v>755.9</v>
      </c>
      <c r="L62" s="261"/>
      <c r="M62" s="263">
        <v>2.47</v>
      </c>
      <c r="N62" s="263"/>
      <c r="O62" s="263" t="s">
        <v>164</v>
      </c>
      <c r="P62" s="263"/>
      <c r="Q62" s="273" t="s">
        <v>75</v>
      </c>
      <c r="R62" s="261"/>
      <c r="S62" s="264">
        <f>+E62/K62*100</f>
        <v>9.167879349120254</v>
      </c>
      <c r="T62" s="264"/>
      <c r="U62" s="264">
        <f>+I62/G62*100</f>
        <v>1.7418432341089303</v>
      </c>
      <c r="V62" s="264"/>
    </row>
    <row r="63" spans="1:22" s="124" customFormat="1" ht="5.25" customHeigh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</row>
    <row r="64" spans="1:21" s="124" customFormat="1" ht="9.75" customHeight="1">
      <c r="A64" s="167" t="s">
        <v>249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270"/>
    </row>
    <row r="65" spans="1:21" s="124" customFormat="1" ht="9.75" customHeight="1">
      <c r="A65" s="167" t="s">
        <v>205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</row>
    <row r="66" spans="1:21" s="124" customFormat="1" ht="9.75" customHeight="1">
      <c r="A66" s="129" t="s">
        <v>172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1" s="124" customFormat="1" ht="9.75" customHeight="1">
      <c r="A67" s="167" t="s">
        <v>223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12" s="124" customFormat="1" ht="15" customHeight="1">
      <c r="A68" s="271" t="s">
        <v>206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</row>
    <row r="69" s="124" customFormat="1" ht="12"/>
    <row r="70" s="124" customFormat="1" ht="12"/>
    <row r="71" s="124" customFormat="1" ht="12"/>
    <row r="72" s="124" customFormat="1" ht="12"/>
    <row r="73" s="124" customFormat="1" ht="12"/>
    <row r="74" s="124" customFormat="1" ht="12"/>
    <row r="75" s="124" customFormat="1" ht="12"/>
    <row r="76" s="124" customFormat="1" ht="12"/>
    <row r="77" s="124" customFormat="1" ht="12"/>
    <row r="78" s="124" customFormat="1" ht="12"/>
    <row r="79" s="124" customFormat="1" ht="12"/>
    <row r="80" s="124" customFormat="1" ht="12"/>
    <row r="81" s="124" customFormat="1" ht="12"/>
    <row r="82" s="124" customFormat="1" ht="12"/>
    <row r="83" s="124" customFormat="1" ht="12"/>
    <row r="84" s="124" customFormat="1" ht="12"/>
    <row r="85" s="124" customFormat="1" ht="12"/>
    <row r="86" s="124" customFormat="1" ht="12"/>
    <row r="87" s="124" customFormat="1" ht="12"/>
    <row r="88" s="124" customFormat="1" ht="12"/>
    <row r="89" s="124" customFormat="1" ht="12"/>
    <row r="90" s="124" customFormat="1" ht="12"/>
    <row r="91" s="124" customFormat="1" ht="12"/>
    <row r="92" s="124" customFormat="1" ht="12"/>
    <row r="93" s="124" customFormat="1" ht="12"/>
    <row r="94" s="124" customFormat="1" ht="12"/>
    <row r="95" s="124" customFormat="1" ht="12"/>
    <row r="96" s="124" customFormat="1" ht="12"/>
    <row r="97" s="124" customFormat="1" ht="12"/>
    <row r="98" s="124" customFormat="1" ht="12"/>
    <row r="99" s="124" customFormat="1" ht="12"/>
    <row r="100" s="124" customFormat="1" ht="12"/>
    <row r="101" s="124" customFormat="1" ht="12"/>
    <row r="102" s="124" customFormat="1" ht="12"/>
    <row r="103" s="124" customFormat="1" ht="12"/>
    <row r="104" s="124" customFormat="1" ht="12"/>
    <row r="105" s="124" customFormat="1" ht="12"/>
    <row r="106" s="124" customFormat="1" ht="12"/>
    <row r="107" s="124" customFormat="1" ht="12"/>
    <row r="108" s="124" customFormat="1" ht="12"/>
    <row r="109" s="124" customFormat="1" ht="12"/>
    <row r="110" s="124" customFormat="1" ht="12"/>
  </sheetData>
  <printOptions horizontalCentered="1"/>
  <pageMargins left="0.417" right="0.417" top="0.5" bottom="0.75" header="0" footer="0.27"/>
  <pageSetup fitToHeight="1" fitToWidth="1" horizontalDpi="600" verticalDpi="600" orientation="portrait" scale="79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V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2.7109375" style="0" customWidth="1"/>
    <col min="3" max="3" width="8.00390625" style="0" customWidth="1"/>
    <col min="4" max="4" width="3.421875" style="0" customWidth="1"/>
    <col min="5" max="5" width="8.140625" style="0" customWidth="1"/>
    <col min="6" max="6" width="4.421875" style="0" customWidth="1"/>
    <col min="8" max="8" width="3.57421875" style="0" customWidth="1"/>
    <col min="9" max="9" width="7.421875" style="0" customWidth="1"/>
    <col min="10" max="10" width="3.28125" style="0" customWidth="1"/>
    <col min="11" max="11" width="7.57421875" style="0" customWidth="1"/>
    <col min="12" max="12" width="3.421875" style="0" customWidth="1"/>
    <col min="13" max="13" width="6.7109375" style="0" customWidth="1"/>
    <col min="14" max="14" width="4.140625" style="0" customWidth="1"/>
    <col min="15" max="15" width="8.421875" style="0" customWidth="1"/>
    <col min="16" max="16" width="3.140625" style="0" customWidth="1"/>
    <col min="18" max="18" width="3.8515625" style="0" customWidth="1"/>
    <col min="19" max="19" width="8.7109375" style="0" customWidth="1"/>
    <col min="20" max="20" width="2.421875" style="0" customWidth="1"/>
    <col min="21" max="21" width="8.140625" style="0" customWidth="1"/>
    <col min="22" max="22" width="2.421875" style="0" customWidth="1"/>
  </cols>
  <sheetData>
    <row r="1" ht="12.75">
      <c r="A1" s="168" t="s">
        <v>247</v>
      </c>
    </row>
    <row r="2" s="124" customFormat="1" ht="12"/>
    <row r="3" s="124" customFormat="1" ht="19.5" customHeight="1">
      <c r="A3" s="169" t="s">
        <v>235</v>
      </c>
    </row>
    <row r="4" spans="1:22" s="124" customFormat="1" ht="5.2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</row>
    <row r="5" spans="1:22" s="124" customFormat="1" ht="10.5" customHeight="1">
      <c r="A5" s="259"/>
      <c r="B5" s="259"/>
      <c r="C5" s="259"/>
      <c r="D5" s="259"/>
      <c r="E5" s="259" t="s">
        <v>135</v>
      </c>
      <c r="F5" s="259"/>
      <c r="G5" s="259"/>
      <c r="H5" s="259"/>
      <c r="I5" s="259"/>
      <c r="J5" s="287" t="s">
        <v>225</v>
      </c>
      <c r="K5" s="259"/>
      <c r="L5" s="259"/>
      <c r="M5" s="259"/>
      <c r="N5" s="259"/>
      <c r="O5" s="259"/>
      <c r="P5" s="259"/>
      <c r="Q5" s="259"/>
      <c r="R5" s="259"/>
      <c r="S5" s="287" t="s">
        <v>222</v>
      </c>
      <c r="T5" s="259"/>
      <c r="U5" s="259"/>
      <c r="V5" s="259"/>
    </row>
    <row r="6" spans="1:22" s="124" customFormat="1" ht="10.5" customHeigh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 t="s">
        <v>136</v>
      </c>
      <c r="P6" s="259"/>
      <c r="Q6" s="259"/>
      <c r="R6" s="259"/>
      <c r="S6" s="288"/>
      <c r="T6" s="288"/>
      <c r="U6" s="288"/>
      <c r="V6" s="259"/>
    </row>
    <row r="7" spans="1:22" s="124" customFormat="1" ht="10.5" customHeight="1">
      <c r="A7" s="259" t="s">
        <v>86</v>
      </c>
      <c r="B7" s="259"/>
      <c r="C7" s="258"/>
      <c r="D7" s="258"/>
      <c r="E7" s="258"/>
      <c r="F7" s="258"/>
      <c r="G7" s="258"/>
      <c r="H7" s="259"/>
      <c r="I7" s="258"/>
      <c r="J7" s="258"/>
      <c r="K7" s="258"/>
      <c r="L7" s="258"/>
      <c r="M7" s="258"/>
      <c r="N7" s="259"/>
      <c r="O7" s="287" t="s">
        <v>216</v>
      </c>
      <c r="P7" s="259"/>
      <c r="Q7" s="259"/>
      <c r="R7" s="259"/>
      <c r="S7" s="259" t="s">
        <v>132</v>
      </c>
      <c r="T7" s="259"/>
      <c r="U7" s="259" t="s">
        <v>133</v>
      </c>
      <c r="V7" s="259"/>
    </row>
    <row r="8" spans="1:22" s="124" customFormat="1" ht="10.5" customHeight="1">
      <c r="A8" s="259" t="s">
        <v>138</v>
      </c>
      <c r="B8" s="259"/>
      <c r="C8" s="259" t="s">
        <v>139</v>
      </c>
      <c r="D8" s="259"/>
      <c r="E8" s="259"/>
      <c r="F8" s="259"/>
      <c r="G8" s="259"/>
      <c r="H8" s="259"/>
      <c r="I8" s="259"/>
      <c r="J8" s="259"/>
      <c r="K8" s="259"/>
      <c r="L8" s="259"/>
      <c r="M8" s="259" t="s">
        <v>140</v>
      </c>
      <c r="N8" s="259"/>
      <c r="O8" s="258"/>
      <c r="P8" s="258"/>
      <c r="Q8" s="258"/>
      <c r="R8" s="259"/>
      <c r="S8" s="259" t="s">
        <v>157</v>
      </c>
      <c r="T8" s="259"/>
      <c r="U8" s="259" t="s">
        <v>157</v>
      </c>
      <c r="V8" s="259"/>
    </row>
    <row r="9" spans="1:22" s="124" customFormat="1" ht="10.5" customHeight="1">
      <c r="A9" s="259" t="s">
        <v>151</v>
      </c>
      <c r="B9" s="259"/>
      <c r="C9" s="259" t="s">
        <v>163</v>
      </c>
      <c r="D9" s="259"/>
      <c r="E9" s="259" t="s">
        <v>161</v>
      </c>
      <c r="F9" s="259"/>
      <c r="G9" s="259" t="s">
        <v>160</v>
      </c>
      <c r="H9" s="259"/>
      <c r="I9" s="259" t="s">
        <v>141</v>
      </c>
      <c r="J9" s="259"/>
      <c r="K9" s="259" t="s">
        <v>142</v>
      </c>
      <c r="L9" s="259"/>
      <c r="M9" s="259" t="s">
        <v>143</v>
      </c>
      <c r="N9" s="259"/>
      <c r="O9" s="259" t="s">
        <v>144</v>
      </c>
      <c r="P9" s="259"/>
      <c r="Q9" s="259" t="s">
        <v>145</v>
      </c>
      <c r="R9" s="259"/>
      <c r="S9" s="259" t="s">
        <v>134</v>
      </c>
      <c r="T9" s="259"/>
      <c r="U9" s="259" t="s">
        <v>134</v>
      </c>
      <c r="V9" s="259"/>
    </row>
    <row r="10" spans="1:22" s="124" customFormat="1" ht="10.5" customHeight="1">
      <c r="A10" s="259"/>
      <c r="B10" s="259"/>
      <c r="C10" s="259" t="s">
        <v>154</v>
      </c>
      <c r="D10" s="259"/>
      <c r="E10" s="259" t="s">
        <v>162</v>
      </c>
      <c r="F10" s="259"/>
      <c r="G10" s="259"/>
      <c r="H10" s="259"/>
      <c r="I10" s="259" t="s">
        <v>155</v>
      </c>
      <c r="J10" s="259"/>
      <c r="K10" s="259"/>
      <c r="L10" s="259"/>
      <c r="M10" s="259" t="s">
        <v>156</v>
      </c>
      <c r="N10" s="259"/>
      <c r="O10" s="259" t="s">
        <v>146</v>
      </c>
      <c r="P10" s="259"/>
      <c r="Q10" s="260" t="s">
        <v>170</v>
      </c>
      <c r="R10" s="259"/>
      <c r="S10" s="259" t="s">
        <v>158</v>
      </c>
      <c r="T10" s="259"/>
      <c r="U10" s="259" t="s">
        <v>159</v>
      </c>
      <c r="V10" s="259"/>
    </row>
    <row r="11" spans="1:22" s="124" customFormat="1" ht="10.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87" t="s">
        <v>221</v>
      </c>
      <c r="P11" s="259"/>
      <c r="Q11" s="287" t="s">
        <v>215</v>
      </c>
      <c r="R11" s="259"/>
      <c r="S11" s="259"/>
      <c r="T11" s="259"/>
      <c r="U11" s="259"/>
      <c r="V11" s="259"/>
    </row>
    <row r="12" spans="1:22" s="124" customFormat="1" ht="5.2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1" s="124" customFormat="1" ht="12">
      <c r="A13" s="148"/>
      <c r="B13" s="148"/>
      <c r="C13" s="148"/>
      <c r="D13" s="148"/>
      <c r="E13" s="148"/>
      <c r="F13" s="149" t="s">
        <v>152</v>
      </c>
      <c r="G13" s="148"/>
      <c r="H13" s="148"/>
      <c r="I13" s="148"/>
      <c r="J13" s="148"/>
      <c r="K13" s="148"/>
      <c r="L13" s="148"/>
      <c r="M13" s="148" t="s">
        <v>148</v>
      </c>
      <c r="N13" s="148"/>
      <c r="O13" s="148" t="s">
        <v>149</v>
      </c>
      <c r="P13" s="148"/>
      <c r="Q13" s="148"/>
      <c r="R13" s="148"/>
      <c r="S13" s="148" t="s">
        <v>150</v>
      </c>
      <c r="T13" s="148"/>
      <c r="U13" s="148"/>
    </row>
    <row r="14" s="124" customFormat="1" ht="6.75" customHeight="1"/>
    <row r="15" spans="1:22" s="124" customFormat="1" ht="10.5" customHeight="1">
      <c r="A15" s="124">
        <v>1965</v>
      </c>
      <c r="C15" s="126">
        <v>74.6</v>
      </c>
      <c r="D15" s="126"/>
      <c r="E15" s="126">
        <v>28.4</v>
      </c>
      <c r="F15" s="126"/>
      <c r="G15" s="126">
        <f>+C15+E15</f>
        <v>103</v>
      </c>
      <c r="H15" s="126"/>
      <c r="I15" s="126">
        <v>0</v>
      </c>
      <c r="J15" s="126"/>
      <c r="K15" s="126">
        <f>+G15-I15</f>
        <v>103</v>
      </c>
      <c r="M15" s="127">
        <v>0.53</v>
      </c>
      <c r="N15" s="127"/>
      <c r="O15" s="128">
        <v>28.5</v>
      </c>
      <c r="P15" s="128"/>
      <c r="Q15" s="128">
        <v>126.5</v>
      </c>
      <c r="S15" s="128">
        <v>27.5</v>
      </c>
      <c r="T15" s="128"/>
      <c r="U15" s="128" t="s">
        <v>75</v>
      </c>
      <c r="V15" s="128"/>
    </row>
    <row r="16" spans="1:22" s="124" customFormat="1" ht="10.5" customHeight="1">
      <c r="A16" s="124">
        <v>1966</v>
      </c>
      <c r="C16" s="126">
        <v>123</v>
      </c>
      <c r="D16" s="126"/>
      <c r="E16" s="126">
        <v>35.3</v>
      </c>
      <c r="F16" s="126"/>
      <c r="G16" s="126">
        <f>+C16+E16</f>
        <v>158.3</v>
      </c>
      <c r="H16" s="126"/>
      <c r="I16" s="126">
        <v>0</v>
      </c>
      <c r="J16" s="126"/>
      <c r="K16" s="126">
        <f>+G16-I16</f>
        <v>158.3</v>
      </c>
      <c r="M16" s="127">
        <v>0.8</v>
      </c>
      <c r="N16" s="127"/>
      <c r="O16" s="128">
        <v>31.3</v>
      </c>
      <c r="P16" s="128"/>
      <c r="Q16" s="128">
        <v>135.1</v>
      </c>
      <c r="S16" s="128">
        <v>22.3</v>
      </c>
      <c r="T16" s="128"/>
      <c r="U16" s="128" t="s">
        <v>75</v>
      </c>
      <c r="V16" s="128"/>
    </row>
    <row r="17" spans="1:22" s="124" customFormat="1" ht="10.5" customHeight="1">
      <c r="A17" s="124">
        <v>1967</v>
      </c>
      <c r="C17" s="126">
        <v>133</v>
      </c>
      <c r="D17" s="126"/>
      <c r="E17" s="126">
        <v>44.3</v>
      </c>
      <c r="F17" s="126"/>
      <c r="G17" s="126">
        <f>+C17+E17</f>
        <v>177.3</v>
      </c>
      <c r="H17" s="126"/>
      <c r="I17" s="126">
        <v>0</v>
      </c>
      <c r="J17" s="126"/>
      <c r="K17" s="126">
        <f>+G17-I17</f>
        <v>177.3</v>
      </c>
      <c r="M17" s="127">
        <v>0.89</v>
      </c>
      <c r="N17" s="127"/>
      <c r="O17" s="128">
        <v>30.3</v>
      </c>
      <c r="P17" s="128"/>
      <c r="Q17" s="128">
        <v>126.8</v>
      </c>
      <c r="S17" s="128">
        <v>25</v>
      </c>
      <c r="T17" s="128"/>
      <c r="U17" s="128" t="s">
        <v>75</v>
      </c>
      <c r="V17" s="128"/>
    </row>
    <row r="18" spans="1:22" s="124" customFormat="1" ht="10.5" customHeight="1">
      <c r="A18" s="124">
        <v>1968</v>
      </c>
      <c r="C18" s="126">
        <v>132.8</v>
      </c>
      <c r="D18" s="126"/>
      <c r="E18" s="126">
        <v>42.3</v>
      </c>
      <c r="F18" s="126"/>
      <c r="G18" s="126">
        <f>+C18+E18</f>
        <v>175.10000000000002</v>
      </c>
      <c r="H18" s="126"/>
      <c r="I18" s="126">
        <v>0</v>
      </c>
      <c r="J18" s="126"/>
      <c r="K18" s="126">
        <f>+G18-I18</f>
        <v>175.10000000000002</v>
      </c>
      <c r="M18" s="127">
        <v>0.87</v>
      </c>
      <c r="N18" s="127"/>
      <c r="O18" s="128">
        <v>31.6</v>
      </c>
      <c r="P18" s="128"/>
      <c r="Q18" s="128">
        <v>126.8</v>
      </c>
      <c r="S18" s="128">
        <v>24.2</v>
      </c>
      <c r="T18" s="128"/>
      <c r="U18" s="128" t="s">
        <v>75</v>
      </c>
      <c r="V18" s="128"/>
    </row>
    <row r="19" spans="1:22" s="124" customFormat="1" ht="10.5" customHeight="1">
      <c r="A19" s="124">
        <v>1969</v>
      </c>
      <c r="C19" s="126">
        <v>131.8</v>
      </c>
      <c r="D19" s="126"/>
      <c r="E19" s="126">
        <v>49.6</v>
      </c>
      <c r="F19" s="126"/>
      <c r="G19" s="126">
        <f>+C19+E19</f>
        <v>181.4</v>
      </c>
      <c r="H19" s="126"/>
      <c r="I19" s="126">
        <v>0</v>
      </c>
      <c r="J19" s="126"/>
      <c r="K19" s="126">
        <f>+G19-I19</f>
        <v>181.4</v>
      </c>
      <c r="M19" s="127">
        <v>0.89</v>
      </c>
      <c r="N19" s="127"/>
      <c r="O19" s="128">
        <v>33.9</v>
      </c>
      <c r="P19" s="128"/>
      <c r="Q19" s="128">
        <v>129.6</v>
      </c>
      <c r="S19" s="128">
        <v>27.4</v>
      </c>
      <c r="T19" s="128"/>
      <c r="U19" s="128" t="s">
        <v>75</v>
      </c>
      <c r="V19" s="128"/>
    </row>
    <row r="20" spans="3:22" s="124" customFormat="1" ht="5.25" customHeight="1">
      <c r="C20" s="126"/>
      <c r="D20" s="126"/>
      <c r="E20" s="126"/>
      <c r="F20" s="126"/>
      <c r="G20" s="126"/>
      <c r="H20" s="126"/>
      <c r="I20" s="126"/>
      <c r="J20" s="126"/>
      <c r="K20" s="126"/>
      <c r="M20" s="127"/>
      <c r="N20" s="127"/>
      <c r="O20" s="128"/>
      <c r="P20" s="128"/>
      <c r="Q20" s="128"/>
      <c r="S20" s="128"/>
      <c r="T20" s="128"/>
      <c r="U20" s="128"/>
      <c r="V20" s="128"/>
    </row>
    <row r="21" spans="1:22" s="124" customFormat="1" ht="10.5" customHeight="1">
      <c r="A21" s="124">
        <v>1970</v>
      </c>
      <c r="C21" s="126">
        <v>148.5</v>
      </c>
      <c r="D21" s="126"/>
      <c r="E21" s="126">
        <v>54</v>
      </c>
      <c r="F21" s="126"/>
      <c r="G21" s="126">
        <f aca="true" t="shared" si="0" ref="G21:G30">+C21+E21</f>
        <v>202.5</v>
      </c>
      <c r="H21" s="126"/>
      <c r="I21" s="126">
        <v>0</v>
      </c>
      <c r="J21" s="126"/>
      <c r="K21" s="126">
        <f aca="true" t="shared" si="1" ref="K21:K30">+G21-I21</f>
        <v>202.5</v>
      </c>
      <c r="M21" s="127">
        <v>0.98</v>
      </c>
      <c r="N21" s="127"/>
      <c r="O21" s="128">
        <v>39</v>
      </c>
      <c r="P21" s="128"/>
      <c r="Q21" s="128">
        <v>141.6</v>
      </c>
      <c r="S21" s="128">
        <v>26.6</v>
      </c>
      <c r="T21" s="128"/>
      <c r="U21" s="128" t="s">
        <v>75</v>
      </c>
      <c r="V21" s="128"/>
    </row>
    <row r="22" spans="1:22" s="124" customFormat="1" ht="10.5" customHeight="1">
      <c r="A22" s="124">
        <v>1971</v>
      </c>
      <c r="C22" s="126">
        <v>165.1</v>
      </c>
      <c r="D22" s="126"/>
      <c r="E22" s="126">
        <v>71.8</v>
      </c>
      <c r="F22" s="126"/>
      <c r="G22" s="126">
        <f t="shared" si="0"/>
        <v>236.89999999999998</v>
      </c>
      <c r="H22" s="126"/>
      <c r="I22" s="126">
        <v>0</v>
      </c>
      <c r="J22" s="126"/>
      <c r="K22" s="126">
        <f t="shared" si="1"/>
        <v>236.89999999999998</v>
      </c>
      <c r="M22" s="127">
        <v>1.13</v>
      </c>
      <c r="N22" s="127"/>
      <c r="O22" s="128">
        <v>41.5</v>
      </c>
      <c r="P22" s="128"/>
      <c r="Q22" s="128">
        <v>143.5</v>
      </c>
      <c r="S22" s="128">
        <v>30.3</v>
      </c>
      <c r="T22" s="128"/>
      <c r="U22" s="128" t="s">
        <v>75</v>
      </c>
      <c r="V22" s="128"/>
    </row>
    <row r="23" spans="1:22" s="124" customFormat="1" ht="10.5" customHeight="1">
      <c r="A23" s="124">
        <v>1972</v>
      </c>
      <c r="C23" s="126">
        <v>177.3</v>
      </c>
      <c r="D23" s="126"/>
      <c r="E23" s="126">
        <v>85.8</v>
      </c>
      <c r="F23" s="126"/>
      <c r="G23" s="126">
        <f t="shared" si="0"/>
        <v>263.1</v>
      </c>
      <c r="H23" s="126"/>
      <c r="I23" s="126">
        <v>0</v>
      </c>
      <c r="J23" s="126"/>
      <c r="K23" s="126">
        <f t="shared" si="1"/>
        <v>263.1</v>
      </c>
      <c r="M23" s="127">
        <v>1.25</v>
      </c>
      <c r="N23" s="127"/>
      <c r="O23" s="128">
        <v>38</v>
      </c>
      <c r="P23" s="128"/>
      <c r="Q23" s="128">
        <v>126</v>
      </c>
      <c r="S23" s="128">
        <v>32.6</v>
      </c>
      <c r="T23" s="128"/>
      <c r="U23" s="128" t="s">
        <v>75</v>
      </c>
      <c r="V23" s="128"/>
    </row>
    <row r="24" spans="1:22" s="124" customFormat="1" ht="10.5" customHeight="1">
      <c r="A24" s="124">
        <v>1973</v>
      </c>
      <c r="C24" s="126">
        <v>177.2</v>
      </c>
      <c r="D24" s="126"/>
      <c r="E24" s="126">
        <v>82</v>
      </c>
      <c r="F24" s="126"/>
      <c r="G24" s="126">
        <f t="shared" si="0"/>
        <v>259.2</v>
      </c>
      <c r="H24" s="126"/>
      <c r="I24" s="126">
        <v>0</v>
      </c>
      <c r="J24" s="126"/>
      <c r="K24" s="126">
        <f t="shared" si="1"/>
        <v>259.2</v>
      </c>
      <c r="M24" s="127">
        <v>1.22</v>
      </c>
      <c r="N24" s="127"/>
      <c r="O24" s="128">
        <v>36.7</v>
      </c>
      <c r="P24" s="128"/>
      <c r="Q24" s="128">
        <v>115.2</v>
      </c>
      <c r="S24" s="128">
        <v>31.6</v>
      </c>
      <c r="T24" s="128"/>
      <c r="U24" s="128" t="s">
        <v>75</v>
      </c>
      <c r="V24" s="128"/>
    </row>
    <row r="25" spans="1:22" s="124" customFormat="1" ht="10.5" customHeight="1">
      <c r="A25" s="124">
        <v>1974</v>
      </c>
      <c r="C25" s="126">
        <v>173</v>
      </c>
      <c r="D25" s="126"/>
      <c r="E25" s="126">
        <v>88.6</v>
      </c>
      <c r="F25" s="126"/>
      <c r="G25" s="126">
        <f t="shared" si="0"/>
        <v>261.6</v>
      </c>
      <c r="H25" s="126"/>
      <c r="I25" s="126">
        <v>0</v>
      </c>
      <c r="J25" s="126"/>
      <c r="K25" s="126">
        <f t="shared" si="1"/>
        <v>261.6</v>
      </c>
      <c r="M25" s="127">
        <v>1.22</v>
      </c>
      <c r="N25" s="127"/>
      <c r="O25" s="128">
        <v>40.9</v>
      </c>
      <c r="P25" s="128"/>
      <c r="Q25" s="128">
        <v>117.8</v>
      </c>
      <c r="S25" s="128">
        <v>33.9</v>
      </c>
      <c r="T25" s="128"/>
      <c r="U25" s="128" t="s">
        <v>75</v>
      </c>
      <c r="V25" s="128"/>
    </row>
    <row r="26" spans="1:22" s="124" customFormat="1" ht="10.5" customHeight="1">
      <c r="A26" s="124">
        <v>1975</v>
      </c>
      <c r="C26" s="126">
        <v>167.7</v>
      </c>
      <c r="D26" s="126"/>
      <c r="E26" s="126">
        <v>100.1</v>
      </c>
      <c r="F26" s="126"/>
      <c r="G26" s="126">
        <f t="shared" si="0"/>
        <v>267.79999999999995</v>
      </c>
      <c r="H26" s="126"/>
      <c r="I26" s="126">
        <v>0</v>
      </c>
      <c r="J26" s="126"/>
      <c r="K26" s="126">
        <f t="shared" si="1"/>
        <v>267.79999999999995</v>
      </c>
      <c r="M26" s="127">
        <v>1.23</v>
      </c>
      <c r="N26" s="127"/>
      <c r="O26" s="128">
        <v>53</v>
      </c>
      <c r="P26" s="128"/>
      <c r="Q26" s="128">
        <v>139.5</v>
      </c>
      <c r="S26" s="128">
        <v>37.4</v>
      </c>
      <c r="T26" s="128"/>
      <c r="U26" s="128" t="s">
        <v>75</v>
      </c>
      <c r="V26" s="128"/>
    </row>
    <row r="27" spans="1:22" s="124" customFormat="1" ht="10.5" customHeight="1">
      <c r="A27" s="124">
        <v>1976</v>
      </c>
      <c r="C27" s="126">
        <v>195.9</v>
      </c>
      <c r="D27" s="126"/>
      <c r="E27" s="126">
        <v>121</v>
      </c>
      <c r="F27" s="126"/>
      <c r="G27" s="126">
        <f t="shared" si="0"/>
        <v>316.9</v>
      </c>
      <c r="H27" s="126"/>
      <c r="I27" s="126">
        <v>0</v>
      </c>
      <c r="J27" s="126"/>
      <c r="K27" s="126">
        <f t="shared" si="1"/>
        <v>316.9</v>
      </c>
      <c r="M27" s="127">
        <v>1.45</v>
      </c>
      <c r="N27" s="127"/>
      <c r="O27" s="128">
        <v>66.9</v>
      </c>
      <c r="P27" s="128"/>
      <c r="Q27" s="128">
        <v>166.4</v>
      </c>
      <c r="S27" s="128">
        <v>38.2</v>
      </c>
      <c r="T27" s="128"/>
      <c r="U27" s="128" t="s">
        <v>75</v>
      </c>
      <c r="V27" s="128"/>
    </row>
    <row r="28" spans="1:22" s="124" customFormat="1" ht="10.5" customHeight="1">
      <c r="A28" s="124">
        <v>1977</v>
      </c>
      <c r="C28" s="126">
        <v>207.6</v>
      </c>
      <c r="D28" s="126"/>
      <c r="E28" s="126">
        <v>150.8</v>
      </c>
      <c r="F28" s="126"/>
      <c r="G28" s="126">
        <f t="shared" si="0"/>
        <v>358.4</v>
      </c>
      <c r="H28" s="126"/>
      <c r="I28" s="126">
        <v>0</v>
      </c>
      <c r="J28" s="126"/>
      <c r="K28" s="126">
        <f t="shared" si="1"/>
        <v>358.4</v>
      </c>
      <c r="M28" s="127">
        <v>1.62</v>
      </c>
      <c r="N28" s="127"/>
      <c r="O28" s="128">
        <v>65.2</v>
      </c>
      <c r="P28" s="128"/>
      <c r="Q28" s="128">
        <v>152.5</v>
      </c>
      <c r="S28" s="128">
        <v>42.1</v>
      </c>
      <c r="T28" s="128"/>
      <c r="U28" s="128" t="s">
        <v>75</v>
      </c>
      <c r="V28" s="128"/>
    </row>
    <row r="29" spans="1:22" s="124" customFormat="1" ht="10.5" customHeight="1">
      <c r="A29" s="124">
        <v>1978</v>
      </c>
      <c r="C29" s="126">
        <v>224.5</v>
      </c>
      <c r="D29" s="126"/>
      <c r="E29" s="126">
        <v>148.3</v>
      </c>
      <c r="F29" s="126"/>
      <c r="G29" s="126">
        <f t="shared" si="0"/>
        <v>372.8</v>
      </c>
      <c r="H29" s="126"/>
      <c r="I29" s="126">
        <v>0.9</v>
      </c>
      <c r="J29" s="126"/>
      <c r="K29" s="126">
        <f t="shared" si="1"/>
        <v>371.90000000000003</v>
      </c>
      <c r="M29" s="127">
        <v>1.66</v>
      </c>
      <c r="N29" s="127"/>
      <c r="O29" s="128">
        <v>64.2</v>
      </c>
      <c r="P29" s="128"/>
      <c r="Q29" s="128">
        <v>140.3</v>
      </c>
      <c r="S29" s="128">
        <v>39.9</v>
      </c>
      <c r="T29" s="128"/>
      <c r="U29" s="128">
        <v>0.2</v>
      </c>
      <c r="V29" s="128"/>
    </row>
    <row r="30" spans="1:22" s="124" customFormat="1" ht="10.5" customHeight="1">
      <c r="A30" s="124">
        <v>1979</v>
      </c>
      <c r="C30" s="126">
        <v>214.2</v>
      </c>
      <c r="D30" s="126"/>
      <c r="E30" s="126">
        <v>179.3</v>
      </c>
      <c r="F30" s="126"/>
      <c r="G30" s="126">
        <f t="shared" si="0"/>
        <v>393.5</v>
      </c>
      <c r="H30" s="126"/>
      <c r="I30" s="126">
        <v>1</v>
      </c>
      <c r="J30" s="126"/>
      <c r="K30" s="126">
        <f t="shared" si="1"/>
        <v>392.5</v>
      </c>
      <c r="M30" s="127">
        <v>1.73</v>
      </c>
      <c r="N30" s="127"/>
      <c r="O30" s="128">
        <v>57.6</v>
      </c>
      <c r="P30" s="128"/>
      <c r="Q30" s="128">
        <v>116.3</v>
      </c>
      <c r="S30" s="128">
        <v>45.7</v>
      </c>
      <c r="T30" s="128"/>
      <c r="U30" s="128">
        <v>0.3</v>
      </c>
      <c r="V30" s="128"/>
    </row>
    <row r="31" spans="3:22" s="124" customFormat="1" ht="6" customHeight="1">
      <c r="C31" s="126"/>
      <c r="D31" s="126"/>
      <c r="E31" s="126"/>
      <c r="F31" s="126"/>
      <c r="G31" s="126"/>
      <c r="H31" s="126"/>
      <c r="I31" s="126"/>
      <c r="J31" s="126"/>
      <c r="K31" s="126"/>
      <c r="M31" s="127"/>
      <c r="N31" s="127"/>
      <c r="O31" s="128"/>
      <c r="P31" s="128"/>
      <c r="Q31" s="128"/>
      <c r="S31" s="128"/>
      <c r="T31" s="128"/>
      <c r="U31" s="128"/>
      <c r="V31" s="128"/>
    </row>
    <row r="32" spans="1:22" s="124" customFormat="1" ht="10.5" customHeight="1">
      <c r="A32" s="124">
        <v>1980</v>
      </c>
      <c r="C32" s="126">
        <v>194.5</v>
      </c>
      <c r="D32" s="126"/>
      <c r="E32" s="126">
        <v>155.7</v>
      </c>
      <c r="F32" s="126"/>
      <c r="G32" s="126">
        <f aca="true" t="shared" si="2" ref="G32:G41">+C32+E32</f>
        <v>350.2</v>
      </c>
      <c r="H32" s="126"/>
      <c r="I32" s="126">
        <v>0.5</v>
      </c>
      <c r="J32" s="126"/>
      <c r="K32" s="126">
        <f aca="true" t="shared" si="3" ref="K32:K41">+G32-I32</f>
        <v>349.7</v>
      </c>
      <c r="M32" s="127">
        <v>1.53</v>
      </c>
      <c r="N32" s="127"/>
      <c r="O32" s="128">
        <v>58.6</v>
      </c>
      <c r="P32" s="128"/>
      <c r="Q32" s="128">
        <v>108.4</v>
      </c>
      <c r="S32" s="128">
        <v>44.5</v>
      </c>
      <c r="T32" s="128"/>
      <c r="U32" s="128">
        <v>0.1</v>
      </c>
      <c r="V32" s="128"/>
    </row>
    <row r="33" spans="1:22" s="124" customFormat="1" ht="10.5" customHeight="1">
      <c r="A33" s="124">
        <v>1981</v>
      </c>
      <c r="C33" s="126">
        <v>198</v>
      </c>
      <c r="D33" s="126"/>
      <c r="E33" s="126">
        <v>157.2</v>
      </c>
      <c r="F33" s="126"/>
      <c r="G33" s="126">
        <f t="shared" si="2"/>
        <v>355.2</v>
      </c>
      <c r="H33" s="126"/>
      <c r="I33" s="126">
        <v>0.7</v>
      </c>
      <c r="J33" s="126"/>
      <c r="K33" s="126">
        <f t="shared" si="3"/>
        <v>354.5</v>
      </c>
      <c r="M33" s="127">
        <v>1.53</v>
      </c>
      <c r="N33" s="127"/>
      <c r="O33" s="128">
        <v>55.5</v>
      </c>
      <c r="P33" s="128"/>
      <c r="Q33" s="128">
        <v>93.9</v>
      </c>
      <c r="S33" s="128">
        <v>44.3</v>
      </c>
      <c r="T33" s="128"/>
      <c r="U33" s="128">
        <v>0.2</v>
      </c>
      <c r="V33" s="128"/>
    </row>
    <row r="34" spans="1:22" s="124" customFormat="1" ht="10.5" customHeight="1">
      <c r="A34" s="124">
        <v>1982</v>
      </c>
      <c r="C34" s="126">
        <v>153.6</v>
      </c>
      <c r="D34" s="126"/>
      <c r="E34" s="126">
        <v>199.5</v>
      </c>
      <c r="F34" s="126"/>
      <c r="G34" s="126">
        <f t="shared" si="2"/>
        <v>353.1</v>
      </c>
      <c r="H34" s="126"/>
      <c r="I34" s="126">
        <v>0.4</v>
      </c>
      <c r="J34" s="126"/>
      <c r="K34" s="126">
        <f t="shared" si="3"/>
        <v>352.70000000000005</v>
      </c>
      <c r="M34" s="127">
        <v>1.51</v>
      </c>
      <c r="N34" s="127"/>
      <c r="O34" s="128">
        <v>60.8</v>
      </c>
      <c r="P34" s="128"/>
      <c r="Q34" s="128">
        <v>96.9</v>
      </c>
      <c r="S34" s="128">
        <v>56.6</v>
      </c>
      <c r="T34" s="128"/>
      <c r="U34" s="128">
        <v>0.1</v>
      </c>
      <c r="V34" s="128"/>
    </row>
    <row r="35" spans="1:22" s="124" customFormat="1" ht="10.5" customHeight="1">
      <c r="A35" s="124">
        <v>1983</v>
      </c>
      <c r="C35" s="126">
        <v>173.5</v>
      </c>
      <c r="D35" s="126"/>
      <c r="E35" s="126">
        <v>252.2</v>
      </c>
      <c r="F35" s="126"/>
      <c r="G35" s="126">
        <f t="shared" si="2"/>
        <v>425.7</v>
      </c>
      <c r="H35" s="126"/>
      <c r="I35" s="126">
        <v>0.7</v>
      </c>
      <c r="J35" s="126"/>
      <c r="K35" s="126">
        <f t="shared" si="3"/>
        <v>425</v>
      </c>
      <c r="M35" s="127">
        <v>1.81</v>
      </c>
      <c r="N35" s="127"/>
      <c r="O35" s="128">
        <v>64.6</v>
      </c>
      <c r="P35" s="128"/>
      <c r="Q35" s="128">
        <v>99.1</v>
      </c>
      <c r="S35" s="128">
        <v>59.3</v>
      </c>
      <c r="T35" s="128"/>
      <c r="U35" s="128">
        <v>0.2</v>
      </c>
      <c r="V35" s="128"/>
    </row>
    <row r="36" spans="1:22" s="124" customFormat="1" ht="10.5" customHeight="1">
      <c r="A36" s="124">
        <v>1984</v>
      </c>
      <c r="C36" s="126">
        <v>175.8</v>
      </c>
      <c r="D36" s="126"/>
      <c r="E36" s="126">
        <v>243.3</v>
      </c>
      <c r="F36" s="126"/>
      <c r="G36" s="126">
        <f t="shared" si="2"/>
        <v>419.1</v>
      </c>
      <c r="H36" s="126"/>
      <c r="I36" s="126">
        <v>1</v>
      </c>
      <c r="J36" s="126"/>
      <c r="K36" s="126">
        <f t="shared" si="3"/>
        <v>418.1</v>
      </c>
      <c r="M36" s="127">
        <v>1.76</v>
      </c>
      <c r="N36" s="127"/>
      <c r="O36" s="128">
        <v>57.4</v>
      </c>
      <c r="P36" s="128"/>
      <c r="Q36" s="128">
        <v>84.8</v>
      </c>
      <c r="S36" s="128">
        <v>58.2</v>
      </c>
      <c r="T36" s="128"/>
      <c r="U36" s="128">
        <v>0.2</v>
      </c>
      <c r="V36" s="128"/>
    </row>
    <row r="37" spans="1:22" s="124" customFormat="1" ht="10.5" customHeight="1">
      <c r="A37" s="124">
        <v>1985</v>
      </c>
      <c r="C37" s="126">
        <v>160.8</v>
      </c>
      <c r="D37" s="126"/>
      <c r="E37" s="126">
        <v>273.9</v>
      </c>
      <c r="F37" s="126"/>
      <c r="G37" s="126">
        <f t="shared" si="2"/>
        <v>434.7</v>
      </c>
      <c r="H37" s="126"/>
      <c r="I37" s="126">
        <v>1</v>
      </c>
      <c r="J37" s="126"/>
      <c r="K37" s="126">
        <f t="shared" si="3"/>
        <v>433.7</v>
      </c>
      <c r="M37" s="127">
        <v>1.81</v>
      </c>
      <c r="N37" s="127"/>
      <c r="O37" s="128">
        <v>54.9</v>
      </c>
      <c r="P37" s="128"/>
      <c r="Q37" s="128">
        <v>78.8</v>
      </c>
      <c r="S37" s="128">
        <v>63.2</v>
      </c>
      <c r="T37" s="128"/>
      <c r="U37" s="128">
        <v>0.2</v>
      </c>
      <c r="V37" s="128"/>
    </row>
    <row r="38" spans="1:22" s="124" customFormat="1" ht="10.5" customHeight="1">
      <c r="A38" s="124">
        <v>1986</v>
      </c>
      <c r="C38" s="126">
        <v>157.1</v>
      </c>
      <c r="D38" s="126"/>
      <c r="E38" s="126">
        <v>297.9</v>
      </c>
      <c r="F38" s="126"/>
      <c r="G38" s="126">
        <f t="shared" si="2"/>
        <v>455</v>
      </c>
      <c r="H38" s="126"/>
      <c r="I38" s="126">
        <v>0.4</v>
      </c>
      <c r="J38" s="126"/>
      <c r="K38" s="126">
        <f t="shared" si="3"/>
        <v>454.6</v>
      </c>
      <c r="M38" s="127">
        <v>1.88</v>
      </c>
      <c r="N38" s="127"/>
      <c r="O38" s="128">
        <v>56.4</v>
      </c>
      <c r="P38" s="128"/>
      <c r="Q38" s="128">
        <v>79.2</v>
      </c>
      <c r="S38" s="128">
        <v>65.5</v>
      </c>
      <c r="T38" s="128"/>
      <c r="U38" s="128">
        <v>0.1</v>
      </c>
      <c r="V38" s="128"/>
    </row>
    <row r="39" spans="1:22" s="124" customFormat="1" ht="10.5" customHeight="1">
      <c r="A39" s="124">
        <v>1987</v>
      </c>
      <c r="C39" s="126">
        <v>162.9</v>
      </c>
      <c r="D39" s="126"/>
      <c r="E39" s="126">
        <v>239</v>
      </c>
      <c r="F39" s="126"/>
      <c r="G39" s="126">
        <f t="shared" si="2"/>
        <v>401.9</v>
      </c>
      <c r="H39" s="126"/>
      <c r="I39" s="126">
        <v>1.1</v>
      </c>
      <c r="J39" s="126"/>
      <c r="K39" s="126">
        <f t="shared" si="3"/>
        <v>400.79999999999995</v>
      </c>
      <c r="M39" s="127">
        <v>1.64</v>
      </c>
      <c r="N39" s="127"/>
      <c r="O39" s="128">
        <v>61</v>
      </c>
      <c r="P39" s="128"/>
      <c r="Q39" s="128">
        <v>83.3</v>
      </c>
      <c r="S39" s="128">
        <v>59.6</v>
      </c>
      <c r="T39" s="128"/>
      <c r="U39" s="128">
        <v>0.3</v>
      </c>
      <c r="V39" s="128"/>
    </row>
    <row r="40" spans="1:22" s="124" customFormat="1" ht="10.5" customHeight="1">
      <c r="A40" s="124">
        <v>1988</v>
      </c>
      <c r="C40" s="126">
        <v>183.1</v>
      </c>
      <c r="D40" s="126"/>
      <c r="E40" s="126">
        <v>198.7</v>
      </c>
      <c r="F40" s="126"/>
      <c r="G40" s="126">
        <f t="shared" si="2"/>
        <v>381.79999999999995</v>
      </c>
      <c r="H40" s="126"/>
      <c r="I40" s="126">
        <v>1.7</v>
      </c>
      <c r="J40" s="126"/>
      <c r="K40" s="126">
        <f t="shared" si="3"/>
        <v>380.09999999999997</v>
      </c>
      <c r="M40" s="127">
        <v>1.54</v>
      </c>
      <c r="N40" s="127"/>
      <c r="O40" s="128">
        <v>66.5</v>
      </c>
      <c r="P40" s="128"/>
      <c r="Q40" s="128">
        <v>87.9</v>
      </c>
      <c r="S40" s="128">
        <v>52.3</v>
      </c>
      <c r="T40" s="128"/>
      <c r="U40" s="128">
        <v>0.4</v>
      </c>
      <c r="V40" s="128"/>
    </row>
    <row r="41" spans="1:22" s="124" customFormat="1" ht="10.5" customHeight="1">
      <c r="A41" s="124">
        <v>1989</v>
      </c>
      <c r="C41" s="126">
        <v>203.1</v>
      </c>
      <c r="D41" s="126"/>
      <c r="E41" s="126">
        <v>190</v>
      </c>
      <c r="F41" s="126"/>
      <c r="G41" s="126">
        <f t="shared" si="2"/>
        <v>393.1</v>
      </c>
      <c r="H41" s="126"/>
      <c r="I41" s="126">
        <v>12.6</v>
      </c>
      <c r="J41" s="126"/>
      <c r="K41" s="126">
        <f t="shared" si="3"/>
        <v>380.5</v>
      </c>
      <c r="M41" s="127">
        <v>1.53</v>
      </c>
      <c r="N41" s="127"/>
      <c r="O41" s="128">
        <v>65.3</v>
      </c>
      <c r="P41" s="128"/>
      <c r="Q41" s="128">
        <v>83.1</v>
      </c>
      <c r="S41" s="128">
        <v>49.9</v>
      </c>
      <c r="T41" s="128"/>
      <c r="U41" s="128">
        <v>3.2</v>
      </c>
      <c r="V41" s="128"/>
    </row>
    <row r="42" spans="3:22" s="124" customFormat="1" ht="6.75" customHeight="1">
      <c r="C42" s="126"/>
      <c r="D42" s="126"/>
      <c r="E42" s="126"/>
      <c r="F42" s="126"/>
      <c r="G42" s="126"/>
      <c r="H42" s="126"/>
      <c r="I42" s="126"/>
      <c r="J42" s="126"/>
      <c r="K42" s="126"/>
      <c r="M42" s="127"/>
      <c r="N42" s="127"/>
      <c r="O42" s="128"/>
      <c r="P42" s="128"/>
      <c r="Q42" s="128"/>
      <c r="S42" s="128"/>
      <c r="T42" s="128"/>
      <c r="U42" s="128"/>
      <c r="V42" s="128"/>
    </row>
    <row r="43" spans="1:22" s="124" customFormat="1" ht="10.5" customHeight="1">
      <c r="A43" s="124">
        <v>1990</v>
      </c>
      <c r="C43" s="126">
        <v>237.2</v>
      </c>
      <c r="D43" s="126"/>
      <c r="E43" s="126">
        <v>205.2</v>
      </c>
      <c r="F43" s="126"/>
      <c r="G43" s="126">
        <f aca="true" t="shared" si="4" ref="G43:G52">+C43+E43</f>
        <v>442.4</v>
      </c>
      <c r="H43" s="126"/>
      <c r="I43" s="126">
        <v>14.6</v>
      </c>
      <c r="J43" s="126"/>
      <c r="K43" s="126">
        <f aca="true" t="shared" si="5" ref="K43:K59">+G43-I43</f>
        <v>427.79999999999995</v>
      </c>
      <c r="M43" s="127">
        <v>1.7</v>
      </c>
      <c r="N43" s="127"/>
      <c r="O43" s="128">
        <v>61.5</v>
      </c>
      <c r="P43" s="128"/>
      <c r="Q43" s="128">
        <v>75.4</v>
      </c>
      <c r="S43" s="128">
        <f aca="true" t="shared" si="6" ref="S43:S52">+E43/K43*100</f>
        <v>47.966339410939696</v>
      </c>
      <c r="T43" s="128"/>
      <c r="U43" s="128">
        <f aca="true" t="shared" si="7" ref="U43:U52">+I43/G43*100</f>
        <v>3.300180831826401</v>
      </c>
      <c r="V43" s="128"/>
    </row>
    <row r="44" spans="1:22" s="124" customFormat="1" ht="10.5" customHeight="1">
      <c r="A44" s="124">
        <v>1991</v>
      </c>
      <c r="C44" s="126">
        <v>249.9</v>
      </c>
      <c r="D44" s="126"/>
      <c r="E44" s="126">
        <v>213.8</v>
      </c>
      <c r="F44" s="126"/>
      <c r="G44" s="126">
        <f t="shared" si="4"/>
        <v>463.70000000000005</v>
      </c>
      <c r="H44" s="126"/>
      <c r="I44" s="126">
        <v>18.4</v>
      </c>
      <c r="J44" s="126"/>
      <c r="K44" s="126">
        <f t="shared" si="5"/>
        <v>445.30000000000007</v>
      </c>
      <c r="M44" s="127">
        <v>1.74</v>
      </c>
      <c r="N44" s="127"/>
      <c r="O44" s="128">
        <v>63.8</v>
      </c>
      <c r="P44" s="128"/>
      <c r="Q44" s="128">
        <v>75.6</v>
      </c>
      <c r="S44" s="128">
        <f t="shared" si="6"/>
        <v>48.012575791601165</v>
      </c>
      <c r="T44" s="128"/>
      <c r="U44" s="128">
        <f t="shared" si="7"/>
        <v>3.968082812163036</v>
      </c>
      <c r="V44" s="128"/>
    </row>
    <row r="45" spans="1:22" s="124" customFormat="1" ht="10.5" customHeight="1">
      <c r="A45" s="124">
        <v>1992</v>
      </c>
      <c r="C45" s="126">
        <v>254</v>
      </c>
      <c r="D45" s="126"/>
      <c r="E45" s="126">
        <v>203.5</v>
      </c>
      <c r="F45" s="126"/>
      <c r="G45" s="126">
        <f t="shared" si="4"/>
        <v>457.5</v>
      </c>
      <c r="H45" s="126"/>
      <c r="I45" s="126">
        <v>22.2</v>
      </c>
      <c r="J45" s="126"/>
      <c r="K45" s="126">
        <f t="shared" si="5"/>
        <v>435.3</v>
      </c>
      <c r="M45" s="127">
        <v>1.68</v>
      </c>
      <c r="N45" s="127"/>
      <c r="O45" s="128">
        <v>58.2</v>
      </c>
      <c r="P45" s="128"/>
      <c r="Q45" s="128">
        <v>67.4</v>
      </c>
      <c r="S45" s="128">
        <f t="shared" si="6"/>
        <v>46.74936825178038</v>
      </c>
      <c r="T45" s="128"/>
      <c r="U45" s="128">
        <f t="shared" si="7"/>
        <v>4.852459016393443</v>
      </c>
      <c r="V45" s="128"/>
    </row>
    <row r="46" spans="1:22" s="124" customFormat="1" ht="10.5" customHeight="1">
      <c r="A46" s="124">
        <v>1993</v>
      </c>
      <c r="C46" s="126">
        <v>234</v>
      </c>
      <c r="D46" s="126"/>
      <c r="E46" s="126">
        <v>233.8</v>
      </c>
      <c r="F46" s="126"/>
      <c r="G46" s="126">
        <f t="shared" si="4"/>
        <v>467.8</v>
      </c>
      <c r="H46" s="126"/>
      <c r="I46" s="126">
        <v>23.7</v>
      </c>
      <c r="J46" s="126"/>
      <c r="K46" s="126">
        <f t="shared" si="5"/>
        <v>444.1</v>
      </c>
      <c r="M46" s="127">
        <v>1.7</v>
      </c>
      <c r="N46" s="127"/>
      <c r="O46" s="128">
        <v>66.2</v>
      </c>
      <c r="P46" s="128"/>
      <c r="Q46" s="128">
        <v>74.9</v>
      </c>
      <c r="S46" s="128">
        <f t="shared" si="6"/>
        <v>52.645800495383924</v>
      </c>
      <c r="T46" s="128"/>
      <c r="U46" s="128">
        <f t="shared" si="7"/>
        <v>5.066267635741769</v>
      </c>
      <c r="V46" s="128"/>
    </row>
    <row r="47" spans="1:22" s="124" customFormat="1" ht="10.5" customHeight="1">
      <c r="A47" s="124">
        <v>1994</v>
      </c>
      <c r="B47" s="124" t="s">
        <v>30</v>
      </c>
      <c r="C47" s="126">
        <v>250.1</v>
      </c>
      <c r="D47" s="126"/>
      <c r="E47" s="126">
        <v>293.1</v>
      </c>
      <c r="F47" s="126"/>
      <c r="G47" s="126">
        <f t="shared" si="4"/>
        <v>543.2</v>
      </c>
      <c r="H47" s="126"/>
      <c r="I47" s="126">
        <v>30.8</v>
      </c>
      <c r="J47" s="126"/>
      <c r="K47" s="126">
        <f t="shared" si="5"/>
        <v>512.4000000000001</v>
      </c>
      <c r="M47" s="127">
        <v>1.93</v>
      </c>
      <c r="N47" s="127"/>
      <c r="O47" s="128">
        <v>68.4</v>
      </c>
      <c r="P47" s="128"/>
      <c r="Q47" s="128">
        <v>75.8</v>
      </c>
      <c r="S47" s="128">
        <f t="shared" si="6"/>
        <v>57.201405152224815</v>
      </c>
      <c r="T47" s="128"/>
      <c r="U47" s="128">
        <f t="shared" si="7"/>
        <v>5.670103092783505</v>
      </c>
      <c r="V47" s="128"/>
    </row>
    <row r="48" spans="1:22" s="124" customFormat="1" ht="10.5" customHeight="1">
      <c r="A48" s="124">
        <v>1995</v>
      </c>
      <c r="B48" s="124" t="s">
        <v>30</v>
      </c>
      <c r="C48" s="126">
        <v>240.7</v>
      </c>
      <c r="D48" s="126"/>
      <c r="E48" s="126">
        <v>234.2</v>
      </c>
      <c r="F48" s="126"/>
      <c r="G48" s="126">
        <f t="shared" si="4"/>
        <v>474.9</v>
      </c>
      <c r="H48" s="126"/>
      <c r="I48" s="126">
        <v>9.5</v>
      </c>
      <c r="J48" s="126"/>
      <c r="K48" s="126">
        <f t="shared" si="5"/>
        <v>465.4</v>
      </c>
      <c r="M48" s="127">
        <v>1.74</v>
      </c>
      <c r="N48" s="127"/>
      <c r="O48" s="128">
        <v>57.9</v>
      </c>
      <c r="P48" s="128"/>
      <c r="Q48" s="128">
        <v>62.9</v>
      </c>
      <c r="S48" s="128">
        <f t="shared" si="6"/>
        <v>50.322303394929094</v>
      </c>
      <c r="T48" s="128"/>
      <c r="U48" s="128">
        <f t="shared" si="7"/>
        <v>2.000421141292904</v>
      </c>
      <c r="V48" s="128"/>
    </row>
    <row r="49" spans="1:22" s="124" customFormat="1" ht="10.5" customHeight="1">
      <c r="A49" s="124">
        <v>1996</v>
      </c>
      <c r="C49" s="126">
        <v>222.9</v>
      </c>
      <c r="D49" s="126"/>
      <c r="E49" s="126">
        <v>279.8</v>
      </c>
      <c r="F49" s="126"/>
      <c r="G49" s="126">
        <f t="shared" si="4"/>
        <v>502.70000000000005</v>
      </c>
      <c r="H49" s="126"/>
      <c r="I49" s="126">
        <v>7.6</v>
      </c>
      <c r="J49" s="126"/>
      <c r="K49" s="126">
        <f t="shared" si="5"/>
        <v>495.1</v>
      </c>
      <c r="M49" s="127">
        <v>1.82</v>
      </c>
      <c r="N49" s="127"/>
      <c r="O49" s="128">
        <v>55.9</v>
      </c>
      <c r="P49" s="128"/>
      <c r="Q49" s="128">
        <v>59.6</v>
      </c>
      <c r="S49" s="128">
        <f t="shared" si="6"/>
        <v>56.51383558876994</v>
      </c>
      <c r="T49" s="128"/>
      <c r="U49" s="128">
        <f t="shared" si="7"/>
        <v>1.5118360851402426</v>
      </c>
      <c r="V49" s="128"/>
    </row>
    <row r="50" spans="1:22" s="124" customFormat="1" ht="10.5" customHeight="1">
      <c r="A50" s="124">
        <v>1997</v>
      </c>
      <c r="C50" s="126">
        <v>187.1</v>
      </c>
      <c r="D50" s="126"/>
      <c r="E50" s="126">
        <v>276.2</v>
      </c>
      <c r="F50" s="126"/>
      <c r="G50" s="126">
        <f t="shared" si="4"/>
        <v>463.29999999999995</v>
      </c>
      <c r="H50" s="126"/>
      <c r="I50" s="126">
        <v>11.4</v>
      </c>
      <c r="J50" s="126"/>
      <c r="K50" s="126">
        <f t="shared" si="5"/>
        <v>451.9</v>
      </c>
      <c r="M50" s="127">
        <v>1.65</v>
      </c>
      <c r="N50" s="127"/>
      <c r="O50" s="128">
        <v>55.3</v>
      </c>
      <c r="P50" s="128"/>
      <c r="Q50" s="128">
        <v>58</v>
      </c>
      <c r="S50" s="128">
        <f t="shared" si="6"/>
        <v>61.11971675149369</v>
      </c>
      <c r="T50" s="128"/>
      <c r="U50" s="128">
        <f t="shared" si="7"/>
        <v>2.460608676883229</v>
      </c>
      <c r="V50" s="128"/>
    </row>
    <row r="51" spans="1:22" s="124" customFormat="1" ht="10.5" customHeight="1">
      <c r="A51" s="124">
        <v>1998</v>
      </c>
      <c r="C51" s="126">
        <v>189.9</v>
      </c>
      <c r="D51" s="126"/>
      <c r="E51" s="126">
        <v>210.7</v>
      </c>
      <c r="F51" s="126"/>
      <c r="G51" s="126">
        <f t="shared" si="4"/>
        <v>400.6</v>
      </c>
      <c r="H51" s="126"/>
      <c r="I51" s="126">
        <v>8.5</v>
      </c>
      <c r="J51" s="126"/>
      <c r="K51" s="126">
        <f t="shared" si="5"/>
        <v>392.1</v>
      </c>
      <c r="M51" s="127">
        <v>1.41</v>
      </c>
      <c r="N51" s="127"/>
      <c r="O51" s="128">
        <v>61.1</v>
      </c>
      <c r="P51" s="128"/>
      <c r="Q51" s="128">
        <v>63.3</v>
      </c>
      <c r="S51" s="128">
        <f t="shared" si="6"/>
        <v>53.736291762305534</v>
      </c>
      <c r="T51" s="128"/>
      <c r="U51" s="128">
        <f t="shared" si="7"/>
        <v>2.121817274088867</v>
      </c>
      <c r="V51" s="128"/>
    </row>
    <row r="52" spans="1:22" s="124" customFormat="1" ht="10.5" customHeight="1">
      <c r="A52" s="124">
        <v>1999</v>
      </c>
      <c r="C52" s="126">
        <v>185.9</v>
      </c>
      <c r="D52" s="126"/>
      <c r="E52" s="126">
        <v>271.4</v>
      </c>
      <c r="F52" s="126"/>
      <c r="G52" s="126">
        <f t="shared" si="4"/>
        <v>457.29999999999995</v>
      </c>
      <c r="H52" s="126"/>
      <c r="I52" s="126">
        <v>14.2</v>
      </c>
      <c r="J52" s="126"/>
      <c r="K52" s="126">
        <f t="shared" si="5"/>
        <v>443.09999999999997</v>
      </c>
      <c r="M52" s="127">
        <v>1.58</v>
      </c>
      <c r="N52" s="127"/>
      <c r="O52" s="128">
        <v>60.6</v>
      </c>
      <c r="P52" s="128"/>
      <c r="Q52" s="128">
        <v>61.9</v>
      </c>
      <c r="S52" s="128">
        <f t="shared" si="6"/>
        <v>61.25028210336267</v>
      </c>
      <c r="T52" s="128"/>
      <c r="U52" s="128">
        <f t="shared" si="7"/>
        <v>3.10518259348349</v>
      </c>
      <c r="V52" s="128"/>
    </row>
    <row r="53" spans="3:22" s="124" customFormat="1" ht="6" customHeight="1">
      <c r="C53" s="126"/>
      <c r="D53" s="126"/>
      <c r="E53" s="126"/>
      <c r="F53" s="126"/>
      <c r="G53" s="126"/>
      <c r="H53" s="126"/>
      <c r="I53" s="126"/>
      <c r="J53" s="126"/>
      <c r="K53" s="126"/>
      <c r="M53" s="127"/>
      <c r="N53" s="127"/>
      <c r="O53" s="128"/>
      <c r="P53" s="128"/>
      <c r="Q53" s="128"/>
      <c r="S53" s="128"/>
      <c r="T53" s="128"/>
      <c r="U53" s="128"/>
      <c r="V53" s="128"/>
    </row>
    <row r="54" spans="1:22" s="124" customFormat="1" ht="10.5" customHeight="1">
      <c r="A54" s="124">
        <v>2000</v>
      </c>
      <c r="C54" s="126">
        <v>153.6</v>
      </c>
      <c r="D54" s="126"/>
      <c r="E54" s="126">
        <v>280.1</v>
      </c>
      <c r="F54" s="126"/>
      <c r="G54" s="126">
        <f aca="true" t="shared" si="8" ref="G54:G62">+C54+E54</f>
        <v>433.70000000000005</v>
      </c>
      <c r="H54" s="126"/>
      <c r="I54" s="126">
        <v>13</v>
      </c>
      <c r="J54" s="126"/>
      <c r="K54" s="126">
        <f t="shared" si="5"/>
        <v>420.70000000000005</v>
      </c>
      <c r="M54" s="127">
        <v>1.48</v>
      </c>
      <c r="N54" s="127"/>
      <c r="O54" s="128">
        <v>57.9</v>
      </c>
      <c r="P54" s="128"/>
      <c r="Q54" s="128">
        <v>57.9</v>
      </c>
      <c r="S54" s="128">
        <f aca="true" t="shared" si="9" ref="S54:S62">+E54/K54*100</f>
        <v>66.57951033990967</v>
      </c>
      <c r="T54" s="128"/>
      <c r="U54" s="128">
        <f aca="true" t="shared" si="10" ref="U54:U62">+I54/G54*100</f>
        <v>2.99746368457459</v>
      </c>
      <c r="V54" s="128"/>
    </row>
    <row r="55" spans="1:22" s="124" customFormat="1" ht="10.5" customHeight="1">
      <c r="A55" s="124">
        <v>2001</v>
      </c>
      <c r="C55" s="126">
        <v>141.1</v>
      </c>
      <c r="D55" s="126"/>
      <c r="E55" s="126">
        <v>256.9</v>
      </c>
      <c r="F55" s="126"/>
      <c r="G55" s="126">
        <f t="shared" si="8"/>
        <v>398</v>
      </c>
      <c r="H55" s="126"/>
      <c r="I55" s="126">
        <v>12.4</v>
      </c>
      <c r="J55" s="126"/>
      <c r="K55" s="126">
        <f t="shared" si="5"/>
        <v>385.6</v>
      </c>
      <c r="M55" s="127">
        <v>1.34</v>
      </c>
      <c r="N55" s="127"/>
      <c r="O55" s="128">
        <v>52.5</v>
      </c>
      <c r="P55" s="128"/>
      <c r="Q55" s="128">
        <v>51.3</v>
      </c>
      <c r="S55" s="128">
        <f t="shared" si="9"/>
        <v>66.62344398340248</v>
      </c>
      <c r="T55" s="128"/>
      <c r="U55" s="128">
        <f t="shared" si="10"/>
        <v>3.1155778894472363</v>
      </c>
      <c r="V55" s="128"/>
    </row>
    <row r="56" spans="1:22" s="124" customFormat="1" ht="10.5" customHeight="1">
      <c r="A56" s="124">
        <v>2002</v>
      </c>
      <c r="C56" s="126">
        <v>139.2</v>
      </c>
      <c r="D56" s="126"/>
      <c r="E56" s="126">
        <v>303.9</v>
      </c>
      <c r="F56" s="126"/>
      <c r="G56" s="126">
        <f t="shared" si="8"/>
        <v>443.09999999999997</v>
      </c>
      <c r="H56" s="126"/>
      <c r="I56" s="126">
        <v>13.5</v>
      </c>
      <c r="J56" s="126"/>
      <c r="K56" s="126">
        <f t="shared" si="5"/>
        <v>429.59999999999997</v>
      </c>
      <c r="M56" s="127">
        <v>1.48</v>
      </c>
      <c r="N56" s="127"/>
      <c r="O56" s="128">
        <v>55.8</v>
      </c>
      <c r="P56" s="128"/>
      <c r="Q56" s="128">
        <v>53.6</v>
      </c>
      <c r="S56" s="128">
        <f t="shared" si="9"/>
        <v>70.74022346368714</v>
      </c>
      <c r="T56" s="128"/>
      <c r="U56" s="128">
        <f t="shared" si="10"/>
        <v>3.046716316858497</v>
      </c>
      <c r="V56" s="128"/>
    </row>
    <row r="57" spans="1:22" s="124" customFormat="1" ht="10.5" customHeight="1">
      <c r="A57" s="124">
        <v>2003</v>
      </c>
      <c r="C57" s="126">
        <v>137.7</v>
      </c>
      <c r="D57" s="126"/>
      <c r="E57" s="126">
        <v>325.5</v>
      </c>
      <c r="F57" s="126"/>
      <c r="G57" s="126">
        <f t="shared" si="8"/>
        <v>463.2</v>
      </c>
      <c r="H57" s="126"/>
      <c r="I57" s="126">
        <v>21.4</v>
      </c>
      <c r="J57" s="126"/>
      <c r="K57" s="126">
        <f t="shared" si="5"/>
        <v>441.8</v>
      </c>
      <c r="M57" s="127">
        <v>1.51</v>
      </c>
      <c r="N57" s="127"/>
      <c r="O57" s="128">
        <v>53.2</v>
      </c>
      <c r="P57" s="128"/>
      <c r="Q57" s="128">
        <v>50</v>
      </c>
      <c r="S57" s="128">
        <f t="shared" si="9"/>
        <v>73.67587143503847</v>
      </c>
      <c r="T57" s="128"/>
      <c r="U57" s="128">
        <f t="shared" si="10"/>
        <v>4.620034542314335</v>
      </c>
      <c r="V57" s="128"/>
    </row>
    <row r="58" spans="1:22" s="124" customFormat="1" ht="10.5" customHeight="1">
      <c r="A58" s="124">
        <v>2004</v>
      </c>
      <c r="C58" s="126">
        <v>141.8</v>
      </c>
      <c r="D58" s="126"/>
      <c r="E58" s="126">
        <v>326.8</v>
      </c>
      <c r="F58" s="126"/>
      <c r="G58" s="126">
        <f t="shared" si="8"/>
        <v>468.6</v>
      </c>
      <c r="H58" s="126"/>
      <c r="I58" s="126">
        <v>10.3</v>
      </c>
      <c r="J58" s="126"/>
      <c r="K58" s="126">
        <f t="shared" si="5"/>
        <v>458.3</v>
      </c>
      <c r="M58" s="127">
        <v>1.55</v>
      </c>
      <c r="N58" s="127"/>
      <c r="O58" s="128">
        <v>46.3</v>
      </c>
      <c r="P58" s="127"/>
      <c r="Q58" s="128">
        <v>42.3</v>
      </c>
      <c r="S58" s="128">
        <f t="shared" si="9"/>
        <v>71.30700414575605</v>
      </c>
      <c r="T58" s="128"/>
      <c r="U58" s="128">
        <f t="shared" si="10"/>
        <v>2.1980367050789584</v>
      </c>
      <c r="V58" s="128"/>
    </row>
    <row r="59" spans="1:22" s="124" customFormat="1" ht="10.5" customHeight="1">
      <c r="A59" s="124">
        <v>2005</v>
      </c>
      <c r="C59" s="126">
        <v>129.1</v>
      </c>
      <c r="D59" s="126"/>
      <c r="E59" s="126">
        <v>268.3</v>
      </c>
      <c r="F59" s="126"/>
      <c r="G59" s="126">
        <f t="shared" si="8"/>
        <v>397.4</v>
      </c>
      <c r="H59" s="126"/>
      <c r="I59" s="126">
        <v>9.1</v>
      </c>
      <c r="J59" s="126"/>
      <c r="K59" s="126">
        <f t="shared" si="5"/>
        <v>388.29999999999995</v>
      </c>
      <c r="M59" s="127">
        <v>1.3</v>
      </c>
      <c r="N59" s="127"/>
      <c r="O59" s="128">
        <v>42.8</v>
      </c>
      <c r="P59" s="127"/>
      <c r="Q59" s="128">
        <v>37.9</v>
      </c>
      <c r="S59" s="128">
        <f t="shared" si="9"/>
        <v>69.09605974761783</v>
      </c>
      <c r="T59" s="128"/>
      <c r="U59" s="128">
        <f t="shared" si="10"/>
        <v>2.2898842476094616</v>
      </c>
      <c r="V59" s="128"/>
    </row>
    <row r="60" spans="1:22" s="124" customFormat="1" ht="10.5" customHeight="1">
      <c r="A60" s="340">
        <v>2006</v>
      </c>
      <c r="B60" s="340"/>
      <c r="C60" s="341">
        <v>117.1</v>
      </c>
      <c r="D60" s="341"/>
      <c r="E60" s="341">
        <v>336.2</v>
      </c>
      <c r="F60" s="341"/>
      <c r="G60" s="126">
        <f t="shared" si="8"/>
        <v>453.29999999999995</v>
      </c>
      <c r="H60" s="341"/>
      <c r="I60" s="341">
        <v>10.8</v>
      </c>
      <c r="J60" s="341"/>
      <c r="K60" s="341">
        <f>+G60-I60</f>
        <v>442.49999999999994</v>
      </c>
      <c r="L60" s="340"/>
      <c r="M60" s="342">
        <v>1.47</v>
      </c>
      <c r="N60" s="342"/>
      <c r="O60" s="343">
        <v>64</v>
      </c>
      <c r="P60" s="342"/>
      <c r="Q60" s="343">
        <v>54.9</v>
      </c>
      <c r="R60" s="340"/>
      <c r="S60" s="343">
        <f t="shared" si="9"/>
        <v>75.97740112994352</v>
      </c>
      <c r="T60" s="343"/>
      <c r="U60" s="343">
        <f t="shared" si="10"/>
        <v>2.3825281270681673</v>
      </c>
      <c r="V60" s="343"/>
    </row>
    <row r="61" spans="1:22" s="124" customFormat="1" ht="10.5" customHeight="1">
      <c r="A61" s="261">
        <v>2007</v>
      </c>
      <c r="B61" s="261"/>
      <c r="C61" s="262">
        <v>117.7</v>
      </c>
      <c r="D61" s="262"/>
      <c r="E61" s="262">
        <v>334.3</v>
      </c>
      <c r="F61" s="262"/>
      <c r="G61" s="262">
        <f t="shared" si="8"/>
        <v>452</v>
      </c>
      <c r="H61" s="262"/>
      <c r="I61" s="262">
        <v>18.8</v>
      </c>
      <c r="J61" s="262"/>
      <c r="K61" s="262">
        <f>+G61-I61</f>
        <v>433.2</v>
      </c>
      <c r="L61" s="261"/>
      <c r="M61" s="263">
        <v>1.43</v>
      </c>
      <c r="N61" s="263"/>
      <c r="O61" s="264">
        <v>64.5</v>
      </c>
      <c r="P61" s="263"/>
      <c r="Q61" s="264">
        <v>54</v>
      </c>
      <c r="R61" s="261"/>
      <c r="S61" s="264">
        <f t="shared" si="9"/>
        <v>77.16989843028624</v>
      </c>
      <c r="T61" s="264"/>
      <c r="U61" s="264">
        <f t="shared" si="10"/>
        <v>4.15929203539823</v>
      </c>
      <c r="V61" s="264"/>
    </row>
    <row r="62" spans="1:22" s="124" customFormat="1" ht="10.5" customHeight="1">
      <c r="A62" s="261">
        <v>2008</v>
      </c>
      <c r="B62" s="261" t="s">
        <v>126</v>
      </c>
      <c r="C62" s="262">
        <v>115</v>
      </c>
      <c r="D62" s="262"/>
      <c r="E62" s="262">
        <v>330</v>
      </c>
      <c r="F62" s="262"/>
      <c r="G62" s="262">
        <f t="shared" si="8"/>
        <v>445</v>
      </c>
      <c r="H62" s="262"/>
      <c r="I62" s="262">
        <v>13</v>
      </c>
      <c r="J62" s="262"/>
      <c r="K62" s="262">
        <f>+G62-I62</f>
        <v>432</v>
      </c>
      <c r="L62" s="261"/>
      <c r="M62" s="263">
        <v>1.42</v>
      </c>
      <c r="N62" s="263"/>
      <c r="O62" s="273" t="s">
        <v>75</v>
      </c>
      <c r="P62" s="263"/>
      <c r="Q62" s="273" t="s">
        <v>214</v>
      </c>
      <c r="R62" s="261"/>
      <c r="S62" s="264">
        <f t="shared" si="9"/>
        <v>76.38888888888889</v>
      </c>
      <c r="T62" s="264"/>
      <c r="U62" s="264">
        <f t="shared" si="10"/>
        <v>2.9213483146067416</v>
      </c>
      <c r="V62" s="264"/>
    </row>
    <row r="63" spans="1:22" s="124" customFormat="1" ht="5.25" customHeight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</row>
    <row r="64" spans="1:21" s="124" customFormat="1" ht="9.75" customHeight="1">
      <c r="A64" s="167" t="s">
        <v>248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270"/>
    </row>
    <row r="65" spans="1:21" s="124" customFormat="1" ht="9.75" customHeight="1">
      <c r="A65" s="167" t="s">
        <v>217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</row>
    <row r="66" spans="1:21" s="124" customFormat="1" ht="9.75" customHeight="1">
      <c r="A66" s="167" t="s">
        <v>218</v>
      </c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1" s="124" customFormat="1" ht="9.75" customHeight="1">
      <c r="A67" s="167" t="s">
        <v>220</v>
      </c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1" s="124" customFormat="1" ht="9.75" customHeight="1">
      <c r="A68" s="167" t="s">
        <v>219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1" s="124" customFormat="1" ht="9.75" customHeight="1">
      <c r="A69" s="167" t="s">
        <v>224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12" s="124" customFormat="1" ht="15" customHeight="1">
      <c r="A70" s="271" t="s">
        <v>206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</row>
    <row r="71" s="124" customFormat="1" ht="12"/>
    <row r="72" s="124" customFormat="1" ht="12">
      <c r="A72" s="285"/>
    </row>
    <row r="73" s="124" customFormat="1" ht="12">
      <c r="A73" s="286"/>
    </row>
    <row r="74" s="124" customFormat="1" ht="12">
      <c r="A74" s="286"/>
    </row>
    <row r="75" s="124" customFormat="1" ht="12">
      <c r="A75" s="286"/>
    </row>
    <row r="76" s="124" customFormat="1" ht="12">
      <c r="A76" s="286"/>
    </row>
    <row r="77" s="124" customFormat="1" ht="12">
      <c r="A77" s="286"/>
    </row>
    <row r="78" s="124" customFormat="1" ht="12">
      <c r="A78" s="286"/>
    </row>
    <row r="79" s="124" customFormat="1" ht="12"/>
    <row r="80" s="124" customFormat="1" ht="12"/>
    <row r="81" s="124" customFormat="1" ht="12"/>
    <row r="82" s="124" customFormat="1" ht="12"/>
    <row r="83" s="124" customFormat="1" ht="12"/>
    <row r="84" s="124" customFormat="1" ht="12"/>
    <row r="85" s="124" customFormat="1" ht="12"/>
    <row r="86" s="124" customFormat="1" ht="12"/>
    <row r="87" s="124" customFormat="1" ht="12"/>
    <row r="88" s="124" customFormat="1" ht="12"/>
    <row r="89" s="124" customFormat="1" ht="12"/>
    <row r="90" s="124" customFormat="1" ht="12"/>
    <row r="91" s="124" customFormat="1" ht="12"/>
    <row r="92" s="124" customFormat="1" ht="12"/>
    <row r="93" s="124" customFormat="1" ht="12"/>
    <row r="94" s="124" customFormat="1" ht="12"/>
    <row r="95" s="124" customFormat="1" ht="12"/>
    <row r="96" s="124" customFormat="1" ht="12"/>
    <row r="97" s="124" customFormat="1" ht="12"/>
    <row r="98" s="124" customFormat="1" ht="12"/>
    <row r="99" s="124" customFormat="1" ht="12"/>
    <row r="100" s="124" customFormat="1" ht="12"/>
    <row r="101" s="124" customFormat="1" ht="12"/>
    <row r="102" s="124" customFormat="1" ht="12"/>
    <row r="103" s="124" customFormat="1" ht="12"/>
    <row r="104" s="124" customFormat="1" ht="12"/>
    <row r="105" s="124" customFormat="1" ht="12"/>
    <row r="106" s="124" customFormat="1" ht="12"/>
    <row r="107" s="124" customFormat="1" ht="12"/>
    <row r="108" s="124" customFormat="1" ht="12"/>
    <row r="109" s="124" customFormat="1" ht="12"/>
    <row r="110" s="124" customFormat="1" ht="12"/>
    <row r="111" s="124" customFormat="1" ht="12"/>
    <row r="112" s="124" customFormat="1" ht="12"/>
  </sheetData>
  <printOptions horizontalCentered="1"/>
  <pageMargins left="0.417" right="0.417" top="0.5" bottom="0.75" header="0" footer="0.27"/>
  <pageSetup fitToHeight="1" fitToWidth="1" horizontalDpi="600" verticalDpi="600" orientation="portrait" scale="79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34"/>
  <sheetViews>
    <sheetView showGridLines="0" workbookViewId="0" topLeftCell="A1">
      <selection activeCell="M13" sqref="M13"/>
    </sheetView>
  </sheetViews>
  <sheetFormatPr defaultColWidth="9.140625" defaultRowHeight="12.75"/>
  <cols>
    <col min="1" max="1" width="18.57421875" style="0" customWidth="1"/>
    <col min="2" max="3" width="8.140625" style="0" customWidth="1"/>
    <col min="4" max="4" width="8.28125" style="0" customWidth="1"/>
    <col min="5" max="7" width="8.421875" style="0" customWidth="1"/>
    <col min="8" max="8" width="3.28125" style="0" customWidth="1"/>
    <col min="9" max="9" width="6.140625" style="0" customWidth="1"/>
    <col min="10" max="10" width="3.57421875" style="0" customWidth="1"/>
  </cols>
  <sheetData>
    <row r="2" spans="1:10" ht="12.75">
      <c r="A2" s="109" t="s">
        <v>250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0" ht="12.75">
      <c r="A3" s="171"/>
      <c r="B3" s="172" t="s">
        <v>103</v>
      </c>
      <c r="C3" s="171"/>
      <c r="D3" s="171"/>
      <c r="E3" s="173">
        <v>39052</v>
      </c>
      <c r="F3" s="173">
        <v>39417</v>
      </c>
      <c r="G3" s="173">
        <v>39783</v>
      </c>
      <c r="H3" s="171"/>
      <c r="I3" s="174" t="s">
        <v>104</v>
      </c>
      <c r="J3" s="171"/>
    </row>
    <row r="4" spans="1:10" ht="12.75">
      <c r="A4" s="175" t="s">
        <v>105</v>
      </c>
      <c r="B4" s="175" t="s">
        <v>44</v>
      </c>
      <c r="C4" s="175" t="s">
        <v>106</v>
      </c>
      <c r="D4" s="175" t="s">
        <v>107</v>
      </c>
      <c r="E4" s="176">
        <v>2006</v>
      </c>
      <c r="F4" s="176">
        <v>2007</v>
      </c>
      <c r="G4" s="176">
        <v>2008</v>
      </c>
      <c r="H4" s="176"/>
      <c r="I4" s="177" t="s">
        <v>231</v>
      </c>
      <c r="J4" s="176"/>
    </row>
    <row r="5" spans="1:10" ht="12.75">
      <c r="A5" s="101"/>
      <c r="B5" s="101"/>
      <c r="C5" s="101"/>
      <c r="D5" s="101"/>
      <c r="E5" s="101"/>
      <c r="F5" s="153" t="s">
        <v>108</v>
      </c>
      <c r="G5" s="101"/>
      <c r="H5" s="101"/>
      <c r="I5" s="154" t="s">
        <v>29</v>
      </c>
      <c r="J5" s="101"/>
    </row>
    <row r="6" spans="1:10" ht="6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2.75">
      <c r="A7" s="101" t="s">
        <v>109</v>
      </c>
      <c r="B7" s="103" t="s">
        <v>110</v>
      </c>
      <c r="C7" s="103" t="s">
        <v>111</v>
      </c>
      <c r="D7" s="103" t="s">
        <v>112</v>
      </c>
      <c r="E7" s="102">
        <v>12</v>
      </c>
      <c r="F7" s="102">
        <v>13</v>
      </c>
      <c r="G7" s="102">
        <v>13</v>
      </c>
      <c r="H7" s="102"/>
      <c r="I7" s="104">
        <f>(+G7/F7-1)*100</f>
        <v>0</v>
      </c>
      <c r="J7" s="101"/>
    </row>
    <row r="8" spans="1:10" ht="12.75">
      <c r="A8" s="101" t="s">
        <v>113</v>
      </c>
      <c r="B8" s="103" t="s">
        <v>110</v>
      </c>
      <c r="C8" s="103" t="s">
        <v>114</v>
      </c>
      <c r="D8" s="103" t="s">
        <v>115</v>
      </c>
      <c r="E8" s="102">
        <v>17</v>
      </c>
      <c r="F8" s="102">
        <v>17.5</v>
      </c>
      <c r="G8" s="102">
        <v>17.5</v>
      </c>
      <c r="H8" s="102"/>
      <c r="I8" s="104">
        <f>(+G8/F8-1)*100</f>
        <v>0</v>
      </c>
      <c r="J8" s="101"/>
    </row>
    <row r="9" spans="1:10" ht="12.75">
      <c r="A9" s="101" t="s">
        <v>196</v>
      </c>
      <c r="B9" s="103" t="s">
        <v>110</v>
      </c>
      <c r="C9" s="103" t="s">
        <v>114</v>
      </c>
      <c r="D9" s="103" t="s">
        <v>115</v>
      </c>
      <c r="E9" s="102">
        <v>9</v>
      </c>
      <c r="F9" s="102">
        <v>9</v>
      </c>
      <c r="G9" s="102">
        <v>9</v>
      </c>
      <c r="H9" s="102"/>
      <c r="I9" s="104">
        <f>(+G9/F9-1)*100</f>
        <v>0</v>
      </c>
      <c r="J9" s="101"/>
    </row>
    <row r="10" spans="1:10" ht="12.75">
      <c r="A10" s="101" t="s">
        <v>116</v>
      </c>
      <c r="B10" s="103" t="s">
        <v>110</v>
      </c>
      <c r="C10" s="103" t="s">
        <v>114</v>
      </c>
      <c r="D10" s="103" t="s">
        <v>112</v>
      </c>
      <c r="E10" s="102">
        <v>9</v>
      </c>
      <c r="F10" s="102">
        <v>9.88</v>
      </c>
      <c r="G10" s="102">
        <v>9.88</v>
      </c>
      <c r="H10" s="102"/>
      <c r="I10" s="104">
        <f>(+G10/F10-1)*100</f>
        <v>0</v>
      </c>
      <c r="J10" s="101"/>
    </row>
    <row r="11" spans="1:10" ht="12.75">
      <c r="A11" s="101" t="s">
        <v>117</v>
      </c>
      <c r="B11" s="103" t="s">
        <v>110</v>
      </c>
      <c r="C11" s="103" t="s">
        <v>118</v>
      </c>
      <c r="D11" s="103" t="s">
        <v>119</v>
      </c>
      <c r="E11" s="102">
        <v>10</v>
      </c>
      <c r="F11" s="102">
        <v>10.5</v>
      </c>
      <c r="G11" s="102">
        <v>10.5</v>
      </c>
      <c r="H11" s="102"/>
      <c r="I11" s="104">
        <f>(+G11/F11-1)*100</f>
        <v>0</v>
      </c>
      <c r="J11" s="101"/>
    </row>
    <row r="12" spans="1:10" ht="4.5" customHeight="1">
      <c r="A12" s="98"/>
      <c r="B12" s="98"/>
      <c r="C12" s="98"/>
      <c r="D12" s="98"/>
      <c r="E12" s="99"/>
      <c r="F12" s="99"/>
      <c r="G12" s="99"/>
      <c r="H12" s="99"/>
      <c r="I12" s="98"/>
      <c r="J12" s="98"/>
    </row>
    <row r="13" spans="1:10" ht="12.75" customHeight="1">
      <c r="A13" s="166" t="s">
        <v>198</v>
      </c>
      <c r="B13" s="164"/>
      <c r="C13" s="164"/>
      <c r="D13" s="164"/>
      <c r="E13" s="165"/>
      <c r="F13" s="165"/>
      <c r="G13" s="165"/>
      <c r="H13" s="165"/>
      <c r="I13" s="164"/>
      <c r="J13" s="164"/>
    </row>
    <row r="14" spans="1:8" ht="18" customHeight="1">
      <c r="A14" s="163" t="s">
        <v>120</v>
      </c>
      <c r="E14" s="100"/>
      <c r="F14" s="100"/>
      <c r="G14" s="100"/>
      <c r="H14" s="100"/>
    </row>
    <row r="15" spans="5:8" ht="12.75">
      <c r="E15" s="100"/>
      <c r="F15" s="100"/>
      <c r="G15" s="100"/>
      <c r="H15" s="100"/>
    </row>
    <row r="16" spans="5:8" ht="12.75">
      <c r="E16" s="100"/>
      <c r="F16" s="100"/>
      <c r="G16" s="100"/>
      <c r="H16" s="100"/>
    </row>
    <row r="17" spans="1:11" ht="12.75">
      <c r="A17" s="109" t="s">
        <v>251</v>
      </c>
      <c r="B17" s="101"/>
      <c r="C17" s="101"/>
      <c r="D17" s="101"/>
      <c r="E17" s="102"/>
      <c r="F17" s="102"/>
      <c r="G17" s="102"/>
      <c r="H17" s="102"/>
      <c r="I17" s="101"/>
      <c r="J17" s="101"/>
      <c r="K17" s="97"/>
    </row>
    <row r="18" spans="1:11" ht="12.75">
      <c r="A18" s="171"/>
      <c r="B18" s="172" t="s">
        <v>103</v>
      </c>
      <c r="C18" s="171"/>
      <c r="D18" s="171"/>
      <c r="E18" s="173">
        <v>39052</v>
      </c>
      <c r="F18" s="173">
        <v>39417</v>
      </c>
      <c r="G18" s="173">
        <v>39783</v>
      </c>
      <c r="H18" s="171"/>
      <c r="I18" s="174" t="s">
        <v>104</v>
      </c>
      <c r="J18" s="171"/>
      <c r="K18" s="97"/>
    </row>
    <row r="19" spans="1:11" ht="12.75">
      <c r="A19" s="175" t="s">
        <v>105</v>
      </c>
      <c r="B19" s="175" t="s">
        <v>44</v>
      </c>
      <c r="C19" s="175" t="s">
        <v>106</v>
      </c>
      <c r="D19" s="175" t="s">
        <v>107</v>
      </c>
      <c r="E19" s="176">
        <v>2006</v>
      </c>
      <c r="F19" s="176">
        <v>2007</v>
      </c>
      <c r="G19" s="176">
        <v>2008</v>
      </c>
      <c r="H19" s="176"/>
      <c r="I19" s="177" t="s">
        <v>231</v>
      </c>
      <c r="J19" s="176"/>
      <c r="K19" s="97"/>
    </row>
    <row r="20" spans="1:11" ht="12.75">
      <c r="A20" s="101"/>
      <c r="B20" s="101"/>
      <c r="C20" s="101"/>
      <c r="D20" s="101"/>
      <c r="E20" s="101"/>
      <c r="F20" s="153" t="s">
        <v>108</v>
      </c>
      <c r="G20" s="101"/>
      <c r="H20" s="102"/>
      <c r="I20" s="154" t="s">
        <v>29</v>
      </c>
      <c r="J20" s="101"/>
      <c r="K20" s="97"/>
    </row>
    <row r="21" spans="1:11" ht="8.25" customHeight="1">
      <c r="A21" s="101"/>
      <c r="B21" s="101"/>
      <c r="C21" s="101"/>
      <c r="D21" s="101"/>
      <c r="E21" s="101"/>
      <c r="F21" s="101"/>
      <c r="G21" s="101"/>
      <c r="H21" s="102"/>
      <c r="I21" s="101"/>
      <c r="J21" s="101"/>
      <c r="K21" s="97"/>
    </row>
    <row r="22" spans="1:13" ht="12.75">
      <c r="A22" s="101" t="s">
        <v>109</v>
      </c>
      <c r="B22" s="103" t="s">
        <v>110</v>
      </c>
      <c r="C22" s="103" t="s">
        <v>111</v>
      </c>
      <c r="D22" s="103" t="s">
        <v>112</v>
      </c>
      <c r="E22" s="102">
        <v>12.75</v>
      </c>
      <c r="F22" s="102">
        <v>12.75</v>
      </c>
      <c r="G22" s="102">
        <v>12.75</v>
      </c>
      <c r="H22" s="102"/>
      <c r="I22" s="104">
        <f>(+G22/F22-1)*100</f>
        <v>0</v>
      </c>
      <c r="J22" s="101"/>
      <c r="K22" s="97"/>
      <c r="M22" s="102"/>
    </row>
    <row r="23" spans="1:13" ht="12.75">
      <c r="A23" s="101" t="s">
        <v>113</v>
      </c>
      <c r="B23" s="103" t="s">
        <v>110</v>
      </c>
      <c r="C23" s="103" t="s">
        <v>114</v>
      </c>
      <c r="D23" s="103" t="s">
        <v>115</v>
      </c>
      <c r="E23" s="102">
        <v>15.5</v>
      </c>
      <c r="F23" s="102">
        <v>15.5</v>
      </c>
      <c r="G23" s="102">
        <v>15.5</v>
      </c>
      <c r="H23" s="102"/>
      <c r="I23" s="104">
        <f>(+G23/F23-1)*100</f>
        <v>0</v>
      </c>
      <c r="J23" s="101"/>
      <c r="K23" s="97"/>
      <c r="M23" s="102"/>
    </row>
    <row r="24" spans="1:13" ht="12.75">
      <c r="A24" s="101" t="s">
        <v>196</v>
      </c>
      <c r="B24" s="103" t="s">
        <v>110</v>
      </c>
      <c r="C24" s="103" t="s">
        <v>111</v>
      </c>
      <c r="D24" s="103" t="s">
        <v>112</v>
      </c>
      <c r="E24" s="102">
        <v>12.5</v>
      </c>
      <c r="F24" s="108">
        <v>12.5</v>
      </c>
      <c r="G24" s="108">
        <v>12.5</v>
      </c>
      <c r="H24" s="102"/>
      <c r="I24" s="104">
        <f>(+G24/F24-1)*100</f>
        <v>0</v>
      </c>
      <c r="J24" s="101"/>
      <c r="K24" s="97"/>
      <c r="M24" s="108"/>
    </row>
    <row r="25" spans="1:13" ht="12.75">
      <c r="A25" s="101" t="s">
        <v>116</v>
      </c>
      <c r="B25" s="103" t="s">
        <v>110</v>
      </c>
      <c r="C25" s="103" t="s">
        <v>114</v>
      </c>
      <c r="D25" s="103" t="s">
        <v>119</v>
      </c>
      <c r="E25" s="102">
        <v>10</v>
      </c>
      <c r="F25" s="102">
        <v>10</v>
      </c>
      <c r="G25" s="102">
        <v>10</v>
      </c>
      <c r="H25" s="102"/>
      <c r="I25" s="104">
        <f>(+G25/F25-1)*100</f>
        <v>0</v>
      </c>
      <c r="J25" s="101"/>
      <c r="K25" s="97"/>
      <c r="M25" s="102"/>
    </row>
    <row r="26" spans="1:13" ht="12.75">
      <c r="A26" s="101" t="s">
        <v>236</v>
      </c>
      <c r="B26" s="103" t="s">
        <v>110</v>
      </c>
      <c r="C26" s="103" t="s">
        <v>118</v>
      </c>
      <c r="D26" s="103" t="s">
        <v>119</v>
      </c>
      <c r="E26" s="102">
        <v>15.5</v>
      </c>
      <c r="F26" s="102">
        <v>15.5</v>
      </c>
      <c r="G26" s="102">
        <v>15.5</v>
      </c>
      <c r="H26" s="102"/>
      <c r="I26" s="104">
        <f>(+G26/F26-1)*100</f>
        <v>0</v>
      </c>
      <c r="J26" s="101"/>
      <c r="K26" s="97"/>
      <c r="M26" s="102"/>
    </row>
    <row r="27" spans="1:10" ht="4.5" customHeight="1">
      <c r="A27" s="152"/>
      <c r="B27" s="98"/>
      <c r="C27" s="98"/>
      <c r="D27" s="98"/>
      <c r="E27" s="99"/>
      <c r="F27" s="99"/>
      <c r="G27" s="99"/>
      <c r="H27" s="99"/>
      <c r="I27" s="98"/>
      <c r="J27" s="98"/>
    </row>
    <row r="28" spans="1:8" ht="12" customHeight="1">
      <c r="A28" s="166" t="s">
        <v>198</v>
      </c>
      <c r="E28" s="100"/>
      <c r="F28" s="100"/>
      <c r="G28" s="100"/>
      <c r="H28" s="100"/>
    </row>
    <row r="29" spans="1:8" ht="18" customHeight="1">
      <c r="A29" s="163" t="s">
        <v>120</v>
      </c>
      <c r="E29" s="100"/>
      <c r="F29" s="100"/>
      <c r="G29" s="100"/>
      <c r="H29" s="100"/>
    </row>
    <row r="30" spans="5:8" ht="12.75">
      <c r="E30" s="100"/>
      <c r="F30" s="100"/>
      <c r="G30" s="100"/>
      <c r="H30" s="100"/>
    </row>
    <row r="31" spans="5:8" ht="12.75">
      <c r="E31" s="100"/>
      <c r="F31" s="100"/>
      <c r="G31" s="100"/>
      <c r="H31" s="100"/>
    </row>
    <row r="32" spans="5:8" ht="12.75">
      <c r="E32" s="100"/>
      <c r="F32" s="100"/>
      <c r="G32" s="100"/>
      <c r="H32" s="100"/>
    </row>
    <row r="33" spans="5:8" ht="12.75">
      <c r="E33" s="100"/>
      <c r="F33" s="100"/>
      <c r="G33" s="100"/>
      <c r="H33" s="100"/>
    </row>
    <row r="34" spans="5:8" ht="12.75">
      <c r="E34" s="100"/>
      <c r="F34" s="100"/>
      <c r="G34" s="100"/>
      <c r="H34" s="100"/>
    </row>
  </sheetData>
  <printOptions horizontalCentered="1"/>
  <pageMargins left="0.417" right="0.417" top="0.5" bottom="0.75" header="0" footer="0.27"/>
  <pageSetup fitToHeight="1" fitToWidth="1" horizontalDpi="600" verticalDpi="600" orientation="portrait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2:G31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14.57421875" style="2" customWidth="1"/>
    <col min="2" max="3" width="18.7109375" style="2" customWidth="1"/>
    <col min="4" max="4" width="2.8515625" style="2" customWidth="1"/>
    <col min="5" max="5" width="18.7109375" style="2" customWidth="1"/>
    <col min="6" max="6" width="19.57421875" style="2" customWidth="1"/>
    <col min="7" max="16384" width="9.7109375" style="2" customWidth="1"/>
  </cols>
  <sheetData>
    <row r="2" spans="1:6" ht="18" customHeight="1">
      <c r="A2" s="134" t="s">
        <v>242</v>
      </c>
      <c r="B2" s="1"/>
      <c r="C2" s="1"/>
      <c r="D2" s="1"/>
      <c r="E2" s="1"/>
      <c r="F2" s="1"/>
    </row>
    <row r="3" spans="1:6" ht="12.75" customHeight="1">
      <c r="A3" s="188"/>
      <c r="B3" s="188"/>
      <c r="C3" s="188"/>
      <c r="D3" s="188"/>
      <c r="E3" s="189" t="s">
        <v>0</v>
      </c>
      <c r="F3" s="189"/>
    </row>
    <row r="4" spans="1:6" ht="12.75" customHeight="1">
      <c r="A4" s="190" t="s">
        <v>1</v>
      </c>
      <c r="B4" s="191" t="s">
        <v>2</v>
      </c>
      <c r="C4" s="191" t="s">
        <v>3</v>
      </c>
      <c r="D4" s="191"/>
      <c r="E4" s="191" t="s">
        <v>4</v>
      </c>
      <c r="F4" s="191" t="s">
        <v>5</v>
      </c>
    </row>
    <row r="5" spans="1:6" ht="12.75" customHeight="1">
      <c r="A5" s="3"/>
      <c r="B5" s="143" t="s">
        <v>6</v>
      </c>
      <c r="C5" s="144" t="s">
        <v>7</v>
      </c>
      <c r="D5" s="143"/>
      <c r="E5" s="143" t="s">
        <v>8</v>
      </c>
      <c r="F5" s="144" t="s">
        <v>9</v>
      </c>
    </row>
    <row r="6" spans="1:6" ht="4.5" customHeight="1">
      <c r="A6" s="3"/>
      <c r="B6" s="3"/>
      <c r="C6" s="3"/>
      <c r="D6" s="3"/>
      <c r="E6" s="3"/>
      <c r="F6" s="3"/>
    </row>
    <row r="7" spans="1:7" ht="10.5" customHeight="1">
      <c r="A7" s="4" t="s">
        <v>10</v>
      </c>
      <c r="B7" s="5">
        <v>421</v>
      </c>
      <c r="C7" s="6">
        <v>631819</v>
      </c>
      <c r="D7" s="3"/>
      <c r="E7" s="7">
        <v>0.871</v>
      </c>
      <c r="F7" s="6">
        <v>552539</v>
      </c>
      <c r="G7" s="8"/>
    </row>
    <row r="8" spans="1:7" ht="10.5" customHeight="1">
      <c r="A8" s="4" t="s">
        <v>11</v>
      </c>
      <c r="B8" s="5">
        <v>502</v>
      </c>
      <c r="C8" s="6">
        <v>667759</v>
      </c>
      <c r="D8" s="3"/>
      <c r="E8" s="7">
        <v>0.908</v>
      </c>
      <c r="F8" s="6">
        <v>609324</v>
      </c>
      <c r="G8" s="8"/>
    </row>
    <row r="9" spans="1:6" ht="10.5" customHeight="1">
      <c r="A9" s="4" t="s">
        <v>12</v>
      </c>
      <c r="B9" s="5">
        <v>466</v>
      </c>
      <c r="C9" s="6">
        <v>714992</v>
      </c>
      <c r="D9" s="3"/>
      <c r="E9" s="7">
        <v>0.917</v>
      </c>
      <c r="F9" s="6">
        <v>659058</v>
      </c>
    </row>
    <row r="10" spans="1:6" ht="4.5" customHeight="1">
      <c r="A10" s="3"/>
      <c r="B10" s="5"/>
      <c r="C10" s="6"/>
      <c r="D10" s="3"/>
      <c r="E10" s="7"/>
      <c r="F10" s="6"/>
    </row>
    <row r="11" spans="1:6" ht="10.5" customHeight="1">
      <c r="A11" s="4" t="s">
        <v>13</v>
      </c>
      <c r="B11" s="5">
        <v>460</v>
      </c>
      <c r="C11" s="6">
        <v>749151</v>
      </c>
      <c r="D11" s="3"/>
      <c r="E11" s="7">
        <v>0.878</v>
      </c>
      <c r="F11" s="6">
        <v>661755</v>
      </c>
    </row>
    <row r="12" spans="1:6" ht="10.5" customHeight="1">
      <c r="A12" s="4" t="s">
        <v>14</v>
      </c>
      <c r="B12" s="5">
        <v>396</v>
      </c>
      <c r="C12" s="6">
        <v>746832</v>
      </c>
      <c r="D12" s="3"/>
      <c r="E12" s="7">
        <v>0.892</v>
      </c>
      <c r="F12" s="6">
        <v>669894</v>
      </c>
    </row>
    <row r="13" spans="1:6" ht="10.5" customHeight="1">
      <c r="A13" s="4" t="s">
        <v>15</v>
      </c>
      <c r="B13" s="5">
        <v>364</v>
      </c>
      <c r="C13" s="6">
        <v>776832</v>
      </c>
      <c r="D13" s="3"/>
      <c r="E13" s="7">
        <v>0.878</v>
      </c>
      <c r="F13" s="6">
        <v>685754</v>
      </c>
    </row>
    <row r="14" spans="1:6" ht="10.5" customHeight="1">
      <c r="A14" s="4" t="s">
        <v>16</v>
      </c>
      <c r="B14" s="5">
        <v>358</v>
      </c>
      <c r="C14" s="6">
        <v>750799</v>
      </c>
      <c r="D14" s="3"/>
      <c r="E14" s="7">
        <v>0.9440000000000001</v>
      </c>
      <c r="F14" s="6">
        <v>716464</v>
      </c>
    </row>
    <row r="15" spans="1:6" ht="10.5" customHeight="1">
      <c r="A15" s="4" t="s">
        <v>17</v>
      </c>
      <c r="B15" s="5">
        <v>371</v>
      </c>
      <c r="C15" s="6">
        <v>782340</v>
      </c>
      <c r="D15" s="3"/>
      <c r="E15" s="7">
        <v>0.963</v>
      </c>
      <c r="F15" s="6">
        <v>760489</v>
      </c>
    </row>
    <row r="16" spans="1:6" ht="10.5" customHeight="1">
      <c r="A16" s="9" t="s">
        <v>18</v>
      </c>
      <c r="B16" s="5">
        <v>357</v>
      </c>
      <c r="C16" s="6">
        <v>777870</v>
      </c>
      <c r="D16" s="3"/>
      <c r="E16" s="7">
        <v>0.963</v>
      </c>
      <c r="F16" s="6">
        <v>757531</v>
      </c>
    </row>
    <row r="17" spans="1:6" ht="10.5" customHeight="1">
      <c r="A17" s="9" t="s">
        <v>19</v>
      </c>
      <c r="B17" s="5">
        <v>341</v>
      </c>
      <c r="C17" s="6">
        <v>787365</v>
      </c>
      <c r="D17" s="3"/>
      <c r="E17" s="7">
        <v>0.973</v>
      </c>
      <c r="F17" s="6">
        <v>766434</v>
      </c>
    </row>
    <row r="18" spans="1:6" ht="10.5" customHeight="1">
      <c r="A18" s="9" t="s">
        <v>20</v>
      </c>
      <c r="B18" s="5">
        <v>354</v>
      </c>
      <c r="C18" s="6">
        <v>818200</v>
      </c>
      <c r="D18" s="3"/>
      <c r="E18" s="7">
        <v>0.981</v>
      </c>
      <c r="F18" s="6">
        <v>802290</v>
      </c>
    </row>
    <row r="19" spans="1:6" ht="10.5" customHeight="1">
      <c r="A19" s="9" t="s">
        <v>21</v>
      </c>
      <c r="B19" s="5">
        <v>341</v>
      </c>
      <c r="C19" s="6">
        <v>860762</v>
      </c>
      <c r="D19" s="3"/>
      <c r="E19" s="7">
        <v>1.01</v>
      </c>
      <c r="F19" s="6">
        <v>866808</v>
      </c>
    </row>
    <row r="20" spans="1:6" ht="10.5" customHeight="1">
      <c r="A20" s="9" t="s">
        <v>102</v>
      </c>
      <c r="B20" s="5">
        <v>304</v>
      </c>
      <c r="C20" s="6">
        <v>867124</v>
      </c>
      <c r="D20" s="3"/>
      <c r="E20" s="7">
        <v>1</v>
      </c>
      <c r="F20" s="6">
        <v>867351</v>
      </c>
    </row>
    <row r="21" spans="1:6" ht="4.5" customHeight="1">
      <c r="A21" s="9"/>
      <c r="B21" s="5"/>
      <c r="C21" s="6"/>
      <c r="D21" s="3"/>
      <c r="E21" s="7"/>
      <c r="F21" s="6"/>
    </row>
    <row r="22" spans="1:6" ht="10.5" customHeight="1">
      <c r="A22" s="112" t="s">
        <v>101</v>
      </c>
      <c r="B22" s="113">
        <v>266</v>
      </c>
      <c r="C22" s="114">
        <v>860093</v>
      </c>
      <c r="D22" s="115"/>
      <c r="E22" s="116">
        <v>1.01</v>
      </c>
      <c r="F22" s="114">
        <v>867737</v>
      </c>
    </row>
    <row r="23" spans="1:6" ht="10.5" customHeight="1">
      <c r="A23" s="112" t="s">
        <v>128</v>
      </c>
      <c r="B23" s="113">
        <v>268</v>
      </c>
      <c r="C23" s="114">
        <v>844590</v>
      </c>
      <c r="D23" s="115"/>
      <c r="E23" s="116">
        <v>1.07</v>
      </c>
      <c r="F23" s="114">
        <v>907799</v>
      </c>
    </row>
    <row r="24" spans="1:6" ht="10.5" customHeight="1">
      <c r="A24" s="112" t="s">
        <v>165</v>
      </c>
      <c r="B24" s="113">
        <v>265</v>
      </c>
      <c r="C24" s="114">
        <v>848306</v>
      </c>
      <c r="D24" s="115"/>
      <c r="E24" s="116">
        <v>1.05</v>
      </c>
      <c r="F24" s="114">
        <v>890394</v>
      </c>
    </row>
    <row r="25" spans="1:6" ht="10.5" customHeight="1">
      <c r="A25" s="112" t="s">
        <v>171</v>
      </c>
      <c r="B25" s="113">
        <v>278</v>
      </c>
      <c r="C25" s="114">
        <v>854514</v>
      </c>
      <c r="D25" s="115"/>
      <c r="E25" s="116">
        <v>1.08</v>
      </c>
      <c r="F25" s="114">
        <v>918914</v>
      </c>
    </row>
    <row r="26" spans="1:6" ht="10.5" customHeight="1">
      <c r="A26" s="289" t="s">
        <v>199</v>
      </c>
      <c r="B26" s="290">
        <v>296</v>
      </c>
      <c r="C26" s="291">
        <v>853154</v>
      </c>
      <c r="D26" s="292"/>
      <c r="E26" s="293">
        <v>1.07</v>
      </c>
      <c r="F26" s="291">
        <v>908733</v>
      </c>
    </row>
    <row r="27" spans="1:6" ht="10.5" customHeight="1">
      <c r="A27" s="289" t="s">
        <v>201</v>
      </c>
      <c r="B27" s="290">
        <v>306</v>
      </c>
      <c r="C27" s="291">
        <v>847113</v>
      </c>
      <c r="D27" s="292"/>
      <c r="E27" s="293">
        <v>1.05</v>
      </c>
      <c r="F27" s="291">
        <v>889365</v>
      </c>
    </row>
    <row r="28" spans="1:6" ht="10.5" customHeight="1">
      <c r="A28" s="289" t="s">
        <v>226</v>
      </c>
      <c r="B28" s="290">
        <v>280</v>
      </c>
      <c r="C28" s="291">
        <v>828002</v>
      </c>
      <c r="D28" s="292"/>
      <c r="E28" s="293">
        <v>1.16</v>
      </c>
      <c r="F28" s="291">
        <v>961446</v>
      </c>
    </row>
    <row r="29" spans="1:6" ht="10.5" customHeight="1">
      <c r="A29" s="323" t="s">
        <v>240</v>
      </c>
      <c r="B29" s="193">
        <v>286</v>
      </c>
      <c r="C29" s="194">
        <v>809034</v>
      </c>
      <c r="D29" s="195"/>
      <c r="E29" s="196">
        <v>1.19</v>
      </c>
      <c r="F29" s="194">
        <v>963522</v>
      </c>
    </row>
    <row r="30" spans="1:6" ht="12.75" customHeight="1">
      <c r="A30" s="117" t="s">
        <v>195</v>
      </c>
      <c r="B30" s="118"/>
      <c r="C30" s="118"/>
      <c r="D30" s="118"/>
      <c r="E30" s="118"/>
      <c r="F30" s="118"/>
    </row>
    <row r="31" spans="1:6" ht="16.5" customHeight="1">
      <c r="A31" s="170" t="s">
        <v>203</v>
      </c>
      <c r="B31" s="3"/>
      <c r="C31" s="3"/>
      <c r="D31" s="3"/>
      <c r="E31" s="3"/>
      <c r="F31" s="3"/>
    </row>
  </sheetData>
  <printOptions horizontalCentered="1"/>
  <pageMargins left="0.417" right="0.417" top="0.5" bottom="0.75" header="0" footer="0.27"/>
  <pageSetup fitToHeight="1" fitToWidth="1" horizontalDpi="600" verticalDpi="600" orientation="portrait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AP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57421875" style="52" customWidth="1"/>
    <col min="2" max="2" width="2.7109375" style="52" customWidth="1"/>
    <col min="3" max="5" width="8.421875" style="52" customWidth="1"/>
    <col min="6" max="6" width="2.28125" style="52" customWidth="1"/>
    <col min="7" max="9" width="8.140625" style="52" customWidth="1"/>
    <col min="10" max="10" width="2.140625" style="52" customWidth="1"/>
    <col min="11" max="13" width="9.00390625" style="52" customWidth="1"/>
    <col min="14" max="14" width="2.421875" style="52" customWidth="1"/>
    <col min="15" max="15" width="18.8515625" style="52" customWidth="1"/>
    <col min="16" max="16" width="9.140625" style="52" customWidth="1"/>
    <col min="17" max="17" width="10.421875" style="52" customWidth="1"/>
    <col min="18" max="18" width="2.00390625" style="52" customWidth="1"/>
    <col min="19" max="25" width="8.140625" style="52" customWidth="1"/>
    <col min="26" max="26" width="1.8515625" style="52" customWidth="1"/>
    <col min="27" max="33" width="7.28125" style="52" customWidth="1"/>
    <col min="34" max="34" width="1.8515625" style="52" customWidth="1"/>
    <col min="35" max="41" width="7.7109375" style="52" customWidth="1"/>
    <col min="42" max="42" width="1.57421875" style="52" customWidth="1"/>
    <col min="43" max="16384" width="9.140625" style="52" customWidth="1"/>
  </cols>
  <sheetData>
    <row r="2" spans="1:42" ht="15" customHeight="1">
      <c r="A2" s="133" t="s">
        <v>243</v>
      </c>
      <c r="B2" s="110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Q2" s="133" t="s">
        <v>228</v>
      </c>
      <c r="R2" s="110"/>
      <c r="S2" s="35"/>
      <c r="T2" s="35"/>
      <c r="U2" s="38"/>
      <c r="V2" s="38"/>
      <c r="W2" s="38"/>
      <c r="X2" s="38"/>
      <c r="Y2" s="38"/>
      <c r="Z2" s="46"/>
      <c r="AA2" s="35"/>
      <c r="AB2" s="35"/>
      <c r="AC2" s="38"/>
      <c r="AD2" s="38"/>
      <c r="AE2" s="38"/>
      <c r="AF2" s="38"/>
      <c r="AG2" s="38"/>
      <c r="AH2" s="46"/>
      <c r="AI2" s="35"/>
      <c r="AJ2" s="35"/>
      <c r="AK2" s="35"/>
      <c r="AL2" s="35"/>
      <c r="AM2" s="35"/>
      <c r="AN2" s="35"/>
      <c r="AO2" s="38"/>
      <c r="AP2" s="35"/>
    </row>
    <row r="3" spans="1:42" ht="12.75">
      <c r="A3" s="178"/>
      <c r="B3" s="178"/>
      <c r="C3" s="180" t="s">
        <v>3</v>
      </c>
      <c r="D3" s="180"/>
      <c r="E3" s="180"/>
      <c r="F3" s="178"/>
      <c r="G3" s="180" t="s">
        <v>229</v>
      </c>
      <c r="H3" s="180"/>
      <c r="I3" s="180"/>
      <c r="J3" s="178"/>
      <c r="K3" s="180" t="s">
        <v>167</v>
      </c>
      <c r="L3" s="180"/>
      <c r="M3" s="180"/>
      <c r="N3" s="265"/>
      <c r="Q3" s="294"/>
      <c r="R3" s="294"/>
      <c r="S3" s="295" t="s">
        <v>121</v>
      </c>
      <c r="T3" s="296"/>
      <c r="U3" s="296"/>
      <c r="V3" s="296"/>
      <c r="W3" s="296"/>
      <c r="X3" s="296"/>
      <c r="Y3" s="325"/>
      <c r="Z3" s="297"/>
      <c r="AA3" s="298" t="s">
        <v>42</v>
      </c>
      <c r="AB3" s="296"/>
      <c r="AC3" s="296"/>
      <c r="AD3" s="296"/>
      <c r="AE3" s="296"/>
      <c r="AF3" s="296"/>
      <c r="AG3" s="296"/>
      <c r="AH3" s="297"/>
      <c r="AI3" s="298" t="s">
        <v>43</v>
      </c>
      <c r="AJ3" s="296"/>
      <c r="AK3" s="296"/>
      <c r="AL3" s="296"/>
      <c r="AM3" s="296"/>
      <c r="AN3" s="296"/>
      <c r="AO3" s="296"/>
      <c r="AP3" s="297"/>
    </row>
    <row r="4" spans="1:42" ht="12">
      <c r="A4" s="182" t="s">
        <v>44</v>
      </c>
      <c r="B4" s="182"/>
      <c r="C4" s="182" t="s">
        <v>201</v>
      </c>
      <c r="D4" s="182" t="s">
        <v>226</v>
      </c>
      <c r="E4" s="182" t="s">
        <v>240</v>
      </c>
      <c r="F4" s="183"/>
      <c r="G4" s="182" t="s">
        <v>201</v>
      </c>
      <c r="H4" s="182" t="s">
        <v>226</v>
      </c>
      <c r="I4" s="182" t="s">
        <v>240</v>
      </c>
      <c r="J4" s="183"/>
      <c r="K4" s="182" t="s">
        <v>201</v>
      </c>
      <c r="L4" s="182" t="s">
        <v>226</v>
      </c>
      <c r="M4" s="182" t="s">
        <v>240</v>
      </c>
      <c r="N4" s="182"/>
      <c r="Q4" s="299" t="s">
        <v>44</v>
      </c>
      <c r="R4" s="299"/>
      <c r="S4" s="299" t="s">
        <v>21</v>
      </c>
      <c r="T4" s="299" t="s">
        <v>22</v>
      </c>
      <c r="U4" s="299" t="s">
        <v>101</v>
      </c>
      <c r="V4" s="299" t="s">
        <v>128</v>
      </c>
      <c r="W4" s="299" t="s">
        <v>165</v>
      </c>
      <c r="X4" s="299" t="s">
        <v>171</v>
      </c>
      <c r="Y4" s="324" t="s">
        <v>199</v>
      </c>
      <c r="Z4" s="300"/>
      <c r="AA4" s="299" t="s">
        <v>21</v>
      </c>
      <c r="AB4" s="299" t="s">
        <v>22</v>
      </c>
      <c r="AC4" s="299" t="s">
        <v>101</v>
      </c>
      <c r="AD4" s="299" t="s">
        <v>128</v>
      </c>
      <c r="AE4" s="299" t="s">
        <v>165</v>
      </c>
      <c r="AF4" s="299" t="s">
        <v>171</v>
      </c>
      <c r="AG4" s="299" t="s">
        <v>199</v>
      </c>
      <c r="AH4" s="300"/>
      <c r="AI4" s="299" t="s">
        <v>21</v>
      </c>
      <c r="AJ4" s="299" t="s">
        <v>22</v>
      </c>
      <c r="AK4" s="299" t="s">
        <v>101</v>
      </c>
      <c r="AL4" s="299" t="s">
        <v>128</v>
      </c>
      <c r="AM4" s="299" t="s">
        <v>165</v>
      </c>
      <c r="AN4" s="299" t="s">
        <v>171</v>
      </c>
      <c r="AO4" s="299" t="s">
        <v>199</v>
      </c>
      <c r="AP4" s="301"/>
    </row>
    <row r="5" spans="1:41" ht="12">
      <c r="A5" s="39"/>
      <c r="B5" s="39"/>
      <c r="C5" s="145" t="s">
        <v>45</v>
      </c>
      <c r="D5" s="40"/>
      <c r="E5" s="40"/>
      <c r="F5" s="39"/>
      <c r="G5" s="145" t="s">
        <v>46</v>
      </c>
      <c r="H5" s="40"/>
      <c r="I5" s="40"/>
      <c r="J5" s="39"/>
      <c r="K5" s="145" t="s">
        <v>166</v>
      </c>
      <c r="Q5" s="39"/>
      <c r="R5" s="39"/>
      <c r="S5" s="145" t="s">
        <v>45</v>
      </c>
      <c r="T5" s="40"/>
      <c r="U5" s="145"/>
      <c r="V5" s="145"/>
      <c r="W5" s="145"/>
      <c r="X5" s="145"/>
      <c r="Y5" s="145"/>
      <c r="AA5" s="145" t="s">
        <v>46</v>
      </c>
      <c r="AB5" s="40"/>
      <c r="AC5" s="145"/>
      <c r="AD5" s="145"/>
      <c r="AE5" s="145"/>
      <c r="AF5" s="145"/>
      <c r="AG5" s="145"/>
      <c r="AI5" s="145" t="s">
        <v>130</v>
      </c>
      <c r="AJ5" s="40"/>
      <c r="AK5" s="145"/>
      <c r="AL5" s="145"/>
      <c r="AM5" s="145"/>
      <c r="AN5" s="145"/>
      <c r="AO5" s="145"/>
    </row>
    <row r="6" spans="1:41" ht="1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Q6" s="39"/>
      <c r="R6" s="39"/>
      <c r="S6" s="39"/>
      <c r="T6" s="39"/>
      <c r="U6" s="39"/>
      <c r="V6" s="39"/>
      <c r="W6" s="39"/>
      <c r="X6" s="39"/>
      <c r="Y6" s="39"/>
      <c r="AA6" s="39"/>
      <c r="AB6" s="39"/>
      <c r="AC6" s="39"/>
      <c r="AD6" s="39"/>
      <c r="AE6" s="39"/>
      <c r="AF6" s="39"/>
      <c r="AG6" s="39"/>
      <c r="AI6" s="39"/>
      <c r="AJ6" s="39"/>
      <c r="AK6" s="39"/>
      <c r="AL6" s="39"/>
      <c r="AM6" s="39"/>
      <c r="AN6" s="39"/>
      <c r="AO6" s="39"/>
    </row>
    <row r="7" spans="1:41" ht="12">
      <c r="A7" s="53" t="s">
        <v>191</v>
      </c>
      <c r="B7" s="53"/>
      <c r="C7" s="42">
        <v>117297</v>
      </c>
      <c r="D7" s="42">
        <v>99188</v>
      </c>
      <c r="E7" s="42">
        <v>104862</v>
      </c>
      <c r="F7" s="39"/>
      <c r="G7" s="54">
        <f>+K7/C7</f>
        <v>1.2961797829441504</v>
      </c>
      <c r="H7" s="54">
        <f>+L7/D7</f>
        <v>1.4104427954994556</v>
      </c>
      <c r="I7" s="54">
        <f>+M7/E7</f>
        <v>1.3678453586618604</v>
      </c>
      <c r="J7" s="39"/>
      <c r="K7" s="42">
        <v>152038</v>
      </c>
      <c r="L7" s="42">
        <v>139899</v>
      </c>
      <c r="M7" s="42">
        <v>143435</v>
      </c>
      <c r="N7" s="42"/>
      <c r="Q7" s="53" t="s">
        <v>51</v>
      </c>
      <c r="R7" s="53"/>
      <c r="S7" s="42">
        <v>56256</v>
      </c>
      <c r="T7" s="42">
        <v>67283</v>
      </c>
      <c r="U7" s="42">
        <v>87998</v>
      </c>
      <c r="V7" s="42">
        <v>94581</v>
      </c>
      <c r="W7" s="42">
        <v>110710</v>
      </c>
      <c r="X7" s="42">
        <v>96995</v>
      </c>
      <c r="Y7" s="42">
        <v>100528</v>
      </c>
      <c r="AA7" s="54">
        <f>+AI7/S7</f>
        <v>1.2935331342434584</v>
      </c>
      <c r="AB7" s="54">
        <f>+AJ7/T7</f>
        <v>1.289597669545056</v>
      </c>
      <c r="AC7" s="54">
        <f>+AK7/U7</f>
        <v>1.2131412077547217</v>
      </c>
      <c r="AD7" s="54">
        <v>1.246783180554234</v>
      </c>
      <c r="AE7" s="54">
        <f>+AM7/W7</f>
        <v>1.2650257429319844</v>
      </c>
      <c r="AF7" s="54">
        <v>1.3097066859116449</v>
      </c>
      <c r="AG7" s="54">
        <v>1.294833280280121</v>
      </c>
      <c r="AI7" s="42">
        <v>72769</v>
      </c>
      <c r="AJ7" s="42">
        <v>86768</v>
      </c>
      <c r="AK7" s="42">
        <v>106754</v>
      </c>
      <c r="AL7" s="42">
        <v>117922</v>
      </c>
      <c r="AM7" s="42">
        <v>140051</v>
      </c>
      <c r="AN7" s="42">
        <v>127035</v>
      </c>
      <c r="AO7" s="42">
        <v>130167</v>
      </c>
    </row>
    <row r="8" spans="1:37" ht="7.5" customHeight="1">
      <c r="A8" s="53"/>
      <c r="B8" s="53"/>
      <c r="C8" s="42"/>
      <c r="D8" s="42"/>
      <c r="E8" s="42"/>
      <c r="F8" s="39"/>
      <c r="G8" s="54"/>
      <c r="H8" s="54"/>
      <c r="I8" s="54"/>
      <c r="J8" s="39"/>
      <c r="Q8" s="53"/>
      <c r="R8" s="53"/>
      <c r="S8" s="42"/>
      <c r="T8" s="42"/>
      <c r="U8" s="42"/>
      <c r="V8" s="42"/>
      <c r="W8" s="42"/>
      <c r="X8" s="42"/>
      <c r="Y8" s="42"/>
      <c r="AA8" s="54"/>
      <c r="AB8" s="54"/>
      <c r="AC8" s="54"/>
      <c r="AD8" s="54"/>
      <c r="AE8" s="54"/>
      <c r="AF8" s="54"/>
      <c r="AG8" s="54"/>
      <c r="AI8" s="42"/>
      <c r="AJ8" s="42"/>
      <c r="AK8" s="42"/>
    </row>
    <row r="9" spans="1:41" ht="12">
      <c r="A9" s="41" t="s">
        <v>52</v>
      </c>
      <c r="B9" s="41"/>
      <c r="C9" s="42">
        <f>+C10+C11+C12</f>
        <v>13436</v>
      </c>
      <c r="D9" s="42">
        <f>+D10+D11+D12</f>
        <v>14153</v>
      </c>
      <c r="E9" s="42">
        <f>+E10+E11+E12</f>
        <v>16188</v>
      </c>
      <c r="F9" s="39"/>
      <c r="G9" s="54">
        <f aca="true" t="shared" si="0" ref="G9:I12">+K9/C9</f>
        <v>3.0164483477225366</v>
      </c>
      <c r="H9" s="54">
        <f t="shared" si="0"/>
        <v>3.2420688193315903</v>
      </c>
      <c r="I9" s="54">
        <f t="shared" si="0"/>
        <v>3.0847541388682975</v>
      </c>
      <c r="J9" s="39"/>
      <c r="K9" s="42">
        <f>+K10+K11+K12</f>
        <v>40529</v>
      </c>
      <c r="L9" s="42">
        <f>+L10+L11+L12</f>
        <v>45885</v>
      </c>
      <c r="M9" s="42">
        <f>+M10+M11+M12</f>
        <v>49936</v>
      </c>
      <c r="N9" s="42"/>
      <c r="Q9" s="41" t="s">
        <v>52</v>
      </c>
      <c r="R9" s="41"/>
      <c r="S9" s="42">
        <f aca="true" t="shared" si="1" ref="S9:X9">+S10+S11+S12</f>
        <v>13002</v>
      </c>
      <c r="T9" s="42">
        <f t="shared" si="1"/>
        <v>12730</v>
      </c>
      <c r="U9" s="42">
        <f t="shared" si="1"/>
        <v>13884</v>
      </c>
      <c r="V9" s="42">
        <f t="shared" si="1"/>
        <v>13483</v>
      </c>
      <c r="W9" s="42">
        <f t="shared" si="1"/>
        <v>11908</v>
      </c>
      <c r="X9" s="42">
        <f t="shared" si="1"/>
        <v>13352</v>
      </c>
      <c r="Y9" s="42">
        <f>+Y10+Y11+Y12</f>
        <v>15071</v>
      </c>
      <c r="AA9" s="54">
        <f aca="true" t="shared" si="2" ref="AA9:AC12">+AI9/S9</f>
        <v>2.977234271650515</v>
      </c>
      <c r="AB9" s="54">
        <f t="shared" si="2"/>
        <v>3.0479183032207384</v>
      </c>
      <c r="AC9" s="54">
        <f t="shared" si="2"/>
        <v>3.042134831460674</v>
      </c>
      <c r="AD9" s="54">
        <v>2.760958243714307</v>
      </c>
      <c r="AE9" s="54">
        <f>+AM9/W9</f>
        <v>2.8897379912663754</v>
      </c>
      <c r="AF9" s="54">
        <v>3.033927501497903</v>
      </c>
      <c r="AG9" s="54">
        <v>3.088116249751178</v>
      </c>
      <c r="AI9" s="42">
        <f aca="true" t="shared" si="3" ref="AI9:AO9">+AI10+AI11+AI12</f>
        <v>38710</v>
      </c>
      <c r="AJ9" s="42">
        <f t="shared" si="3"/>
        <v>38800</v>
      </c>
      <c r="AK9" s="42">
        <f t="shared" si="3"/>
        <v>42237</v>
      </c>
      <c r="AL9" s="42">
        <f t="shared" si="3"/>
        <v>37226</v>
      </c>
      <c r="AM9" s="42">
        <f t="shared" si="3"/>
        <v>34411</v>
      </c>
      <c r="AN9" s="42">
        <f t="shared" si="3"/>
        <v>40509</v>
      </c>
      <c r="AO9" s="42">
        <f t="shared" si="3"/>
        <v>46541</v>
      </c>
    </row>
    <row r="10" spans="1:41" ht="12">
      <c r="A10" s="53" t="s">
        <v>53</v>
      </c>
      <c r="B10" s="53"/>
      <c r="C10" s="42">
        <v>7685</v>
      </c>
      <c r="D10" s="42">
        <v>6985</v>
      </c>
      <c r="E10" s="42">
        <v>9890</v>
      </c>
      <c r="F10" s="39"/>
      <c r="G10" s="54">
        <f t="shared" si="0"/>
        <v>3.2455432661027976</v>
      </c>
      <c r="H10" s="54">
        <f t="shared" si="0"/>
        <v>3.359914101646385</v>
      </c>
      <c r="I10" s="54">
        <f t="shared" si="0"/>
        <v>2.810313447927199</v>
      </c>
      <c r="J10" s="39"/>
      <c r="K10" s="42">
        <v>24942</v>
      </c>
      <c r="L10" s="42">
        <v>23469</v>
      </c>
      <c r="M10" s="42">
        <v>27794</v>
      </c>
      <c r="N10" s="42"/>
      <c r="Q10" s="53" t="s">
        <v>53</v>
      </c>
      <c r="R10" s="53"/>
      <c r="S10" s="42">
        <v>8254</v>
      </c>
      <c r="T10" s="42">
        <v>8173</v>
      </c>
      <c r="U10" s="42">
        <v>8939</v>
      </c>
      <c r="V10" s="42">
        <v>8024</v>
      </c>
      <c r="W10" s="42">
        <v>7059</v>
      </c>
      <c r="X10" s="42">
        <v>7517</v>
      </c>
      <c r="Y10" s="42">
        <v>8616</v>
      </c>
      <c r="AA10" s="54">
        <f t="shared" si="2"/>
        <v>3.147322510298037</v>
      </c>
      <c r="AB10" s="54">
        <f t="shared" si="2"/>
        <v>3.290468616175211</v>
      </c>
      <c r="AC10" s="54">
        <f t="shared" si="2"/>
        <v>3.1674683969124064</v>
      </c>
      <c r="AD10" s="54">
        <f>+AL10/V10</f>
        <v>2.917123629112662</v>
      </c>
      <c r="AE10" s="54">
        <f>+AM10/W10</f>
        <v>3.0766397506729</v>
      </c>
      <c r="AF10" s="54">
        <v>3.244778502061993</v>
      </c>
      <c r="AG10" s="54">
        <v>3.2503481894150417</v>
      </c>
      <c r="AI10" s="42">
        <v>25978</v>
      </c>
      <c r="AJ10" s="42">
        <v>26893</v>
      </c>
      <c r="AK10" s="42">
        <v>28314</v>
      </c>
      <c r="AL10" s="42">
        <v>23407</v>
      </c>
      <c r="AM10" s="42">
        <v>21718</v>
      </c>
      <c r="AN10" s="42">
        <v>24391</v>
      </c>
      <c r="AO10" s="42">
        <v>28005</v>
      </c>
    </row>
    <row r="11" spans="1:41" ht="12">
      <c r="A11" s="53" t="s">
        <v>54</v>
      </c>
      <c r="B11" s="53"/>
      <c r="C11" s="42">
        <v>4563</v>
      </c>
      <c r="D11" s="42">
        <v>5055</v>
      </c>
      <c r="E11" s="42">
        <v>4253</v>
      </c>
      <c r="F11" s="39"/>
      <c r="G11" s="54">
        <f t="shared" si="0"/>
        <v>2.153626999780846</v>
      </c>
      <c r="H11" s="54">
        <f t="shared" si="0"/>
        <v>2.410484668644906</v>
      </c>
      <c r="I11" s="54">
        <f t="shared" si="0"/>
        <v>2.8699741359040676</v>
      </c>
      <c r="J11" s="39"/>
      <c r="K11" s="42">
        <v>9827</v>
      </c>
      <c r="L11" s="42">
        <v>12185</v>
      </c>
      <c r="M11" s="42">
        <v>12206</v>
      </c>
      <c r="N11" s="42"/>
      <c r="Q11" s="53" t="s">
        <v>54</v>
      </c>
      <c r="R11" s="53"/>
      <c r="S11" s="42">
        <v>3547</v>
      </c>
      <c r="T11" s="42">
        <v>3346</v>
      </c>
      <c r="U11" s="42">
        <v>3629</v>
      </c>
      <c r="V11" s="42">
        <v>4035</v>
      </c>
      <c r="W11" s="42">
        <v>3562</v>
      </c>
      <c r="X11" s="42">
        <v>4185</v>
      </c>
      <c r="Y11" s="42">
        <v>5128</v>
      </c>
      <c r="AA11" s="54">
        <f t="shared" si="2"/>
        <v>2.1638003946997464</v>
      </c>
      <c r="AB11" s="54">
        <f t="shared" si="2"/>
        <v>2.1572026300059775</v>
      </c>
      <c r="AC11" s="54">
        <f t="shared" si="2"/>
        <v>2.1341967484155413</v>
      </c>
      <c r="AD11" s="54">
        <f>+AL11/V11</f>
        <v>2.00545229244114</v>
      </c>
      <c r="AE11" s="54">
        <f>+AM11/W11</f>
        <v>1.9146546883773161</v>
      </c>
      <c r="AF11" s="54">
        <v>2.0821983273596176</v>
      </c>
      <c r="AG11" s="54">
        <v>2.3469188767550704</v>
      </c>
      <c r="AI11" s="42">
        <v>7675</v>
      </c>
      <c r="AJ11" s="42">
        <v>7218</v>
      </c>
      <c r="AK11" s="42">
        <v>7745</v>
      </c>
      <c r="AL11" s="42">
        <v>8092</v>
      </c>
      <c r="AM11" s="42">
        <v>6820</v>
      </c>
      <c r="AN11" s="42">
        <v>8714</v>
      </c>
      <c r="AO11" s="42">
        <v>12035</v>
      </c>
    </row>
    <row r="12" spans="1:41" ht="12">
      <c r="A12" s="41" t="s">
        <v>55</v>
      </c>
      <c r="B12" s="41"/>
      <c r="C12" s="42">
        <v>1188</v>
      </c>
      <c r="D12" s="42">
        <v>2113</v>
      </c>
      <c r="E12" s="42">
        <v>2045</v>
      </c>
      <c r="F12" s="39"/>
      <c r="G12" s="54">
        <f t="shared" si="0"/>
        <v>4.848484848484849</v>
      </c>
      <c r="H12" s="54">
        <f t="shared" si="0"/>
        <v>4.8419309039280645</v>
      </c>
      <c r="I12" s="54">
        <f t="shared" si="0"/>
        <v>4.858679706601467</v>
      </c>
      <c r="J12" s="39"/>
      <c r="K12" s="42">
        <v>5760</v>
      </c>
      <c r="L12" s="42">
        <v>10231</v>
      </c>
      <c r="M12" s="42">
        <v>9936</v>
      </c>
      <c r="N12" s="42"/>
      <c r="Q12" s="41" t="s">
        <v>55</v>
      </c>
      <c r="R12" s="41"/>
      <c r="S12" s="42">
        <v>1201</v>
      </c>
      <c r="T12" s="42">
        <v>1211</v>
      </c>
      <c r="U12" s="42">
        <v>1316</v>
      </c>
      <c r="V12" s="42">
        <v>1424</v>
      </c>
      <c r="W12" s="42">
        <v>1287</v>
      </c>
      <c r="X12" s="42">
        <v>1650</v>
      </c>
      <c r="Y12" s="42">
        <v>1327</v>
      </c>
      <c r="AA12" s="54">
        <f t="shared" si="2"/>
        <v>4.210657785179017</v>
      </c>
      <c r="AB12" s="54">
        <f t="shared" si="2"/>
        <v>3.872006606110652</v>
      </c>
      <c r="AC12" s="54">
        <f t="shared" si="2"/>
        <v>4.694528875379939</v>
      </c>
      <c r="AD12" s="54">
        <f>+AL12/V12</f>
        <v>4.021769662921348</v>
      </c>
      <c r="AE12" s="54">
        <f>+AM12/W12</f>
        <v>4.563325563325563</v>
      </c>
      <c r="AF12" s="54">
        <v>4.487272727272727</v>
      </c>
      <c r="AG12" s="54">
        <v>4.899020346646571</v>
      </c>
      <c r="AI12" s="42">
        <v>5057</v>
      </c>
      <c r="AJ12" s="42">
        <v>4689</v>
      </c>
      <c r="AK12" s="42">
        <v>6178</v>
      </c>
      <c r="AL12" s="42">
        <v>5727</v>
      </c>
      <c r="AM12" s="42">
        <v>5873</v>
      </c>
      <c r="AN12" s="42">
        <v>7404</v>
      </c>
      <c r="AO12" s="42">
        <v>6501</v>
      </c>
    </row>
    <row r="13" spans="1:37" ht="7.5" customHeight="1">
      <c r="A13" s="39"/>
      <c r="B13" s="39"/>
      <c r="C13" s="44"/>
      <c r="D13" s="44"/>
      <c r="E13" s="44"/>
      <c r="F13" s="39"/>
      <c r="G13" s="55"/>
      <c r="H13" s="55"/>
      <c r="I13" s="55"/>
      <c r="J13" s="39"/>
      <c r="Q13" s="39"/>
      <c r="R13" s="39"/>
      <c r="S13" s="44"/>
      <c r="T13" s="44"/>
      <c r="U13" s="44"/>
      <c r="V13" s="44"/>
      <c r="W13" s="44"/>
      <c r="X13" s="44"/>
      <c r="Y13" s="44"/>
      <c r="AA13" s="55"/>
      <c r="AB13" s="55"/>
      <c r="AC13" s="55"/>
      <c r="AD13" s="55"/>
      <c r="AE13" s="55"/>
      <c r="AF13" s="55"/>
      <c r="AG13" s="55"/>
      <c r="AI13" s="44"/>
      <c r="AJ13" s="44"/>
      <c r="AK13" s="44"/>
    </row>
    <row r="14" spans="1:42" ht="12">
      <c r="A14" s="197" t="s">
        <v>56</v>
      </c>
      <c r="B14" s="197"/>
      <c r="C14" s="185">
        <f>+C7+C9</f>
        <v>130733</v>
      </c>
      <c r="D14" s="185">
        <f>+D7+D9</f>
        <v>113341</v>
      </c>
      <c r="E14" s="185">
        <f>+E7+E9</f>
        <v>121050</v>
      </c>
      <c r="F14" s="186"/>
      <c r="G14" s="198">
        <f>+K14/C14</f>
        <v>1.4729792783765385</v>
      </c>
      <c r="H14" s="198">
        <f>+L14/D14</f>
        <v>1.639159703902383</v>
      </c>
      <c r="I14" s="198">
        <f>+M14/E14</f>
        <v>1.597447335811648</v>
      </c>
      <c r="J14" s="186"/>
      <c r="K14" s="185">
        <f>+K7+K9</f>
        <v>192567</v>
      </c>
      <c r="L14" s="185">
        <f>+L7+L9</f>
        <v>185784</v>
      </c>
      <c r="M14" s="185">
        <f>+M7+M9</f>
        <v>193371</v>
      </c>
      <c r="N14" s="185"/>
      <c r="Q14" s="56" t="s">
        <v>56</v>
      </c>
      <c r="R14" s="56"/>
      <c r="S14" s="326">
        <f aca="true" t="shared" si="4" ref="S14:X14">+S7+S9</f>
        <v>69258</v>
      </c>
      <c r="T14" s="326">
        <f t="shared" si="4"/>
        <v>80013</v>
      </c>
      <c r="U14" s="326">
        <f t="shared" si="4"/>
        <v>101882</v>
      </c>
      <c r="V14" s="326">
        <f t="shared" si="4"/>
        <v>108064</v>
      </c>
      <c r="W14" s="326">
        <f t="shared" si="4"/>
        <v>122618</v>
      </c>
      <c r="X14" s="326">
        <f t="shared" si="4"/>
        <v>110347</v>
      </c>
      <c r="Y14" s="326">
        <f>+Y7+Y9</f>
        <v>115599</v>
      </c>
      <c r="Z14" s="326"/>
      <c r="AA14" s="327">
        <f aca="true" t="shared" si="5" ref="AA14:AF14">+AI14/S14</f>
        <v>1.6096191053741085</v>
      </c>
      <c r="AB14" s="327">
        <f t="shared" si="5"/>
        <v>1.5693449814405158</v>
      </c>
      <c r="AC14" s="328">
        <f t="shared" si="5"/>
        <v>1.4623878604660294</v>
      </c>
      <c r="AD14" s="328">
        <f t="shared" si="5"/>
        <v>1.4357047675451584</v>
      </c>
      <c r="AE14" s="329">
        <f t="shared" si="5"/>
        <v>1.4228090492423624</v>
      </c>
      <c r="AF14" s="329">
        <f t="shared" si="5"/>
        <v>1.518337607728348</v>
      </c>
      <c r="AG14" s="327">
        <v>1.528629140390488</v>
      </c>
      <c r="AH14" s="326"/>
      <c r="AI14" s="326">
        <f aca="true" t="shared" si="6" ref="AI14:AN14">+AI7+AI9</f>
        <v>111479</v>
      </c>
      <c r="AJ14" s="326">
        <f t="shared" si="6"/>
        <v>125568</v>
      </c>
      <c r="AK14" s="326">
        <f t="shared" si="6"/>
        <v>148991</v>
      </c>
      <c r="AL14" s="46">
        <f t="shared" si="6"/>
        <v>155148</v>
      </c>
      <c r="AM14" s="326">
        <f t="shared" si="6"/>
        <v>174462</v>
      </c>
      <c r="AN14" s="326">
        <f t="shared" si="6"/>
        <v>167544</v>
      </c>
      <c r="AO14" s="326">
        <f>+AO7+AO9</f>
        <v>176708</v>
      </c>
      <c r="AP14" s="35"/>
    </row>
    <row r="15" spans="1:41" ht="12.75" customHeight="1">
      <c r="A15" s="57" t="s">
        <v>190</v>
      </c>
      <c r="B15" s="57"/>
      <c r="C15" s="39"/>
      <c r="D15" s="39"/>
      <c r="E15" s="39"/>
      <c r="F15" s="39"/>
      <c r="G15" s="39"/>
      <c r="H15" s="39"/>
      <c r="I15" s="39"/>
      <c r="J15" s="39"/>
      <c r="K15" s="4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266"/>
      <c r="AF15" s="266"/>
      <c r="AG15" s="38"/>
      <c r="AI15" s="48"/>
      <c r="AJ15" s="48"/>
      <c r="AK15" s="48"/>
      <c r="AL15" s="48"/>
      <c r="AM15" s="48"/>
      <c r="AN15" s="48"/>
      <c r="AO15" s="48"/>
    </row>
    <row r="16" spans="1:33" ht="16.5" customHeight="1">
      <c r="A16" s="170" t="s">
        <v>203</v>
      </c>
      <c r="B16" s="47"/>
      <c r="C16" s="39"/>
      <c r="D16" s="39"/>
      <c r="E16" s="39"/>
      <c r="F16" s="39"/>
      <c r="G16" s="39"/>
      <c r="H16" s="39"/>
      <c r="I16" s="39"/>
      <c r="J16" s="39"/>
      <c r="K16" s="48"/>
      <c r="AA16" s="39"/>
      <c r="AB16" s="39"/>
      <c r="AC16" s="39"/>
      <c r="AD16" s="39"/>
      <c r="AE16" s="39"/>
      <c r="AF16" s="39"/>
      <c r="AG16" s="39"/>
    </row>
  </sheetData>
  <printOptions horizontalCentered="1"/>
  <pageMargins left="0.417" right="0.417" top="0.5" bottom="0.75" header="0" footer="0.27"/>
  <pageSetup fitToHeight="1" fitToWidth="1" horizontalDpi="600" verticalDpi="600" orientation="portrait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N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4.28125" style="0" customWidth="1"/>
    <col min="3" max="3" width="7.140625" style="0" customWidth="1"/>
    <col min="4" max="4" width="2.7109375" style="0" customWidth="1"/>
    <col min="5" max="5" width="7.140625" style="0" customWidth="1"/>
    <col min="6" max="6" width="5.421875" style="0" customWidth="1"/>
    <col min="7" max="7" width="7.28125" style="0" customWidth="1"/>
    <col min="8" max="8" width="3.00390625" style="0" customWidth="1"/>
    <col min="9" max="9" width="7.7109375" style="0" customWidth="1"/>
    <col min="10" max="10" width="5.421875" style="0" customWidth="1"/>
    <col min="12" max="12" width="4.00390625" style="0" customWidth="1"/>
    <col min="14" max="14" width="3.00390625" style="0" customWidth="1"/>
  </cols>
  <sheetData>
    <row r="2" spans="1:13" ht="12.75">
      <c r="A2" s="134" t="s">
        <v>189</v>
      </c>
      <c r="B2" s="134"/>
      <c r="C2" s="1"/>
      <c r="D2" s="1"/>
      <c r="E2" s="1"/>
      <c r="F2" s="1"/>
      <c r="G2" s="1"/>
      <c r="H2" s="1"/>
      <c r="I2" s="1"/>
      <c r="J2" s="1"/>
      <c r="K2" s="1"/>
      <c r="L2" s="115"/>
      <c r="M2" s="115"/>
    </row>
    <row r="3" spans="1:14" ht="12.75">
      <c r="A3" s="188"/>
      <c r="B3" s="188"/>
      <c r="C3" s="189" t="s">
        <v>180</v>
      </c>
      <c r="D3" s="199"/>
      <c r="E3" s="199"/>
      <c r="F3" s="188"/>
      <c r="G3" s="189" t="s">
        <v>3</v>
      </c>
      <c r="H3" s="189"/>
      <c r="I3" s="189"/>
      <c r="J3" s="188"/>
      <c r="K3" s="200" t="s">
        <v>181</v>
      </c>
      <c r="L3" s="200"/>
      <c r="M3" s="200" t="s">
        <v>185</v>
      </c>
      <c r="N3" s="201"/>
    </row>
    <row r="4" spans="1:14" ht="12.75">
      <c r="A4" s="188"/>
      <c r="B4" s="188"/>
      <c r="C4" s="188"/>
      <c r="D4" s="188"/>
      <c r="E4" s="188" t="s">
        <v>178</v>
      </c>
      <c r="F4" s="188"/>
      <c r="G4" s="202" t="s">
        <v>174</v>
      </c>
      <c r="H4" s="201"/>
      <c r="I4" s="201" t="s">
        <v>175</v>
      </c>
      <c r="J4" s="188"/>
      <c r="K4" s="203" t="s">
        <v>182</v>
      </c>
      <c r="L4" s="203"/>
      <c r="M4" s="203" t="s">
        <v>186</v>
      </c>
      <c r="N4" s="204"/>
    </row>
    <row r="5" spans="1:14" ht="9.75" customHeight="1">
      <c r="A5" s="190" t="s">
        <v>183</v>
      </c>
      <c r="B5" s="190"/>
      <c r="C5" s="191" t="s">
        <v>6</v>
      </c>
      <c r="D5" s="191"/>
      <c r="E5" s="191" t="s">
        <v>179</v>
      </c>
      <c r="F5" s="191"/>
      <c r="G5" s="191" t="s">
        <v>173</v>
      </c>
      <c r="H5" s="191"/>
      <c r="I5" s="191" t="s">
        <v>176</v>
      </c>
      <c r="J5" s="191"/>
      <c r="K5" s="191" t="s">
        <v>187</v>
      </c>
      <c r="L5" s="191"/>
      <c r="M5" s="191" t="s">
        <v>192</v>
      </c>
      <c r="N5" s="191"/>
    </row>
    <row r="6" spans="1:13" ht="12.75">
      <c r="A6" s="3"/>
      <c r="B6" s="3"/>
      <c r="C6" s="143" t="s">
        <v>6</v>
      </c>
      <c r="D6" s="143"/>
      <c r="E6" s="143" t="s">
        <v>29</v>
      </c>
      <c r="F6" s="143"/>
      <c r="G6" s="144" t="s">
        <v>177</v>
      </c>
      <c r="H6" s="144"/>
      <c r="I6" s="144"/>
      <c r="J6" s="143"/>
      <c r="K6" s="143" t="s">
        <v>29</v>
      </c>
      <c r="L6" s="143"/>
      <c r="M6" s="143" t="s">
        <v>29</v>
      </c>
    </row>
    <row r="7" spans="1:13" ht="5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>
      <c r="A8" s="9" t="s">
        <v>102</v>
      </c>
      <c r="B8" s="9"/>
      <c r="C8" s="155">
        <v>31</v>
      </c>
      <c r="D8" s="155"/>
      <c r="E8" s="157">
        <f>+(31/304)*100</f>
        <v>10.197368421052632</v>
      </c>
      <c r="F8" s="5"/>
      <c r="G8" s="157">
        <v>11.6</v>
      </c>
      <c r="H8" s="6"/>
      <c r="I8" s="159" t="s">
        <v>184</v>
      </c>
      <c r="J8" s="3"/>
      <c r="K8" s="157">
        <f>+(11.6/867.351)*100</f>
        <v>1.337405502501294</v>
      </c>
      <c r="L8" s="157"/>
      <c r="M8" s="159" t="s">
        <v>74</v>
      </c>
    </row>
    <row r="9" spans="1:13" ht="5.25" customHeight="1">
      <c r="A9" s="9"/>
      <c r="B9" s="9"/>
      <c r="C9" s="155"/>
      <c r="D9" s="155"/>
      <c r="E9" s="155"/>
      <c r="F9" s="5"/>
      <c r="G9" s="157"/>
      <c r="H9" s="6"/>
      <c r="I9" s="157"/>
      <c r="J9" s="3"/>
      <c r="K9" s="7"/>
      <c r="L9" s="7"/>
      <c r="M9" s="7"/>
    </row>
    <row r="10" spans="1:13" ht="12.75">
      <c r="A10" s="112" t="s">
        <v>101</v>
      </c>
      <c r="B10" s="112"/>
      <c r="C10" s="156">
        <v>29</v>
      </c>
      <c r="D10" s="156"/>
      <c r="E10" s="157">
        <f>+(29/264)*100</f>
        <v>10.984848484848484</v>
      </c>
      <c r="F10" s="113"/>
      <c r="G10" s="158">
        <v>8.51</v>
      </c>
      <c r="H10" s="114"/>
      <c r="I10" s="159" t="s">
        <v>184</v>
      </c>
      <c r="J10" s="115"/>
      <c r="K10" s="157">
        <f>+(8.51/862.936)*100</f>
        <v>0.9861681515199273</v>
      </c>
      <c r="L10" s="157"/>
      <c r="M10" s="159" t="s">
        <v>74</v>
      </c>
    </row>
    <row r="11" spans="1:13" ht="12.75">
      <c r="A11" s="112" t="s">
        <v>128</v>
      </c>
      <c r="B11" s="112"/>
      <c r="C11" s="156">
        <v>29</v>
      </c>
      <c r="D11" s="156"/>
      <c r="E11" s="157">
        <f>+(29/262)*100</f>
        <v>11.068702290076336</v>
      </c>
      <c r="F11" s="113"/>
      <c r="G11" s="158">
        <v>13.4</v>
      </c>
      <c r="H11" s="114"/>
      <c r="I11" s="157">
        <v>5.36</v>
      </c>
      <c r="J11" s="115"/>
      <c r="K11" s="157">
        <f>+(13.4/851.211)*100</f>
        <v>1.5742277766617205</v>
      </c>
      <c r="L11" s="157"/>
      <c r="M11" s="157">
        <v>73</v>
      </c>
    </row>
    <row r="12" spans="1:13" ht="12.75">
      <c r="A12" s="112" t="s">
        <v>165</v>
      </c>
      <c r="B12" s="112"/>
      <c r="C12" s="156">
        <v>30</v>
      </c>
      <c r="D12" s="156"/>
      <c r="E12" s="157">
        <f>+(30/260)*100</f>
        <v>11.538461538461538</v>
      </c>
      <c r="F12" s="113"/>
      <c r="G12" s="158">
        <v>11.6</v>
      </c>
      <c r="H12" s="114"/>
      <c r="I12" s="157">
        <v>3.7</v>
      </c>
      <c r="J12" s="115"/>
      <c r="K12" s="157">
        <f>+(11.6/844.288)*100</f>
        <v>1.3739387507580352</v>
      </c>
      <c r="L12" s="157"/>
      <c r="M12" s="157">
        <v>66</v>
      </c>
    </row>
    <row r="13" spans="1:14" ht="12.75">
      <c r="A13" s="112" t="s">
        <v>171</v>
      </c>
      <c r="B13" s="112"/>
      <c r="C13" s="156">
        <v>31</v>
      </c>
      <c r="D13" s="156"/>
      <c r="E13" s="157">
        <f>+(31/278)*100</f>
        <v>11.151079136690647</v>
      </c>
      <c r="F13" s="113"/>
      <c r="G13" s="158">
        <v>35.4</v>
      </c>
      <c r="H13" s="114"/>
      <c r="I13" s="157">
        <v>8.31</v>
      </c>
      <c r="J13" s="115"/>
      <c r="K13" s="157">
        <f>+(35.4/854.514)*100</f>
        <v>4.1427056783153935</v>
      </c>
      <c r="L13" s="160"/>
      <c r="M13" s="158">
        <v>76</v>
      </c>
      <c r="N13" s="160"/>
    </row>
    <row r="14" spans="1:14" ht="12.75">
      <c r="A14" s="289" t="s">
        <v>199</v>
      </c>
      <c r="B14" s="289"/>
      <c r="C14" s="302">
        <v>35</v>
      </c>
      <c r="D14" s="302"/>
      <c r="E14" s="303">
        <f>+(35/296)*100</f>
        <v>11.824324324324325</v>
      </c>
      <c r="F14" s="290"/>
      <c r="G14" s="304">
        <v>35</v>
      </c>
      <c r="H14" s="291"/>
      <c r="I14" s="303">
        <v>6.01</v>
      </c>
      <c r="J14" s="292"/>
      <c r="K14" s="303">
        <f>+(35/853.154)*100</f>
        <v>4.10242465018039</v>
      </c>
      <c r="L14" s="305"/>
      <c r="M14" s="304">
        <v>74</v>
      </c>
      <c r="N14" s="305"/>
    </row>
    <row r="15" spans="1:14" ht="12.75">
      <c r="A15" s="289" t="s">
        <v>201</v>
      </c>
      <c r="B15" s="289"/>
      <c r="C15" s="302">
        <v>33</v>
      </c>
      <c r="D15" s="302"/>
      <c r="E15" s="303">
        <f>+(33/306)*100</f>
        <v>10.784313725490197</v>
      </c>
      <c r="F15" s="290"/>
      <c r="G15" s="304">
        <v>32.5</v>
      </c>
      <c r="H15" s="291"/>
      <c r="I15" s="303">
        <v>8.76</v>
      </c>
      <c r="J15" s="292"/>
      <c r="K15" s="303">
        <f>+(32.5/847.113)*100</f>
        <v>3.8365601755609937</v>
      </c>
      <c r="L15" s="305"/>
      <c r="M15" s="304">
        <v>80</v>
      </c>
      <c r="N15" s="305"/>
    </row>
    <row r="16" spans="1:14" ht="12.75">
      <c r="A16" s="289" t="s">
        <v>226</v>
      </c>
      <c r="B16" s="289"/>
      <c r="C16" s="302">
        <v>38</v>
      </c>
      <c r="D16" s="302"/>
      <c r="E16" s="303">
        <f>+(38/280)*100</f>
        <v>13.571428571428571</v>
      </c>
      <c r="F16" s="290"/>
      <c r="G16" s="304">
        <v>36.2</v>
      </c>
      <c r="H16" s="291"/>
      <c r="I16" s="303">
        <v>8.78</v>
      </c>
      <c r="J16" s="292"/>
      <c r="K16" s="303">
        <f>+(36.2/828.002)*100</f>
        <v>4.371970116014213</v>
      </c>
      <c r="L16" s="305"/>
      <c r="M16" s="304">
        <v>78</v>
      </c>
      <c r="N16" s="305"/>
    </row>
    <row r="17" spans="1:14" ht="12.75">
      <c r="A17" s="323" t="s">
        <v>240</v>
      </c>
      <c r="B17" s="192"/>
      <c r="C17" s="205">
        <v>42</v>
      </c>
      <c r="D17" s="205"/>
      <c r="E17" s="206">
        <f>(C17/286)*100</f>
        <v>14.685314685314685</v>
      </c>
      <c r="F17" s="193"/>
      <c r="G17" s="207">
        <v>39.8</v>
      </c>
      <c r="H17" s="194"/>
      <c r="I17" s="206">
        <v>13.3</v>
      </c>
      <c r="J17" s="195"/>
      <c r="K17" s="206">
        <f>(G17/809.034)*100</f>
        <v>4.919447143136135</v>
      </c>
      <c r="L17" s="267"/>
      <c r="M17" s="207">
        <v>84</v>
      </c>
      <c r="N17" s="267"/>
    </row>
    <row r="18" spans="1:14" ht="5.25" customHeight="1">
      <c r="A18" s="192"/>
      <c r="B18" s="192"/>
      <c r="C18" s="205"/>
      <c r="D18" s="205"/>
      <c r="E18" s="206"/>
      <c r="F18" s="193"/>
      <c r="G18" s="207"/>
      <c r="H18" s="194"/>
      <c r="I18" s="206"/>
      <c r="J18" s="195"/>
      <c r="K18" s="206"/>
      <c r="L18" s="206"/>
      <c r="M18" s="207"/>
      <c r="N18" s="267"/>
    </row>
    <row r="19" spans="1:14" ht="12.75">
      <c r="A19" s="117" t="s">
        <v>188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:13" ht="9.75" customHeight="1">
      <c r="A20" s="162" t="s">
        <v>194</v>
      </c>
      <c r="B20" s="161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18" customHeight="1">
      <c r="A21" s="170" t="s">
        <v>204</v>
      </c>
      <c r="B21" s="14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printOptions horizontalCentered="1"/>
  <pageMargins left="0.417" right="0.417" top="0.5" bottom="0.75" header="0" footer="0.27"/>
  <pageSetup fitToHeight="1" fitToWidth="1" horizontalDpi="600" verticalDpi="600" orientation="portrait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0"/>
    <pageSetUpPr fitToPage="1"/>
  </sheetPr>
  <dimension ref="A2:V37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7.8515625" style="83" customWidth="1"/>
    <col min="2" max="2" width="7.28125" style="83" customWidth="1"/>
    <col min="3" max="3" width="2.57421875" style="83" customWidth="1"/>
    <col min="4" max="4" width="7.28125" style="83" customWidth="1"/>
    <col min="5" max="5" width="2.57421875" style="83" customWidth="1"/>
    <col min="6" max="6" width="7.28125" style="83" customWidth="1"/>
    <col min="7" max="7" width="2.7109375" style="83" customWidth="1"/>
    <col min="8" max="8" width="2.57421875" style="83" customWidth="1"/>
    <col min="9" max="9" width="7.28125" style="83" customWidth="1"/>
    <col min="10" max="10" width="2.57421875" style="83" customWidth="1"/>
    <col min="11" max="11" width="7.28125" style="83" customWidth="1"/>
    <col min="12" max="12" width="2.57421875" style="83" customWidth="1"/>
    <col min="13" max="13" width="7.28125" style="83" customWidth="1"/>
    <col min="14" max="14" width="2.7109375" style="83" customWidth="1"/>
    <col min="15" max="15" width="2.57421875" style="83" customWidth="1"/>
    <col min="16" max="16" width="7.28125" style="83" customWidth="1"/>
    <col min="17" max="17" width="4.57421875" style="83" customWidth="1"/>
    <col min="18" max="18" width="7.28125" style="83" customWidth="1"/>
    <col min="19" max="19" width="2.57421875" style="83" customWidth="1"/>
    <col min="20" max="20" width="7.28125" style="83" customWidth="1"/>
    <col min="21" max="21" width="2.8515625" style="83" customWidth="1"/>
    <col min="22" max="16384" width="9.7109375" style="83" customWidth="1"/>
  </cols>
  <sheetData>
    <row r="2" spans="1:21" ht="17.25" customHeight="1">
      <c r="A2" s="135" t="s">
        <v>244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2" customHeight="1">
      <c r="A3" s="208" t="s">
        <v>86</v>
      </c>
      <c r="B3" s="209"/>
      <c r="C3" s="210"/>
      <c r="D3" s="211" t="s">
        <v>87</v>
      </c>
      <c r="E3" s="210"/>
      <c r="F3" s="210"/>
      <c r="G3" s="210"/>
      <c r="H3" s="212"/>
      <c r="I3" s="209"/>
      <c r="J3" s="210"/>
      <c r="K3" s="213" t="s">
        <v>88</v>
      </c>
      <c r="L3" s="210"/>
      <c r="M3" s="210"/>
      <c r="N3" s="210"/>
      <c r="O3" s="214"/>
      <c r="P3" s="209"/>
      <c r="Q3" s="211" t="s">
        <v>89</v>
      </c>
      <c r="R3" s="214"/>
      <c r="S3" s="210"/>
      <c r="T3" s="210"/>
      <c r="U3" s="214"/>
    </row>
    <row r="4" spans="1:21" ht="12" customHeight="1">
      <c r="A4" s="211" t="s">
        <v>90</v>
      </c>
      <c r="B4" s="215" t="s">
        <v>91</v>
      </c>
      <c r="C4" s="210"/>
      <c r="D4" s="215" t="s">
        <v>92</v>
      </c>
      <c r="E4" s="210"/>
      <c r="F4" s="215" t="s">
        <v>93</v>
      </c>
      <c r="G4" s="210"/>
      <c r="H4" s="210"/>
      <c r="I4" s="215" t="s">
        <v>91</v>
      </c>
      <c r="J4" s="210"/>
      <c r="K4" s="215" t="s">
        <v>92</v>
      </c>
      <c r="L4" s="210"/>
      <c r="M4" s="215" t="s">
        <v>93</v>
      </c>
      <c r="N4" s="210"/>
      <c r="O4" s="209"/>
      <c r="P4" s="215" t="s">
        <v>91</v>
      </c>
      <c r="Q4" s="210"/>
      <c r="R4" s="216" t="s">
        <v>92</v>
      </c>
      <c r="S4" s="210"/>
      <c r="T4" s="215" t="s">
        <v>93</v>
      </c>
      <c r="U4" s="217"/>
    </row>
    <row r="5" spans="1:21" ht="12" customHeight="1">
      <c r="A5" s="146"/>
      <c r="B5" s="147" t="s">
        <v>94</v>
      </c>
      <c r="C5" s="146"/>
      <c r="D5" s="147" t="s">
        <v>95</v>
      </c>
      <c r="E5" s="146"/>
      <c r="F5" s="147" t="s">
        <v>96</v>
      </c>
      <c r="G5" s="146"/>
      <c r="H5" s="146"/>
      <c r="I5" s="147" t="s">
        <v>94</v>
      </c>
      <c r="J5" s="146"/>
      <c r="K5" s="147" t="s">
        <v>97</v>
      </c>
      <c r="L5" s="146"/>
      <c r="M5" s="147" t="s">
        <v>96</v>
      </c>
      <c r="N5" s="146"/>
      <c r="O5" s="146"/>
      <c r="P5" s="147" t="s">
        <v>94</v>
      </c>
      <c r="Q5" s="146"/>
      <c r="R5" s="147" t="s">
        <v>98</v>
      </c>
      <c r="S5" s="146"/>
      <c r="T5" s="147" t="s">
        <v>96</v>
      </c>
      <c r="U5" s="84"/>
    </row>
    <row r="6" spans="1:21" ht="4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0.5" customHeight="1">
      <c r="A7" s="85" t="s">
        <v>99</v>
      </c>
      <c r="B7" s="86">
        <v>1203</v>
      </c>
      <c r="C7" s="84"/>
      <c r="D7" s="87">
        <v>4.3</v>
      </c>
      <c r="E7" s="84"/>
      <c r="F7" s="86">
        <v>4924</v>
      </c>
      <c r="G7" s="86"/>
      <c r="H7" s="84"/>
      <c r="I7" s="86">
        <v>1041</v>
      </c>
      <c r="J7" s="84"/>
      <c r="K7" s="87">
        <v>2.15</v>
      </c>
      <c r="L7" s="84"/>
      <c r="M7" s="86">
        <v>1926</v>
      </c>
      <c r="N7" s="86"/>
      <c r="O7" s="84"/>
      <c r="P7" s="86">
        <v>2467</v>
      </c>
      <c r="Q7" s="84"/>
      <c r="R7" s="87">
        <v>3.34</v>
      </c>
      <c r="S7" s="84"/>
      <c r="T7" s="86">
        <v>7541</v>
      </c>
      <c r="U7" s="84"/>
    </row>
    <row r="8" spans="1:21" ht="10.5" customHeight="1">
      <c r="A8" s="85" t="s">
        <v>10</v>
      </c>
      <c r="B8" s="86">
        <v>1517</v>
      </c>
      <c r="C8" s="84"/>
      <c r="D8" s="87">
        <v>4.37</v>
      </c>
      <c r="E8" s="84"/>
      <c r="F8" s="86">
        <v>5911</v>
      </c>
      <c r="G8" s="86"/>
      <c r="H8" s="84"/>
      <c r="I8" s="86">
        <v>574</v>
      </c>
      <c r="J8" s="84"/>
      <c r="K8" s="87">
        <v>2.62</v>
      </c>
      <c r="L8" s="84"/>
      <c r="M8" s="86">
        <v>1424</v>
      </c>
      <c r="N8" s="86"/>
      <c r="O8" s="84"/>
      <c r="P8" s="86">
        <v>2466</v>
      </c>
      <c r="Q8" s="84"/>
      <c r="R8" s="87">
        <v>3.7</v>
      </c>
      <c r="S8" s="84"/>
      <c r="T8" s="86">
        <v>8239</v>
      </c>
      <c r="U8" s="84"/>
    </row>
    <row r="9" spans="1:21" ht="10.5" customHeight="1">
      <c r="A9" s="85" t="s">
        <v>11</v>
      </c>
      <c r="B9" s="86">
        <v>2112</v>
      </c>
      <c r="C9" s="84"/>
      <c r="D9" s="87">
        <v>4.43</v>
      </c>
      <c r="E9" s="84"/>
      <c r="F9" s="86">
        <v>8488</v>
      </c>
      <c r="G9" s="86"/>
      <c r="H9" s="87"/>
      <c r="I9" s="86">
        <v>1242</v>
      </c>
      <c r="J9" s="84"/>
      <c r="K9" s="87">
        <v>2.76</v>
      </c>
      <c r="L9" s="84"/>
      <c r="M9" s="86">
        <v>3221</v>
      </c>
      <c r="N9" s="86"/>
      <c r="O9" s="84"/>
      <c r="P9" s="86">
        <v>3835</v>
      </c>
      <c r="Q9" s="84"/>
      <c r="R9" s="87">
        <v>3.64</v>
      </c>
      <c r="S9" s="84"/>
      <c r="T9" s="86">
        <v>12986</v>
      </c>
      <c r="U9" s="84"/>
    </row>
    <row r="10" spans="1:21" ht="10.5" customHeight="1">
      <c r="A10" s="85" t="s">
        <v>12</v>
      </c>
      <c r="B10" s="86">
        <v>2430</v>
      </c>
      <c r="C10" s="84"/>
      <c r="D10" s="87">
        <v>4.21</v>
      </c>
      <c r="E10" s="84"/>
      <c r="F10" s="86">
        <v>9293</v>
      </c>
      <c r="G10" s="86"/>
      <c r="H10" s="86"/>
      <c r="I10" s="86">
        <v>1402</v>
      </c>
      <c r="J10" s="84"/>
      <c r="K10" s="87">
        <v>2.66</v>
      </c>
      <c r="L10" s="84"/>
      <c r="M10" s="86">
        <v>3494</v>
      </c>
      <c r="N10" s="86"/>
      <c r="O10" s="87"/>
      <c r="P10" s="86">
        <v>4390</v>
      </c>
      <c r="Q10" s="87"/>
      <c r="R10" s="87">
        <v>3.53</v>
      </c>
      <c r="S10" s="84"/>
      <c r="T10" s="86">
        <v>14320</v>
      </c>
      <c r="U10" s="84"/>
    </row>
    <row r="11" spans="1:21" ht="6.75" customHeight="1">
      <c r="A11" s="85"/>
      <c r="B11" s="86"/>
      <c r="C11" s="84"/>
      <c r="D11" s="87"/>
      <c r="E11" s="84"/>
      <c r="F11" s="86"/>
      <c r="G11" s="86"/>
      <c r="H11" s="86"/>
      <c r="I11" s="86"/>
      <c r="J11" s="84"/>
      <c r="K11" s="87"/>
      <c r="L11" s="84"/>
      <c r="M11" s="86"/>
      <c r="N11" s="86"/>
      <c r="O11" s="87"/>
      <c r="P11" s="86"/>
      <c r="Q11" s="87"/>
      <c r="R11" s="87"/>
      <c r="S11" s="84"/>
      <c r="T11" s="86"/>
      <c r="U11" s="84"/>
    </row>
    <row r="12" spans="1:21" ht="10.5" customHeight="1">
      <c r="A12" s="85" t="s">
        <v>13</v>
      </c>
      <c r="B12" s="86">
        <v>2553</v>
      </c>
      <c r="C12" s="87"/>
      <c r="D12" s="87">
        <v>3.73</v>
      </c>
      <c r="E12" s="87"/>
      <c r="F12" s="86">
        <v>8673</v>
      </c>
      <c r="G12" s="86"/>
      <c r="H12" s="87"/>
      <c r="I12" s="86">
        <v>1242</v>
      </c>
      <c r="J12" s="87"/>
      <c r="K12" s="87">
        <v>2.67</v>
      </c>
      <c r="L12" s="84"/>
      <c r="M12" s="86">
        <v>3207</v>
      </c>
      <c r="N12" s="86"/>
      <c r="O12" s="87"/>
      <c r="P12" s="86">
        <v>4487</v>
      </c>
      <c r="Q12" s="87"/>
      <c r="R12" s="87">
        <v>3.34</v>
      </c>
      <c r="S12" s="84"/>
      <c r="T12" s="86">
        <v>13840</v>
      </c>
      <c r="U12" s="84"/>
    </row>
    <row r="13" spans="1:21" ht="10.5" customHeight="1">
      <c r="A13" s="85" t="s">
        <v>14</v>
      </c>
      <c r="B13" s="86">
        <v>2802</v>
      </c>
      <c r="C13" s="84"/>
      <c r="D13" s="87">
        <v>4.01</v>
      </c>
      <c r="E13" s="84"/>
      <c r="F13" s="86">
        <v>10183</v>
      </c>
      <c r="G13" s="86"/>
      <c r="H13" s="84"/>
      <c r="I13" s="86">
        <v>1098</v>
      </c>
      <c r="J13" s="84"/>
      <c r="K13" s="87">
        <v>3.14</v>
      </c>
      <c r="L13" s="84"/>
      <c r="M13" s="86">
        <v>3287</v>
      </c>
      <c r="N13" s="86"/>
      <c r="O13" s="84"/>
      <c r="P13" s="86">
        <v>4676</v>
      </c>
      <c r="Q13" s="84"/>
      <c r="R13" s="87">
        <v>3.76</v>
      </c>
      <c r="S13" s="84"/>
      <c r="T13" s="86">
        <v>16053</v>
      </c>
      <c r="U13" s="84"/>
    </row>
    <row r="14" spans="1:21" ht="10.5" customHeight="1">
      <c r="A14" s="85" t="s">
        <v>15</v>
      </c>
      <c r="B14" s="86">
        <v>2955</v>
      </c>
      <c r="C14" s="84"/>
      <c r="D14" s="87">
        <v>3.88</v>
      </c>
      <c r="E14" s="84"/>
      <c r="F14" s="86">
        <v>10677</v>
      </c>
      <c r="G14" s="86"/>
      <c r="H14" s="84"/>
      <c r="I14" s="86">
        <v>1089</v>
      </c>
      <c r="J14" s="84"/>
      <c r="K14" s="87">
        <v>2.58</v>
      </c>
      <c r="L14" s="84"/>
      <c r="M14" s="86">
        <v>2579</v>
      </c>
      <c r="N14" s="86"/>
      <c r="O14" s="84"/>
      <c r="P14" s="86">
        <v>5005</v>
      </c>
      <c r="Q14" s="84"/>
      <c r="R14" s="87">
        <v>3.58</v>
      </c>
      <c r="S14" s="84"/>
      <c r="T14" s="86">
        <v>16356</v>
      </c>
      <c r="U14" s="84"/>
    </row>
    <row r="15" spans="1:21" ht="10.5" customHeight="1">
      <c r="A15" s="85" t="s">
        <v>16</v>
      </c>
      <c r="B15" s="86">
        <v>5762</v>
      </c>
      <c r="C15" s="84"/>
      <c r="D15" s="87">
        <v>3.7</v>
      </c>
      <c r="E15" s="84"/>
      <c r="F15" s="86">
        <v>20672</v>
      </c>
      <c r="G15" s="86"/>
      <c r="H15" s="84"/>
      <c r="I15" s="86">
        <v>2089</v>
      </c>
      <c r="J15" s="84"/>
      <c r="K15" s="87">
        <v>2.5</v>
      </c>
      <c r="L15" s="84"/>
      <c r="M15" s="86">
        <v>4856</v>
      </c>
      <c r="N15" s="86"/>
      <c r="O15" s="84"/>
      <c r="P15" s="86">
        <v>8844</v>
      </c>
      <c r="Q15" s="84"/>
      <c r="R15" s="87">
        <v>3.41</v>
      </c>
      <c r="S15" s="84"/>
      <c r="T15" s="86">
        <v>28791</v>
      </c>
      <c r="U15" s="84"/>
    </row>
    <row r="16" spans="1:21" ht="10.5" customHeight="1">
      <c r="A16" s="88" t="s">
        <v>17</v>
      </c>
      <c r="B16" s="89">
        <v>5649</v>
      </c>
      <c r="C16" s="90"/>
      <c r="D16" s="91">
        <v>3.86</v>
      </c>
      <c r="E16" s="90"/>
      <c r="F16" s="89">
        <v>20819</v>
      </c>
      <c r="G16" s="89"/>
      <c r="H16" s="90"/>
      <c r="I16" s="89">
        <v>1980</v>
      </c>
      <c r="J16" s="90"/>
      <c r="K16" s="91">
        <v>2.65</v>
      </c>
      <c r="L16" s="90"/>
      <c r="M16" s="89">
        <v>4773</v>
      </c>
      <c r="N16" s="89"/>
      <c r="O16" s="90"/>
      <c r="P16" s="89">
        <v>8794</v>
      </c>
      <c r="Q16" s="90"/>
      <c r="R16" s="91">
        <v>3.56</v>
      </c>
      <c r="S16" s="90"/>
      <c r="T16" s="89">
        <v>29316</v>
      </c>
      <c r="U16" s="90"/>
    </row>
    <row r="17" spans="1:21" ht="10.5" customHeight="1">
      <c r="A17" s="92" t="s">
        <v>18</v>
      </c>
      <c r="B17" s="89">
        <v>6140</v>
      </c>
      <c r="C17" s="90"/>
      <c r="D17" s="91">
        <v>3.49</v>
      </c>
      <c r="E17" s="90"/>
      <c r="F17" s="89">
        <v>19757</v>
      </c>
      <c r="G17" s="89"/>
      <c r="H17" s="90"/>
      <c r="I17" s="89">
        <v>1941</v>
      </c>
      <c r="J17" s="90"/>
      <c r="K17" s="91">
        <v>2.49</v>
      </c>
      <c r="L17" s="90"/>
      <c r="M17" s="89">
        <v>4467</v>
      </c>
      <c r="N17" s="89"/>
      <c r="O17" s="90"/>
      <c r="P17" s="89">
        <v>9576</v>
      </c>
      <c r="Q17" s="90"/>
      <c r="R17" s="91">
        <v>3.39</v>
      </c>
      <c r="S17" s="90"/>
      <c r="T17" s="89">
        <v>29953</v>
      </c>
      <c r="U17" s="90"/>
    </row>
    <row r="18" spans="1:21" ht="10.5" customHeight="1">
      <c r="A18" s="93" t="s">
        <v>19</v>
      </c>
      <c r="B18" s="89">
        <v>7025</v>
      </c>
      <c r="C18" s="90"/>
      <c r="D18" s="91">
        <v>3.39</v>
      </c>
      <c r="E18" s="90"/>
      <c r="F18" s="89">
        <v>22560</v>
      </c>
      <c r="G18" s="89"/>
      <c r="H18" s="90"/>
      <c r="I18" s="89">
        <v>2695</v>
      </c>
      <c r="J18" s="90"/>
      <c r="K18" s="91">
        <v>2.59</v>
      </c>
      <c r="L18" s="90"/>
      <c r="M18" s="89">
        <v>6595</v>
      </c>
      <c r="N18" s="89"/>
      <c r="O18" s="90"/>
      <c r="P18" s="89">
        <v>11329</v>
      </c>
      <c r="Q18" s="90"/>
      <c r="R18" s="91">
        <v>3.38</v>
      </c>
      <c r="S18" s="90"/>
      <c r="T18" s="89">
        <v>36138</v>
      </c>
      <c r="U18" s="90"/>
    </row>
    <row r="19" spans="1:21" ht="10.5" customHeight="1">
      <c r="A19" s="93" t="s">
        <v>20</v>
      </c>
      <c r="B19" s="89">
        <v>6624</v>
      </c>
      <c r="C19" s="90"/>
      <c r="D19" s="91">
        <v>3.15</v>
      </c>
      <c r="E19" s="90"/>
      <c r="F19" s="89">
        <v>19774</v>
      </c>
      <c r="G19" s="89"/>
      <c r="H19" s="90"/>
      <c r="I19" s="89">
        <v>2210</v>
      </c>
      <c r="J19" s="90"/>
      <c r="K19" s="91">
        <v>1.94</v>
      </c>
      <c r="L19" s="90"/>
      <c r="M19" s="89">
        <v>4014</v>
      </c>
      <c r="N19" s="89"/>
      <c r="O19" s="90"/>
      <c r="P19" s="89">
        <v>10111</v>
      </c>
      <c r="Q19" s="90"/>
      <c r="R19" s="91">
        <v>3.01</v>
      </c>
      <c r="S19" s="90"/>
      <c r="T19" s="89">
        <v>28673</v>
      </c>
      <c r="U19" s="90"/>
    </row>
    <row r="20" spans="1:21" ht="10.5" customHeight="1">
      <c r="A20" s="93" t="s">
        <v>21</v>
      </c>
      <c r="B20" s="89">
        <v>8680</v>
      </c>
      <c r="C20" s="90"/>
      <c r="D20" s="91">
        <v>3.15</v>
      </c>
      <c r="E20" s="90"/>
      <c r="F20" s="89">
        <v>25978</v>
      </c>
      <c r="G20" s="89"/>
      <c r="H20" s="90"/>
      <c r="I20" s="89">
        <v>3729</v>
      </c>
      <c r="J20" s="90"/>
      <c r="K20" s="91">
        <v>2.16</v>
      </c>
      <c r="L20" s="90"/>
      <c r="M20" s="89">
        <v>7675</v>
      </c>
      <c r="N20" s="89"/>
      <c r="O20" s="90"/>
      <c r="P20" s="89">
        <v>13665</v>
      </c>
      <c r="Q20" s="90"/>
      <c r="R20" s="91">
        <v>2.98</v>
      </c>
      <c r="S20" s="90"/>
      <c r="T20" s="89">
        <v>38710</v>
      </c>
      <c r="U20" s="90"/>
    </row>
    <row r="21" spans="1:21" ht="10.5" customHeight="1">
      <c r="A21" s="93" t="s">
        <v>102</v>
      </c>
      <c r="B21" s="89">
        <v>8635</v>
      </c>
      <c r="C21" s="90"/>
      <c r="D21" s="91">
        <v>3.29</v>
      </c>
      <c r="E21" s="90"/>
      <c r="F21" s="89">
        <v>26893</v>
      </c>
      <c r="G21" s="89"/>
      <c r="H21" s="90"/>
      <c r="I21" s="89">
        <v>3573</v>
      </c>
      <c r="J21" s="90"/>
      <c r="K21" s="91">
        <v>2.16</v>
      </c>
      <c r="L21" s="90"/>
      <c r="M21" s="89">
        <v>7218</v>
      </c>
      <c r="N21" s="89"/>
      <c r="O21" s="90"/>
      <c r="P21" s="89">
        <v>13534</v>
      </c>
      <c r="Q21" s="90"/>
      <c r="R21" s="91">
        <v>3.05</v>
      </c>
      <c r="S21" s="90"/>
      <c r="T21" s="89">
        <v>38800</v>
      </c>
      <c r="U21" s="90"/>
    </row>
    <row r="22" spans="1:21" ht="8.25" customHeight="1">
      <c r="A22" s="93"/>
      <c r="B22" s="89"/>
      <c r="C22" s="90"/>
      <c r="D22" s="91"/>
      <c r="E22" s="90"/>
      <c r="F22" s="89"/>
      <c r="G22" s="89"/>
      <c r="H22" s="90"/>
      <c r="I22" s="89"/>
      <c r="J22" s="90"/>
      <c r="K22" s="91"/>
      <c r="L22" s="90"/>
      <c r="M22" s="89"/>
      <c r="N22" s="89"/>
      <c r="O22" s="90"/>
      <c r="P22" s="89"/>
      <c r="Q22" s="90"/>
      <c r="R22" s="91"/>
      <c r="S22" s="90"/>
      <c r="T22" s="89"/>
      <c r="U22" s="90"/>
    </row>
    <row r="23" spans="1:21" ht="10.5" customHeight="1">
      <c r="A23" s="93" t="s">
        <v>101</v>
      </c>
      <c r="B23" s="89">
        <v>9391</v>
      </c>
      <c r="C23" s="90"/>
      <c r="D23" s="91">
        <v>3.17</v>
      </c>
      <c r="E23" s="90"/>
      <c r="F23" s="89">
        <v>28314</v>
      </c>
      <c r="G23" s="89"/>
      <c r="H23" s="90"/>
      <c r="I23" s="89">
        <v>3817</v>
      </c>
      <c r="J23" s="90"/>
      <c r="K23" s="91">
        <v>2.13</v>
      </c>
      <c r="L23" s="90"/>
      <c r="M23" s="89">
        <v>7745</v>
      </c>
      <c r="N23" s="89"/>
      <c r="O23" s="90"/>
      <c r="P23" s="89">
        <v>14605</v>
      </c>
      <c r="Q23" s="90"/>
      <c r="R23" s="91">
        <v>3.04</v>
      </c>
      <c r="S23" s="90"/>
      <c r="T23" s="89">
        <v>42237</v>
      </c>
      <c r="U23" s="90"/>
    </row>
    <row r="24" spans="1:21" ht="10.5" customHeight="1">
      <c r="A24" s="93" t="s">
        <v>128</v>
      </c>
      <c r="B24" s="89">
        <v>8454</v>
      </c>
      <c r="C24" s="90"/>
      <c r="D24" s="91">
        <v>2.92</v>
      </c>
      <c r="E24" s="90"/>
      <c r="F24" s="89">
        <v>23407</v>
      </c>
      <c r="G24" s="89"/>
      <c r="H24" s="90"/>
      <c r="I24" s="89">
        <v>4273</v>
      </c>
      <c r="J24" s="90"/>
      <c r="K24" s="91">
        <v>2.01</v>
      </c>
      <c r="L24" s="90"/>
      <c r="M24" s="89">
        <v>8092</v>
      </c>
      <c r="N24" s="89"/>
      <c r="O24" s="90"/>
      <c r="P24" s="89">
        <v>14268</v>
      </c>
      <c r="Q24" s="308"/>
      <c r="R24" s="91">
        <v>2.76</v>
      </c>
      <c r="S24" s="90"/>
      <c r="T24" s="89">
        <v>37226</v>
      </c>
      <c r="U24" s="334"/>
    </row>
    <row r="25" spans="1:21" ht="10.5" customHeight="1">
      <c r="A25" s="93" t="s">
        <v>165</v>
      </c>
      <c r="B25" s="89">
        <v>7476</v>
      </c>
      <c r="C25" s="90"/>
      <c r="D25" s="91">
        <v>3.08</v>
      </c>
      <c r="E25" s="90"/>
      <c r="F25" s="89">
        <v>21718</v>
      </c>
      <c r="G25" s="89"/>
      <c r="H25" s="90"/>
      <c r="I25" s="89">
        <v>3997</v>
      </c>
      <c r="J25" s="90"/>
      <c r="K25" s="91">
        <v>1.91</v>
      </c>
      <c r="L25" s="90"/>
      <c r="M25" s="89">
        <v>6820</v>
      </c>
      <c r="N25" s="89"/>
      <c r="O25" s="90"/>
      <c r="P25" s="89">
        <v>12904</v>
      </c>
      <c r="Q25" s="308"/>
      <c r="R25" s="91">
        <v>2.89</v>
      </c>
      <c r="S25" s="90"/>
      <c r="T25" s="89">
        <v>34411</v>
      </c>
      <c r="U25" s="334"/>
    </row>
    <row r="26" spans="1:21" ht="10.5" customHeight="1">
      <c r="A26" s="93" t="s">
        <v>171</v>
      </c>
      <c r="B26" s="89">
        <v>7731</v>
      </c>
      <c r="C26" s="90"/>
      <c r="D26" s="91">
        <v>3.24</v>
      </c>
      <c r="E26" s="90"/>
      <c r="F26" s="89">
        <v>24391</v>
      </c>
      <c r="G26" s="89"/>
      <c r="H26" s="90"/>
      <c r="I26" s="89">
        <v>4428</v>
      </c>
      <c r="J26" s="90"/>
      <c r="K26" s="91">
        <v>2.08</v>
      </c>
      <c r="L26" s="90"/>
      <c r="M26" s="89">
        <v>8714</v>
      </c>
      <c r="N26" s="89"/>
      <c r="O26" s="90"/>
      <c r="P26" s="89">
        <v>13850</v>
      </c>
      <c r="Q26" s="308"/>
      <c r="R26" s="91">
        <v>3.03</v>
      </c>
      <c r="S26" s="90"/>
      <c r="T26" s="89">
        <v>40509</v>
      </c>
      <c r="U26" s="334"/>
    </row>
    <row r="27" spans="1:21" ht="10.5" customHeight="1">
      <c r="A27" s="306" t="s">
        <v>199</v>
      </c>
      <c r="B27" s="307">
        <v>9085</v>
      </c>
      <c r="C27" s="308"/>
      <c r="D27" s="309">
        <v>3.25</v>
      </c>
      <c r="E27" s="308"/>
      <c r="F27" s="307">
        <v>28005</v>
      </c>
      <c r="G27" s="307"/>
      <c r="H27" s="308"/>
      <c r="I27" s="307">
        <v>5428</v>
      </c>
      <c r="J27" s="308"/>
      <c r="K27" s="309">
        <v>2.35</v>
      </c>
      <c r="L27" s="308"/>
      <c r="M27" s="307">
        <v>12035</v>
      </c>
      <c r="N27" s="307"/>
      <c r="O27" s="308"/>
      <c r="P27" s="307">
        <v>15949</v>
      </c>
      <c r="Q27" s="308"/>
      <c r="R27" s="309">
        <v>3.09</v>
      </c>
      <c r="S27" s="308"/>
      <c r="T27" s="307">
        <v>46541</v>
      </c>
      <c r="U27" s="334"/>
    </row>
    <row r="28" spans="1:21" ht="10.5" customHeight="1">
      <c r="A28" s="306" t="s">
        <v>201</v>
      </c>
      <c r="B28" s="307">
        <v>8014</v>
      </c>
      <c r="C28" s="308"/>
      <c r="D28" s="309">
        <v>3.25</v>
      </c>
      <c r="E28" s="308"/>
      <c r="F28" s="307">
        <v>24942</v>
      </c>
      <c r="G28" s="307"/>
      <c r="H28" s="308"/>
      <c r="I28" s="307">
        <v>4765</v>
      </c>
      <c r="J28" s="308"/>
      <c r="K28" s="309">
        <v>2.15</v>
      </c>
      <c r="L28" s="308"/>
      <c r="M28" s="307">
        <v>9827</v>
      </c>
      <c r="N28" s="307"/>
      <c r="O28" s="308"/>
      <c r="P28" s="307">
        <v>14156</v>
      </c>
      <c r="Q28" s="308"/>
      <c r="R28" s="309">
        <v>3.02</v>
      </c>
      <c r="S28" s="308"/>
      <c r="T28" s="307">
        <v>40529</v>
      </c>
      <c r="U28" s="334"/>
    </row>
    <row r="29" spans="1:22" ht="10.5" customHeight="1">
      <c r="A29" s="306" t="s">
        <v>226</v>
      </c>
      <c r="B29" s="307">
        <v>7155</v>
      </c>
      <c r="C29" s="308"/>
      <c r="D29" s="309">
        <v>3.36</v>
      </c>
      <c r="E29" s="308"/>
      <c r="F29" s="307">
        <v>23469</v>
      </c>
      <c r="G29" s="307"/>
      <c r="H29" s="308"/>
      <c r="I29" s="307">
        <v>5265</v>
      </c>
      <c r="J29" s="308"/>
      <c r="K29" s="309">
        <v>2.41</v>
      </c>
      <c r="L29" s="308"/>
      <c r="M29" s="307">
        <v>12185</v>
      </c>
      <c r="N29" s="307"/>
      <c r="O29" s="308"/>
      <c r="P29" s="307">
        <v>14600</v>
      </c>
      <c r="Q29" s="308"/>
      <c r="R29" s="309">
        <v>3.24</v>
      </c>
      <c r="S29" s="308"/>
      <c r="T29" s="307">
        <v>45885</v>
      </c>
      <c r="U29" s="334"/>
      <c r="V29" s="332"/>
    </row>
    <row r="30" spans="1:22" ht="10.5" customHeight="1">
      <c r="A30" s="330" t="s">
        <v>240</v>
      </c>
      <c r="B30" s="219">
        <v>10190</v>
      </c>
      <c r="C30" s="220"/>
      <c r="D30" s="221">
        <v>2.81</v>
      </c>
      <c r="E30" s="220"/>
      <c r="F30" s="219">
        <v>27794</v>
      </c>
      <c r="G30" s="219"/>
      <c r="H30" s="220"/>
      <c r="I30" s="219">
        <v>4371</v>
      </c>
      <c r="J30" s="220"/>
      <c r="K30" s="221">
        <v>2.87</v>
      </c>
      <c r="L30" s="220"/>
      <c r="M30" s="219">
        <v>12206</v>
      </c>
      <c r="N30" s="219"/>
      <c r="O30" s="220"/>
      <c r="P30" s="219">
        <v>16647</v>
      </c>
      <c r="Q30" s="220"/>
      <c r="R30" s="221">
        <v>3.08</v>
      </c>
      <c r="S30" s="220"/>
      <c r="T30" s="219">
        <v>49936</v>
      </c>
      <c r="U30" s="331"/>
      <c r="V30" s="332"/>
    </row>
    <row r="31" spans="1:21" ht="5.25" customHeight="1">
      <c r="A31" s="218"/>
      <c r="B31" s="219"/>
      <c r="C31" s="220"/>
      <c r="D31" s="221"/>
      <c r="E31" s="220"/>
      <c r="F31" s="219"/>
      <c r="G31" s="219"/>
      <c r="H31" s="220"/>
      <c r="I31" s="219"/>
      <c r="J31" s="220"/>
      <c r="K31" s="221"/>
      <c r="L31" s="220"/>
      <c r="M31" s="219"/>
      <c r="N31" s="219"/>
      <c r="O31" s="220"/>
      <c r="P31" s="219"/>
      <c r="Q31" s="220"/>
      <c r="R31" s="221"/>
      <c r="S31" s="220"/>
      <c r="T31" s="219"/>
      <c r="U31" s="220"/>
    </row>
    <row r="32" spans="1:21" ht="12.75" customHeight="1">
      <c r="A32" s="94" t="s">
        <v>193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</row>
    <row r="33" spans="1:21" ht="9.75" customHeight="1">
      <c r="A33" s="96" t="s">
        <v>100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</row>
    <row r="34" spans="1:21" ht="15.75" customHeight="1">
      <c r="A34" s="170" t="s">
        <v>202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333"/>
      <c r="U34" s="84"/>
    </row>
    <row r="35" ht="12">
      <c r="A35" s="84"/>
    </row>
    <row r="36" ht="12">
      <c r="A36" s="84"/>
    </row>
    <row r="37" ht="12">
      <c r="A37" s="84"/>
    </row>
  </sheetData>
  <printOptions horizontalCentered="1"/>
  <pageMargins left="0.417" right="0.417" top="0.5" bottom="0.75" header="0" footer="0.27"/>
  <pageSetup fitToHeight="1" fitToWidth="1" horizontalDpi="600" verticalDpi="600" orientation="portrait" scale="96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9"/>
    <pageSetUpPr fitToPage="1"/>
  </sheetPr>
  <dimension ref="A2:AG105"/>
  <sheetViews>
    <sheetView showGridLines="0" workbookViewId="0" topLeftCell="A1">
      <selection activeCell="L78" sqref="L78"/>
    </sheetView>
  </sheetViews>
  <sheetFormatPr defaultColWidth="9.7109375" defaultRowHeight="12.75"/>
  <cols>
    <col min="1" max="1" width="7.7109375" style="59" customWidth="1"/>
    <col min="2" max="13" width="7.140625" style="59" customWidth="1"/>
    <col min="14" max="14" width="8.140625" style="59" customWidth="1"/>
    <col min="15" max="15" width="0.42578125" style="59" customWidth="1"/>
    <col min="16" max="16" width="9.8515625" style="59" customWidth="1"/>
    <col min="17" max="16384" width="9.7109375" style="59" customWidth="1"/>
  </cols>
  <sheetData>
    <row r="1" ht="6.75" customHeight="1"/>
    <row r="2" spans="1:14" ht="17.25" customHeight="1">
      <c r="A2" s="136" t="s">
        <v>237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" customHeight="1">
      <c r="A3" s="222" t="s">
        <v>57</v>
      </c>
      <c r="B3" s="223" t="s">
        <v>58</v>
      </c>
      <c r="C3" s="223" t="s">
        <v>59</v>
      </c>
      <c r="D3" s="223" t="s">
        <v>60</v>
      </c>
      <c r="E3" s="223" t="s">
        <v>61</v>
      </c>
      <c r="F3" s="223" t="s">
        <v>62</v>
      </c>
      <c r="G3" s="223" t="s">
        <v>63</v>
      </c>
      <c r="H3" s="223" t="s">
        <v>64</v>
      </c>
      <c r="I3" s="223" t="s">
        <v>65</v>
      </c>
      <c r="J3" s="223" t="s">
        <v>66</v>
      </c>
      <c r="K3" s="223" t="s">
        <v>67</v>
      </c>
      <c r="L3" s="223" t="s">
        <v>68</v>
      </c>
      <c r="M3" s="223" t="s">
        <v>69</v>
      </c>
      <c r="N3" s="224" t="s">
        <v>70</v>
      </c>
    </row>
    <row r="4" spans="1:14" ht="13.5" customHeight="1">
      <c r="A4" s="60"/>
      <c r="B4" s="60"/>
      <c r="C4" s="60"/>
      <c r="D4" s="60"/>
      <c r="E4" s="60"/>
      <c r="F4" s="60"/>
      <c r="G4" s="139" t="s">
        <v>71</v>
      </c>
      <c r="H4" s="60"/>
      <c r="I4" s="60"/>
      <c r="J4" s="60"/>
      <c r="K4" s="60"/>
      <c r="L4" s="60"/>
      <c r="M4" s="60"/>
      <c r="N4" s="60"/>
    </row>
    <row r="5" spans="1:14" ht="9" customHeight="1">
      <c r="A5" s="131" t="s">
        <v>72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33" ht="9" customHeight="1">
      <c r="A6" s="61">
        <v>1988</v>
      </c>
      <c r="B6" s="62">
        <v>114</v>
      </c>
      <c r="C6" s="62">
        <v>131</v>
      </c>
      <c r="D6" s="62">
        <v>115</v>
      </c>
      <c r="E6" s="62">
        <v>180</v>
      </c>
      <c r="F6" s="62">
        <v>132</v>
      </c>
      <c r="G6" s="62">
        <v>223</v>
      </c>
      <c r="H6" s="62">
        <v>206</v>
      </c>
      <c r="I6" s="62">
        <v>73</v>
      </c>
      <c r="J6" s="62">
        <v>30</v>
      </c>
      <c r="K6" s="62">
        <v>154</v>
      </c>
      <c r="L6" s="62">
        <v>198</v>
      </c>
      <c r="M6" s="62">
        <v>95</v>
      </c>
      <c r="N6" s="120">
        <v>1651</v>
      </c>
      <c r="O6" s="63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</row>
    <row r="7" spans="1:33" ht="9" customHeight="1">
      <c r="A7" s="61">
        <v>1989</v>
      </c>
      <c r="B7" s="62">
        <v>275.43</v>
      </c>
      <c r="C7" s="62">
        <v>188.17</v>
      </c>
      <c r="D7" s="62">
        <v>208.18</v>
      </c>
      <c r="E7" s="62">
        <v>169.78</v>
      </c>
      <c r="F7" s="62">
        <v>156.68</v>
      </c>
      <c r="G7" s="62">
        <v>136.16</v>
      </c>
      <c r="H7" s="62">
        <v>130.03</v>
      </c>
      <c r="I7" s="62">
        <v>257.82</v>
      </c>
      <c r="J7" s="62">
        <v>139.53</v>
      </c>
      <c r="K7" s="62">
        <v>254.13</v>
      </c>
      <c r="L7" s="62">
        <v>134.11</v>
      </c>
      <c r="M7" s="62">
        <v>151.89</v>
      </c>
      <c r="N7" s="120">
        <v>2201.91</v>
      </c>
      <c r="O7" s="63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</row>
    <row r="8" spans="1:15" ht="1.5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20"/>
      <c r="O8" s="63"/>
    </row>
    <row r="9" spans="1:15" ht="9" customHeight="1">
      <c r="A9" s="61">
        <v>1990</v>
      </c>
      <c r="B9" s="62">
        <v>143.58</v>
      </c>
      <c r="C9" s="62">
        <v>149.97</v>
      </c>
      <c r="D9" s="62">
        <v>170.36</v>
      </c>
      <c r="E9" s="62">
        <v>189.84</v>
      </c>
      <c r="F9" s="62">
        <v>200.4</v>
      </c>
      <c r="G9" s="62">
        <v>155.94</v>
      </c>
      <c r="H9" s="62">
        <v>189.25</v>
      </c>
      <c r="I9" s="62">
        <v>183.02</v>
      </c>
      <c r="J9" s="62">
        <v>181.61</v>
      </c>
      <c r="K9" s="62">
        <v>220.48</v>
      </c>
      <c r="L9" s="62">
        <v>258.66</v>
      </c>
      <c r="M9" s="62">
        <v>245.24</v>
      </c>
      <c r="N9" s="120">
        <v>2288.35</v>
      </c>
      <c r="O9" s="63"/>
    </row>
    <row r="10" spans="1:33" ht="9" customHeight="1">
      <c r="A10" s="61">
        <v>1991</v>
      </c>
      <c r="B10" s="62">
        <v>337.94</v>
      </c>
      <c r="C10" s="62">
        <v>210.55</v>
      </c>
      <c r="D10" s="62">
        <v>268.16</v>
      </c>
      <c r="E10" s="62">
        <v>439.65</v>
      </c>
      <c r="F10" s="62">
        <v>552.68</v>
      </c>
      <c r="G10" s="62">
        <v>395.44</v>
      </c>
      <c r="H10" s="62">
        <v>462.65</v>
      </c>
      <c r="I10" s="62">
        <v>726.51</v>
      </c>
      <c r="J10" s="62">
        <v>380.27</v>
      </c>
      <c r="K10" s="62">
        <v>273.63</v>
      </c>
      <c r="L10" s="62">
        <v>307.04</v>
      </c>
      <c r="M10" s="62">
        <v>360.54</v>
      </c>
      <c r="N10" s="120">
        <v>4715.06</v>
      </c>
      <c r="O10" s="63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</row>
    <row r="11" spans="1:33" ht="9" customHeight="1">
      <c r="A11" s="61">
        <v>1992</v>
      </c>
      <c r="B11" s="62">
        <v>476.61</v>
      </c>
      <c r="C11" s="62">
        <v>174.26</v>
      </c>
      <c r="D11" s="62">
        <v>262.83</v>
      </c>
      <c r="E11" s="62">
        <v>249.05</v>
      </c>
      <c r="F11" s="62">
        <v>539.29</v>
      </c>
      <c r="G11" s="62">
        <v>385.89</v>
      </c>
      <c r="H11" s="62">
        <v>523.07</v>
      </c>
      <c r="I11" s="62">
        <v>449.93</v>
      </c>
      <c r="J11" s="62">
        <v>501.74</v>
      </c>
      <c r="K11" s="62">
        <v>316.14</v>
      </c>
      <c r="L11" s="62">
        <v>316.87</v>
      </c>
      <c r="M11" s="62">
        <v>363.65</v>
      </c>
      <c r="N11" s="120">
        <v>4559.33</v>
      </c>
      <c r="O11" s="63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</row>
    <row r="12" spans="1:33" ht="9" customHeight="1">
      <c r="A12" s="61">
        <v>1993</v>
      </c>
      <c r="B12" s="62">
        <v>320.48</v>
      </c>
      <c r="C12" s="62">
        <v>201.98</v>
      </c>
      <c r="D12" s="62">
        <v>232.41</v>
      </c>
      <c r="E12" s="62">
        <v>115.55</v>
      </c>
      <c r="F12" s="62">
        <v>106.99</v>
      </c>
      <c r="G12" s="62">
        <v>386.42</v>
      </c>
      <c r="H12" s="62">
        <v>342.04</v>
      </c>
      <c r="I12" s="62">
        <v>201.65</v>
      </c>
      <c r="J12" s="62">
        <v>294.35</v>
      </c>
      <c r="K12" s="62">
        <v>167.71</v>
      </c>
      <c r="L12" s="62">
        <v>273.07</v>
      </c>
      <c r="M12" s="62">
        <v>287.58</v>
      </c>
      <c r="N12" s="120">
        <v>2930.23</v>
      </c>
      <c r="O12" s="63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</row>
    <row r="13" spans="1:33" ht="9" customHeight="1">
      <c r="A13" s="61">
        <v>1994</v>
      </c>
      <c r="B13" s="62">
        <v>211.21</v>
      </c>
      <c r="C13" s="62">
        <v>161.75</v>
      </c>
      <c r="D13" s="62">
        <v>327.43</v>
      </c>
      <c r="E13" s="62">
        <v>344.58</v>
      </c>
      <c r="F13" s="62">
        <v>351.15</v>
      </c>
      <c r="G13" s="62">
        <v>296.29</v>
      </c>
      <c r="H13" s="62">
        <v>348.3</v>
      </c>
      <c r="I13" s="62">
        <v>221.43</v>
      </c>
      <c r="J13" s="62">
        <v>270.15</v>
      </c>
      <c r="K13" s="62">
        <v>371.88</v>
      </c>
      <c r="L13" s="62">
        <v>326.72</v>
      </c>
      <c r="M13" s="62">
        <v>477.79</v>
      </c>
      <c r="N13" s="120">
        <v>3708.68</v>
      </c>
      <c r="O13" s="63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</row>
    <row r="14" spans="1:33" ht="9" customHeight="1">
      <c r="A14" s="61">
        <v>1995</v>
      </c>
      <c r="B14" s="62">
        <v>472.03</v>
      </c>
      <c r="C14" s="62">
        <v>610.93</v>
      </c>
      <c r="D14" s="62">
        <v>648.62</v>
      </c>
      <c r="E14" s="62">
        <v>520.62</v>
      </c>
      <c r="F14" s="62">
        <v>383.67</v>
      </c>
      <c r="G14" s="62">
        <v>324.27</v>
      </c>
      <c r="H14" s="62">
        <v>352.54</v>
      </c>
      <c r="I14" s="62">
        <v>437.41</v>
      </c>
      <c r="J14" s="62">
        <v>346.96</v>
      </c>
      <c r="K14" s="62">
        <v>391</v>
      </c>
      <c r="L14" s="62">
        <v>473.06</v>
      </c>
      <c r="M14" s="62">
        <v>511.02</v>
      </c>
      <c r="N14" s="120">
        <v>5472.13</v>
      </c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</row>
    <row r="15" spans="1:33" ht="9" customHeight="1">
      <c r="A15" s="61">
        <v>1996</v>
      </c>
      <c r="B15" s="62">
        <v>548.43</v>
      </c>
      <c r="C15" s="62">
        <v>712.31</v>
      </c>
      <c r="D15" s="62">
        <v>651.75</v>
      </c>
      <c r="E15" s="62">
        <v>682.52</v>
      </c>
      <c r="F15" s="64">
        <v>840.71</v>
      </c>
      <c r="G15" s="64">
        <v>1098.14</v>
      </c>
      <c r="H15" s="64">
        <v>952.13</v>
      </c>
      <c r="I15" s="64">
        <v>926.52</v>
      </c>
      <c r="J15" s="64">
        <v>846.48</v>
      </c>
      <c r="K15" s="64">
        <v>608.28</v>
      </c>
      <c r="L15" s="64">
        <v>685.44</v>
      </c>
      <c r="M15" s="64">
        <v>1094.78</v>
      </c>
      <c r="N15" s="120">
        <v>9647.49</v>
      </c>
      <c r="O15" s="65" t="s">
        <v>30</v>
      </c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</row>
    <row r="16" spans="1:23" ht="9" customHeight="1">
      <c r="A16" s="61">
        <v>1997</v>
      </c>
      <c r="B16" s="62">
        <v>1338.39</v>
      </c>
      <c r="C16" s="62">
        <v>928.85</v>
      </c>
      <c r="D16" s="62">
        <v>1015.57</v>
      </c>
      <c r="E16" s="62">
        <v>937.1</v>
      </c>
      <c r="F16" s="64">
        <v>947.7</v>
      </c>
      <c r="G16" s="64">
        <v>1061.25</v>
      </c>
      <c r="H16" s="64">
        <v>1315.53</v>
      </c>
      <c r="I16" s="64">
        <v>1331.9</v>
      </c>
      <c r="J16" s="64">
        <v>1391.57</v>
      </c>
      <c r="K16" s="64">
        <v>1355.38</v>
      </c>
      <c r="L16" s="64">
        <v>1593.05</v>
      </c>
      <c r="M16" s="64">
        <v>1757.68</v>
      </c>
      <c r="N16" s="120">
        <v>14973.97</v>
      </c>
      <c r="O16" s="65"/>
      <c r="V16" s="279"/>
      <c r="W16" s="279"/>
    </row>
    <row r="17" spans="1:15" ht="9" customHeight="1">
      <c r="A17" s="61">
        <v>1998</v>
      </c>
      <c r="B17" s="62">
        <v>1959.69</v>
      </c>
      <c r="C17" s="62">
        <v>1599.02</v>
      </c>
      <c r="D17" s="62">
        <v>1377.62</v>
      </c>
      <c r="E17" s="62">
        <v>1671.55</v>
      </c>
      <c r="F17" s="64">
        <v>1599.27</v>
      </c>
      <c r="G17" s="64">
        <v>1825.2</v>
      </c>
      <c r="H17" s="64">
        <v>1447.07</v>
      </c>
      <c r="I17" s="64">
        <v>1560.92</v>
      </c>
      <c r="J17" s="64">
        <v>1484.27</v>
      </c>
      <c r="K17" s="64">
        <v>2134.86</v>
      </c>
      <c r="L17" s="64">
        <v>1873.06</v>
      </c>
      <c r="M17" s="64">
        <v>2404.35</v>
      </c>
      <c r="N17" s="120">
        <v>20936.88</v>
      </c>
      <c r="O17" s="65"/>
    </row>
    <row r="18" spans="1:15" ht="9" customHeight="1">
      <c r="A18" s="61">
        <v>1999</v>
      </c>
      <c r="B18" s="62">
        <v>2240.67</v>
      </c>
      <c r="C18" s="62">
        <v>1711.01</v>
      </c>
      <c r="D18" s="62">
        <v>2078.54</v>
      </c>
      <c r="E18" s="62">
        <v>2093.68</v>
      </c>
      <c r="F18" s="64">
        <v>2233.48</v>
      </c>
      <c r="G18" s="64">
        <v>1945.78</v>
      </c>
      <c r="H18" s="64">
        <v>1998.64</v>
      </c>
      <c r="I18" s="64">
        <v>1815.98</v>
      </c>
      <c r="J18" s="64">
        <v>1708.97</v>
      </c>
      <c r="K18" s="64">
        <v>1905.76</v>
      </c>
      <c r="L18" s="64">
        <v>2163.07</v>
      </c>
      <c r="M18" s="62">
        <v>2170.3</v>
      </c>
      <c r="N18" s="120">
        <v>24065.88</v>
      </c>
      <c r="O18" s="65"/>
    </row>
    <row r="19" spans="1:15" ht="3" customHeight="1">
      <c r="A19" s="61"/>
      <c r="B19" s="62"/>
      <c r="C19" s="62"/>
      <c r="D19" s="62"/>
      <c r="E19" s="62"/>
      <c r="F19" s="64"/>
      <c r="G19" s="64"/>
      <c r="H19" s="64"/>
      <c r="I19" s="64"/>
      <c r="J19" s="64"/>
      <c r="K19" s="64"/>
      <c r="L19" s="64"/>
      <c r="M19" s="64"/>
      <c r="N19" s="64"/>
      <c r="O19" s="65"/>
    </row>
    <row r="20" spans="1:15" ht="9" customHeight="1">
      <c r="A20" s="61">
        <v>2000</v>
      </c>
      <c r="B20" s="119">
        <v>2669.29</v>
      </c>
      <c r="C20" s="119">
        <v>2797.42</v>
      </c>
      <c r="D20" s="119">
        <v>2884.11</v>
      </c>
      <c r="E20" s="119">
        <v>2861.4</v>
      </c>
      <c r="F20" s="120">
        <v>3267.06</v>
      </c>
      <c r="G20" s="120">
        <v>3569.19</v>
      </c>
      <c r="H20" s="120">
        <v>2974.71</v>
      </c>
      <c r="I20" s="120">
        <v>3332.26</v>
      </c>
      <c r="J20" s="120">
        <v>2842.49</v>
      </c>
      <c r="K20" s="120">
        <v>3302.36</v>
      </c>
      <c r="L20" s="120">
        <v>3039.56</v>
      </c>
      <c r="M20" s="120">
        <v>3159.31</v>
      </c>
      <c r="N20" s="120">
        <f aca="true" t="shared" si="0" ref="N20:N26">SUM(B20:M20)</f>
        <v>36699.15999999999</v>
      </c>
      <c r="O20" s="65"/>
    </row>
    <row r="21" spans="1:15" ht="9" customHeight="1">
      <c r="A21" s="61">
        <v>2001</v>
      </c>
      <c r="B21" s="119">
        <v>2984.1</v>
      </c>
      <c r="C21" s="119">
        <v>2760.22</v>
      </c>
      <c r="D21" s="119">
        <v>3520.52</v>
      </c>
      <c r="E21" s="119">
        <v>3632.29</v>
      </c>
      <c r="F21" s="120">
        <v>3245.4</v>
      </c>
      <c r="G21" s="120">
        <v>3398.92</v>
      </c>
      <c r="H21" s="120">
        <v>3135.84</v>
      </c>
      <c r="I21" s="120">
        <v>3534.27</v>
      </c>
      <c r="J21" s="120">
        <v>3250.07</v>
      </c>
      <c r="K21" s="120">
        <v>3817.8</v>
      </c>
      <c r="L21" s="120">
        <v>3535.28</v>
      </c>
      <c r="M21" s="120">
        <v>3917.41</v>
      </c>
      <c r="N21" s="120">
        <f t="shared" si="0"/>
        <v>40732.119999999995</v>
      </c>
      <c r="O21" s="65"/>
    </row>
    <row r="22" spans="1:15" ht="9" customHeight="1">
      <c r="A22" s="61">
        <v>2002</v>
      </c>
      <c r="B22" s="119">
        <v>4072.88</v>
      </c>
      <c r="C22" s="119">
        <v>3581.78</v>
      </c>
      <c r="D22" s="119">
        <v>3776.34</v>
      </c>
      <c r="E22" s="119">
        <v>4194.52</v>
      </c>
      <c r="F22" s="120">
        <v>3853.72</v>
      </c>
      <c r="G22" s="120">
        <v>3899.18</v>
      </c>
      <c r="H22" s="120">
        <v>4060.09</v>
      </c>
      <c r="I22" s="120">
        <v>3910.17</v>
      </c>
      <c r="J22" s="120">
        <v>3794.01</v>
      </c>
      <c r="K22" s="120">
        <v>4360.07</v>
      </c>
      <c r="L22" s="120">
        <v>4370.94</v>
      </c>
      <c r="M22" s="120">
        <v>4847.61</v>
      </c>
      <c r="N22" s="120">
        <f t="shared" si="0"/>
        <v>48721.310000000005</v>
      </c>
      <c r="O22" s="65"/>
    </row>
    <row r="23" spans="1:15" ht="9" customHeight="1">
      <c r="A23" s="61">
        <v>2003</v>
      </c>
      <c r="B23" s="119">
        <v>4680.37</v>
      </c>
      <c r="C23" s="119">
        <v>4285.94</v>
      </c>
      <c r="D23" s="119">
        <v>4779.29</v>
      </c>
      <c r="E23" s="119">
        <v>4694.79</v>
      </c>
      <c r="F23" s="120">
        <v>5267.35</v>
      </c>
      <c r="G23" s="120">
        <v>4945.38</v>
      </c>
      <c r="H23" s="120">
        <v>4609.49</v>
      </c>
      <c r="I23" s="120">
        <v>4680.05</v>
      </c>
      <c r="J23" s="120">
        <v>4262.79</v>
      </c>
      <c r="K23" s="120">
        <v>4742.71</v>
      </c>
      <c r="L23" s="120">
        <v>5063.98</v>
      </c>
      <c r="M23" s="120">
        <v>5273.2</v>
      </c>
      <c r="N23" s="120">
        <f t="shared" si="0"/>
        <v>57285.34</v>
      </c>
      <c r="O23" s="65"/>
    </row>
    <row r="24" spans="1:15" ht="9" customHeight="1">
      <c r="A24" s="61">
        <v>2004</v>
      </c>
      <c r="B24" s="62">
        <v>5374.44</v>
      </c>
      <c r="C24" s="62">
        <v>4815.01</v>
      </c>
      <c r="D24" s="62">
        <v>5707.97</v>
      </c>
      <c r="E24" s="62">
        <v>5025.23</v>
      </c>
      <c r="F24" s="62">
        <v>5239.53</v>
      </c>
      <c r="G24" s="62">
        <v>5057.06</v>
      </c>
      <c r="H24" s="62">
        <v>4930</v>
      </c>
      <c r="I24" s="62">
        <v>4391.7</v>
      </c>
      <c r="J24" s="62">
        <v>4049.04</v>
      </c>
      <c r="K24" s="62">
        <v>4329.96</v>
      </c>
      <c r="L24" s="62">
        <v>5719.04</v>
      </c>
      <c r="M24" s="62">
        <v>5420.46</v>
      </c>
      <c r="N24" s="120">
        <f t="shared" si="0"/>
        <v>60059.44</v>
      </c>
      <c r="O24" s="63"/>
    </row>
    <row r="25" spans="1:15" ht="9" customHeight="1">
      <c r="A25" s="61">
        <v>2005</v>
      </c>
      <c r="B25" s="62">
        <v>5730.17</v>
      </c>
      <c r="C25" s="62">
        <v>5030.03</v>
      </c>
      <c r="D25" s="62">
        <v>5445.49</v>
      </c>
      <c r="E25" s="62">
        <v>5773.9</v>
      </c>
      <c r="F25" s="62">
        <v>5923.61</v>
      </c>
      <c r="G25" s="62">
        <v>5652.78</v>
      </c>
      <c r="H25" s="62">
        <v>5489.55</v>
      </c>
      <c r="I25" s="62">
        <v>6438.15</v>
      </c>
      <c r="J25" s="62">
        <v>5154.37</v>
      </c>
      <c r="K25" s="62">
        <v>6083.27</v>
      </c>
      <c r="L25" s="62">
        <v>6650.78</v>
      </c>
      <c r="M25" s="62">
        <v>6231.541</v>
      </c>
      <c r="N25" s="120">
        <f t="shared" si="0"/>
        <v>69603.641</v>
      </c>
      <c r="O25" s="63"/>
    </row>
    <row r="26" spans="1:17" ht="9" customHeight="1">
      <c r="A26" s="280">
        <v>2006</v>
      </c>
      <c r="B26" s="281">
        <v>6545.993</v>
      </c>
      <c r="C26" s="281">
        <v>5282.697</v>
      </c>
      <c r="D26" s="281">
        <v>5777.729</v>
      </c>
      <c r="E26" s="281">
        <v>6001.827</v>
      </c>
      <c r="F26" s="281">
        <v>6463.17</v>
      </c>
      <c r="G26" s="281">
        <v>6013.121</v>
      </c>
      <c r="H26" s="281">
        <v>5098.541</v>
      </c>
      <c r="I26" s="281">
        <v>5043.37</v>
      </c>
      <c r="J26" s="281">
        <v>4863.31</v>
      </c>
      <c r="K26" s="281">
        <v>5797.416</v>
      </c>
      <c r="L26" s="281">
        <v>6050.077</v>
      </c>
      <c r="M26" s="281">
        <v>6299.289</v>
      </c>
      <c r="N26" s="282">
        <f t="shared" si="0"/>
        <v>69236.54</v>
      </c>
      <c r="O26" s="63"/>
      <c r="P26" s="272"/>
      <c r="Q26" s="272"/>
    </row>
    <row r="27" spans="1:17" ht="9" customHeight="1">
      <c r="A27" s="280">
        <v>2007</v>
      </c>
      <c r="B27" s="281">
        <v>6064.974</v>
      </c>
      <c r="C27" s="281">
        <v>6275.1</v>
      </c>
      <c r="D27" s="281">
        <v>6080.849</v>
      </c>
      <c r="E27" s="281">
        <v>6113.222</v>
      </c>
      <c r="F27" s="281">
        <v>5794.037</v>
      </c>
      <c r="G27" s="281">
        <v>5451.293</v>
      </c>
      <c r="H27" s="281">
        <v>5482.462</v>
      </c>
      <c r="I27" s="281">
        <v>4888.531</v>
      </c>
      <c r="J27" s="281">
        <f>3899.972+585.23+2.39</f>
        <v>4487.592000000001</v>
      </c>
      <c r="K27" s="281">
        <f>4695.552+703.367+4.425</f>
        <v>5403.344</v>
      </c>
      <c r="L27" s="281">
        <f>4995.801+945.834+7.853</f>
        <v>5949.488</v>
      </c>
      <c r="M27" s="281">
        <f>5682.215+1157.951+7.599</f>
        <v>6847.765</v>
      </c>
      <c r="N27" s="282">
        <f>SUM(B27:M27)</f>
        <v>68838.657</v>
      </c>
      <c r="O27" s="63"/>
      <c r="P27" s="272"/>
      <c r="Q27" s="272"/>
    </row>
    <row r="28" spans="1:17" ht="9" customHeight="1">
      <c r="A28" s="225">
        <v>2008</v>
      </c>
      <c r="B28" s="226">
        <f>5595.536+948.794+3.799</f>
        <v>6548.129</v>
      </c>
      <c r="C28" s="226">
        <f>5204.478+775.313+3.43</f>
        <v>5983.2210000000005</v>
      </c>
      <c r="D28" s="226">
        <f>4814.328+1078.766+0.915</f>
        <v>5894.009000000001</v>
      </c>
      <c r="E28" s="226">
        <f>4116.902+894.457+0.201</f>
        <v>5011.56</v>
      </c>
      <c r="F28" s="226">
        <v>5407.199</v>
      </c>
      <c r="G28" s="226">
        <v>4910.298</v>
      </c>
      <c r="H28" s="226">
        <v>4900.761</v>
      </c>
      <c r="I28" s="226">
        <v>5117.787</v>
      </c>
      <c r="J28" s="226">
        <v>5027.319</v>
      </c>
      <c r="K28" s="226">
        <v>5690.777</v>
      </c>
      <c r="L28" s="226"/>
      <c r="M28" s="226"/>
      <c r="N28" s="227"/>
      <c r="O28" s="63"/>
      <c r="P28" s="272"/>
      <c r="Q28" s="272"/>
    </row>
    <row r="29" spans="1:15" ht="1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>
        <f>A29</f>
        <v>0</v>
      </c>
      <c r="L29" s="62"/>
      <c r="M29" s="62"/>
      <c r="N29" s="62"/>
      <c r="O29" s="63"/>
    </row>
    <row r="30" spans="1:15" ht="9.75" customHeight="1">
      <c r="A30" s="131" t="s">
        <v>73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</row>
    <row r="31" spans="1:15" ht="9" customHeight="1">
      <c r="A31" s="61">
        <v>1988</v>
      </c>
      <c r="B31" s="62">
        <v>74</v>
      </c>
      <c r="C31" s="62">
        <v>31</v>
      </c>
      <c r="D31" s="62">
        <v>278</v>
      </c>
      <c r="E31" s="62">
        <v>102</v>
      </c>
      <c r="F31" s="62">
        <v>145</v>
      </c>
      <c r="G31" s="62">
        <v>62</v>
      </c>
      <c r="H31" s="62">
        <v>107</v>
      </c>
      <c r="I31" s="62">
        <v>138</v>
      </c>
      <c r="J31" s="62">
        <v>91</v>
      </c>
      <c r="K31" s="62">
        <v>61</v>
      </c>
      <c r="L31" s="62">
        <v>54</v>
      </c>
      <c r="M31" s="62">
        <v>66</v>
      </c>
      <c r="N31" s="62">
        <v>1210</v>
      </c>
      <c r="O31" s="63"/>
    </row>
    <row r="32" spans="1:15" ht="9" customHeight="1">
      <c r="A32" s="61">
        <v>1989</v>
      </c>
      <c r="B32" s="62">
        <v>30.02</v>
      </c>
      <c r="C32" s="62">
        <v>73.5</v>
      </c>
      <c r="D32" s="62">
        <v>137.17</v>
      </c>
      <c r="E32" s="62">
        <v>34.4</v>
      </c>
      <c r="F32" s="62">
        <v>182.64</v>
      </c>
      <c r="G32" s="62">
        <v>147.07</v>
      </c>
      <c r="H32" s="62">
        <v>0.5</v>
      </c>
      <c r="I32" s="62">
        <v>41.78</v>
      </c>
      <c r="J32" s="62">
        <v>73.77</v>
      </c>
      <c r="K32" s="62">
        <v>1.3</v>
      </c>
      <c r="L32" s="62">
        <v>41.77</v>
      </c>
      <c r="M32" s="62">
        <v>61.82</v>
      </c>
      <c r="N32" s="64">
        <v>825.74</v>
      </c>
      <c r="O32" s="63"/>
    </row>
    <row r="33" spans="1:15" ht="1.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9" customHeight="1">
      <c r="A34" s="61">
        <v>1990</v>
      </c>
      <c r="B34" s="62">
        <v>231.3</v>
      </c>
      <c r="C34" s="62">
        <v>12.12</v>
      </c>
      <c r="D34" s="62">
        <v>1.45</v>
      </c>
      <c r="E34" s="62">
        <v>32.93</v>
      </c>
      <c r="F34" s="62">
        <v>98.03</v>
      </c>
      <c r="G34" s="62">
        <v>278.95</v>
      </c>
      <c r="H34" s="62">
        <v>39.89</v>
      </c>
      <c r="I34" s="62">
        <v>29.56</v>
      </c>
      <c r="J34" s="62">
        <v>93.56</v>
      </c>
      <c r="K34" s="62">
        <v>15.96</v>
      </c>
      <c r="L34" s="62">
        <v>22.28</v>
      </c>
      <c r="M34" s="62">
        <v>1168.02</v>
      </c>
      <c r="N34" s="64">
        <v>2024.05</v>
      </c>
      <c r="O34" s="63"/>
    </row>
    <row r="35" spans="1:15" ht="9" customHeight="1">
      <c r="A35" s="61">
        <v>1991</v>
      </c>
      <c r="B35" s="62">
        <v>43.21</v>
      </c>
      <c r="C35" s="62">
        <v>185.14</v>
      </c>
      <c r="D35" s="62">
        <v>193.43</v>
      </c>
      <c r="E35" s="62">
        <v>158.32</v>
      </c>
      <c r="F35" s="62">
        <v>35</v>
      </c>
      <c r="G35" s="62">
        <v>216</v>
      </c>
      <c r="H35" s="62">
        <v>19.18</v>
      </c>
      <c r="I35" s="62">
        <v>22.43</v>
      </c>
      <c r="J35" s="62">
        <v>103.89</v>
      </c>
      <c r="K35" s="62">
        <v>124.14</v>
      </c>
      <c r="L35" s="62">
        <v>59.84</v>
      </c>
      <c r="M35" s="62">
        <v>888.15</v>
      </c>
      <c r="N35" s="64">
        <v>2048.73</v>
      </c>
      <c r="O35" s="63"/>
    </row>
    <row r="36" spans="1:15" ht="9" customHeight="1">
      <c r="A36" s="61">
        <v>1992</v>
      </c>
      <c r="B36" s="62">
        <v>326.63</v>
      </c>
      <c r="C36" s="62">
        <v>200.12</v>
      </c>
      <c r="D36" s="62">
        <v>101.61</v>
      </c>
      <c r="E36" s="62">
        <v>82.06</v>
      </c>
      <c r="F36" s="62">
        <v>172.91</v>
      </c>
      <c r="G36" s="62">
        <v>15.51</v>
      </c>
      <c r="H36" s="62">
        <v>28.52</v>
      </c>
      <c r="I36" s="62">
        <v>46.56</v>
      </c>
      <c r="J36" s="62">
        <v>102.1</v>
      </c>
      <c r="K36" s="62">
        <v>44.06</v>
      </c>
      <c r="L36" s="62">
        <v>269.9</v>
      </c>
      <c r="M36" s="62">
        <v>768.8</v>
      </c>
      <c r="N36" s="64">
        <v>2158.78</v>
      </c>
      <c r="O36" s="63"/>
    </row>
    <row r="37" spans="1:15" ht="9" customHeight="1">
      <c r="A37" s="61">
        <v>1993</v>
      </c>
      <c r="B37" s="62">
        <v>185.15</v>
      </c>
      <c r="C37" s="62">
        <v>40.74</v>
      </c>
      <c r="D37" s="62">
        <v>114.92</v>
      </c>
      <c r="E37" s="62">
        <v>61.53</v>
      </c>
      <c r="F37" s="62">
        <v>126.17</v>
      </c>
      <c r="G37" s="62">
        <v>97.66</v>
      </c>
      <c r="H37" s="62">
        <v>61.27</v>
      </c>
      <c r="I37" s="62">
        <v>52.7</v>
      </c>
      <c r="J37" s="62">
        <v>128.05</v>
      </c>
      <c r="K37" s="62">
        <v>27.02</v>
      </c>
      <c r="L37" s="62">
        <v>52.97</v>
      </c>
      <c r="M37" s="62">
        <v>335.78</v>
      </c>
      <c r="N37" s="64">
        <v>1283.96</v>
      </c>
      <c r="O37" s="63"/>
    </row>
    <row r="38" spans="1:14" ht="9" customHeight="1">
      <c r="A38" s="61">
        <v>1994</v>
      </c>
      <c r="B38" s="62">
        <v>3.32</v>
      </c>
      <c r="C38" s="62">
        <v>160.42</v>
      </c>
      <c r="D38" s="62">
        <v>220.06</v>
      </c>
      <c r="E38" s="62">
        <v>355.15</v>
      </c>
      <c r="F38" s="62">
        <v>337.38</v>
      </c>
      <c r="G38" s="62">
        <v>173.15</v>
      </c>
      <c r="H38" s="62">
        <v>24.75</v>
      </c>
      <c r="I38" s="62">
        <v>149</v>
      </c>
      <c r="J38" s="62">
        <v>19.65</v>
      </c>
      <c r="K38" s="62">
        <v>59.55</v>
      </c>
      <c r="L38" s="62">
        <v>82.44</v>
      </c>
      <c r="M38" s="62">
        <v>63.96</v>
      </c>
      <c r="N38" s="64">
        <v>1648.83</v>
      </c>
    </row>
    <row r="39" spans="1:14" ht="9" customHeight="1">
      <c r="A39" s="61">
        <v>1995</v>
      </c>
      <c r="B39" s="62">
        <v>232.7</v>
      </c>
      <c r="C39" s="62">
        <v>324.56</v>
      </c>
      <c r="D39" s="62">
        <v>174.69</v>
      </c>
      <c r="E39" s="62">
        <v>260.23</v>
      </c>
      <c r="F39" s="62">
        <v>241.43</v>
      </c>
      <c r="G39" s="62">
        <v>26.99</v>
      </c>
      <c r="H39" s="62">
        <v>3.83</v>
      </c>
      <c r="I39" s="62">
        <v>140.45</v>
      </c>
      <c r="J39" s="62">
        <v>32.66</v>
      </c>
      <c r="K39" s="62">
        <v>71.57</v>
      </c>
      <c r="L39" s="62">
        <v>40</v>
      </c>
      <c r="M39" s="62">
        <v>53.56</v>
      </c>
      <c r="N39" s="64">
        <v>1602.67</v>
      </c>
    </row>
    <row r="40" spans="1:15" ht="9" customHeight="1">
      <c r="A40" s="61">
        <v>1996</v>
      </c>
      <c r="B40" s="62">
        <v>69.79</v>
      </c>
      <c r="C40" s="62">
        <v>34.49</v>
      </c>
      <c r="D40" s="62">
        <v>66.81</v>
      </c>
      <c r="E40" s="62">
        <v>168.73</v>
      </c>
      <c r="F40" s="64">
        <v>77.73</v>
      </c>
      <c r="G40" s="64">
        <v>120.59</v>
      </c>
      <c r="H40" s="64">
        <v>116.45</v>
      </c>
      <c r="I40" s="64">
        <v>75.1</v>
      </c>
      <c r="J40" s="64">
        <v>47.06</v>
      </c>
      <c r="K40" s="64">
        <v>114.95</v>
      </c>
      <c r="L40" s="64">
        <v>179.61</v>
      </c>
      <c r="M40" s="64">
        <v>48.8</v>
      </c>
      <c r="N40" s="64">
        <v>1120.11</v>
      </c>
      <c r="O40" s="66" t="s">
        <v>30</v>
      </c>
    </row>
    <row r="41" spans="1:15" ht="9" customHeight="1">
      <c r="A41" s="61">
        <v>1997</v>
      </c>
      <c r="B41" s="62">
        <v>266.69</v>
      </c>
      <c r="C41" s="62">
        <v>95.05</v>
      </c>
      <c r="D41" s="62">
        <v>132.87</v>
      </c>
      <c r="E41" s="62">
        <v>232.36</v>
      </c>
      <c r="F41" s="64">
        <v>458.23</v>
      </c>
      <c r="G41" s="64">
        <v>114.38</v>
      </c>
      <c r="H41" s="64">
        <v>312.29</v>
      </c>
      <c r="I41" s="64">
        <v>115.51</v>
      </c>
      <c r="J41" s="64">
        <v>242.16</v>
      </c>
      <c r="K41" s="64">
        <v>160.25</v>
      </c>
      <c r="L41" s="64">
        <v>42.29</v>
      </c>
      <c r="M41" s="64">
        <v>227.84</v>
      </c>
      <c r="N41" s="64">
        <v>2399.92</v>
      </c>
      <c r="O41" s="66"/>
    </row>
    <row r="42" spans="1:15" ht="9" customHeight="1">
      <c r="A42" s="61">
        <v>1998</v>
      </c>
      <c r="B42" s="62">
        <v>115.01</v>
      </c>
      <c r="C42" s="62">
        <v>271.62</v>
      </c>
      <c r="D42" s="62">
        <v>821.27</v>
      </c>
      <c r="E42" s="62">
        <v>249.22</v>
      </c>
      <c r="F42" s="64">
        <v>247.21</v>
      </c>
      <c r="G42" s="64">
        <v>171.16</v>
      </c>
      <c r="H42" s="64">
        <v>74.5</v>
      </c>
      <c r="I42" s="64">
        <v>122.61</v>
      </c>
      <c r="J42" s="64">
        <v>46.26</v>
      </c>
      <c r="K42" s="64">
        <v>111.24</v>
      </c>
      <c r="L42" s="64">
        <v>120.17</v>
      </c>
      <c r="M42" s="64">
        <v>277.64</v>
      </c>
      <c r="N42" s="64">
        <v>2627.91</v>
      </c>
      <c r="O42" s="66"/>
    </row>
    <row r="43" spans="1:15" ht="9" customHeight="1">
      <c r="A43" s="61">
        <v>1999</v>
      </c>
      <c r="B43" s="62">
        <v>235.04</v>
      </c>
      <c r="C43" s="62">
        <v>226.66</v>
      </c>
      <c r="D43" s="62">
        <v>375.88</v>
      </c>
      <c r="E43" s="62">
        <v>226.9</v>
      </c>
      <c r="F43" s="64">
        <v>257.92</v>
      </c>
      <c r="G43" s="64">
        <v>160.54</v>
      </c>
      <c r="H43" s="64">
        <v>49.89</v>
      </c>
      <c r="I43" s="64">
        <v>27.62</v>
      </c>
      <c r="J43" s="64">
        <v>117.44</v>
      </c>
      <c r="K43" s="64">
        <v>164.55</v>
      </c>
      <c r="L43" s="64">
        <v>119.95</v>
      </c>
      <c r="M43" s="62">
        <v>134.98</v>
      </c>
      <c r="N43" s="64">
        <v>2097.37</v>
      </c>
      <c r="O43" s="66"/>
    </row>
    <row r="44" spans="1:15" ht="3" customHeight="1">
      <c r="A44" s="61"/>
      <c r="B44" s="62"/>
      <c r="C44" s="62"/>
      <c r="D44" s="62"/>
      <c r="E44" s="62"/>
      <c r="F44" s="64"/>
      <c r="G44" s="64"/>
      <c r="H44" s="64"/>
      <c r="I44" s="64"/>
      <c r="J44" s="64"/>
      <c r="K44" s="64"/>
      <c r="L44" s="64"/>
      <c r="M44" s="64"/>
      <c r="N44" s="64"/>
      <c r="O44" s="66"/>
    </row>
    <row r="45" spans="1:15" ht="9.75" customHeight="1">
      <c r="A45" s="61">
        <v>2000</v>
      </c>
      <c r="B45" s="62">
        <v>294.22</v>
      </c>
      <c r="C45" s="62">
        <v>180.9</v>
      </c>
      <c r="D45" s="62">
        <v>174.12</v>
      </c>
      <c r="E45" s="62">
        <v>456.96</v>
      </c>
      <c r="F45" s="64">
        <v>511.48</v>
      </c>
      <c r="G45" s="64">
        <v>167.47</v>
      </c>
      <c r="H45" s="64">
        <v>76.8</v>
      </c>
      <c r="I45" s="64">
        <v>171.5</v>
      </c>
      <c r="J45" s="64">
        <v>105.57</v>
      </c>
      <c r="K45" s="64">
        <v>103.94</v>
      </c>
      <c r="L45" s="64">
        <v>173.55</v>
      </c>
      <c r="M45" s="64">
        <v>130.51</v>
      </c>
      <c r="N45" s="120">
        <f aca="true" t="shared" si="1" ref="N45:N52">SUM(B45:M45)</f>
        <v>2547.0200000000004</v>
      </c>
      <c r="O45" s="66"/>
    </row>
    <row r="46" spans="1:15" ht="9.75" customHeight="1">
      <c r="A46" s="61">
        <v>2001</v>
      </c>
      <c r="B46" s="119">
        <v>209.69</v>
      </c>
      <c r="C46" s="119">
        <v>1146.49</v>
      </c>
      <c r="D46" s="119">
        <v>937.56</v>
      </c>
      <c r="E46" s="119">
        <v>839.48</v>
      </c>
      <c r="F46" s="120">
        <v>1444.54</v>
      </c>
      <c r="G46" s="120">
        <v>726.87</v>
      </c>
      <c r="H46" s="120">
        <v>583.05</v>
      </c>
      <c r="I46" s="120">
        <v>137.03</v>
      </c>
      <c r="J46" s="120">
        <v>120.61</v>
      </c>
      <c r="K46" s="120">
        <v>235.34</v>
      </c>
      <c r="L46" s="120">
        <v>129.87</v>
      </c>
      <c r="M46" s="120">
        <v>134.39</v>
      </c>
      <c r="N46" s="120">
        <f t="shared" si="1"/>
        <v>6644.92</v>
      </c>
      <c r="O46" s="66"/>
    </row>
    <row r="47" spans="1:15" ht="9.75" customHeight="1">
      <c r="A47" s="61">
        <v>2002</v>
      </c>
      <c r="B47" s="119">
        <v>262.08</v>
      </c>
      <c r="C47" s="119">
        <v>236.22</v>
      </c>
      <c r="D47" s="119">
        <v>264.18</v>
      </c>
      <c r="E47" s="119">
        <v>577.3</v>
      </c>
      <c r="F47" s="120">
        <v>381.95</v>
      </c>
      <c r="G47" s="120">
        <v>169.92</v>
      </c>
      <c r="H47" s="120">
        <v>223.13</v>
      </c>
      <c r="I47" s="120">
        <v>194.66</v>
      </c>
      <c r="J47" s="120">
        <v>94.78</v>
      </c>
      <c r="K47" s="120">
        <v>236.67</v>
      </c>
      <c r="L47" s="120">
        <v>437.89</v>
      </c>
      <c r="M47" s="120">
        <v>367.6</v>
      </c>
      <c r="N47" s="120">
        <f t="shared" si="1"/>
        <v>3446.38</v>
      </c>
      <c r="O47" s="66"/>
    </row>
    <row r="48" spans="1:15" ht="9.75" customHeight="1">
      <c r="A48" s="61">
        <v>2003</v>
      </c>
      <c r="B48" s="119">
        <v>540.09</v>
      </c>
      <c r="C48" s="119">
        <v>666.65</v>
      </c>
      <c r="D48" s="119">
        <v>768.31</v>
      </c>
      <c r="E48" s="119">
        <v>565.12</v>
      </c>
      <c r="F48" s="120">
        <v>523.68</v>
      </c>
      <c r="G48" s="120">
        <v>711.35</v>
      </c>
      <c r="H48" s="120">
        <v>740.76</v>
      </c>
      <c r="I48" s="120">
        <v>393.56</v>
      </c>
      <c r="J48" s="120">
        <v>1223.61</v>
      </c>
      <c r="K48" s="120">
        <v>1191.22</v>
      </c>
      <c r="L48" s="120">
        <v>956.9</v>
      </c>
      <c r="M48" s="120">
        <v>783.31</v>
      </c>
      <c r="N48" s="120">
        <f t="shared" si="1"/>
        <v>9064.56</v>
      </c>
      <c r="O48" s="66"/>
    </row>
    <row r="49" spans="1:15" ht="9.75" customHeight="1">
      <c r="A49" s="61">
        <v>2004</v>
      </c>
      <c r="B49" s="119">
        <v>1139.42</v>
      </c>
      <c r="C49" s="119">
        <v>898.65</v>
      </c>
      <c r="D49" s="119">
        <v>1150.09</v>
      </c>
      <c r="E49" s="119">
        <v>1814.29</v>
      </c>
      <c r="F49" s="120">
        <v>1761.95</v>
      </c>
      <c r="G49" s="120">
        <v>1335.08</v>
      </c>
      <c r="H49" s="120">
        <v>1780.42</v>
      </c>
      <c r="I49" s="120">
        <v>1394.42</v>
      </c>
      <c r="J49" s="120">
        <v>1157.03</v>
      </c>
      <c r="K49" s="120">
        <v>2368.48</v>
      </c>
      <c r="L49" s="120">
        <v>1542.99</v>
      </c>
      <c r="M49" s="120">
        <v>1216.45</v>
      </c>
      <c r="N49" s="120">
        <f t="shared" si="1"/>
        <v>17559.27</v>
      </c>
      <c r="O49" s="66"/>
    </row>
    <row r="50" spans="1:15" ht="9.75" customHeight="1">
      <c r="A50" s="61">
        <v>2005</v>
      </c>
      <c r="B50" s="119">
        <v>1401.52</v>
      </c>
      <c r="C50" s="119">
        <v>1290.9</v>
      </c>
      <c r="D50" s="119">
        <v>1112.08</v>
      </c>
      <c r="E50" s="119">
        <v>1561.88</v>
      </c>
      <c r="F50" s="120">
        <v>693.95</v>
      </c>
      <c r="G50" s="120">
        <v>906.34</v>
      </c>
      <c r="H50" s="120">
        <v>908.65</v>
      </c>
      <c r="I50" s="120">
        <v>1127.41</v>
      </c>
      <c r="J50" s="120">
        <v>1474.58</v>
      </c>
      <c r="K50" s="120">
        <v>1489.38</v>
      </c>
      <c r="L50" s="120">
        <v>1869.68</v>
      </c>
      <c r="M50" s="120">
        <v>1039.503</v>
      </c>
      <c r="N50" s="120">
        <f t="shared" si="1"/>
        <v>14875.873</v>
      </c>
      <c r="O50" s="66"/>
    </row>
    <row r="51" spans="1:15" ht="9.75" customHeight="1">
      <c r="A51" s="280">
        <v>2006</v>
      </c>
      <c r="B51" s="283">
        <v>838.838</v>
      </c>
      <c r="C51" s="283">
        <v>687.152</v>
      </c>
      <c r="D51" s="283">
        <v>1138.189</v>
      </c>
      <c r="E51" s="283">
        <v>682.906</v>
      </c>
      <c r="F51" s="282">
        <v>1009.978</v>
      </c>
      <c r="G51" s="282">
        <v>971.514</v>
      </c>
      <c r="H51" s="282">
        <v>1290.728</v>
      </c>
      <c r="I51" s="282">
        <v>1845.28</v>
      </c>
      <c r="J51" s="282">
        <v>2258.102</v>
      </c>
      <c r="K51" s="282">
        <v>2202.967</v>
      </c>
      <c r="L51" s="282">
        <v>1523.397</v>
      </c>
      <c r="M51" s="282">
        <v>1783.408</v>
      </c>
      <c r="N51" s="282">
        <f t="shared" si="1"/>
        <v>16232.459000000003</v>
      </c>
      <c r="O51" s="66"/>
    </row>
    <row r="52" spans="1:15" ht="9.75" customHeight="1">
      <c r="A52" s="280">
        <v>2007</v>
      </c>
      <c r="B52" s="283">
        <v>878.892</v>
      </c>
      <c r="C52" s="283">
        <v>1556.578</v>
      </c>
      <c r="D52" s="283">
        <v>1398.875</v>
      </c>
      <c r="E52" s="283">
        <v>1343.259</v>
      </c>
      <c r="F52" s="282">
        <v>1558.009</v>
      </c>
      <c r="G52" s="282">
        <v>1243.276</v>
      </c>
      <c r="H52" s="282">
        <v>1603.301</v>
      </c>
      <c r="I52" s="282">
        <v>1291.528</v>
      </c>
      <c r="J52" s="282">
        <v>2838.746</v>
      </c>
      <c r="K52" s="282">
        <v>2293.301</v>
      </c>
      <c r="L52" s="282">
        <v>1827.61</v>
      </c>
      <c r="M52" s="282">
        <v>1467.218</v>
      </c>
      <c r="N52" s="282">
        <f t="shared" si="1"/>
        <v>19300.593</v>
      </c>
      <c r="O52" s="66"/>
    </row>
    <row r="53" spans="1:15" ht="9.75" customHeight="1">
      <c r="A53" s="225">
        <v>2008</v>
      </c>
      <c r="B53" s="228">
        <v>2204.08</v>
      </c>
      <c r="C53" s="228">
        <v>1680.169</v>
      </c>
      <c r="D53" s="228">
        <v>904.519</v>
      </c>
      <c r="E53" s="228">
        <v>786.797</v>
      </c>
      <c r="F53" s="227">
        <v>1740.668</v>
      </c>
      <c r="G53" s="227">
        <v>1686.304</v>
      </c>
      <c r="H53" s="227">
        <v>1661.145</v>
      </c>
      <c r="I53" s="227">
        <v>1679.161</v>
      </c>
      <c r="J53" s="227">
        <v>1216.243</v>
      </c>
      <c r="K53" s="227">
        <v>1732.154</v>
      </c>
      <c r="L53" s="227"/>
      <c r="M53" s="227"/>
      <c r="N53" s="227"/>
      <c r="O53" s="66"/>
    </row>
    <row r="54" spans="1:14" ht="1.5" customHeight="1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1:15" ht="9.75" customHeight="1">
      <c r="A55" s="131" t="s">
        <v>76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4" ht="9" customHeight="1">
      <c r="A56" s="61">
        <v>1988</v>
      </c>
      <c r="B56" s="62">
        <v>5827</v>
      </c>
      <c r="C56" s="62">
        <v>10432</v>
      </c>
      <c r="D56" s="62">
        <v>15725</v>
      </c>
      <c r="E56" s="62">
        <v>16903</v>
      </c>
      <c r="F56" s="62">
        <v>14752</v>
      </c>
      <c r="G56" s="62">
        <v>13935</v>
      </c>
      <c r="H56" s="62">
        <v>10875</v>
      </c>
      <c r="I56" s="62">
        <v>12264</v>
      </c>
      <c r="J56" s="62">
        <v>5229</v>
      </c>
      <c r="K56" s="62">
        <v>6007</v>
      </c>
      <c r="L56" s="62">
        <v>3080</v>
      </c>
      <c r="M56" s="62">
        <v>3702</v>
      </c>
      <c r="N56" s="62">
        <v>118731</v>
      </c>
    </row>
    <row r="57" spans="1:14" ht="9" customHeight="1">
      <c r="A57" s="61">
        <v>1989</v>
      </c>
      <c r="B57" s="62">
        <v>6805.86</v>
      </c>
      <c r="C57" s="62">
        <v>14186.75</v>
      </c>
      <c r="D57" s="62">
        <v>16762.42</v>
      </c>
      <c r="E57" s="62">
        <v>16209.86</v>
      </c>
      <c r="F57" s="62">
        <v>13328.97</v>
      </c>
      <c r="G57" s="62">
        <v>9013.54</v>
      </c>
      <c r="H57" s="62">
        <v>10364.8</v>
      </c>
      <c r="I57" s="62">
        <v>10086.38</v>
      </c>
      <c r="J57" s="62">
        <v>8106.25</v>
      </c>
      <c r="K57" s="62">
        <v>8469.19</v>
      </c>
      <c r="L57" s="62">
        <v>5167.79</v>
      </c>
      <c r="M57" s="62">
        <v>7221.33</v>
      </c>
      <c r="N57" s="62">
        <v>125723.14</v>
      </c>
    </row>
    <row r="58" spans="1:14" ht="1.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1:14" ht="9" customHeight="1">
      <c r="A59" s="61">
        <v>1990</v>
      </c>
      <c r="B59" s="62">
        <v>6810.69</v>
      </c>
      <c r="C59" s="62">
        <v>7481.34</v>
      </c>
      <c r="D59" s="62">
        <v>11442</v>
      </c>
      <c r="E59" s="62">
        <v>9804.77</v>
      </c>
      <c r="F59" s="62">
        <v>11502.37</v>
      </c>
      <c r="G59" s="62">
        <v>7562.25</v>
      </c>
      <c r="H59" s="62">
        <v>9572.77</v>
      </c>
      <c r="I59" s="62">
        <v>9354.01</v>
      </c>
      <c r="J59" s="62">
        <v>5706.36</v>
      </c>
      <c r="K59" s="62">
        <v>5861.35</v>
      </c>
      <c r="L59" s="62">
        <v>7365.28</v>
      </c>
      <c r="M59" s="62">
        <v>10143.4</v>
      </c>
      <c r="N59" s="62">
        <v>102606.59</v>
      </c>
    </row>
    <row r="60" spans="1:16" ht="9" customHeight="1">
      <c r="A60" s="61">
        <v>1991</v>
      </c>
      <c r="B60" s="62">
        <v>8421.45</v>
      </c>
      <c r="C60" s="62">
        <v>9601.83</v>
      </c>
      <c r="D60" s="62">
        <v>9482.9</v>
      </c>
      <c r="E60" s="62">
        <v>10635.05</v>
      </c>
      <c r="F60" s="62">
        <v>10558.08</v>
      </c>
      <c r="G60" s="62">
        <v>13219</v>
      </c>
      <c r="H60" s="62">
        <v>10363.44</v>
      </c>
      <c r="I60" s="62">
        <v>9124.19</v>
      </c>
      <c r="J60" s="62">
        <v>8135.89</v>
      </c>
      <c r="K60" s="62">
        <v>10048.55</v>
      </c>
      <c r="L60" s="62">
        <v>10439.94</v>
      </c>
      <c r="M60" s="62">
        <v>11015.37</v>
      </c>
      <c r="N60" s="62">
        <v>121045.69</v>
      </c>
      <c r="P60" s="66" t="s">
        <v>30</v>
      </c>
    </row>
    <row r="61" spans="1:16" ht="9" customHeight="1">
      <c r="A61" s="61">
        <v>1992</v>
      </c>
      <c r="B61" s="62">
        <v>8744.89</v>
      </c>
      <c r="C61" s="62">
        <v>8633.87</v>
      </c>
      <c r="D61" s="62">
        <v>9220.2</v>
      </c>
      <c r="E61" s="62">
        <v>8864.14</v>
      </c>
      <c r="F61" s="62">
        <v>9282.98</v>
      </c>
      <c r="G61" s="62">
        <v>10105.86</v>
      </c>
      <c r="H61" s="62">
        <v>8409.27</v>
      </c>
      <c r="I61" s="62">
        <v>9258.78</v>
      </c>
      <c r="J61" s="62">
        <v>7603.42</v>
      </c>
      <c r="K61" s="62">
        <v>11164.05</v>
      </c>
      <c r="L61" s="62">
        <v>9275.81</v>
      </c>
      <c r="M61" s="62">
        <v>9935.65</v>
      </c>
      <c r="N61" s="62">
        <v>110498.92</v>
      </c>
      <c r="P61" s="66" t="s">
        <v>30</v>
      </c>
    </row>
    <row r="62" spans="1:16" ht="9" customHeight="1">
      <c r="A62" s="61">
        <v>1993</v>
      </c>
      <c r="B62" s="62">
        <v>10017.03</v>
      </c>
      <c r="C62" s="62">
        <v>7707.47</v>
      </c>
      <c r="D62" s="62">
        <v>8461.46</v>
      </c>
      <c r="E62" s="62">
        <v>8347.3</v>
      </c>
      <c r="F62" s="62">
        <v>9198.93</v>
      </c>
      <c r="G62" s="62">
        <v>6947.06</v>
      </c>
      <c r="H62" s="62">
        <v>8562.5</v>
      </c>
      <c r="I62" s="62">
        <v>7213.6</v>
      </c>
      <c r="J62" s="62">
        <v>7286.04</v>
      </c>
      <c r="K62" s="62">
        <v>7342.01</v>
      </c>
      <c r="L62" s="62">
        <v>7741.2</v>
      </c>
      <c r="M62" s="62">
        <v>8802.66</v>
      </c>
      <c r="N62" s="62">
        <v>97627.26</v>
      </c>
      <c r="O62" s="65" t="s">
        <v>30</v>
      </c>
      <c r="P62" s="65" t="s">
        <v>30</v>
      </c>
    </row>
    <row r="63" spans="1:14" ht="9" customHeight="1">
      <c r="A63" s="61">
        <v>1994</v>
      </c>
      <c r="B63" s="62">
        <v>7422.7</v>
      </c>
      <c r="C63" s="62">
        <v>11814.31</v>
      </c>
      <c r="D63" s="62">
        <v>14041.07</v>
      </c>
      <c r="E63" s="62">
        <v>15466.56</v>
      </c>
      <c r="F63" s="62">
        <v>17879.41</v>
      </c>
      <c r="G63" s="62">
        <v>14682.44</v>
      </c>
      <c r="H63" s="62">
        <v>14251.29</v>
      </c>
      <c r="I63" s="62">
        <v>12676.78</v>
      </c>
      <c r="J63" s="62">
        <v>10229.59</v>
      </c>
      <c r="K63" s="62">
        <v>9278.48</v>
      </c>
      <c r="L63" s="62">
        <v>9409.8</v>
      </c>
      <c r="M63" s="62">
        <v>8375.21</v>
      </c>
      <c r="N63" s="62">
        <v>145527.64</v>
      </c>
    </row>
    <row r="64" spans="1:14" ht="9" customHeight="1">
      <c r="A64" s="61">
        <v>1995</v>
      </c>
      <c r="B64" s="62">
        <v>12066.65</v>
      </c>
      <c r="C64" s="62">
        <v>13702.67</v>
      </c>
      <c r="D64" s="62">
        <v>16788.29</v>
      </c>
      <c r="E64" s="62">
        <v>18002.51</v>
      </c>
      <c r="F64" s="62">
        <v>17094.79</v>
      </c>
      <c r="G64" s="62">
        <v>14363.16</v>
      </c>
      <c r="H64" s="62">
        <v>15495.68</v>
      </c>
      <c r="I64" s="62">
        <v>12714.91</v>
      </c>
      <c r="J64" s="62">
        <v>10974.61</v>
      </c>
      <c r="K64" s="62">
        <v>8649.79</v>
      </c>
      <c r="L64" s="62">
        <v>8557.35</v>
      </c>
      <c r="M64" s="62">
        <v>9315.45</v>
      </c>
      <c r="N64" s="62">
        <v>157725.86</v>
      </c>
    </row>
    <row r="65" spans="1:16" ht="9" customHeight="1">
      <c r="A65" s="61">
        <v>1996</v>
      </c>
      <c r="B65" s="62">
        <v>8488.66</v>
      </c>
      <c r="C65" s="62">
        <v>8707.72</v>
      </c>
      <c r="D65" s="62">
        <v>8944.75</v>
      </c>
      <c r="E65" s="62">
        <v>9769.33</v>
      </c>
      <c r="F65" s="64">
        <v>11829.47</v>
      </c>
      <c r="G65" s="64">
        <v>12784.24</v>
      </c>
      <c r="H65" s="64">
        <v>13504.76</v>
      </c>
      <c r="I65" s="64">
        <v>13568.04</v>
      </c>
      <c r="J65" s="64">
        <v>10709.48</v>
      </c>
      <c r="K65" s="64">
        <v>10836.42</v>
      </c>
      <c r="L65" s="64">
        <v>12830.72</v>
      </c>
      <c r="M65" s="64">
        <v>14576.67</v>
      </c>
      <c r="N65" s="62">
        <v>136550.26</v>
      </c>
      <c r="O65" s="63"/>
      <c r="P65" s="63"/>
    </row>
    <row r="66" spans="1:16" ht="9" customHeight="1">
      <c r="A66" s="61">
        <v>1997</v>
      </c>
      <c r="B66" s="62">
        <v>14881.91</v>
      </c>
      <c r="C66" s="62">
        <v>12130.89</v>
      </c>
      <c r="D66" s="62">
        <v>10087.16</v>
      </c>
      <c r="E66" s="62">
        <v>12728.68</v>
      </c>
      <c r="F66" s="64">
        <v>13256.38</v>
      </c>
      <c r="G66" s="64">
        <v>13186.26</v>
      </c>
      <c r="H66" s="64">
        <v>12506.92</v>
      </c>
      <c r="I66" s="64">
        <v>11338.59</v>
      </c>
      <c r="J66" s="64">
        <v>9976.52</v>
      </c>
      <c r="K66" s="64">
        <v>9867.24</v>
      </c>
      <c r="L66" s="64">
        <v>9502.93</v>
      </c>
      <c r="M66" s="64">
        <v>12340.57</v>
      </c>
      <c r="N66" s="62">
        <v>141804.05</v>
      </c>
      <c r="O66" s="63"/>
      <c r="P66" s="63"/>
    </row>
    <row r="67" spans="1:16" ht="9" customHeight="1">
      <c r="A67" s="61">
        <v>1998</v>
      </c>
      <c r="B67" s="62">
        <v>10955.92</v>
      </c>
      <c r="C67" s="62">
        <v>17888.48</v>
      </c>
      <c r="D67" s="62">
        <v>26341.27</v>
      </c>
      <c r="E67" s="62">
        <v>8263.97</v>
      </c>
      <c r="F67" s="64">
        <v>10094.49</v>
      </c>
      <c r="G67" s="64">
        <v>9217.67</v>
      </c>
      <c r="H67" s="64">
        <v>9975.56</v>
      </c>
      <c r="I67" s="64">
        <v>5910.84</v>
      </c>
      <c r="J67" s="64">
        <v>7222.03</v>
      </c>
      <c r="K67" s="64">
        <v>7302.83</v>
      </c>
      <c r="L67" s="64">
        <v>7355.94</v>
      </c>
      <c r="M67" s="64">
        <v>9965.68</v>
      </c>
      <c r="N67" s="62">
        <v>130494.68</v>
      </c>
      <c r="O67" s="63"/>
      <c r="P67" s="63"/>
    </row>
    <row r="68" spans="1:16" ht="9" customHeight="1">
      <c r="A68" s="61">
        <v>1999</v>
      </c>
      <c r="B68" s="62">
        <v>7556.21</v>
      </c>
      <c r="C68" s="62">
        <v>8855.91</v>
      </c>
      <c r="D68" s="62">
        <v>8835.2</v>
      </c>
      <c r="E68" s="62">
        <v>9623.1</v>
      </c>
      <c r="F68" s="64">
        <v>10492.64</v>
      </c>
      <c r="G68" s="64">
        <v>8939.38</v>
      </c>
      <c r="H68" s="64">
        <v>8769.54</v>
      </c>
      <c r="I68" s="64">
        <v>8600.59</v>
      </c>
      <c r="J68" s="64">
        <v>8183.67</v>
      </c>
      <c r="K68" s="64">
        <v>8896.01</v>
      </c>
      <c r="L68" s="64">
        <v>10271.98</v>
      </c>
      <c r="M68" s="62">
        <v>14857.67</v>
      </c>
      <c r="N68" s="62">
        <v>113881.9</v>
      </c>
      <c r="O68" s="63"/>
      <c r="P68" s="63"/>
    </row>
    <row r="69" spans="1:16" ht="3" customHeight="1">
      <c r="A69" s="61"/>
      <c r="B69" s="62"/>
      <c r="C69" s="62"/>
      <c r="D69" s="62"/>
      <c r="E69" s="62"/>
      <c r="F69" s="64"/>
      <c r="G69" s="64"/>
      <c r="H69" s="64"/>
      <c r="I69" s="64"/>
      <c r="J69" s="64"/>
      <c r="K69" s="64"/>
      <c r="L69" s="64"/>
      <c r="M69" s="64"/>
      <c r="N69" s="64"/>
      <c r="O69" s="63"/>
      <c r="P69" s="63"/>
    </row>
    <row r="70" spans="1:16" ht="9.75" customHeight="1">
      <c r="A70" s="61">
        <v>2000</v>
      </c>
      <c r="B70" s="119">
        <v>13443.56</v>
      </c>
      <c r="C70" s="119">
        <v>9985.62</v>
      </c>
      <c r="D70" s="119">
        <v>12806.59</v>
      </c>
      <c r="E70" s="119">
        <v>10937.56</v>
      </c>
      <c r="F70" s="120">
        <v>14044.78</v>
      </c>
      <c r="G70" s="120">
        <v>12608.68</v>
      </c>
      <c r="H70" s="120">
        <v>13061.13</v>
      </c>
      <c r="I70" s="120">
        <v>14185.89</v>
      </c>
      <c r="J70" s="120">
        <v>11695.81</v>
      </c>
      <c r="K70" s="120">
        <v>12309.78</v>
      </c>
      <c r="L70" s="120">
        <v>13197.87</v>
      </c>
      <c r="M70" s="120">
        <v>12771.66</v>
      </c>
      <c r="N70" s="62">
        <f aca="true" t="shared" si="2" ref="N70:N76">SUM(B70:M70)</f>
        <v>151048.93000000002</v>
      </c>
      <c r="O70" s="63"/>
      <c r="P70" s="63"/>
    </row>
    <row r="71" spans="1:16" ht="9.75" customHeight="1">
      <c r="A71" s="61">
        <v>2001</v>
      </c>
      <c r="B71" s="119">
        <v>10394.34</v>
      </c>
      <c r="C71" s="119">
        <v>10349.67</v>
      </c>
      <c r="D71" s="119">
        <v>10522.92</v>
      </c>
      <c r="E71" s="119">
        <v>9004.21</v>
      </c>
      <c r="F71" s="120">
        <v>11466.35</v>
      </c>
      <c r="G71" s="120">
        <v>8695.23</v>
      </c>
      <c r="H71" s="120">
        <v>13000.11</v>
      </c>
      <c r="I71" s="120">
        <v>12583.27</v>
      </c>
      <c r="J71" s="120">
        <v>10613.15</v>
      </c>
      <c r="K71" s="120">
        <v>12610.42</v>
      </c>
      <c r="L71" s="120">
        <v>11965.63</v>
      </c>
      <c r="M71" s="120">
        <v>11586.08</v>
      </c>
      <c r="N71" s="62">
        <f t="shared" si="2"/>
        <v>132791.38</v>
      </c>
      <c r="O71" s="63"/>
      <c r="P71" s="63"/>
    </row>
    <row r="72" spans="1:16" ht="9.75" customHeight="1">
      <c r="A72" s="61">
        <v>2002</v>
      </c>
      <c r="B72" s="119">
        <v>10843.59</v>
      </c>
      <c r="C72" s="119">
        <v>11092.76</v>
      </c>
      <c r="D72" s="119">
        <v>11085.44</v>
      </c>
      <c r="E72" s="119">
        <v>10332.45</v>
      </c>
      <c r="F72" s="120">
        <v>11440.17</v>
      </c>
      <c r="G72" s="120">
        <v>9841.82</v>
      </c>
      <c r="H72" s="120">
        <v>9076.29</v>
      </c>
      <c r="I72" s="120">
        <v>11196.36</v>
      </c>
      <c r="J72" s="120">
        <v>7940.81</v>
      </c>
      <c r="K72" s="120">
        <v>9813.84</v>
      </c>
      <c r="L72" s="120">
        <v>10135.62</v>
      </c>
      <c r="M72" s="120">
        <v>15367.4</v>
      </c>
      <c r="N72" s="62">
        <f t="shared" si="2"/>
        <v>128166.54999999999</v>
      </c>
      <c r="O72" s="63"/>
      <c r="P72" s="63"/>
    </row>
    <row r="73" spans="1:16" ht="9.75" customHeight="1">
      <c r="A73" s="61">
        <v>2003</v>
      </c>
      <c r="B73" s="119">
        <v>13757.49</v>
      </c>
      <c r="C73" s="119">
        <v>12712.99</v>
      </c>
      <c r="D73" s="119">
        <v>12912.94</v>
      </c>
      <c r="E73" s="119">
        <v>14827.61</v>
      </c>
      <c r="F73" s="120">
        <v>15449.89</v>
      </c>
      <c r="G73" s="120">
        <v>14899.43</v>
      </c>
      <c r="H73" s="120">
        <v>9526.87</v>
      </c>
      <c r="I73" s="120">
        <v>8698.13</v>
      </c>
      <c r="J73" s="120">
        <v>11615.65</v>
      </c>
      <c r="K73" s="120">
        <v>12403.78</v>
      </c>
      <c r="L73" s="120">
        <v>13769.18</v>
      </c>
      <c r="M73" s="120">
        <v>11723.66</v>
      </c>
      <c r="N73" s="62">
        <f t="shared" si="2"/>
        <v>152297.62</v>
      </c>
      <c r="O73" s="63"/>
      <c r="P73" s="63"/>
    </row>
    <row r="74" spans="1:16" ht="9.75" customHeight="1">
      <c r="A74" s="61">
        <v>2004</v>
      </c>
      <c r="B74" s="119">
        <v>14889.82</v>
      </c>
      <c r="C74" s="119">
        <v>11888.96</v>
      </c>
      <c r="D74" s="119">
        <v>17053.84</v>
      </c>
      <c r="E74" s="119">
        <v>16710.55</v>
      </c>
      <c r="F74" s="120">
        <v>16994.36</v>
      </c>
      <c r="G74" s="120">
        <v>13357.98</v>
      </c>
      <c r="H74" s="120">
        <v>14745.37</v>
      </c>
      <c r="I74" s="120">
        <v>11206.9</v>
      </c>
      <c r="J74" s="120">
        <v>9120.42</v>
      </c>
      <c r="K74" s="120">
        <v>8775.79</v>
      </c>
      <c r="L74" s="120">
        <v>11992.39</v>
      </c>
      <c r="M74" s="120">
        <v>11508.7</v>
      </c>
      <c r="N74" s="62">
        <f t="shared" si="2"/>
        <v>158245.08000000002</v>
      </c>
      <c r="O74" s="63"/>
      <c r="P74" s="63"/>
    </row>
    <row r="75" spans="1:16" ht="9.75" customHeight="1">
      <c r="A75" s="61">
        <v>2005</v>
      </c>
      <c r="B75" s="119">
        <v>13635.88</v>
      </c>
      <c r="C75" s="119">
        <v>11044.28</v>
      </c>
      <c r="D75" s="119">
        <v>11201.35</v>
      </c>
      <c r="E75" s="119">
        <v>14700.66</v>
      </c>
      <c r="F75" s="120">
        <v>18752.2</v>
      </c>
      <c r="G75" s="120">
        <v>12747.63</v>
      </c>
      <c r="H75" s="120">
        <v>12872.91</v>
      </c>
      <c r="I75" s="120">
        <v>15950.61</v>
      </c>
      <c r="J75" s="120">
        <v>7442.23</v>
      </c>
      <c r="K75" s="120">
        <v>8136.26</v>
      </c>
      <c r="L75" s="120">
        <v>10781.98</v>
      </c>
      <c r="M75" s="120">
        <v>7920.31</v>
      </c>
      <c r="N75" s="62">
        <f t="shared" si="2"/>
        <v>145186.3</v>
      </c>
      <c r="O75" s="63"/>
      <c r="P75" s="63"/>
    </row>
    <row r="76" spans="1:16" ht="9.75" customHeight="1">
      <c r="A76" s="280">
        <v>2006</v>
      </c>
      <c r="B76" s="283">
        <v>10278.71</v>
      </c>
      <c r="C76" s="283">
        <v>8064.23</v>
      </c>
      <c r="D76" s="283">
        <v>11861.44</v>
      </c>
      <c r="E76" s="283">
        <v>9827.87</v>
      </c>
      <c r="F76" s="282">
        <v>11117.87</v>
      </c>
      <c r="G76" s="282">
        <v>11763.02</v>
      </c>
      <c r="H76" s="282">
        <v>10652.42</v>
      </c>
      <c r="I76" s="282">
        <v>12506.55</v>
      </c>
      <c r="J76" s="282">
        <v>10728.29</v>
      </c>
      <c r="K76" s="282">
        <v>10744.08</v>
      </c>
      <c r="L76" s="282">
        <v>10625.36</v>
      </c>
      <c r="M76" s="282">
        <v>9654.31</v>
      </c>
      <c r="N76" s="281">
        <f t="shared" si="2"/>
        <v>127824.15</v>
      </c>
      <c r="O76" s="63"/>
      <c r="P76" s="63"/>
    </row>
    <row r="77" spans="1:16" ht="9.75" customHeight="1">
      <c r="A77" s="280">
        <v>2007</v>
      </c>
      <c r="B77" s="283">
        <v>11365.68</v>
      </c>
      <c r="C77" s="283">
        <v>13943.27</v>
      </c>
      <c r="D77" s="283">
        <v>21496.92</v>
      </c>
      <c r="E77" s="283">
        <v>13212.26</v>
      </c>
      <c r="F77" s="282">
        <v>15426.15</v>
      </c>
      <c r="G77" s="282">
        <v>13526.18</v>
      </c>
      <c r="H77" s="282">
        <v>14654.82</v>
      </c>
      <c r="I77" s="282">
        <v>8435.7</v>
      </c>
      <c r="J77" s="282">
        <f>15354.112-J27-J52-64.668-12.663-161.334-26.967-34.121-2.646</f>
        <v>7725.375</v>
      </c>
      <c r="K77" s="282">
        <f>451.789+600.303+3755.256+349.43+117.447+621.49+6.479+2086.655+30.739+39.564</f>
        <v>8059.152</v>
      </c>
      <c r="L77" s="282">
        <f>166.822+949.548+3777.578+309.242+178.72+497.612+15.278+2432.027+29.87+8.55</f>
        <v>8365.247000000001</v>
      </c>
      <c r="M77" s="282">
        <f>610.7+877.168+5710.703+418.501+105.074+768.831+13.653+3358.279+12.233+0</f>
        <v>11875.142</v>
      </c>
      <c r="N77" s="282">
        <f>SUM(B77:M77)</f>
        <v>148085.89599999998</v>
      </c>
      <c r="O77" s="63"/>
      <c r="P77" s="63"/>
    </row>
    <row r="78" spans="1:16" ht="9.75" customHeight="1">
      <c r="A78" s="225">
        <v>2008</v>
      </c>
      <c r="B78" s="228">
        <f>440.523+1303.218+7927.801+1011.207+111.638+979.337+14.509+3503.023+12.97+20</f>
        <v>15324.226</v>
      </c>
      <c r="C78" s="228">
        <f>572.622+748.992+7779.743+864.252+138.898+804.407+11.155+4141.424+11.962</f>
        <v>15073.454999999998</v>
      </c>
      <c r="D78" s="228">
        <f>491.873+599.836+8858.881+1486.376+256.404+895.248+25.236+3720.635+8.029</f>
        <v>16342.518000000002</v>
      </c>
      <c r="E78" s="228">
        <f>804.195+671.543+8382.641+1406.033+188.164+1125.625+9.502+3699.611+9.533</f>
        <v>16296.846999999998</v>
      </c>
      <c r="F78" s="227">
        <v>15600.354</v>
      </c>
      <c r="G78" s="227">
        <v>14997.485</v>
      </c>
      <c r="H78" s="227">
        <v>13282.783</v>
      </c>
      <c r="I78" s="227">
        <v>11357.324</v>
      </c>
      <c r="J78" s="227">
        <v>8219.937</v>
      </c>
      <c r="K78" s="227">
        <v>8829.378</v>
      </c>
      <c r="L78" s="227"/>
      <c r="M78" s="227"/>
      <c r="N78" s="227"/>
      <c r="O78" s="63"/>
      <c r="P78" s="63"/>
    </row>
    <row r="79" spans="1:16" ht="3.75" customHeight="1">
      <c r="A79" s="225"/>
      <c r="B79" s="228"/>
      <c r="C79" s="228"/>
      <c r="D79" s="228"/>
      <c r="E79" s="228"/>
      <c r="F79" s="227"/>
      <c r="G79" s="227"/>
      <c r="H79" s="227"/>
      <c r="I79" s="227"/>
      <c r="J79" s="227"/>
      <c r="K79" s="227"/>
      <c r="L79" s="227"/>
      <c r="M79" s="227"/>
      <c r="N79" s="226"/>
      <c r="O79" s="63"/>
      <c r="P79" s="63"/>
    </row>
    <row r="80" spans="1:14" ht="10.5" customHeight="1">
      <c r="A80" s="67" t="s">
        <v>77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9.75" customHeight="1">
      <c r="A81" s="69" t="s">
        <v>197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9.75" customHeight="1">
      <c r="A82" s="69" t="s">
        <v>230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1:14" ht="9.75" customHeight="1">
      <c r="A83" s="69" t="s">
        <v>200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1:14" ht="12.75" customHeight="1">
      <c r="A84" s="268" t="s">
        <v>208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2:14" ht="12"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2">
      <c r="A86" s="310" t="s">
        <v>238</v>
      </c>
      <c r="B86" s="65"/>
      <c r="C86" s="63"/>
      <c r="D86" s="65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2:14" ht="12"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2:14" ht="12"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2:14" ht="12"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ht="12">
      <c r="A90" s="284" t="s">
        <v>213</v>
      </c>
    </row>
    <row r="92" spans="1:14" ht="9.75" customHeight="1">
      <c r="A92" s="131" t="s">
        <v>72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</row>
    <row r="93" spans="1:15" ht="9.75" customHeight="1">
      <c r="A93" s="61">
        <v>1985</v>
      </c>
      <c r="B93" s="62">
        <v>8</v>
      </c>
      <c r="C93" s="62">
        <v>12</v>
      </c>
      <c r="D93" s="62">
        <v>34</v>
      </c>
      <c r="E93" s="62">
        <v>23</v>
      </c>
      <c r="F93" s="62">
        <v>15</v>
      </c>
      <c r="G93" s="62">
        <v>12</v>
      </c>
      <c r="H93" s="62">
        <v>14</v>
      </c>
      <c r="I93" s="62">
        <v>14</v>
      </c>
      <c r="J93" s="62">
        <v>24</v>
      </c>
      <c r="K93" s="62">
        <v>8</v>
      </c>
      <c r="L93" s="62">
        <v>17</v>
      </c>
      <c r="M93" s="62">
        <v>73</v>
      </c>
      <c r="N93" s="62">
        <v>252</v>
      </c>
      <c r="O93" s="63"/>
    </row>
    <row r="94" spans="1:15" ht="9.75" customHeight="1">
      <c r="A94" s="61">
        <v>1986</v>
      </c>
      <c r="B94" s="62">
        <v>159</v>
      </c>
      <c r="C94" s="62">
        <v>107</v>
      </c>
      <c r="D94" s="62">
        <v>108</v>
      </c>
      <c r="E94" s="62">
        <v>62</v>
      </c>
      <c r="F94" s="62">
        <v>27</v>
      </c>
      <c r="G94" s="62">
        <v>404</v>
      </c>
      <c r="H94" s="62">
        <v>75</v>
      </c>
      <c r="I94" s="62">
        <v>170</v>
      </c>
      <c r="J94" s="62">
        <v>197</v>
      </c>
      <c r="K94" s="62">
        <v>127</v>
      </c>
      <c r="L94" s="62">
        <v>181</v>
      </c>
      <c r="M94" s="62">
        <v>145</v>
      </c>
      <c r="N94" s="62">
        <v>1763</v>
      </c>
      <c r="O94" s="63"/>
    </row>
    <row r="95" spans="1:15" ht="9.75" customHeight="1">
      <c r="A95" s="61">
        <v>1987</v>
      </c>
      <c r="B95" s="62">
        <v>223</v>
      </c>
      <c r="C95" s="62">
        <v>152</v>
      </c>
      <c r="D95" s="62">
        <v>64</v>
      </c>
      <c r="E95" s="62">
        <v>53</v>
      </c>
      <c r="F95" s="62">
        <v>24</v>
      </c>
      <c r="G95" s="62">
        <v>32</v>
      </c>
      <c r="H95" s="62">
        <v>10</v>
      </c>
      <c r="I95" s="62">
        <v>16</v>
      </c>
      <c r="J95" s="62">
        <v>56</v>
      </c>
      <c r="K95" s="62">
        <v>45</v>
      </c>
      <c r="L95" s="62">
        <v>148</v>
      </c>
      <c r="M95" s="62">
        <v>52</v>
      </c>
      <c r="N95" s="62">
        <v>876</v>
      </c>
      <c r="O95" s="63"/>
    </row>
    <row r="96" ht="7.5" customHeight="1"/>
    <row r="97" spans="1:15" ht="9.75" customHeight="1">
      <c r="A97" s="131" t="s">
        <v>73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3"/>
    </row>
    <row r="98" spans="1:16" ht="9.75" customHeight="1">
      <c r="A98" s="61">
        <v>1985</v>
      </c>
      <c r="B98" s="62">
        <v>37</v>
      </c>
      <c r="C98" s="62">
        <v>71</v>
      </c>
      <c r="D98" s="62">
        <v>175</v>
      </c>
      <c r="E98" s="62">
        <v>133</v>
      </c>
      <c r="F98" s="62">
        <v>98</v>
      </c>
      <c r="G98" s="62">
        <v>54</v>
      </c>
      <c r="H98" s="62">
        <v>103</v>
      </c>
      <c r="I98" s="62">
        <v>211</v>
      </c>
      <c r="J98" s="62">
        <v>191</v>
      </c>
      <c r="K98" s="62">
        <v>241</v>
      </c>
      <c r="L98" s="62">
        <v>117</v>
      </c>
      <c r="M98" s="62">
        <v>137</v>
      </c>
      <c r="N98" s="62">
        <v>1568</v>
      </c>
      <c r="O98" s="65" t="s">
        <v>30</v>
      </c>
      <c r="P98" s="66" t="s">
        <v>30</v>
      </c>
    </row>
    <row r="99" spans="1:15" ht="9.75" customHeight="1">
      <c r="A99" s="61">
        <v>1986</v>
      </c>
      <c r="B99" s="62">
        <v>104</v>
      </c>
      <c r="C99" s="62">
        <v>158</v>
      </c>
      <c r="D99" s="62">
        <v>103</v>
      </c>
      <c r="E99" s="62">
        <v>56</v>
      </c>
      <c r="F99" s="62">
        <v>286</v>
      </c>
      <c r="G99" s="62">
        <v>53</v>
      </c>
      <c r="H99" s="62">
        <v>124</v>
      </c>
      <c r="I99" s="62">
        <v>287</v>
      </c>
      <c r="J99" s="62">
        <v>368</v>
      </c>
      <c r="K99" s="62">
        <v>594</v>
      </c>
      <c r="L99" s="62">
        <v>185</v>
      </c>
      <c r="M99" s="62">
        <v>92</v>
      </c>
      <c r="N99" s="62">
        <v>2409</v>
      </c>
      <c r="O99" s="65" t="s">
        <v>30</v>
      </c>
    </row>
    <row r="100" spans="1:15" ht="9.75" customHeight="1">
      <c r="A100" s="61">
        <v>1987</v>
      </c>
      <c r="B100" s="62">
        <v>62</v>
      </c>
      <c r="C100" s="62">
        <v>192</v>
      </c>
      <c r="D100" s="62">
        <v>231</v>
      </c>
      <c r="E100" s="62">
        <v>489</v>
      </c>
      <c r="F100" s="62">
        <v>264</v>
      </c>
      <c r="G100" s="62">
        <v>200</v>
      </c>
      <c r="H100" s="62">
        <v>332</v>
      </c>
      <c r="I100" s="62">
        <v>327</v>
      </c>
      <c r="J100" s="62">
        <v>243</v>
      </c>
      <c r="K100" s="62">
        <v>118</v>
      </c>
      <c r="L100" s="62">
        <v>53</v>
      </c>
      <c r="M100" s="62">
        <v>94</v>
      </c>
      <c r="N100" s="62">
        <v>2604</v>
      </c>
      <c r="O100" s="65" t="s">
        <v>30</v>
      </c>
    </row>
    <row r="101" ht="6.75" customHeight="1"/>
    <row r="102" spans="1:14" ht="9.75" customHeight="1">
      <c r="A102" s="131" t="s">
        <v>76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1:14" ht="9.75" customHeight="1">
      <c r="A103" s="61">
        <v>1985</v>
      </c>
      <c r="B103" s="62">
        <v>8953</v>
      </c>
      <c r="C103" s="62">
        <v>8310</v>
      </c>
      <c r="D103" s="62">
        <v>15792</v>
      </c>
      <c r="E103" s="62">
        <v>11658</v>
      </c>
      <c r="F103" s="62">
        <v>16628</v>
      </c>
      <c r="G103" s="62">
        <v>12402</v>
      </c>
      <c r="H103" s="62">
        <v>13130</v>
      </c>
      <c r="I103" s="62">
        <v>14305</v>
      </c>
      <c r="J103" s="62">
        <v>13180</v>
      </c>
      <c r="K103" s="62">
        <v>10812</v>
      </c>
      <c r="L103" s="62">
        <v>12214</v>
      </c>
      <c r="M103" s="62">
        <v>15461</v>
      </c>
      <c r="N103" s="62">
        <v>152844</v>
      </c>
    </row>
    <row r="104" spans="1:14" ht="9.75" customHeight="1">
      <c r="A104" s="61">
        <v>1986</v>
      </c>
      <c r="B104" s="62">
        <v>15338</v>
      </c>
      <c r="C104" s="62">
        <v>16158</v>
      </c>
      <c r="D104" s="62">
        <v>15018</v>
      </c>
      <c r="E104" s="62">
        <v>10609</v>
      </c>
      <c r="F104" s="62">
        <v>13441</v>
      </c>
      <c r="G104" s="62">
        <v>12258</v>
      </c>
      <c r="H104" s="62">
        <v>15667</v>
      </c>
      <c r="I104" s="62">
        <v>14027</v>
      </c>
      <c r="J104" s="62">
        <v>9789</v>
      </c>
      <c r="K104" s="62">
        <v>9190</v>
      </c>
      <c r="L104" s="62">
        <v>14695</v>
      </c>
      <c r="M104" s="62">
        <v>12919</v>
      </c>
      <c r="N104" s="62">
        <v>159109</v>
      </c>
    </row>
    <row r="105" spans="1:14" ht="9.75" customHeight="1">
      <c r="A105" s="61">
        <v>1987</v>
      </c>
      <c r="B105" s="62">
        <v>14864</v>
      </c>
      <c r="C105" s="62">
        <v>13731</v>
      </c>
      <c r="D105" s="62">
        <v>15764</v>
      </c>
      <c r="E105" s="62">
        <v>20668</v>
      </c>
      <c r="F105" s="62">
        <v>18342</v>
      </c>
      <c r="G105" s="62">
        <v>16256</v>
      </c>
      <c r="H105" s="62">
        <v>16680</v>
      </c>
      <c r="I105" s="62">
        <v>12956</v>
      </c>
      <c r="J105" s="62">
        <v>8865</v>
      </c>
      <c r="K105" s="62">
        <v>7269</v>
      </c>
      <c r="L105" s="62">
        <v>5903</v>
      </c>
      <c r="M105" s="62">
        <v>6385</v>
      </c>
      <c r="N105" s="62">
        <v>157681</v>
      </c>
    </row>
  </sheetData>
  <printOptions horizontalCentered="1"/>
  <pageMargins left="0.417" right="0.417" top="0.5" bottom="0.75" header="0" footer="0.27"/>
  <pageSetup fitToHeight="1" fitToWidth="1" horizontalDpi="600" verticalDpi="600" orientation="portrait" scale="96" r:id="rId1"/>
  <headerFooter alignWithMargins="0">
    <oddFooter>&amp;C&amp;"Arial,Italic"&amp;9Vegetables and Melons Outlook&amp;"Arial,Regular"/VGS-330/December 16, 2008
Economic Research Service, USDA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49"/>
    <pageSetUpPr fitToPage="1"/>
  </sheetPr>
  <dimension ref="A1:BB26"/>
  <sheetViews>
    <sheetView showGridLines="0" workbookViewId="0" topLeftCell="A1">
      <selection activeCell="O16" sqref="O16"/>
    </sheetView>
  </sheetViews>
  <sheetFormatPr defaultColWidth="14.7109375" defaultRowHeight="12.75"/>
  <cols>
    <col min="1" max="1" width="16.421875" style="12" customWidth="1"/>
    <col min="2" max="2" width="1.57421875" style="12" customWidth="1"/>
    <col min="3" max="6" width="6.421875" style="12" customWidth="1"/>
    <col min="7" max="7" width="1.421875" style="12" customWidth="1"/>
    <col min="8" max="9" width="6.421875" style="12" customWidth="1"/>
    <col min="10" max="11" width="6.140625" style="12" customWidth="1"/>
    <col min="12" max="12" width="1.28515625" style="12" customWidth="1"/>
    <col min="13" max="15" width="6.421875" style="12" customWidth="1"/>
    <col min="16" max="16" width="1.8515625" style="12" customWidth="1"/>
    <col min="17" max="19" width="7.28125" style="12" customWidth="1"/>
    <col min="20" max="20" width="1.1484375" style="12" customWidth="1"/>
    <col min="21" max="21" width="6.7109375" style="12" customWidth="1"/>
    <col min="22" max="23" width="14.7109375" style="12" customWidth="1"/>
    <col min="24" max="24" width="19.57421875" style="12" customWidth="1"/>
    <col min="25" max="28" width="6.57421875" style="12" customWidth="1"/>
    <col min="29" max="29" width="2.28125" style="12" customWidth="1"/>
    <col min="30" max="33" width="6.8515625" style="12" customWidth="1"/>
    <col min="34" max="34" width="2.7109375" style="12" customWidth="1"/>
    <col min="35" max="38" width="7.00390625" style="12" customWidth="1"/>
    <col min="39" max="39" width="1.7109375" style="12" customWidth="1"/>
    <col min="40" max="43" width="7.00390625" style="12" customWidth="1"/>
    <col min="44" max="44" width="2.140625" style="12" customWidth="1"/>
    <col min="45" max="48" width="7.00390625" style="12" customWidth="1"/>
    <col min="49" max="49" width="3.28125" style="12" customWidth="1"/>
    <col min="50" max="54" width="6.8515625" style="12" customWidth="1"/>
    <col min="55" max="109" width="14.7109375" style="12" customWidth="1"/>
    <col min="110" max="110" width="20.7109375" style="12" customWidth="1"/>
    <col min="111" max="16384" width="14.7109375" style="12" customWidth="1"/>
  </cols>
  <sheetData>
    <row r="1" ht="12.75">
      <c r="X1" s="278" t="s">
        <v>211</v>
      </c>
    </row>
    <row r="2" spans="1:54" ht="16.5" customHeight="1">
      <c r="A2" s="137" t="s">
        <v>245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1"/>
      <c r="X2" s="137" t="s">
        <v>210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12.75">
      <c r="A3" s="229"/>
      <c r="B3" s="232"/>
      <c r="C3" s="231">
        <v>2006</v>
      </c>
      <c r="D3" s="232"/>
      <c r="E3" s="232"/>
      <c r="F3" s="232"/>
      <c r="G3" s="232"/>
      <c r="H3" s="231">
        <v>2007</v>
      </c>
      <c r="I3" s="232"/>
      <c r="J3" s="232"/>
      <c r="K3" s="232"/>
      <c r="L3" s="232"/>
      <c r="M3" s="231">
        <v>2008</v>
      </c>
      <c r="N3" s="232"/>
      <c r="O3" s="232"/>
      <c r="P3" s="230"/>
      <c r="Q3" s="233" t="s">
        <v>127</v>
      </c>
      <c r="R3" s="234"/>
      <c r="S3" s="234"/>
      <c r="T3" s="235"/>
      <c r="U3" s="236" t="s">
        <v>232</v>
      </c>
      <c r="V3" s="11"/>
      <c r="X3" s="13"/>
      <c r="Y3" s="14">
        <v>2000</v>
      </c>
      <c r="Z3" s="15"/>
      <c r="AA3" s="15"/>
      <c r="AB3" s="15"/>
      <c r="AC3" s="13"/>
      <c r="AD3" s="14">
        <v>2001</v>
      </c>
      <c r="AE3" s="16"/>
      <c r="AF3" s="17"/>
      <c r="AG3" s="17"/>
      <c r="AH3" s="13"/>
      <c r="AI3" s="14">
        <v>2002</v>
      </c>
      <c r="AJ3" s="132"/>
      <c r="AK3" s="121"/>
      <c r="AL3" s="17"/>
      <c r="AM3" s="130"/>
      <c r="AN3" s="14">
        <v>2003</v>
      </c>
      <c r="AO3" s="121"/>
      <c r="AP3" s="121"/>
      <c r="AQ3" s="17"/>
      <c r="AR3" s="130"/>
      <c r="AS3" s="231">
        <v>2004</v>
      </c>
      <c r="AT3" s="232"/>
      <c r="AU3" s="232"/>
      <c r="AV3" s="231"/>
      <c r="AX3" s="274"/>
      <c r="AY3" s="274" t="s">
        <v>209</v>
      </c>
      <c r="AZ3" s="248"/>
      <c r="BA3" s="248"/>
      <c r="BB3" s="248"/>
    </row>
    <row r="4" spans="1:54" ht="12.75">
      <c r="A4" s="237" t="s">
        <v>23</v>
      </c>
      <c r="B4" s="239"/>
      <c r="C4" s="239" t="s">
        <v>24</v>
      </c>
      <c r="D4" s="240" t="s">
        <v>25</v>
      </c>
      <c r="E4" s="241" t="s">
        <v>26</v>
      </c>
      <c r="F4" s="240" t="s">
        <v>27</v>
      </c>
      <c r="G4" s="239"/>
      <c r="H4" s="239" t="s">
        <v>24</v>
      </c>
      <c r="I4" s="240" t="s">
        <v>25</v>
      </c>
      <c r="J4" s="241" t="s">
        <v>26</v>
      </c>
      <c r="K4" s="240" t="s">
        <v>27</v>
      </c>
      <c r="L4" s="239"/>
      <c r="M4" s="239" t="s">
        <v>24</v>
      </c>
      <c r="N4" s="240" t="s">
        <v>25</v>
      </c>
      <c r="O4" s="240" t="s">
        <v>26</v>
      </c>
      <c r="P4" s="238"/>
      <c r="Q4" s="243">
        <v>2005</v>
      </c>
      <c r="R4" s="243">
        <v>2006</v>
      </c>
      <c r="S4" s="243">
        <v>2007</v>
      </c>
      <c r="T4" s="242"/>
      <c r="U4" s="244" t="s">
        <v>28</v>
      </c>
      <c r="V4" s="11"/>
      <c r="X4" s="18" t="s">
        <v>23</v>
      </c>
      <c r="Y4" s="19" t="s">
        <v>24</v>
      </c>
      <c r="Z4" s="19" t="s">
        <v>25</v>
      </c>
      <c r="AA4" s="19" t="s">
        <v>26</v>
      </c>
      <c r="AB4" s="19" t="s">
        <v>27</v>
      </c>
      <c r="AC4" s="20"/>
      <c r="AD4" s="19" t="s">
        <v>24</v>
      </c>
      <c r="AE4" s="19" t="s">
        <v>25</v>
      </c>
      <c r="AF4" s="107" t="s">
        <v>26</v>
      </c>
      <c r="AG4" s="19" t="s">
        <v>27</v>
      </c>
      <c r="AH4" s="19"/>
      <c r="AI4" s="19" t="s">
        <v>24</v>
      </c>
      <c r="AJ4" s="122" t="s">
        <v>25</v>
      </c>
      <c r="AK4" s="123" t="s">
        <v>26</v>
      </c>
      <c r="AL4" s="19" t="s">
        <v>27</v>
      </c>
      <c r="AM4" s="19"/>
      <c r="AN4" s="19" t="s">
        <v>24</v>
      </c>
      <c r="AO4" s="122" t="s">
        <v>25</v>
      </c>
      <c r="AP4" s="123" t="s">
        <v>26</v>
      </c>
      <c r="AQ4" s="19" t="s">
        <v>27</v>
      </c>
      <c r="AR4" s="19"/>
      <c r="AS4" s="239" t="s">
        <v>24</v>
      </c>
      <c r="AT4" s="240" t="s">
        <v>25</v>
      </c>
      <c r="AU4" s="241" t="s">
        <v>26</v>
      </c>
      <c r="AV4" s="239" t="s">
        <v>27</v>
      </c>
      <c r="AW4" s="10"/>
      <c r="AX4" s="277">
        <v>2000</v>
      </c>
      <c r="AY4" s="277">
        <v>2001</v>
      </c>
      <c r="AZ4" s="277">
        <v>2002</v>
      </c>
      <c r="BA4" s="277">
        <v>2003</v>
      </c>
      <c r="BB4" s="277">
        <v>2004</v>
      </c>
    </row>
    <row r="5" spans="1:54" ht="12.75">
      <c r="A5" s="317"/>
      <c r="B5" s="318"/>
      <c r="C5" s="318"/>
      <c r="D5" s="318"/>
      <c r="E5" s="319"/>
      <c r="F5" s="318"/>
      <c r="G5" s="318"/>
      <c r="H5" s="318"/>
      <c r="I5" s="318"/>
      <c r="J5" s="319" t="s">
        <v>212</v>
      </c>
      <c r="K5" s="318"/>
      <c r="L5" s="318"/>
      <c r="M5" s="318"/>
      <c r="N5" s="318"/>
      <c r="O5" s="318"/>
      <c r="P5" s="320"/>
      <c r="Q5" s="321"/>
      <c r="R5" s="321"/>
      <c r="S5" s="321"/>
      <c r="T5" s="321"/>
      <c r="U5" s="322" t="s">
        <v>239</v>
      </c>
      <c r="V5" s="11"/>
      <c r="X5" s="313"/>
      <c r="Y5" s="314"/>
      <c r="Z5" s="314"/>
      <c r="AA5" s="314"/>
      <c r="AB5" s="314"/>
      <c r="AC5" s="13"/>
      <c r="AD5" s="314"/>
      <c r="AE5" s="314"/>
      <c r="AF5" s="315"/>
      <c r="AG5" s="314"/>
      <c r="AH5" s="314"/>
      <c r="AI5" s="314"/>
      <c r="AJ5" s="314"/>
      <c r="AK5" s="315"/>
      <c r="AL5" s="314"/>
      <c r="AM5" s="314"/>
      <c r="AN5" s="314"/>
      <c r="AO5" s="314"/>
      <c r="AP5" s="315"/>
      <c r="AQ5" s="314"/>
      <c r="AR5" s="314"/>
      <c r="AS5" s="311"/>
      <c r="AT5" s="311"/>
      <c r="AU5" s="312"/>
      <c r="AV5" s="311"/>
      <c r="AW5" s="13"/>
      <c r="AX5" s="316"/>
      <c r="AY5" s="316"/>
      <c r="AZ5" s="316"/>
      <c r="BA5" s="316"/>
      <c r="BB5" s="316"/>
    </row>
    <row r="6" spans="1:54" ht="4.5" customHeight="1">
      <c r="A6" s="22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U6" s="21"/>
      <c r="V6" s="11"/>
      <c r="X6" s="22" t="s">
        <v>30</v>
      </c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X6" s="275"/>
      <c r="AY6" s="275"/>
      <c r="AZ6" s="275"/>
      <c r="BA6" s="248"/>
      <c r="BB6" s="275"/>
    </row>
    <row r="7" spans="1:54" ht="10.5" customHeight="1">
      <c r="A7" s="140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U7" s="21"/>
      <c r="V7" s="11"/>
      <c r="X7" s="22" t="s">
        <v>31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X7" s="275"/>
      <c r="AY7" s="275"/>
      <c r="AZ7" s="275"/>
      <c r="BA7" s="248"/>
      <c r="BB7" s="275"/>
    </row>
    <row r="8" spans="1:54" ht="10.5" customHeight="1">
      <c r="A8" s="22" t="s">
        <v>32</v>
      </c>
      <c r="B8" s="23"/>
      <c r="C8" s="23">
        <v>2006.202</v>
      </c>
      <c r="D8" s="23">
        <v>2192.951</v>
      </c>
      <c r="E8" s="23">
        <v>2781.979</v>
      </c>
      <c r="F8" s="23">
        <v>2989.953</v>
      </c>
      <c r="G8" s="23"/>
      <c r="H8" s="23">
        <v>2782.388</v>
      </c>
      <c r="I8" s="23">
        <v>2756.547</v>
      </c>
      <c r="J8" s="23">
        <v>2535.282</v>
      </c>
      <c r="K8" s="23">
        <v>5390.408</v>
      </c>
      <c r="L8" s="23"/>
      <c r="M8" s="23">
        <f>3265.431+314.745+7.734</f>
        <v>3587.91</v>
      </c>
      <c r="N8" s="23">
        <v>4410.336</v>
      </c>
      <c r="O8" s="344">
        <f>1411.454+1251.155+1372.186</f>
        <v>4034.795</v>
      </c>
      <c r="P8" s="25"/>
      <c r="Q8" s="24">
        <v>7004.147</v>
      </c>
      <c r="R8" s="24">
        <v>9970.904</v>
      </c>
      <c r="S8" s="24">
        <f>SUM(H8:K8)</f>
        <v>13464.625</v>
      </c>
      <c r="U8" s="26">
        <f>+((S8/R8)-1)*100</f>
        <v>35.03915993976072</v>
      </c>
      <c r="V8" s="11"/>
      <c r="X8" s="22" t="s">
        <v>32</v>
      </c>
      <c r="Y8" s="23">
        <v>2719.32</v>
      </c>
      <c r="Z8" s="23">
        <v>3895.78</v>
      </c>
      <c r="AA8" s="21">
        <v>2360.46</v>
      </c>
      <c r="AB8" s="21">
        <v>5650.97</v>
      </c>
      <c r="AC8" s="24"/>
      <c r="AD8" s="23">
        <v>2890.88</v>
      </c>
      <c r="AE8" s="23">
        <v>2128.9</v>
      </c>
      <c r="AF8" s="23">
        <v>1879</v>
      </c>
      <c r="AG8" s="23">
        <v>5141.37</v>
      </c>
      <c r="AH8" s="23"/>
      <c r="AI8" s="23">
        <v>2175.36</v>
      </c>
      <c r="AJ8" s="23">
        <v>2437.21</v>
      </c>
      <c r="AK8" s="23">
        <v>1963.63</v>
      </c>
      <c r="AL8" s="23">
        <v>2546.37</v>
      </c>
      <c r="AM8" s="23"/>
      <c r="AN8" s="23">
        <v>2046.87</v>
      </c>
      <c r="AO8" s="23">
        <v>1771.01</v>
      </c>
      <c r="AP8" s="23">
        <v>1405.86</v>
      </c>
      <c r="AQ8" s="23">
        <v>3061.15</v>
      </c>
      <c r="AR8" s="23"/>
      <c r="AS8" s="23">
        <v>1864.25</v>
      </c>
      <c r="AT8" s="23">
        <v>1399.54</v>
      </c>
      <c r="AU8" s="23">
        <v>1934.12</v>
      </c>
      <c r="AV8" s="23">
        <v>2842.61</v>
      </c>
      <c r="AX8" s="246">
        <f>SUM(Y8:AB8)</f>
        <v>14626.530000000002</v>
      </c>
      <c r="AY8" s="246">
        <f>SUM(AD8:AG8)</f>
        <v>12040.150000000001</v>
      </c>
      <c r="AZ8" s="246">
        <f>SUM(AI8:AL8)</f>
        <v>9122.57</v>
      </c>
      <c r="BA8" s="246">
        <f>SUM(AN8:AQ8)</f>
        <v>8284.89</v>
      </c>
      <c r="BB8" s="246">
        <v>8040.52</v>
      </c>
    </row>
    <row r="9" spans="1:54" ht="10.5" customHeight="1">
      <c r="A9" s="22" t="s">
        <v>33</v>
      </c>
      <c r="B9" s="23"/>
      <c r="C9" s="23">
        <v>516.121</v>
      </c>
      <c r="D9" s="23">
        <v>511.245</v>
      </c>
      <c r="E9" s="23">
        <v>797.2</v>
      </c>
      <c r="F9" s="23">
        <v>425.225</v>
      </c>
      <c r="G9" s="23"/>
      <c r="H9" s="23">
        <v>634.446</v>
      </c>
      <c r="I9" s="23">
        <v>649.953</v>
      </c>
      <c r="J9" s="23">
        <v>784.38</v>
      </c>
      <c r="K9" s="23">
        <v>888.925</v>
      </c>
      <c r="L9" s="23"/>
      <c r="M9" s="23">
        <v>695.604</v>
      </c>
      <c r="N9" s="23">
        <v>1036.88</v>
      </c>
      <c r="O9" s="23">
        <f>276.79+486.646+522.83</f>
        <v>1286.266</v>
      </c>
      <c r="P9" s="24"/>
      <c r="Q9" s="24">
        <v>2819.586</v>
      </c>
      <c r="R9" s="24">
        <v>2247.793</v>
      </c>
      <c r="S9" s="24">
        <v>2957.706</v>
      </c>
      <c r="U9" s="26">
        <f>+((S9/R9)-1)*100</f>
        <v>31.582667976988986</v>
      </c>
      <c r="V9" s="11"/>
      <c r="X9" s="22" t="s">
        <v>33</v>
      </c>
      <c r="Y9" s="23">
        <v>505.55</v>
      </c>
      <c r="Z9" s="23">
        <v>818.26</v>
      </c>
      <c r="AA9" s="23">
        <v>579.07</v>
      </c>
      <c r="AB9" s="23">
        <v>602.54</v>
      </c>
      <c r="AC9" s="24"/>
      <c r="AD9" s="23">
        <v>1275.82</v>
      </c>
      <c r="AE9" s="23">
        <v>838.73</v>
      </c>
      <c r="AF9" s="23">
        <v>1071.35</v>
      </c>
      <c r="AG9" s="23">
        <v>972.07</v>
      </c>
      <c r="AH9" s="23"/>
      <c r="AI9" s="23">
        <v>640.85</v>
      </c>
      <c r="AJ9" s="23">
        <v>525.73</v>
      </c>
      <c r="AK9" s="23">
        <v>987.31</v>
      </c>
      <c r="AL9" s="23">
        <v>870.18</v>
      </c>
      <c r="AM9" s="23"/>
      <c r="AN9" s="23">
        <v>507.35</v>
      </c>
      <c r="AO9" s="23">
        <v>609.05</v>
      </c>
      <c r="AP9" s="23">
        <v>799.45</v>
      </c>
      <c r="AQ9" s="23">
        <v>1450.45</v>
      </c>
      <c r="AR9" s="23"/>
      <c r="AS9" s="23">
        <v>591.78</v>
      </c>
      <c r="AT9" s="23">
        <v>1293.87</v>
      </c>
      <c r="AU9" s="23">
        <v>497.44</v>
      </c>
      <c r="AV9" s="23">
        <v>938.19</v>
      </c>
      <c r="AX9" s="246">
        <f>SUM(Y9:AB9)</f>
        <v>2505.42</v>
      </c>
      <c r="AY9" s="246">
        <f>SUM(AD9:AG9)</f>
        <v>4157.97</v>
      </c>
      <c r="AZ9" s="246">
        <f>SUM(AI9:AL9)</f>
        <v>3024.0699999999997</v>
      </c>
      <c r="BA9" s="246">
        <f>SUM(AN9:AQ9)</f>
        <v>3366.3</v>
      </c>
      <c r="BB9" s="246">
        <v>3321.28</v>
      </c>
    </row>
    <row r="10" spans="1:54" ht="10.5" customHeight="1">
      <c r="A10" s="22" t="s">
        <v>34</v>
      </c>
      <c r="B10" s="23"/>
      <c r="C10" s="23">
        <v>3272.958</v>
      </c>
      <c r="D10" s="23">
        <v>2881.068</v>
      </c>
      <c r="E10" s="23">
        <v>2663.979</v>
      </c>
      <c r="F10" s="23">
        <v>3229.442</v>
      </c>
      <c r="G10" s="23"/>
      <c r="H10" s="23">
        <v>2652.156</v>
      </c>
      <c r="I10" s="23">
        <v>2872.104</v>
      </c>
      <c r="J10" s="23">
        <v>3003.634</v>
      </c>
      <c r="K10" s="23">
        <v>4058.086</v>
      </c>
      <c r="L10" s="23"/>
      <c r="M10" s="23">
        <v>3517.371</v>
      </c>
      <c r="N10" s="23">
        <v>3073.561</v>
      </c>
      <c r="O10" s="23">
        <f>1033.39+1006.363+1158.616</f>
        <v>3198.369</v>
      </c>
      <c r="P10" s="24"/>
      <c r="Q10" s="24">
        <v>12572.674</v>
      </c>
      <c r="R10" s="24">
        <v>12047.454</v>
      </c>
      <c r="S10" s="24">
        <v>12585.987</v>
      </c>
      <c r="U10" s="26">
        <f>+((S10/R10)-1)*100</f>
        <v>4.4700979974690025</v>
      </c>
      <c r="V10" s="11"/>
      <c r="X10" s="22" t="s">
        <v>34</v>
      </c>
      <c r="Y10" s="23">
        <v>3180.28</v>
      </c>
      <c r="Z10" s="23">
        <v>3056.37</v>
      </c>
      <c r="AA10" s="23">
        <v>3214.42</v>
      </c>
      <c r="AB10" s="23">
        <v>3112.51</v>
      </c>
      <c r="AC10" s="24"/>
      <c r="AD10" s="23">
        <v>3584.56</v>
      </c>
      <c r="AE10" s="23">
        <v>3420.16</v>
      </c>
      <c r="AF10" s="23">
        <v>3338.21</v>
      </c>
      <c r="AG10" s="23">
        <v>3168.9</v>
      </c>
      <c r="AH10" s="23"/>
      <c r="AI10" s="23">
        <v>3147.52</v>
      </c>
      <c r="AJ10" s="23">
        <v>2471.74</v>
      </c>
      <c r="AK10" s="23">
        <v>2661.09</v>
      </c>
      <c r="AL10" s="23">
        <v>2388.9</v>
      </c>
      <c r="AM10" s="23"/>
      <c r="AN10" s="23">
        <v>2567.33</v>
      </c>
      <c r="AO10" s="23">
        <v>3001.86</v>
      </c>
      <c r="AP10" s="23">
        <v>3031.21</v>
      </c>
      <c r="AQ10" s="23">
        <v>3124.1</v>
      </c>
      <c r="AR10" s="23"/>
      <c r="AS10" s="23">
        <v>3196.68</v>
      </c>
      <c r="AT10" s="23">
        <v>3521.36</v>
      </c>
      <c r="AU10" s="23">
        <v>3383.28</v>
      </c>
      <c r="AV10" s="23">
        <v>3543.21</v>
      </c>
      <c r="AX10" s="246">
        <f>SUM(Y10:AB10)</f>
        <v>12563.58</v>
      </c>
      <c r="AY10" s="246">
        <f>SUM(AD10:AG10)</f>
        <v>13511.83</v>
      </c>
      <c r="AZ10" s="246">
        <f>SUM(AI10:AL10)</f>
        <v>10669.25</v>
      </c>
      <c r="BA10" s="246">
        <f>SUM(AN10:AQ10)</f>
        <v>11724.500000000002</v>
      </c>
      <c r="BB10" s="246">
        <v>13644.53</v>
      </c>
    </row>
    <row r="11" spans="1:54" ht="4.5" customHeight="1">
      <c r="A11" s="22" t="s">
        <v>30</v>
      </c>
      <c r="B11" s="24"/>
      <c r="C11" s="24"/>
      <c r="D11" s="24"/>
      <c r="E11" s="23"/>
      <c r="F11" s="23"/>
      <c r="G11" s="23"/>
      <c r="H11" s="24"/>
      <c r="I11" s="24"/>
      <c r="J11" s="23"/>
      <c r="K11" s="23"/>
      <c r="L11" s="23"/>
      <c r="M11" s="24"/>
      <c r="N11" s="24"/>
      <c r="O11" s="24"/>
      <c r="P11" s="24"/>
      <c r="Q11" s="24"/>
      <c r="R11" s="24"/>
      <c r="S11" s="24"/>
      <c r="U11" s="26"/>
      <c r="V11" s="11"/>
      <c r="X11" s="22" t="s">
        <v>30</v>
      </c>
      <c r="Y11" s="23"/>
      <c r="Z11" s="23"/>
      <c r="AA11" s="23"/>
      <c r="AB11" s="23" t="s">
        <v>30</v>
      </c>
      <c r="AC11" s="24"/>
      <c r="AD11" s="23"/>
      <c r="AE11" s="23"/>
      <c r="AF11" s="23"/>
      <c r="AG11" s="23" t="s">
        <v>30</v>
      </c>
      <c r="AH11" s="23"/>
      <c r="AI11" s="24"/>
      <c r="AJ11" s="23"/>
      <c r="AK11" s="23"/>
      <c r="AL11" s="23"/>
      <c r="AM11" s="23"/>
      <c r="AN11" s="24"/>
      <c r="AO11" s="24"/>
      <c r="AP11" s="24"/>
      <c r="AQ11" s="24"/>
      <c r="AR11" s="24"/>
      <c r="AS11" s="24"/>
      <c r="AT11" s="24"/>
      <c r="AU11" s="24"/>
      <c r="AV11" s="24"/>
      <c r="AX11" s="246"/>
      <c r="AY11" s="246"/>
      <c r="AZ11" s="246"/>
      <c r="BA11" s="248"/>
      <c r="BB11" s="246"/>
    </row>
    <row r="12" spans="1:54" ht="10.5" customHeight="1">
      <c r="A12" s="245" t="s">
        <v>35</v>
      </c>
      <c r="B12" s="247"/>
      <c r="C12" s="247">
        <f>SUM(C8:C10)</f>
        <v>5795.281</v>
      </c>
      <c r="D12" s="247">
        <f>SUM(D8:D10)</f>
        <v>5585.264</v>
      </c>
      <c r="E12" s="247">
        <f>SUM(E8:E10)</f>
        <v>6243.157999999999</v>
      </c>
      <c r="F12" s="247">
        <f>SUM(F8:F10)</f>
        <v>6644.62</v>
      </c>
      <c r="G12" s="247"/>
      <c r="H12" s="247">
        <f>SUM(H8:H10)</f>
        <v>6068.99</v>
      </c>
      <c r="I12" s="247">
        <f>SUM(I8:I10)</f>
        <v>6278.603999999999</v>
      </c>
      <c r="J12" s="247">
        <f>SUM(J8:J10)</f>
        <v>6323.296</v>
      </c>
      <c r="K12" s="247">
        <f>SUM(K8:K10)</f>
        <v>10337.419</v>
      </c>
      <c r="L12" s="247"/>
      <c r="M12" s="247">
        <f>SUM(M8:M10)</f>
        <v>7800.885</v>
      </c>
      <c r="N12" s="247">
        <f>SUM(N8:N10)</f>
        <v>8520.777</v>
      </c>
      <c r="O12" s="247">
        <f>SUM(O8:O10)</f>
        <v>8519.43</v>
      </c>
      <c r="P12" s="246"/>
      <c r="Q12" s="247">
        <f>SUM(Q8:Q10)</f>
        <v>22396.407</v>
      </c>
      <c r="R12" s="247">
        <v>24798.248</v>
      </c>
      <c r="S12" s="247">
        <f>SUM(S8:S10)</f>
        <v>29008.318</v>
      </c>
      <c r="T12" s="248"/>
      <c r="U12" s="249">
        <f>+((S12/R12)-1)*100</f>
        <v>16.977288072931596</v>
      </c>
      <c r="V12" s="11"/>
      <c r="X12" s="22" t="s">
        <v>35</v>
      </c>
      <c r="Y12" s="23">
        <f>SUM(Y8:Y10)</f>
        <v>6405.150000000001</v>
      </c>
      <c r="Z12" s="23">
        <f>SUM(Z8:Z10)</f>
        <v>7770.41</v>
      </c>
      <c r="AA12" s="23">
        <f>SUM(AA8:AA10)</f>
        <v>6153.950000000001</v>
      </c>
      <c r="AB12" s="23">
        <f>SUM(AB8:AB10)</f>
        <v>9366.02</v>
      </c>
      <c r="AC12" s="24"/>
      <c r="AD12" s="23">
        <f>SUM(AD8:AD10)</f>
        <v>7751.26</v>
      </c>
      <c r="AE12" s="23">
        <f>SUM(AE8:AE10)</f>
        <v>6387.79</v>
      </c>
      <c r="AF12" s="23">
        <f>SUM(AF8:AF10)</f>
        <v>6288.5599999999995</v>
      </c>
      <c r="AG12" s="23">
        <f>SUM(AG8:AG10)</f>
        <v>9282.34</v>
      </c>
      <c r="AH12" s="23"/>
      <c r="AI12" s="23">
        <f>SUM(AI8:AI10)</f>
        <v>5963.73</v>
      </c>
      <c r="AJ12" s="23">
        <f>SUM(AJ8:AJ10)</f>
        <v>5434.68</v>
      </c>
      <c r="AK12" s="23">
        <f>SUM(AK8:AK10)</f>
        <v>5612.030000000001</v>
      </c>
      <c r="AL12" s="23">
        <f>SUM(AL8:AL10)</f>
        <v>5805.45</v>
      </c>
      <c r="AM12" s="23"/>
      <c r="AN12" s="23">
        <f>SUM(AN8:AN10)</f>
        <v>5121.549999999999</v>
      </c>
      <c r="AO12" s="23">
        <f>SUM(AO8:AO10)</f>
        <v>5381.92</v>
      </c>
      <c r="AP12" s="23">
        <f>SUM(AP8:AP10)</f>
        <v>5236.52</v>
      </c>
      <c r="AQ12" s="23">
        <f>SUM(AQ8:AQ10)</f>
        <v>7635.700000000001</v>
      </c>
      <c r="AR12" s="23"/>
      <c r="AS12" s="247">
        <f>SUM(AS8:AS10)</f>
        <v>5652.709999999999</v>
      </c>
      <c r="AT12" s="247">
        <f>SUM(AT8:AT10)</f>
        <v>6214.77</v>
      </c>
      <c r="AU12" s="247">
        <f>SUM(AU8:AU10)</f>
        <v>5814.84</v>
      </c>
      <c r="AV12" s="247">
        <f>SUM(AV8:AV10)</f>
        <v>7324.01</v>
      </c>
      <c r="AX12" s="246">
        <f>SUM(AX8:AX10)</f>
        <v>29695.530000000006</v>
      </c>
      <c r="AY12" s="246">
        <f>SUM(AY8:AY10)</f>
        <v>29709.950000000004</v>
      </c>
      <c r="AZ12" s="246">
        <f>SUM(AZ8:AZ10)</f>
        <v>22815.89</v>
      </c>
      <c r="BA12" s="246">
        <f>SUM(AN12:AQ12)</f>
        <v>23375.690000000002</v>
      </c>
      <c r="BB12" s="246">
        <f>SUM(BB8:BB10)</f>
        <v>25006.33</v>
      </c>
    </row>
    <row r="13" spans="1:54" ht="4.5" customHeight="1">
      <c r="A13" s="2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4"/>
      <c r="R13" s="24"/>
      <c r="S13" s="24"/>
      <c r="U13" s="26"/>
      <c r="V13" s="11"/>
      <c r="X13" s="21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X13" s="246"/>
      <c r="AY13" s="246"/>
      <c r="AZ13" s="246"/>
      <c r="BA13" s="248"/>
      <c r="BB13" s="246"/>
    </row>
    <row r="14" spans="1:54" ht="10.5" customHeight="1">
      <c r="A14" s="140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4"/>
      <c r="R14" s="24"/>
      <c r="S14" s="24"/>
      <c r="U14" s="26"/>
      <c r="V14" s="11"/>
      <c r="X14" s="22" t="s">
        <v>36</v>
      </c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X14" s="246"/>
      <c r="AY14" s="246"/>
      <c r="AZ14" s="246"/>
      <c r="BA14" s="248"/>
      <c r="BB14" s="246"/>
    </row>
    <row r="15" spans="1:54" ht="10.5" customHeight="1">
      <c r="A15" s="22" t="s">
        <v>32</v>
      </c>
      <c r="B15" s="23"/>
      <c r="C15" s="23">
        <v>14871.894</v>
      </c>
      <c r="D15" s="23">
        <v>15494.014</v>
      </c>
      <c r="E15" s="23">
        <v>11928.503</v>
      </c>
      <c r="F15" s="23">
        <v>14148.172</v>
      </c>
      <c r="G15" s="23"/>
      <c r="H15" s="23">
        <v>18399.687</v>
      </c>
      <c r="I15" s="23">
        <v>17378.047</v>
      </c>
      <c r="J15" s="23">
        <v>14839.122</v>
      </c>
      <c r="K15" s="23">
        <f>Mush7!K27+Mush7!L27+Mush7!M27</f>
        <v>18200.597</v>
      </c>
      <c r="L15" s="23"/>
      <c r="M15" s="23">
        <f>15614.341+2802.873+8.144</f>
        <v>18425.358</v>
      </c>
      <c r="N15" s="23">
        <v>15350.738</v>
      </c>
      <c r="O15" s="23">
        <f>SUM(Mush7!H28:J28)</f>
        <v>15045.867000000002</v>
      </c>
      <c r="P15" s="24"/>
      <c r="Q15" s="24">
        <v>59951.109</v>
      </c>
      <c r="R15" s="24">
        <v>56442.584</v>
      </c>
      <c r="S15" s="24">
        <v>68817.459</v>
      </c>
      <c r="U15" s="26">
        <f>+((S15/R15)-1)*100</f>
        <v>21.924713794109785</v>
      </c>
      <c r="V15" s="11"/>
      <c r="X15" s="22" t="s">
        <v>32</v>
      </c>
      <c r="Y15" s="23">
        <v>8350.82</v>
      </c>
      <c r="Z15" s="23">
        <v>9697.65</v>
      </c>
      <c r="AA15" s="23">
        <v>9149.46</v>
      </c>
      <c r="AB15" s="23">
        <v>9501.23</v>
      </c>
      <c r="AC15" s="25" t="s">
        <v>30</v>
      </c>
      <c r="AD15" s="23">
        <v>9264.84</v>
      </c>
      <c r="AE15" s="23">
        <v>10276.61</v>
      </c>
      <c r="AF15" s="23">
        <v>9920.18</v>
      </c>
      <c r="AG15" s="23">
        <v>11270.49</v>
      </c>
      <c r="AH15" s="23"/>
      <c r="AI15" s="23">
        <v>11431</v>
      </c>
      <c r="AJ15" s="23">
        <v>11947.42</v>
      </c>
      <c r="AK15" s="23">
        <v>11764.27</v>
      </c>
      <c r="AL15" s="23">
        <v>13578.62</v>
      </c>
      <c r="AM15" s="23"/>
      <c r="AN15" s="23">
        <v>13745.6</v>
      </c>
      <c r="AO15" s="23">
        <v>14907.52</v>
      </c>
      <c r="AP15" s="23">
        <v>13552.33</v>
      </c>
      <c r="AQ15" s="23">
        <v>15079.89</v>
      </c>
      <c r="AR15" s="23"/>
      <c r="AS15" s="23">
        <v>15897.42</v>
      </c>
      <c r="AT15" s="23">
        <v>15321.82</v>
      </c>
      <c r="AU15" s="23">
        <v>13370.74</v>
      </c>
      <c r="AV15" s="23">
        <v>15469.46</v>
      </c>
      <c r="AX15" s="246">
        <f>SUM(Y15:AB15)</f>
        <v>36699.16</v>
      </c>
      <c r="AY15" s="246">
        <f>SUM(AD15:AG15)</f>
        <v>40732.12</v>
      </c>
      <c r="AZ15" s="246">
        <f>SUM(AI15:AL15)</f>
        <v>48721.310000000005</v>
      </c>
      <c r="BA15" s="246">
        <f>SUM(AN15:AQ15)</f>
        <v>57285.340000000004</v>
      </c>
      <c r="BB15" s="246">
        <v>60059.44</v>
      </c>
    </row>
    <row r="16" spans="1:54" ht="10.5" customHeight="1">
      <c r="A16" s="22" t="s">
        <v>37</v>
      </c>
      <c r="B16" s="23"/>
      <c r="C16" s="23">
        <v>29931.367</v>
      </c>
      <c r="D16" s="23">
        <v>32571.577</v>
      </c>
      <c r="E16" s="23">
        <v>33858.77</v>
      </c>
      <c r="F16" s="23">
        <v>30958.351</v>
      </c>
      <c r="G16" s="23"/>
      <c r="H16" s="23">
        <v>46829.574</v>
      </c>
      <c r="I16" s="23">
        <v>42099.834</v>
      </c>
      <c r="J16" s="23">
        <v>30821.64</v>
      </c>
      <c r="K16" s="23">
        <v>28178.046</v>
      </c>
      <c r="L16" s="23"/>
      <c r="M16" s="23">
        <v>46740.212</v>
      </c>
      <c r="N16" s="23">
        <v>46958.983</v>
      </c>
      <c r="O16" s="23">
        <f>SUM(Mush7!H78:J78)</f>
        <v>32860.044</v>
      </c>
      <c r="P16" s="24"/>
      <c r="Q16" s="24">
        <v>144996.191</v>
      </c>
      <c r="R16" s="24">
        <v>127320.065</v>
      </c>
      <c r="S16" s="24">
        <v>147929.096</v>
      </c>
      <c r="U16" s="26">
        <f>+((S16/R16)-1)*100</f>
        <v>16.186789568478453</v>
      </c>
      <c r="V16" s="11"/>
      <c r="X16" s="22" t="s">
        <v>37</v>
      </c>
      <c r="Y16" s="23">
        <v>36235.77</v>
      </c>
      <c r="Z16" s="23">
        <v>37591.02</v>
      </c>
      <c r="AA16" s="23">
        <v>38942.83</v>
      </c>
      <c r="AB16" s="23">
        <v>38279.31</v>
      </c>
      <c r="AC16" s="24"/>
      <c r="AD16" s="23">
        <v>31266.93</v>
      </c>
      <c r="AE16" s="23">
        <v>29165.79</v>
      </c>
      <c r="AF16" s="23">
        <v>36196.53</v>
      </c>
      <c r="AG16" s="23">
        <v>36162.13</v>
      </c>
      <c r="AH16" s="23"/>
      <c r="AI16" s="23">
        <v>33021.79</v>
      </c>
      <c r="AJ16" s="23">
        <v>31614.44</v>
      </c>
      <c r="AK16" s="23">
        <v>28213.46</v>
      </c>
      <c r="AL16" s="23">
        <v>35316.86</v>
      </c>
      <c r="AM16" s="23"/>
      <c r="AN16" s="23">
        <v>39383.42</v>
      </c>
      <c r="AO16" s="23">
        <v>45176.93</v>
      </c>
      <c r="AP16" s="23">
        <v>29840.65</v>
      </c>
      <c r="AQ16" s="23">
        <v>37896.62</v>
      </c>
      <c r="AR16" s="23"/>
      <c r="AS16" s="23">
        <v>43832.62</v>
      </c>
      <c r="AT16" s="23">
        <v>47062.89</v>
      </c>
      <c r="AU16" s="23">
        <v>35072.69</v>
      </c>
      <c r="AV16" s="23">
        <v>32276.88</v>
      </c>
      <c r="AX16" s="246">
        <f>SUM(Y16:AB16)</f>
        <v>151048.93</v>
      </c>
      <c r="AY16" s="246">
        <f>SUM(AD16:AG16)</f>
        <v>132791.38</v>
      </c>
      <c r="AZ16" s="246">
        <f>SUM(AI16:AL16)</f>
        <v>128166.55</v>
      </c>
      <c r="BA16" s="246">
        <f>SUM(AN16:AQ16)</f>
        <v>152297.62</v>
      </c>
      <c r="BB16" s="246">
        <v>158245.08</v>
      </c>
    </row>
    <row r="17" spans="1:54" ht="10.5" customHeight="1">
      <c r="A17" s="22" t="s">
        <v>38</v>
      </c>
      <c r="B17" s="23"/>
      <c r="C17" s="23">
        <v>2664.177</v>
      </c>
      <c r="D17" s="23">
        <v>2664.398</v>
      </c>
      <c r="E17" s="23">
        <v>5394.1099</v>
      </c>
      <c r="F17" s="23">
        <v>5509.771</v>
      </c>
      <c r="G17" s="23"/>
      <c r="H17" s="23">
        <v>3784.466</v>
      </c>
      <c r="I17" s="23">
        <v>4144.542</v>
      </c>
      <c r="J17" s="23">
        <v>5733.578</v>
      </c>
      <c r="K17" s="23">
        <f>Mush7!K52+Mush7!L52+Mush7!M52</f>
        <v>5588.129</v>
      </c>
      <c r="L17" s="23"/>
      <c r="M17" s="23">
        <v>4788.767</v>
      </c>
      <c r="N17" s="23">
        <v>4220.97</v>
      </c>
      <c r="O17" s="23">
        <f>SUM(Mush7!H53:J53)</f>
        <v>4556.549</v>
      </c>
      <c r="P17" s="24"/>
      <c r="Q17" s="24">
        <v>14875.874</v>
      </c>
      <c r="R17" s="24">
        <v>16232.456</v>
      </c>
      <c r="S17" s="24">
        <v>19250.722</v>
      </c>
      <c r="U17" s="26">
        <f>+((S17/R17)-1)*100</f>
        <v>18.594019290734565</v>
      </c>
      <c r="V17" s="11"/>
      <c r="X17" s="22" t="s">
        <v>38</v>
      </c>
      <c r="Y17" s="23">
        <v>649.24</v>
      </c>
      <c r="Z17" s="23">
        <v>1135.91</v>
      </c>
      <c r="AA17" s="23">
        <v>353.87</v>
      </c>
      <c r="AB17" s="23">
        <v>408</v>
      </c>
      <c r="AC17" s="24"/>
      <c r="AD17" s="23">
        <v>2293.74</v>
      </c>
      <c r="AE17" s="23">
        <v>3010.89</v>
      </c>
      <c r="AF17" s="23">
        <v>840.69</v>
      </c>
      <c r="AG17" s="23">
        <v>499.6</v>
      </c>
      <c r="AH17" s="23"/>
      <c r="AI17" s="23">
        <v>762.48</v>
      </c>
      <c r="AJ17" s="23">
        <v>1129.17</v>
      </c>
      <c r="AK17" s="23">
        <v>512.57</v>
      </c>
      <c r="AL17" s="23">
        <v>1042.16</v>
      </c>
      <c r="AM17" s="23"/>
      <c r="AN17" s="23">
        <v>1975.05</v>
      </c>
      <c r="AO17" s="23">
        <v>1800.15</v>
      </c>
      <c r="AP17" s="23">
        <v>2357.93</v>
      </c>
      <c r="AQ17" s="23">
        <v>2931.43</v>
      </c>
      <c r="AR17" s="23"/>
      <c r="AS17" s="23">
        <v>3188.16</v>
      </c>
      <c r="AT17" s="23">
        <v>4911.32</v>
      </c>
      <c r="AU17" s="23">
        <v>4331.87</v>
      </c>
      <c r="AV17" s="23">
        <v>5127.92</v>
      </c>
      <c r="AX17" s="246">
        <f>SUM(Y17:AB17)</f>
        <v>2547.02</v>
      </c>
      <c r="AY17" s="246">
        <f>SUM(AD17:AG17)</f>
        <v>6644.92</v>
      </c>
      <c r="AZ17" s="246">
        <f>SUM(AI17:AL17)</f>
        <v>3446.38</v>
      </c>
      <c r="BA17" s="246">
        <f>SUM(AN17:AQ17)</f>
        <v>9064.56</v>
      </c>
      <c r="BB17" s="246">
        <v>17559.27</v>
      </c>
    </row>
    <row r="18" spans="1:54" ht="10.5" customHeight="1">
      <c r="A18" s="22" t="s">
        <v>39</v>
      </c>
      <c r="B18" s="23"/>
      <c r="C18" s="23">
        <v>940.309</v>
      </c>
      <c r="D18" s="23">
        <v>1951.56</v>
      </c>
      <c r="E18" s="23">
        <v>1098.971</v>
      </c>
      <c r="F18" s="23">
        <v>1425.352</v>
      </c>
      <c r="G18" s="23"/>
      <c r="H18" s="23">
        <v>2168.427</v>
      </c>
      <c r="I18" s="23">
        <v>2436.749</v>
      </c>
      <c r="J18" s="23">
        <v>1363.629</v>
      </c>
      <c r="K18" s="23">
        <v>1464.05</v>
      </c>
      <c r="L18" s="23"/>
      <c r="M18" s="23">
        <v>1811.63</v>
      </c>
      <c r="N18" s="23">
        <v>2261.678</v>
      </c>
      <c r="O18" s="23">
        <v>1308.306</v>
      </c>
      <c r="P18" s="24"/>
      <c r="Q18" s="24">
        <v>6463.968</v>
      </c>
      <c r="R18" s="24">
        <v>5416.193</v>
      </c>
      <c r="S18" s="24">
        <f>SUM(H18:K18)</f>
        <v>7432.855</v>
      </c>
      <c r="U18" s="26">
        <f>+((S18/R18)-1)*100</f>
        <v>37.23393904168479</v>
      </c>
      <c r="V18" s="11"/>
      <c r="X18" s="22" t="s">
        <v>39</v>
      </c>
      <c r="Y18" s="23">
        <v>1859.033</v>
      </c>
      <c r="Z18" s="23">
        <v>2104.584</v>
      </c>
      <c r="AA18" s="23">
        <v>1298.894</v>
      </c>
      <c r="AB18" s="23">
        <v>1604.923</v>
      </c>
      <c r="AC18" s="24"/>
      <c r="AD18" s="23">
        <f>1150.039+319.234+3.937</f>
        <v>1473.2099999999998</v>
      </c>
      <c r="AE18" s="23">
        <f>410.163+419.676+481.262+100.725+162.403+100.398+0.231+0.423+0.659</f>
        <v>1675.9399999999998</v>
      </c>
      <c r="AF18" s="23">
        <f>536.389+106.053+1.594</f>
        <v>644.0360000000001</v>
      </c>
      <c r="AG18" s="23">
        <f>219.926+90.098+220.844+34.39+1.102+345.01+69.571+1.636</f>
        <v>982.5769999999999</v>
      </c>
      <c r="AH18" s="23"/>
      <c r="AI18" s="23">
        <v>930.3440000000002</v>
      </c>
      <c r="AJ18" s="23">
        <v>1610.3140000000008</v>
      </c>
      <c r="AK18" s="23">
        <f>597.155+109.744+312.082+42.536+30.611+1.228</f>
        <v>1093.3560000000002</v>
      </c>
      <c r="AL18" s="23">
        <f>(1847.971+332.375+520.608+103.322+54.168+4.683)-AK18</f>
        <v>1769.7709999999997</v>
      </c>
      <c r="AM18" s="23"/>
      <c r="AN18" s="23">
        <f>1239+210.239+394.775+66.317+77.545+4.312</f>
        <v>1992.188</v>
      </c>
      <c r="AO18" s="23">
        <f>(2365.385+309.747+890.667+199.463+205.618+6.841)-AN18</f>
        <v>1985.533</v>
      </c>
      <c r="AP18" s="23">
        <f>595.691+111.96+352.135+125.73+61.833+1.257</f>
        <v>1248.6060000000002</v>
      </c>
      <c r="AQ18" s="23" t="e">
        <f>#REF!-SUM(AN18:AP18)</f>
        <v>#REF!</v>
      </c>
      <c r="AR18" s="23"/>
      <c r="AS18" s="23">
        <f>912.908+121.545+461.659+93.147+172.909+1.887</f>
        <v>1764.055</v>
      </c>
      <c r="AT18" s="23">
        <f>(2155.97+234.186+843.929+180.609+289.163+7.582)-AS18</f>
        <v>1947.3839999999998</v>
      </c>
      <c r="AU18" s="23">
        <f>789.868+59.626+344.662+78.981+32.975+5.617</f>
        <v>1311.7289999999998</v>
      </c>
      <c r="AV18" s="23">
        <v>1974.6440000000002</v>
      </c>
      <c r="AX18" s="246">
        <v>6867.433999999999</v>
      </c>
      <c r="AY18" s="246">
        <v>4775.763</v>
      </c>
      <c r="AZ18" s="246">
        <f>SUM(AI18:AL18)</f>
        <v>5403.785000000001</v>
      </c>
      <c r="BA18" s="246" t="e">
        <f>SUM(AN18:AQ18)</f>
        <v>#REF!</v>
      </c>
      <c r="BB18" s="246">
        <v>6997.812</v>
      </c>
    </row>
    <row r="19" spans="1:54" ht="10.5" customHeight="1">
      <c r="A19" s="22" t="s">
        <v>34</v>
      </c>
      <c r="B19" s="23"/>
      <c r="C19" s="23">
        <v>823.75</v>
      </c>
      <c r="D19" s="23">
        <v>1093.939</v>
      </c>
      <c r="E19" s="23">
        <v>1137.112</v>
      </c>
      <c r="F19" s="23">
        <v>1142.692</v>
      </c>
      <c r="G19" s="23"/>
      <c r="H19" s="23">
        <v>749.946</v>
      </c>
      <c r="I19" s="23">
        <v>980.483</v>
      </c>
      <c r="J19" s="23">
        <v>1083.671</v>
      </c>
      <c r="K19" s="23">
        <v>1180.137</v>
      </c>
      <c r="L19" s="23"/>
      <c r="M19" s="23">
        <v>800.514</v>
      </c>
      <c r="N19" s="23">
        <v>100.186</v>
      </c>
      <c r="O19" s="23">
        <v>1089</v>
      </c>
      <c r="P19" s="24"/>
      <c r="Q19" s="24">
        <v>3317.131</v>
      </c>
      <c r="R19" s="24">
        <v>4197.493</v>
      </c>
      <c r="S19" s="24">
        <f>SUM(H19:K19)</f>
        <v>3994.237</v>
      </c>
      <c r="U19" s="26">
        <f>+((S19/R19)-1)*100</f>
        <v>-4.842318974683224</v>
      </c>
      <c r="V19" s="11"/>
      <c r="X19" s="22" t="s">
        <v>34</v>
      </c>
      <c r="Y19" s="23">
        <v>992.02</v>
      </c>
      <c r="Z19" s="23">
        <v>749.805</v>
      </c>
      <c r="AA19" s="23">
        <v>872.775</v>
      </c>
      <c r="AB19" s="23">
        <v>915.617</v>
      </c>
      <c r="AC19" s="24"/>
      <c r="AD19" s="23">
        <v>560.034</v>
      </c>
      <c r="AE19" s="23">
        <f>185.058+282.529+175.237</f>
        <v>642.824</v>
      </c>
      <c r="AF19" s="23">
        <v>791.781</v>
      </c>
      <c r="AG19" s="23">
        <f>331.749+439.075+251.757</f>
        <v>1022.5810000000001</v>
      </c>
      <c r="AH19" s="23"/>
      <c r="AI19" s="23">
        <v>687.884</v>
      </c>
      <c r="AJ19" s="23">
        <v>783.933</v>
      </c>
      <c r="AK19" s="23">
        <v>916.951</v>
      </c>
      <c r="AL19" s="23">
        <f>319.181+424.024+233.09</f>
        <v>976.295</v>
      </c>
      <c r="AM19" s="23"/>
      <c r="AN19" s="23">
        <v>703.528</v>
      </c>
      <c r="AO19" s="23">
        <f>1666.829-AN19</f>
        <v>963.3009999999999</v>
      </c>
      <c r="AP19" s="23">
        <v>871.602</v>
      </c>
      <c r="AQ19" s="23" t="e">
        <f>#REF!-SUM(AN19:AP19)</f>
        <v>#REF!</v>
      </c>
      <c r="AR19" s="23"/>
      <c r="AS19" s="23">
        <v>459.243</v>
      </c>
      <c r="AT19" s="23">
        <f>1240.625-AS19</f>
        <v>781.3820000000001</v>
      </c>
      <c r="AU19" s="23">
        <v>788.133</v>
      </c>
      <c r="AV19" s="23">
        <v>782.5669999999998</v>
      </c>
      <c r="AX19" s="246">
        <v>3530.2169999999996</v>
      </c>
      <c r="AY19" s="246">
        <v>3017.22</v>
      </c>
      <c r="AZ19" s="246">
        <f>SUM(AI19:AL19)</f>
        <v>3365.063</v>
      </c>
      <c r="BA19" s="246" t="e">
        <f>SUM(AN19:AQ19)</f>
        <v>#REF!</v>
      </c>
      <c r="BB19" s="246">
        <v>2811.325</v>
      </c>
    </row>
    <row r="20" spans="1:54" ht="4.5" customHeight="1">
      <c r="A20" s="22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U20" s="26"/>
      <c r="V20" s="11"/>
      <c r="X20" s="22"/>
      <c r="Y20" s="23"/>
      <c r="Z20" s="23"/>
      <c r="AA20" s="23"/>
      <c r="AB20" s="23"/>
      <c r="AC20" s="24"/>
      <c r="AD20" s="23"/>
      <c r="AE20" s="23"/>
      <c r="AF20" s="23"/>
      <c r="AG20" s="23"/>
      <c r="AH20" s="23"/>
      <c r="AI20" s="24"/>
      <c r="AJ20" s="23"/>
      <c r="AK20" s="23"/>
      <c r="AL20" s="23"/>
      <c r="AM20" s="23"/>
      <c r="AN20" s="24"/>
      <c r="AO20" s="24"/>
      <c r="AP20" s="24"/>
      <c r="AQ20" s="24"/>
      <c r="AR20" s="24"/>
      <c r="AS20" s="24"/>
      <c r="AT20" s="24"/>
      <c r="AU20" s="24"/>
      <c r="AV20" s="24"/>
      <c r="AX20" s="246"/>
      <c r="AY20" s="246"/>
      <c r="AZ20" s="246"/>
      <c r="BA20" s="248"/>
      <c r="BB20" s="246"/>
    </row>
    <row r="21" spans="1:54" ht="10.5" customHeight="1">
      <c r="A21" s="245" t="s">
        <v>40</v>
      </c>
      <c r="B21" s="247"/>
      <c r="C21" s="247">
        <f>SUM(C15:C19)</f>
        <v>49231.497</v>
      </c>
      <c r="D21" s="247">
        <f>SUM(D15:D19)</f>
        <v>53775.488</v>
      </c>
      <c r="E21" s="247">
        <f>SUM(E15:E19)</f>
        <v>53417.4659</v>
      </c>
      <c r="F21" s="247">
        <f>SUM(F15:F19)</f>
        <v>53184.338</v>
      </c>
      <c r="G21" s="247"/>
      <c r="H21" s="247">
        <f>SUM(H15:H19)</f>
        <v>71932.09999999999</v>
      </c>
      <c r="I21" s="247">
        <f>SUM(I15:I19)</f>
        <v>67039.655</v>
      </c>
      <c r="J21" s="247">
        <f>SUM(J15:J19)</f>
        <v>53841.64000000001</v>
      </c>
      <c r="K21" s="247">
        <f>SUM(K15:K19)</f>
        <v>54610.959</v>
      </c>
      <c r="L21" s="247"/>
      <c r="M21" s="247">
        <f>SUM(M15:M19)</f>
        <v>72566.481</v>
      </c>
      <c r="N21" s="247">
        <f>SUM(N15:N19)</f>
        <v>68892.555</v>
      </c>
      <c r="O21" s="247">
        <f>SUM(O15:O19)</f>
        <v>54859.766</v>
      </c>
      <c r="P21" s="247"/>
      <c r="Q21" s="247">
        <f>SUM(Q15:Q19)</f>
        <v>229604.273</v>
      </c>
      <c r="R21" s="247">
        <f>SUM(R15:R19)</f>
        <v>209608.791</v>
      </c>
      <c r="S21" s="247">
        <f>SUM(S15:S19)</f>
        <v>247424.369</v>
      </c>
      <c r="T21" s="248"/>
      <c r="U21" s="249">
        <f>+((S21/R21)-1)*100</f>
        <v>18.041026723922094</v>
      </c>
      <c r="V21" s="11"/>
      <c r="X21" s="22" t="s">
        <v>40</v>
      </c>
      <c r="Y21" s="23">
        <f>+Y18+Y17+Y16+Y15+Y19</f>
        <v>48086.882999999994</v>
      </c>
      <c r="Z21" s="23">
        <f>+Z18+Z17+Z16+Z15+Z19</f>
        <v>51278.969</v>
      </c>
      <c r="AA21" s="23">
        <f>+AA18+AA17+AA16+AA15+AA19</f>
        <v>50617.829000000005</v>
      </c>
      <c r="AB21" s="23">
        <f>+AB18+AB17+AB16+AB15+AB19</f>
        <v>50709.08</v>
      </c>
      <c r="AC21" s="24"/>
      <c r="AD21" s="23">
        <f>+AD18+AD17+AD16+AD15+AD19</f>
        <v>44858.754</v>
      </c>
      <c r="AE21" s="23">
        <f>+AE18+AE17+AE16+AE15+AE19</f>
        <v>44772.054000000004</v>
      </c>
      <c r="AF21" s="23">
        <f>+AF18+AF17+AF16+AF15+AF19</f>
        <v>48393.217000000004</v>
      </c>
      <c r="AG21" s="23">
        <f>+AG18+AG17+AG16+AG15+AG19</f>
        <v>49937.378</v>
      </c>
      <c r="AH21" s="23"/>
      <c r="AI21" s="23">
        <f>+AI18+AI17+AI16+AI15+AI19</f>
        <v>46833.498</v>
      </c>
      <c r="AJ21" s="23">
        <f>+AJ18+AJ17+AJ16+AJ15+AJ19</f>
        <v>47085.276999999995</v>
      </c>
      <c r="AK21" s="23">
        <f>+AK18+AK17+AK16+AK15+AK19</f>
        <v>42500.607</v>
      </c>
      <c r="AL21" s="23">
        <f>+AL18+AL17+AL16+AL15+AL19</f>
        <v>52683.706</v>
      </c>
      <c r="AM21" s="23"/>
      <c r="AN21" s="23">
        <f>+AN18+AN17+AN16+AN15+AN19</f>
        <v>57799.78599999999</v>
      </c>
      <c r="AO21" s="23">
        <f>+AO18+AO17+AO16+AO15+AO19</f>
        <v>64833.434</v>
      </c>
      <c r="AP21" s="23">
        <f>+AP18+AP17+AP16+AP15+AP19</f>
        <v>47871.118</v>
      </c>
      <c r="AQ21" s="23" t="e">
        <f>+AQ18+AQ17+AQ16+AQ15+AQ19</f>
        <v>#REF!</v>
      </c>
      <c r="AR21" s="23"/>
      <c r="AS21" s="247">
        <f>+AS18+AS17+AS16+AS15+AS19</f>
        <v>65141.49800000001</v>
      </c>
      <c r="AT21" s="247">
        <f>+AT18+AT17+AT16+AT15+AT19</f>
        <v>70024.79599999999</v>
      </c>
      <c r="AU21" s="247">
        <f>+AU18+AU17+AU16+AU15+AU19</f>
        <v>54875.162000000004</v>
      </c>
      <c r="AV21" s="247">
        <f>+AV18+AV17+AV16+AV15+AV19</f>
        <v>55631.471000000005</v>
      </c>
      <c r="AX21" s="247">
        <f>+AX18+AX17+AX16+AX15+AX19</f>
        <v>200692.761</v>
      </c>
      <c r="AY21" s="247">
        <f>+AY18+AY17+AY16+AY15+AY19</f>
        <v>187961.403</v>
      </c>
      <c r="AZ21" s="247">
        <f>+AZ18+AZ17+AZ16+AZ15+AZ19</f>
        <v>189103.088</v>
      </c>
      <c r="BA21" s="246" t="e">
        <f>SUM(AN21:AQ21)</f>
        <v>#REF!</v>
      </c>
      <c r="BB21" s="276">
        <f>+BB18+BB17+BB16+BB15+BB19</f>
        <v>245672.927</v>
      </c>
    </row>
    <row r="22" spans="1:53" ht="12.75" customHeight="1">
      <c r="A22" s="27" t="s">
        <v>131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11"/>
      <c r="X22" s="27" t="s">
        <v>131</v>
      </c>
      <c r="Y22" s="28"/>
      <c r="Z22" s="28"/>
      <c r="AA22" s="28"/>
      <c r="AB22" s="28"/>
      <c r="AC22" s="29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48" ht="10.5" customHeight="1">
      <c r="A23" s="105" t="s">
        <v>123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1"/>
      <c r="R23" s="31"/>
      <c r="S23" s="31"/>
      <c r="T23" s="31"/>
      <c r="U23" s="21"/>
      <c r="V23" s="11"/>
      <c r="X23" s="105" t="s">
        <v>123</v>
      </c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48" ht="15" customHeight="1">
      <c r="A24" s="268" t="s">
        <v>208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/>
      <c r="R24" s="33"/>
      <c r="S24" s="33"/>
      <c r="T24" s="33"/>
      <c r="U24" s="21"/>
      <c r="V24" s="11"/>
      <c r="X24" s="32" t="s">
        <v>41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</row>
    <row r="25" spans="1:22" ht="12.75">
      <c r="A25" s="34"/>
      <c r="B25" s="11"/>
      <c r="C25" s="2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ht="12.75">
      <c r="A26" s="310" t="s">
        <v>238</v>
      </c>
    </row>
  </sheetData>
  <printOptions horizontalCentered="1"/>
  <pageMargins left="0.417" right="0.417" top="0.5" bottom="0.75" header="0" footer="0.27"/>
  <pageSetup fitToHeight="1" fitToWidth="1" horizontalDpi="600" verticalDpi="600" orientation="portrait" scale="85" r:id="rId1"/>
  <headerFooter alignWithMargins="0">
    <oddFooter>&amp;C&amp;"Arial,Italic"&amp;9Vegetables and Melons Outlook&amp;"Arial,Regular"/VGS-330/December 16, 2008
Economic Research Service, USDA</oddFooter>
  </headerFooter>
  <rowBreaks count="1" manualBreakCount="1">
    <brk id="2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A2:I43"/>
  <sheetViews>
    <sheetView showGridLines="0" workbookViewId="0" topLeftCell="A1">
      <selection activeCell="A1" sqref="A1"/>
    </sheetView>
  </sheetViews>
  <sheetFormatPr defaultColWidth="12.57421875" defaultRowHeight="12.75"/>
  <cols>
    <col min="1" max="1" width="4.421875" style="72" customWidth="1"/>
    <col min="2" max="2" width="11.8515625" style="72" customWidth="1"/>
    <col min="3" max="3" width="21.421875" style="72" customWidth="1"/>
    <col min="4" max="4" width="6.57421875" style="72" customWidth="1"/>
    <col min="5" max="5" width="20.57421875" style="72" customWidth="1"/>
    <col min="6" max="6" width="5.421875" style="72" customWidth="1"/>
    <col min="7" max="7" width="20.57421875" style="72" customWidth="1"/>
    <col min="8" max="8" width="3.57421875" style="72" customWidth="1"/>
    <col min="9" max="16384" width="12.57421875" style="72" customWidth="1"/>
  </cols>
  <sheetData>
    <row r="2" spans="1:9" ht="15" customHeight="1">
      <c r="A2" s="138" t="s">
        <v>233</v>
      </c>
      <c r="B2" s="111"/>
      <c r="C2" s="70"/>
      <c r="D2" s="70"/>
      <c r="E2" s="70"/>
      <c r="F2" s="70"/>
      <c r="G2" s="70"/>
      <c r="H2" s="70"/>
      <c r="I2" s="71"/>
    </row>
    <row r="3" spans="1:9" ht="15.75" customHeight="1">
      <c r="A3" s="250" t="s">
        <v>78</v>
      </c>
      <c r="B3" s="250"/>
      <c r="C3" s="251" t="s">
        <v>79</v>
      </c>
      <c r="D3" s="250"/>
      <c r="E3" s="251" t="s">
        <v>169</v>
      </c>
      <c r="F3" s="252"/>
      <c r="G3" s="250" t="s">
        <v>80</v>
      </c>
      <c r="H3" s="250" t="s">
        <v>30</v>
      </c>
      <c r="I3" s="71"/>
    </row>
    <row r="4" spans="1:9" ht="14.25" customHeight="1">
      <c r="A4" s="73"/>
      <c r="B4" s="73"/>
      <c r="C4" s="73"/>
      <c r="D4" s="73"/>
      <c r="E4" s="141" t="s">
        <v>168</v>
      </c>
      <c r="F4" s="73"/>
      <c r="G4" s="73"/>
      <c r="H4" s="73"/>
      <c r="I4" s="71"/>
    </row>
    <row r="5" spans="1:9" ht="3.75" customHeight="1">
      <c r="A5" s="73"/>
      <c r="B5" s="73"/>
      <c r="C5" s="73"/>
      <c r="D5" s="73"/>
      <c r="E5" s="73"/>
      <c r="F5" s="73"/>
      <c r="G5" s="73"/>
      <c r="H5" s="73"/>
      <c r="I5" s="71"/>
    </row>
    <row r="6" spans="1:9" ht="10.5" customHeight="1">
      <c r="A6" s="74">
        <v>1977</v>
      </c>
      <c r="B6" s="74"/>
      <c r="C6" s="75">
        <v>0.86</v>
      </c>
      <c r="D6" s="76"/>
      <c r="E6" s="75">
        <v>1.62</v>
      </c>
      <c r="F6" s="73"/>
      <c r="G6" s="75">
        <f>C6+E6</f>
        <v>2.48</v>
      </c>
      <c r="H6" s="73"/>
      <c r="I6" s="71"/>
    </row>
    <row r="7" spans="1:9" ht="10.5" customHeight="1">
      <c r="A7" s="74">
        <v>1978</v>
      </c>
      <c r="B7" s="74"/>
      <c r="C7" s="75">
        <v>1.02</v>
      </c>
      <c r="D7" s="76"/>
      <c r="E7" s="75">
        <v>1.66</v>
      </c>
      <c r="F7" s="73"/>
      <c r="G7" s="75">
        <f>C7+E7</f>
        <v>2.6799999999999997</v>
      </c>
      <c r="H7" s="73"/>
      <c r="I7" s="71"/>
    </row>
    <row r="8" spans="1:9" ht="10.5" customHeight="1">
      <c r="A8" s="74">
        <v>1979</v>
      </c>
      <c r="B8" s="74"/>
      <c r="C8" s="75">
        <v>1.13</v>
      </c>
      <c r="D8" s="76"/>
      <c r="E8" s="75">
        <v>1.73</v>
      </c>
      <c r="F8" s="73"/>
      <c r="G8" s="75">
        <f>C8+E8</f>
        <v>2.86</v>
      </c>
      <c r="H8" s="73"/>
      <c r="I8" s="71"/>
    </row>
    <row r="9" spans="1:9" ht="3" customHeight="1">
      <c r="A9" s="74"/>
      <c r="B9" s="74"/>
      <c r="C9" s="75"/>
      <c r="D9" s="76"/>
      <c r="E9" s="75"/>
      <c r="F9" s="73"/>
      <c r="G9" s="75"/>
      <c r="H9" s="73"/>
      <c r="I9" s="71"/>
    </row>
    <row r="10" spans="1:9" ht="10.5" customHeight="1">
      <c r="A10" s="74">
        <v>1980</v>
      </c>
      <c r="B10" s="74"/>
      <c r="C10" s="75">
        <v>1.2</v>
      </c>
      <c r="D10" s="76"/>
      <c r="E10" s="75">
        <v>1.53</v>
      </c>
      <c r="F10" s="73"/>
      <c r="G10" s="75">
        <f aca="true" t="shared" si="0" ref="G10:G19">C10+E10</f>
        <v>2.73</v>
      </c>
      <c r="H10" s="73"/>
      <c r="I10" s="71"/>
    </row>
    <row r="11" spans="1:9" ht="10.5" customHeight="1">
      <c r="A11" s="74">
        <v>1981</v>
      </c>
      <c r="B11" s="74"/>
      <c r="C11" s="75">
        <v>1.38</v>
      </c>
      <c r="D11" s="76"/>
      <c r="E11" s="75">
        <v>1.53</v>
      </c>
      <c r="F11" s="73"/>
      <c r="G11" s="75">
        <f t="shared" si="0"/>
        <v>2.91</v>
      </c>
      <c r="H11" s="73"/>
      <c r="I11" s="71"/>
    </row>
    <row r="12" spans="1:9" ht="10.5" customHeight="1">
      <c r="A12" s="74">
        <v>1982</v>
      </c>
      <c r="B12" s="74"/>
      <c r="C12" s="75">
        <v>1.44</v>
      </c>
      <c r="D12" s="76"/>
      <c r="E12" s="75">
        <v>1.51</v>
      </c>
      <c r="F12" s="73"/>
      <c r="G12" s="75">
        <f t="shared" si="0"/>
        <v>2.95</v>
      </c>
      <c r="H12" s="73"/>
      <c r="I12" s="71"/>
    </row>
    <row r="13" spans="1:9" ht="10.5" customHeight="1">
      <c r="A13" s="74">
        <v>1983</v>
      </c>
      <c r="B13" s="74"/>
      <c r="C13" s="75">
        <v>1.646</v>
      </c>
      <c r="D13" s="76"/>
      <c r="E13" s="75">
        <v>1.81</v>
      </c>
      <c r="F13" s="73"/>
      <c r="G13" s="75">
        <f t="shared" si="0"/>
        <v>3.456</v>
      </c>
      <c r="H13" s="73"/>
      <c r="I13" s="71"/>
    </row>
    <row r="14" spans="1:9" ht="10.5" customHeight="1">
      <c r="A14" s="74">
        <v>1984</v>
      </c>
      <c r="B14" s="74"/>
      <c r="C14" s="75">
        <v>1.77</v>
      </c>
      <c r="D14" s="76"/>
      <c r="E14" s="75">
        <v>1.76</v>
      </c>
      <c r="F14" s="73"/>
      <c r="G14" s="75">
        <f t="shared" si="0"/>
        <v>3.5300000000000002</v>
      </c>
      <c r="H14" s="73"/>
      <c r="I14" s="71"/>
    </row>
    <row r="15" spans="1:9" ht="10.5" customHeight="1">
      <c r="A15" s="74">
        <v>1985</v>
      </c>
      <c r="B15" s="74"/>
      <c r="C15" s="75">
        <v>1.78</v>
      </c>
      <c r="D15" s="76"/>
      <c r="E15" s="75">
        <v>1.81</v>
      </c>
      <c r="F15" s="73"/>
      <c r="G15" s="75">
        <f t="shared" si="0"/>
        <v>3.59</v>
      </c>
      <c r="H15" s="73"/>
      <c r="I15" s="71"/>
    </row>
    <row r="16" spans="1:9" ht="10.5" customHeight="1">
      <c r="A16" s="74">
        <v>1986</v>
      </c>
      <c r="B16" s="74"/>
      <c r="C16" s="75">
        <v>1.87</v>
      </c>
      <c r="D16" s="76"/>
      <c r="E16" s="75">
        <v>1.88</v>
      </c>
      <c r="F16" s="73"/>
      <c r="G16" s="75">
        <f t="shared" si="0"/>
        <v>3.75</v>
      </c>
      <c r="H16" s="73"/>
      <c r="I16" s="71"/>
    </row>
    <row r="17" spans="1:9" ht="10.5" customHeight="1">
      <c r="A17" s="74">
        <v>1987</v>
      </c>
      <c r="B17" s="74"/>
      <c r="C17" s="75">
        <v>1.92</v>
      </c>
      <c r="D17" s="76"/>
      <c r="E17" s="75">
        <v>1.64</v>
      </c>
      <c r="F17" s="73"/>
      <c r="G17" s="75">
        <f t="shared" si="0"/>
        <v>3.5599999999999996</v>
      </c>
      <c r="H17" s="73"/>
      <c r="I17" s="71"/>
    </row>
    <row r="18" spans="1:9" ht="10.5" customHeight="1">
      <c r="A18" s="74">
        <v>1988</v>
      </c>
      <c r="B18" s="74"/>
      <c r="C18" s="75">
        <v>1.98</v>
      </c>
      <c r="D18" s="76"/>
      <c r="E18" s="75">
        <v>1.54</v>
      </c>
      <c r="F18" s="73"/>
      <c r="G18" s="75">
        <f t="shared" si="0"/>
        <v>3.52</v>
      </c>
      <c r="H18" s="73"/>
      <c r="I18" s="71"/>
    </row>
    <row r="19" spans="1:9" ht="10.5" customHeight="1">
      <c r="A19" s="74">
        <v>1989</v>
      </c>
      <c r="B19" s="74"/>
      <c r="C19" s="75">
        <v>2.04</v>
      </c>
      <c r="D19" s="76"/>
      <c r="E19" s="75">
        <v>1.53</v>
      </c>
      <c r="F19" s="73"/>
      <c r="G19" s="75">
        <f t="shared" si="0"/>
        <v>3.5700000000000003</v>
      </c>
      <c r="H19" s="73"/>
      <c r="I19" s="71"/>
    </row>
    <row r="20" spans="1:9" ht="3" customHeight="1">
      <c r="A20" s="74"/>
      <c r="B20" s="74"/>
      <c r="C20" s="75"/>
      <c r="D20" s="76"/>
      <c r="E20" s="75"/>
      <c r="F20" s="73"/>
      <c r="G20" s="75"/>
      <c r="H20" s="73"/>
      <c r="I20" s="71"/>
    </row>
    <row r="21" spans="1:9" ht="10.5" customHeight="1">
      <c r="A21" s="74">
        <v>1990</v>
      </c>
      <c r="B21" s="74"/>
      <c r="C21" s="75">
        <v>1.99</v>
      </c>
      <c r="D21" s="76"/>
      <c r="E21" s="75">
        <v>1.7</v>
      </c>
      <c r="F21" s="73"/>
      <c r="G21" s="75">
        <f>C21+E21</f>
        <v>3.69</v>
      </c>
      <c r="H21" s="73"/>
      <c r="I21" s="71"/>
    </row>
    <row r="22" spans="1:9" ht="10.5" customHeight="1">
      <c r="A22" s="74">
        <v>1991</v>
      </c>
      <c r="B22" s="74"/>
      <c r="C22" s="75">
        <v>1.93</v>
      </c>
      <c r="D22" s="76"/>
      <c r="E22" s="75">
        <v>1.74</v>
      </c>
      <c r="F22" s="73"/>
      <c r="G22" s="75">
        <f aca="true" t="shared" si="1" ref="G22:G30">E22+C22</f>
        <v>3.67</v>
      </c>
      <c r="H22" s="73"/>
      <c r="I22" s="71"/>
    </row>
    <row r="23" spans="1:9" ht="10.5" customHeight="1">
      <c r="A23" s="74">
        <v>1992</v>
      </c>
      <c r="B23" s="74"/>
      <c r="C23" s="75">
        <v>1.98</v>
      </c>
      <c r="D23" s="76"/>
      <c r="E23" s="75">
        <v>1.68</v>
      </c>
      <c r="F23" s="73"/>
      <c r="G23" s="75">
        <f t="shared" si="1"/>
        <v>3.66</v>
      </c>
      <c r="H23" s="73"/>
      <c r="I23" s="71"/>
    </row>
    <row r="24" spans="1:9" ht="10.5" customHeight="1">
      <c r="A24" s="74">
        <v>1993</v>
      </c>
      <c r="B24" s="74"/>
      <c r="C24" s="75">
        <v>1.97</v>
      </c>
      <c r="D24" s="76"/>
      <c r="E24" s="75">
        <v>1.7</v>
      </c>
      <c r="F24" s="73"/>
      <c r="G24" s="75">
        <f t="shared" si="1"/>
        <v>3.67</v>
      </c>
      <c r="H24" s="73"/>
      <c r="I24" s="71"/>
    </row>
    <row r="25" spans="1:9" ht="10.5" customHeight="1">
      <c r="A25" s="74">
        <v>1994</v>
      </c>
      <c r="B25" s="74"/>
      <c r="C25" s="75">
        <v>2.02</v>
      </c>
      <c r="D25" s="76"/>
      <c r="E25" s="75">
        <v>1.93</v>
      </c>
      <c r="F25" s="73"/>
      <c r="G25" s="75">
        <f t="shared" si="1"/>
        <v>3.95</v>
      </c>
      <c r="H25" s="73"/>
      <c r="I25" s="71"/>
    </row>
    <row r="26" spans="1:9" ht="10.5" customHeight="1">
      <c r="A26" s="77" t="s">
        <v>81</v>
      </c>
      <c r="B26" s="74"/>
      <c r="C26" s="75">
        <v>2.02</v>
      </c>
      <c r="D26" s="76"/>
      <c r="E26" s="75">
        <v>1.74</v>
      </c>
      <c r="F26" s="73"/>
      <c r="G26" s="75">
        <f t="shared" si="1"/>
        <v>3.76</v>
      </c>
      <c r="H26" s="73"/>
      <c r="I26" s="71"/>
    </row>
    <row r="27" spans="1:9" ht="10.5" customHeight="1">
      <c r="A27" s="77" t="s">
        <v>82</v>
      </c>
      <c r="B27" s="74"/>
      <c r="C27" s="75">
        <v>2.08</v>
      </c>
      <c r="D27" s="76"/>
      <c r="E27" s="75">
        <v>1.82</v>
      </c>
      <c r="F27" s="73"/>
      <c r="G27" s="75">
        <f t="shared" si="1"/>
        <v>3.9000000000000004</v>
      </c>
      <c r="H27" s="73"/>
      <c r="I27" s="71"/>
    </row>
    <row r="28" spans="1:9" ht="10.5" customHeight="1">
      <c r="A28" s="77" t="s">
        <v>83</v>
      </c>
      <c r="B28" s="74"/>
      <c r="C28" s="75">
        <v>2.3</v>
      </c>
      <c r="D28" s="76"/>
      <c r="E28" s="75">
        <v>1.65</v>
      </c>
      <c r="F28" s="73"/>
      <c r="G28" s="75">
        <f t="shared" si="1"/>
        <v>3.9499999999999997</v>
      </c>
      <c r="H28" s="73"/>
      <c r="I28" s="71"/>
    </row>
    <row r="29" spans="1:9" ht="10.5" customHeight="1">
      <c r="A29" s="77" t="s">
        <v>84</v>
      </c>
      <c r="B29" s="74"/>
      <c r="C29" s="75">
        <v>2.45</v>
      </c>
      <c r="D29" s="76"/>
      <c r="E29" s="75">
        <v>1.41</v>
      </c>
      <c r="F29" s="73"/>
      <c r="G29" s="75">
        <f t="shared" si="1"/>
        <v>3.8600000000000003</v>
      </c>
      <c r="H29" s="73"/>
      <c r="I29" s="71"/>
    </row>
    <row r="30" spans="1:9" ht="10.5" customHeight="1">
      <c r="A30" s="77" t="s">
        <v>85</v>
      </c>
      <c r="B30" s="74"/>
      <c r="C30" s="75">
        <v>2.48</v>
      </c>
      <c r="D30" s="76"/>
      <c r="E30" s="75">
        <v>1.58</v>
      </c>
      <c r="F30" s="73"/>
      <c r="G30" s="75">
        <f t="shared" si="1"/>
        <v>4.0600000000000005</v>
      </c>
      <c r="H30" s="73"/>
      <c r="I30" s="71"/>
    </row>
    <row r="31" spans="1:9" ht="3" customHeight="1">
      <c r="A31" s="77"/>
      <c r="B31" s="77"/>
      <c r="C31" s="75"/>
      <c r="D31" s="76"/>
      <c r="E31" s="75"/>
      <c r="F31" s="73"/>
      <c r="G31" s="75"/>
      <c r="H31" s="73"/>
      <c r="I31" s="71"/>
    </row>
    <row r="32" spans="1:9" ht="10.5" customHeight="1">
      <c r="A32" s="77" t="s">
        <v>122</v>
      </c>
      <c r="B32" s="74"/>
      <c r="C32" s="75">
        <v>2.58</v>
      </c>
      <c r="D32" s="76"/>
      <c r="E32" s="75">
        <v>1.48</v>
      </c>
      <c r="F32" s="73"/>
      <c r="G32" s="75">
        <f>E32+C32</f>
        <v>4.0600000000000005</v>
      </c>
      <c r="H32" s="73"/>
      <c r="I32" s="71"/>
    </row>
    <row r="33" spans="1:9" ht="10.5" customHeight="1">
      <c r="A33" s="77" t="s">
        <v>124</v>
      </c>
      <c r="B33" s="74"/>
      <c r="C33" s="75">
        <v>2.57</v>
      </c>
      <c r="D33" s="76"/>
      <c r="E33" s="75">
        <v>1.34</v>
      </c>
      <c r="F33" s="73"/>
      <c r="G33" s="75">
        <f>E33+C33</f>
        <v>3.91</v>
      </c>
      <c r="H33" s="73"/>
      <c r="I33" s="71"/>
    </row>
    <row r="34" spans="1:9" ht="10.5" customHeight="1">
      <c r="A34" s="77" t="s">
        <v>125</v>
      </c>
      <c r="B34" s="74"/>
      <c r="C34" s="75">
        <v>2.61</v>
      </c>
      <c r="D34" s="76"/>
      <c r="E34" s="75">
        <v>1.48</v>
      </c>
      <c r="F34" s="73"/>
      <c r="G34" s="75">
        <f aca="true" t="shared" si="2" ref="G34:G40">C34+E34</f>
        <v>4.09</v>
      </c>
      <c r="H34" s="73"/>
      <c r="I34" s="71"/>
    </row>
    <row r="35" spans="1:9" ht="10.5" customHeight="1">
      <c r="A35" s="77">
        <v>2003</v>
      </c>
      <c r="B35" s="74"/>
      <c r="C35" s="75">
        <v>2.63</v>
      </c>
      <c r="D35" s="76"/>
      <c r="E35" s="75">
        <v>1.51</v>
      </c>
      <c r="F35" s="73"/>
      <c r="G35" s="75">
        <f t="shared" si="2"/>
        <v>4.14</v>
      </c>
      <c r="H35" s="73"/>
      <c r="I35" s="71"/>
    </row>
    <row r="36" spans="1:9" ht="10.5" customHeight="1">
      <c r="A36" s="77">
        <v>2004</v>
      </c>
      <c r="B36" s="74"/>
      <c r="C36" s="75">
        <v>2.59</v>
      </c>
      <c r="D36" s="76"/>
      <c r="E36" s="75">
        <v>1.55</v>
      </c>
      <c r="F36" s="73"/>
      <c r="G36" s="75">
        <f t="shared" si="2"/>
        <v>4.14</v>
      </c>
      <c r="H36" s="73"/>
      <c r="I36" s="71"/>
    </row>
    <row r="37" spans="1:9" ht="10.5" customHeight="1">
      <c r="A37" s="335">
        <v>2005</v>
      </c>
      <c r="B37" s="336"/>
      <c r="C37" s="337">
        <v>2.62</v>
      </c>
      <c r="D37" s="338"/>
      <c r="E37" s="337">
        <v>1.3</v>
      </c>
      <c r="F37" s="339"/>
      <c r="G37" s="337">
        <f t="shared" si="2"/>
        <v>3.92</v>
      </c>
      <c r="H37" s="339"/>
      <c r="I37" s="71"/>
    </row>
    <row r="38" spans="1:9" ht="10.5" customHeight="1">
      <c r="A38" s="335">
        <v>2006</v>
      </c>
      <c r="B38" s="336"/>
      <c r="C38" s="337">
        <v>2.55</v>
      </c>
      <c r="D38" s="338"/>
      <c r="E38" s="337">
        <v>1.47</v>
      </c>
      <c r="F38" s="339"/>
      <c r="G38" s="337">
        <f t="shared" si="2"/>
        <v>4.02</v>
      </c>
      <c r="H38" s="339"/>
      <c r="I38" s="71"/>
    </row>
    <row r="39" spans="1:9" ht="10.5" customHeight="1">
      <c r="A39" s="253">
        <v>2007</v>
      </c>
      <c r="B39" s="254"/>
      <c r="C39" s="255">
        <v>2.45</v>
      </c>
      <c r="D39" s="256"/>
      <c r="E39" s="255">
        <v>1.43</v>
      </c>
      <c r="F39" s="257"/>
      <c r="G39" s="255">
        <f t="shared" si="2"/>
        <v>3.88</v>
      </c>
      <c r="H39" s="257"/>
      <c r="I39" s="71"/>
    </row>
    <row r="40" spans="1:9" ht="10.5" customHeight="1">
      <c r="A40" s="253">
        <v>2008</v>
      </c>
      <c r="B40" s="254" t="s">
        <v>126</v>
      </c>
      <c r="C40" s="255">
        <v>2.47</v>
      </c>
      <c r="D40" s="256"/>
      <c r="E40" s="255">
        <v>1.42</v>
      </c>
      <c r="F40" s="257"/>
      <c r="G40" s="255">
        <f t="shared" si="2"/>
        <v>3.89</v>
      </c>
      <c r="H40" s="257"/>
      <c r="I40" s="71"/>
    </row>
    <row r="41" spans="1:8" ht="15" customHeight="1">
      <c r="A41" s="106" t="s">
        <v>246</v>
      </c>
      <c r="B41" s="106"/>
      <c r="C41" s="78"/>
      <c r="D41" s="78"/>
      <c r="E41" s="78"/>
      <c r="F41" s="78"/>
      <c r="G41" s="78"/>
      <c r="H41" s="78"/>
    </row>
    <row r="42" spans="1:8" ht="12" customHeight="1">
      <c r="A42" s="269" t="s">
        <v>207</v>
      </c>
      <c r="B42" s="79"/>
      <c r="C42" s="80"/>
      <c r="D42" s="80"/>
      <c r="E42" s="80"/>
      <c r="F42" s="73"/>
      <c r="G42" s="80"/>
      <c r="H42" s="73"/>
    </row>
    <row r="43" spans="3:7" ht="15">
      <c r="C43" s="81"/>
      <c r="D43" s="81"/>
      <c r="E43" s="81"/>
      <c r="G43" s="81"/>
    </row>
  </sheetData>
  <printOptions horizontalCentered="1"/>
  <pageMargins left="0.417" right="0.417" top="0.5" bottom="0.75" header="0" footer="0.27"/>
  <pageSetup fitToHeight="1" fitToWidth="1" horizontalDpi="600" verticalDpi="600" orientation="portrait" r:id="rId1"/>
  <headerFooter alignWithMargins="0">
    <oddFooter>&amp;C&amp;"Arial,Italic"&amp;9Vegetables and Melons Outlook&amp;"Arial,Regular"/VGS-330/December 16, 2008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Rachael L Dettmann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and Melons Outlook--Mushroom appendix tables</dc:title>
  <dc:subject>Agricultural economics</dc:subject>
  <dc:creator>Rachael L Dettmann</dc:creator>
  <cp:keywords>VGS-330, mushrooms, prices, disappearance, per capita use, trade, exports, imports, production, value, ERS, USDA, United States</cp:keywords>
  <dc:description>Updated 12/16/08
Note:  Trade data used are from U.S. Census Bureau and may not match U.S. Customs data since census data may not capture small shipments.
</dc:description>
  <cp:lastModifiedBy>glucier</cp:lastModifiedBy>
  <cp:lastPrinted>2008-10-21T18:04:30Z</cp:lastPrinted>
  <dcterms:created xsi:type="dcterms:W3CDTF">2001-08-09T19:12:41Z</dcterms:created>
  <dcterms:modified xsi:type="dcterms:W3CDTF">2008-12-16T18:26:07Z</dcterms:modified>
  <cp:category>Mushroom statistics</cp:category>
  <cp:version/>
  <cp:contentType/>
  <cp:contentStatus/>
</cp:coreProperties>
</file>