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0" windowWidth="15330" windowHeight="4710" activeTab="0"/>
  </bookViews>
  <sheets>
    <sheet name="$490M_BG_Ratios" sheetId="1" r:id="rId1"/>
    <sheet name="$100M_Formula" sheetId="2" r:id="rId2"/>
    <sheet name="States_Territories" sheetId="3" r:id="rId3"/>
    <sheet name="Tribes" sheetId="4" r:id="rId4"/>
  </sheets>
  <definedNames>
    <definedName name="_Fill" hidden="1">#REF!</definedName>
    <definedName name="_xlnm.Print_Area" localSheetId="1">'$100M_Formula'!$A$1:$G$75</definedName>
    <definedName name="_xlnm.Print_Area" localSheetId="0">'$490M_BG_Ratios'!$A$1:$C$77</definedName>
    <definedName name="_xlnm.Print_Area" localSheetId="3">'Tribes'!$A$1:$I$194</definedName>
    <definedName name="Print_Area_MI" localSheetId="3">'Tribes'!$A$1:$I$192</definedName>
    <definedName name="PRINT_AREA_MI">#REF!</definedName>
    <definedName name="_xlnm.Print_Titles" localSheetId="1">'$100M_Formula'!$A:$B,'$100M_Formula'!$1:$10</definedName>
    <definedName name="_xlnm.Print_Titles" localSheetId="0">'$490M_BG_Ratios'!$A:$B,'$490M_BG_Ratios'!$1:$10</definedName>
    <definedName name="_xlnm.Print_Titles" localSheetId="2">'States_Territories'!$1:$5</definedName>
    <definedName name="_xlnm.Print_Titles" localSheetId="3">'Tribes'!$1:$11</definedName>
  </definedNames>
  <calcPr fullCalcOnLoad="1"/>
</workbook>
</file>

<file path=xl/sharedStrings.xml><?xml version="1.0" encoding="utf-8"?>
<sst xmlns="http://schemas.openxmlformats.org/spreadsheetml/2006/main" count="584" uniqueCount="270">
  <si>
    <t>Emergency Contingency Release</t>
  </si>
  <si>
    <t>Amount Allocated to States Meeting Fuel Oil Criterion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</si>
  <si>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</si>
  <si>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</si>
  <si>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</si>
  <si>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</si>
  <si>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</si>
  <si>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</si>
  <si>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</si>
  <si>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</si>
  <si>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</si>
  <si>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</si>
  <si>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</si>
  <si>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</si>
  <si>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</si>
  <si>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</si>
  <si>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</si>
  <si>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</si>
  <si>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</si>
  <si>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</si>
  <si>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</si>
  <si>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</si>
  <si>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</si>
  <si>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</si>
  <si>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</si>
  <si>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</si>
  <si>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</si>
  <si>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</si>
  <si>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</si>
  <si>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</si>
  <si>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</si>
  <si>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</si>
  <si>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</si>
  <si>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</si>
  <si>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</si>
  <si>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</si>
  <si>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</si>
  <si>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</si>
  <si>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</si>
  <si>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</si>
  <si>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</si>
  <si>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</si>
  <si>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</si>
  <si>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</si>
  <si>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</si>
  <si>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</si>
  <si>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</si>
  <si>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</si>
  <si>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</si>
  <si>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</si>
  <si>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</si>
  <si>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</si>
  <si>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</si>
  <si>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Total to States</t>
  </si>
  <si>
    <t>Distribution of Funding</t>
  </si>
  <si>
    <t xml:space="preserve"> </t>
  </si>
  <si>
    <t>State</t>
  </si>
  <si>
    <t>Total</t>
  </si>
  <si>
    <t>Territories</t>
  </si>
  <si>
    <t>Ratios by Territory</t>
  </si>
  <si>
    <t>American Samoa</t>
  </si>
  <si>
    <t>Guam</t>
  </si>
  <si>
    <t>Northern Marianas</t>
  </si>
  <si>
    <t>Puerto Rico</t>
  </si>
  <si>
    <t>Virgin Islands</t>
  </si>
  <si>
    <t xml:space="preserve">  TOTAL to States</t>
  </si>
  <si>
    <t xml:space="preserve">  TOTAL to Territories</t>
  </si>
  <si>
    <t>Amount Allocated to States and Territories by Old-Formula Block Grant Ratios</t>
  </si>
  <si>
    <t>Amount Allocated to States, Only, by Old-Formula Block Grant Ratios</t>
  </si>
  <si>
    <t>Total to States</t>
  </si>
  <si>
    <t>Exclusion Criteria: States with 30% or more HH using fuel oil.</t>
  </si>
  <si>
    <t xml:space="preserve"> Source of % Low Income Oil users: 2000 Census Special Tabulations for ACF</t>
  </si>
  <si>
    <t>*Low Income households are defined as households with incomes less than or equal to the Federal LIHEAP maximum.</t>
  </si>
  <si>
    <t>Cutoff for % LI HH Using FO</t>
  </si>
  <si>
    <t>FO%--Percentage of Low Income Households Using Fuel Oil for Heat*</t>
  </si>
  <si>
    <t>Territory</t>
  </si>
  <si>
    <t>Amount Released</t>
  </si>
  <si>
    <t>Total Amount Released</t>
  </si>
  <si>
    <t xml:space="preserve"> Net Allocations</t>
  </si>
  <si>
    <t>Territory Allocations</t>
  </si>
  <si>
    <t>Tribal Set-Asides</t>
  </si>
  <si>
    <t>Total Gross State EC Allocations</t>
  </si>
  <si>
    <t>Total Territorial EC Allocations</t>
  </si>
  <si>
    <t>EC Allocations to Territories under FO User % Formula</t>
  </si>
  <si>
    <t>EC Allocations to Territories under Old Formula Percentages</t>
  </si>
  <si>
    <t>EC Allocations to All States under Old Formula Percentages</t>
  </si>
  <si>
    <t>Territories didn't receive allocations from this portion of the EC release</t>
  </si>
  <si>
    <t>Block Grant Allocation Ratios</t>
  </si>
  <si>
    <t>Oil % Times Block Grant Allocation</t>
  </si>
  <si>
    <t>Tribal Allocations of Low Income Home Energy Assistance Program (LIHEAP) Emergency Contingency Funds from the October 16, 2008 Release of $590.33 Million</t>
  </si>
  <si>
    <t>Release Amount</t>
  </si>
  <si>
    <t>Emergency Contingency Funds Only</t>
  </si>
  <si>
    <t>Tribal Allocations and State Allocations Net of Tribal Set-asides</t>
  </si>
  <si>
    <t>SOURCE FOR Allocation CALCULATIONS</t>
  </si>
  <si>
    <t xml:space="preserve">    A=State/Tribe Agreement On:</t>
  </si>
  <si>
    <t>C=Census Count of Eligible Households</t>
  </si>
  <si>
    <t xml:space="preserve">      #=Household Numbers</t>
  </si>
  <si>
    <t>D=Documented Tribal Eligible</t>
  </si>
  <si>
    <t xml:space="preserve">      %=Percent of State Allocation</t>
  </si>
  <si>
    <t xml:space="preserve">  Household Number </t>
  </si>
  <si>
    <t xml:space="preserve">      $=Dollar Amount</t>
  </si>
  <si>
    <t>TRIBES</t>
  </si>
  <si>
    <t>STATE HHLD #</t>
  </si>
  <si>
    <t>TRIBAL HHLD #</t>
  </si>
  <si>
    <t>SOURCE</t>
  </si>
  <si>
    <t>TRIBAL GRANT AMOUNT</t>
  </si>
  <si>
    <t>STATE TRIBAL SET-ASIDE</t>
  </si>
  <si>
    <t xml:space="preserve">  Ma-Chis Lower Creek Indian Tribe</t>
  </si>
  <si>
    <t>A/#</t>
  </si>
  <si>
    <t xml:space="preserve">  Mowa Band of Choctaw Indians </t>
  </si>
  <si>
    <t>A/%</t>
  </si>
  <si>
    <t xml:space="preserve">  Poarch Band of Creek Indians </t>
  </si>
  <si>
    <t xml:space="preserve">  Aleutian/Pribilof Islands Association</t>
  </si>
  <si>
    <t xml:space="preserve">  Assn. of Village Council Presidents</t>
  </si>
  <si>
    <t xml:space="preserve">  Kenaitze Indian Tribe</t>
  </si>
  <si>
    <t xml:space="preserve">  Kuskokwim Native Association</t>
  </si>
  <si>
    <t xml:space="preserve">  Orutsararmuit Native Council</t>
  </si>
  <si>
    <t xml:space="preserve">  Seldovia Village</t>
  </si>
  <si>
    <t xml:space="preserve">  Tanana Chiefs Conference</t>
  </si>
  <si>
    <t xml:space="preserve">  Tlingit &amp; Haida Central Council</t>
  </si>
  <si>
    <t xml:space="preserve">  Yakutat Tlingit Tribe </t>
  </si>
  <si>
    <t xml:space="preserve">  Cocopah Tribe</t>
  </si>
  <si>
    <t xml:space="preserve">  Colorado River Indian Tribes</t>
  </si>
  <si>
    <t xml:space="preserve">  Gila River Pima-Maricopa Community</t>
  </si>
  <si>
    <t xml:space="preserve">  N. Cal. Ind. Devel. Council, Inc.(NCIDC) (Calif.)</t>
  </si>
  <si>
    <t xml:space="preserve">  Navajo Nation</t>
  </si>
  <si>
    <t xml:space="preserve">  Pascua Yaqui Tribe</t>
  </si>
  <si>
    <t xml:space="preserve">  Quechan Tribe </t>
  </si>
  <si>
    <t xml:space="preserve">  Salt River Pima Maricopa Ind. Cmty.</t>
  </si>
  <si>
    <t xml:space="preserve">  San Carlos Apache Tribe</t>
  </si>
  <si>
    <t xml:space="preserve">  Berry Creek Rancheria</t>
  </si>
  <si>
    <t xml:space="preserve">  Bishop Paiute</t>
  </si>
  <si>
    <t xml:space="preserve">  Colorado River Indian Tribes (Ariz.)</t>
  </si>
  <si>
    <t xml:space="preserve">  Coyote Valley Pomo Band</t>
  </si>
  <si>
    <t xml:space="preserve">  Enterprise Rancheria</t>
  </si>
  <si>
    <t xml:space="preserve">  Hoopa Valley Tribe</t>
  </si>
  <si>
    <t xml:space="preserve">  Hopland Band</t>
  </si>
  <si>
    <t xml:space="preserve">  Karuk Tribe</t>
  </si>
  <si>
    <t xml:space="preserve">  Mooretown Rancheria</t>
  </si>
  <si>
    <t xml:space="preserve">  N. Cal. Ind. Devel. Council, Inc.(NCIDC)</t>
  </si>
  <si>
    <t xml:space="preserve">  Pinoleville Rancheria</t>
  </si>
  <si>
    <t xml:space="preserve">  Pit River Tribe</t>
  </si>
  <si>
    <t xml:space="preserve">  Quartz Valley</t>
  </si>
  <si>
    <t xml:space="preserve">  Quechan Tribe (Ariz.)</t>
  </si>
  <si>
    <t xml:space="preserve">  Redding Rancheria</t>
  </si>
  <si>
    <t xml:space="preserve">  Redwood Valley</t>
  </si>
  <si>
    <t xml:space="preserve">  Riverside-San Bernardino Indian Health</t>
  </si>
  <si>
    <t xml:space="preserve">  Round Valley</t>
  </si>
  <si>
    <t xml:space="preserve">  Sherwood Valley Rancheria</t>
  </si>
  <si>
    <t xml:space="preserve">  Smith River Rancheria</t>
  </si>
  <si>
    <t xml:space="preserve">  S. Cal. Tribal Chairmen's Association</t>
  </si>
  <si>
    <t xml:space="preserve">  Southern Indian Health Council</t>
  </si>
  <si>
    <t xml:space="preserve">  Yurok Tribe</t>
  </si>
  <si>
    <t xml:space="preserve">  Poarch Band of Creek Indians (Ala.)</t>
  </si>
  <si>
    <t xml:space="preserve">  Coeur d'Alene Tribe</t>
  </si>
  <si>
    <t>C</t>
  </si>
  <si>
    <t xml:space="preserve">  Nez Perce Tribe</t>
  </si>
  <si>
    <t xml:space="preserve">  Shoshone-Bannock Tribes (Fort Hall) </t>
  </si>
  <si>
    <t xml:space="preserve">  Pokagon Band (Mich.)</t>
  </si>
  <si>
    <t>A/$</t>
  </si>
  <si>
    <t xml:space="preserve">  United Tribes of Kansas &amp; SE Nebraska</t>
  </si>
  <si>
    <t xml:space="preserve">  Aroostook Band of Micmac Indians</t>
  </si>
  <si>
    <t xml:space="preserve">  Houlton Band of Maliseet Indians</t>
  </si>
  <si>
    <t xml:space="preserve">  Passamaquoddy Tribe--Indian Township</t>
  </si>
  <si>
    <t xml:space="preserve">  Passamaquoddy Tribe--Pleasant Point</t>
  </si>
  <si>
    <t xml:space="preserve">  Penobscot Tribe</t>
  </si>
  <si>
    <t xml:space="preserve">  Mashpee Wampanoag Tribe</t>
  </si>
  <si>
    <t xml:space="preserve">  Grand Traverse Ottawa/Chippewa Band</t>
  </si>
  <si>
    <t xml:space="preserve">  Inter-Tribal Council of Michigan </t>
  </si>
  <si>
    <t xml:space="preserve">  Keweenaw Bay Indian Community</t>
  </si>
  <si>
    <t xml:space="preserve">  Little River Band of Ottawa Indians</t>
  </si>
  <si>
    <t xml:space="preserve">  Pokagon Band of Potawatomi Indians</t>
  </si>
  <si>
    <t xml:space="preserve">  Sault Ste. Marie Chippewa Tribe</t>
  </si>
  <si>
    <t xml:space="preserve">  Mississippi Band of Choctaw Indians </t>
  </si>
  <si>
    <t xml:space="preserve">  Assiniboine &amp; Sioux Tribes (Fort Peck)</t>
  </si>
  <si>
    <t xml:space="preserve">  Blackfeet Tribe</t>
  </si>
  <si>
    <t xml:space="preserve">  Chippewa-Cree Tribe</t>
  </si>
  <si>
    <t xml:space="preserve">  Confederated Salish &amp; Kootenai Tribes </t>
  </si>
  <si>
    <t xml:space="preserve">  Fort Belknap Community</t>
  </si>
  <si>
    <t xml:space="preserve">  Northern Cheyenne Tribe</t>
  </si>
  <si>
    <t xml:space="preserve">  United Tribes of Ks. &amp; SE Neb. (Kansas)</t>
  </si>
  <si>
    <t xml:space="preserve">  Five Sandoval Indian Pueblos</t>
  </si>
  <si>
    <t xml:space="preserve">  Jicarilla Apache Tribe</t>
  </si>
  <si>
    <t xml:space="preserve">  Navajo Nation (Ariz.)</t>
  </si>
  <si>
    <t xml:space="preserve">  Pueblo of Jemez</t>
  </si>
  <si>
    <t xml:space="preserve">  Pueblo of Laguna</t>
  </si>
  <si>
    <t xml:space="preserve">  Pueblo of Nambe</t>
  </si>
  <si>
    <t xml:space="preserve">  Pueblo of Zuni</t>
  </si>
  <si>
    <t xml:space="preserve">  Seneca Nation</t>
  </si>
  <si>
    <t xml:space="preserve">  St. Regis Mohawk Band</t>
  </si>
  <si>
    <t xml:space="preserve">  Lumbee Tribe</t>
  </si>
  <si>
    <t xml:space="preserve">  Spirit Lake Tribe </t>
  </si>
  <si>
    <t xml:space="preserve">  Standing Rock Sioux Tribe</t>
  </si>
  <si>
    <t xml:space="preserve">  Three Affiliated Tribes (Fort Berthold)</t>
  </si>
  <si>
    <t xml:space="preserve">  Turtle Mountain Chippewa Band</t>
  </si>
  <si>
    <t xml:space="preserve">  Absentee Shawnee Tribe</t>
  </si>
  <si>
    <t xml:space="preserve">  Alabama-Quassarte Tribal Town</t>
  </si>
  <si>
    <t xml:space="preserve">  Apache Tribe of Oklahoma</t>
  </si>
  <si>
    <t xml:space="preserve">  Caddo Indian Tribe</t>
  </si>
  <si>
    <t xml:space="preserve">  Cherokee Nation of Oklahoma</t>
  </si>
  <si>
    <t xml:space="preserve">  Cheyenne-Arapaho Tribes</t>
  </si>
  <si>
    <t xml:space="preserve">  Chickasaw Nation of Oklahoma</t>
  </si>
  <si>
    <t xml:space="preserve">  Choctaw Nation of Oklahoma</t>
  </si>
  <si>
    <t xml:space="preserve">  Citizen Band Potawatomi  </t>
  </si>
  <si>
    <t xml:space="preserve">  Comanche Indian Tribe</t>
  </si>
  <si>
    <t xml:space="preserve">  Delaware Nation of Western Oklahoma</t>
  </si>
  <si>
    <t xml:space="preserve">  Eastern Shawnee Tribe of Oklahoma</t>
  </si>
  <si>
    <t xml:space="preserve">  Kialegee Tribal Town</t>
  </si>
  <si>
    <t xml:space="preserve">  Kickapoo Tribe of Oklahoma</t>
  </si>
  <si>
    <t xml:space="preserve">  Kiowa Indian Tribe</t>
  </si>
  <si>
    <t xml:space="preserve">  Miami Tribe</t>
  </si>
  <si>
    <t xml:space="preserve">  Modoc Tribe of Oklahoma</t>
  </si>
  <si>
    <t xml:space="preserve">  Muscogee (Creek) Nation</t>
  </si>
  <si>
    <t xml:space="preserve">  Osage Tribe</t>
  </si>
  <si>
    <t xml:space="preserve">  Otoe-Missouria Tribe</t>
  </si>
  <si>
    <t xml:space="preserve">  Ottawa Tribe of Oklahoma</t>
  </si>
  <si>
    <t xml:space="preserve">  Pawnee Tribe</t>
  </si>
  <si>
    <t xml:space="preserve">  Ponca Tribe</t>
  </si>
  <si>
    <t xml:space="preserve">  Quapaw Tribe</t>
  </si>
  <si>
    <t xml:space="preserve">  Sac &amp; Fox Tribe of Oklahoma</t>
  </si>
  <si>
    <t xml:space="preserve">  Seminole Nation of Oklahoma</t>
  </si>
  <si>
    <t xml:space="preserve">  Seneca-Cayuga Tribe</t>
  </si>
  <si>
    <t xml:space="preserve">  Shawnee Tribe</t>
  </si>
  <si>
    <t xml:space="preserve">  Tonkawa Tribe </t>
  </si>
  <si>
    <t xml:space="preserve">  United Keetowah</t>
  </si>
  <si>
    <t xml:space="preserve">  Wichita &amp; Affiliated Tribes</t>
  </si>
  <si>
    <t xml:space="preserve">  Wyandotte Nation</t>
  </si>
  <si>
    <t xml:space="preserve">  Conf. Tribe of Coos-Lower Umpqua </t>
  </si>
  <si>
    <t xml:space="preserve">  Conf. Tribes of Grand Ronde</t>
  </si>
  <si>
    <t xml:space="preserve">  Conf. Tribes of Siletz Indians</t>
  </si>
  <si>
    <t xml:space="preserve">  Conf. Tribes of Warm Springs</t>
  </si>
  <si>
    <t xml:space="preserve">  Cow Creek Band of Umpqua Indians</t>
  </si>
  <si>
    <t xml:space="preserve">  Klamath Tribe</t>
  </si>
  <si>
    <t xml:space="preserve">  Narragansett Indian Tribe</t>
  </si>
  <si>
    <t xml:space="preserve">  Cheyenne River Sioux Tribe</t>
  </si>
  <si>
    <t xml:space="preserve">  Lower Brule Sioux Tribe</t>
  </si>
  <si>
    <t xml:space="preserve">  Oglala Sioux Tribe</t>
  </si>
  <si>
    <t xml:space="preserve">  Rosebud Sioux Tribe</t>
  </si>
  <si>
    <t xml:space="preserve">  Sisseton-Wahpeton Sioux Tribe</t>
  </si>
  <si>
    <t xml:space="preserve">  Standing Rock Sioux Tribe (N. Dak.)</t>
  </si>
  <si>
    <t xml:space="preserve">  Yankton Sioux Tribe</t>
  </si>
  <si>
    <t xml:space="preserve">  Paiute Indian Tribe of Utah</t>
  </si>
  <si>
    <t xml:space="preserve">  Ute Tribe (Uintah &amp; Ouray)</t>
  </si>
  <si>
    <t xml:space="preserve">  Colville Confederated Tribes</t>
  </si>
  <si>
    <t xml:space="preserve">  Hoh Tribe</t>
  </si>
  <si>
    <t xml:space="preserve">  Jamestown S'Klallam Tribe</t>
  </si>
  <si>
    <t xml:space="preserve">  Kalispel Indian Community</t>
  </si>
  <si>
    <t xml:space="preserve">  Lower Elwha Klallam Tribe</t>
  </si>
  <si>
    <t xml:space="preserve">  Lummi Indian Tribe</t>
  </si>
  <si>
    <t xml:space="preserve">  Makah Indian Tribe</t>
  </si>
  <si>
    <t xml:space="preserve">  Muckleshoot Indian Tribe</t>
  </si>
  <si>
    <t xml:space="preserve">  Nooksack Indian Tribe</t>
  </si>
  <si>
    <t xml:space="preserve">  Port Gamble S'Klallam Tribe </t>
  </si>
  <si>
    <t xml:space="preserve">  Puyallup Tribe</t>
  </si>
  <si>
    <t xml:space="preserve">  Quileute Tribe</t>
  </si>
  <si>
    <t xml:space="preserve">  Quinault Tribe</t>
  </si>
  <si>
    <t xml:space="preserve">  Samish Tribe</t>
  </si>
  <si>
    <t xml:space="preserve">  Small Tribes Organization of W. Wash.</t>
  </si>
  <si>
    <t xml:space="preserve">  South Puget Intertribal Planning Agency</t>
  </si>
  <si>
    <t xml:space="preserve">  Spokane Tribe</t>
  </si>
  <si>
    <t xml:space="preserve">  Suquamish Tribe</t>
  </si>
  <si>
    <t xml:space="preserve">  Swinomish Indians</t>
  </si>
  <si>
    <t xml:space="preserve">  Tulalip Tribe</t>
  </si>
  <si>
    <t xml:space="preserve">  Yakama Indian Nation</t>
  </si>
  <si>
    <t xml:space="preserve">  Northern Arapaho Nation</t>
  </si>
  <si>
    <t xml:space="preserve"> TOTALS FOR STATES WITH TRIBES FUNDED DIRECTLY BY HHS</t>
  </si>
  <si>
    <t>STATE GROSS ALLOCATION</t>
  </si>
  <si>
    <t>TRIBAL % OF STATE GROSS ALLOCATION</t>
  </si>
  <si>
    <t>STATE NET ALLOCATION</t>
  </si>
  <si>
    <t>ATTACHMENT 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</si>
</sst>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0000_)"/>
    <numFmt numFmtId="166" formatCode="0.00000000%"/>
    <numFmt numFmtId="167" formatCode="#,##0.00000000"/>
    <numFmt numFmtId="168" formatCode="#,##0.00000000_);\(#,##0.00000000\)"/>
    <numFmt numFmtId="169" formatCode="0\ \°\F"/>
    <numFmt numFmtId="170" formatCode="0.0000%"/>
    <numFmt numFmtId="171" formatCode="&quot;$&quot;#,##0.00"/>
    <numFmt numFmtId="172" formatCode="0.00000_)"/>
    <numFmt numFmtId="173" formatCode="[$-409]d\-mmm\-yy;@"/>
    <numFmt numFmtId="174" formatCode="0.00\ \°\F"/>
    <numFmt numFmtId="175" formatCode="&quot;$&quot;#,##0.00000000"/>
    <numFmt numFmtId="176" formatCode="0.0%"/>
    <numFmt numFmtId="177" formatCode="0.000%"/>
    <numFmt numFmtId="178" formatCode="0.00000%"/>
    <numFmt numFmtId="179" formatCode="0.000000%"/>
    <numFmt numFmtId="180" formatCode="0.00000000_);\-0.00000000_)\,"/>
    <numFmt numFmtId="181" formatCode="0.00000000_);\-0.00000000_);"/>
    <numFmt numFmtId="182" formatCode="&quot;$&quot;#,##0.00000000_);[Red]\(&quot;$&quot;#,##0.00000000\)"/>
    <numFmt numFmtId="183" formatCode="d\-mmm\-yyyy"/>
  </numFmts>
  <fonts count="17">
    <font>
      <sz val="10"/>
      <name val="Times New Roman"/>
      <family val="0"/>
    </font>
    <font>
      <sz val="10"/>
      <name val="Arial"/>
      <family val="0"/>
    </font>
    <font>
      <u val="single"/>
      <sz val="11.5"/>
      <color indexed="36"/>
      <name val="Times New Roman"/>
      <family val="0"/>
    </font>
    <font>
      <u val="single"/>
      <sz val="11.5"/>
      <color indexed="12"/>
      <name val="Times New Roman"/>
      <family val="0"/>
    </font>
    <font>
      <sz val="10"/>
      <name val="Courier"/>
      <family val="0"/>
    </font>
    <font>
      <sz val="8"/>
      <name val="Times New Roman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sz val="8"/>
      <name val="Courier"/>
      <family val="0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37" fontId="4" fillId="0" borderId="0">
      <alignment/>
      <protection/>
    </xf>
    <xf numFmtId="0" fontId="0" fillId="0" borderId="0">
      <alignment/>
      <protection/>
    </xf>
    <xf numFmtId="37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5" fontId="6" fillId="0" borderId="0" xfId="0" applyNumberFormat="1" applyFont="1" applyFill="1" applyAlignment="1" quotePrefix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right"/>
    </xf>
    <xf numFmtId="9" fontId="6" fillId="0" borderId="0" xfId="33" applyFont="1" applyFill="1" applyBorder="1" applyAlignment="1">
      <alignment horizontal="center"/>
    </xf>
    <xf numFmtId="11" fontId="1" fillId="0" borderId="0" xfId="0" applyNumberFormat="1" applyFont="1" applyFill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1" fontId="1" fillId="0" borderId="0" xfId="0" applyNumberFormat="1" applyFont="1" applyFill="1" applyAlignment="1">
      <alignment/>
    </xf>
    <xf numFmtId="171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165" fontId="1" fillId="0" borderId="0" xfId="0" applyNumberFormat="1" applyFont="1" applyFill="1" applyAlignment="1" applyProtection="1">
      <alignment/>
      <protection/>
    </xf>
    <xf numFmtId="10" fontId="1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1" fillId="0" borderId="1" xfId="31" applyFill="1" applyBorder="1">
      <alignment/>
      <protection/>
    </xf>
    <xf numFmtId="0" fontId="1" fillId="0" borderId="2" xfId="0" applyFont="1" applyFill="1" applyBorder="1" applyAlignment="1">
      <alignment/>
    </xf>
    <xf numFmtId="9" fontId="1" fillId="0" borderId="2" xfId="0" applyNumberFormat="1" applyFont="1" applyFill="1" applyBorder="1" applyAlignment="1">
      <alignment/>
    </xf>
    <xf numFmtId="164" fontId="6" fillId="0" borderId="2" xfId="0" applyNumberFormat="1" applyFont="1" applyFill="1" applyBorder="1" applyAlignment="1">
      <alignment/>
    </xf>
    <xf numFmtId="167" fontId="1" fillId="0" borderId="2" xfId="0" applyNumberFormat="1" applyFont="1" applyFill="1" applyBorder="1" applyAlignment="1">
      <alignment/>
    </xf>
    <xf numFmtId="9" fontId="1" fillId="0" borderId="0" xfId="0" applyNumberFormat="1" applyFont="1" applyFill="1" applyAlignment="1">
      <alignment/>
    </xf>
    <xf numFmtId="164" fontId="6" fillId="0" borderId="0" xfId="0" applyNumberFormat="1" applyFont="1" applyFill="1" applyBorder="1" applyAlignment="1" quotePrefix="1">
      <alignment/>
    </xf>
    <xf numFmtId="168" fontId="1" fillId="0" borderId="0" xfId="26" applyNumberFormat="1" applyFont="1" applyFill="1" applyBorder="1" applyProtection="1">
      <alignment/>
      <protection/>
    </xf>
    <xf numFmtId="37" fontId="1" fillId="0" borderId="0" xfId="26" applyNumberFormat="1" applyFont="1" applyFill="1" applyBorder="1" applyAlignment="1" applyProtection="1">
      <alignment horizontal="center"/>
      <protection/>
    </xf>
    <xf numFmtId="37" fontId="1" fillId="0" borderId="0" xfId="26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Alignment="1">
      <alignment/>
    </xf>
    <xf numFmtId="37" fontId="1" fillId="0" borderId="0" xfId="26" applyNumberFormat="1" applyFont="1" applyFill="1" applyBorder="1" applyAlignment="1" applyProtection="1">
      <alignment horizontal="left"/>
      <protection/>
    </xf>
    <xf numFmtId="37" fontId="1" fillId="0" borderId="0" xfId="26" applyFont="1">
      <alignment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25" applyFont="1" applyAlignment="1">
      <alignment horizontal="left"/>
      <protection/>
    </xf>
    <xf numFmtId="164" fontId="6" fillId="0" borderId="0" xfId="25" applyNumberFormat="1" applyFont="1">
      <alignment/>
      <protection/>
    </xf>
    <xf numFmtId="37" fontId="1" fillId="0" borderId="0" xfId="26" applyNumberFormat="1" applyFont="1" applyAlignment="1" applyProtection="1">
      <alignment horizontal="left"/>
      <protection/>
    </xf>
    <xf numFmtId="37" fontId="1" fillId="0" borderId="3" xfId="26" applyNumberFormat="1" applyFont="1" applyBorder="1" applyAlignment="1" applyProtection="1">
      <alignment horizontal="center"/>
      <protection/>
    </xf>
    <xf numFmtId="37" fontId="6" fillId="0" borderId="3" xfId="26" applyNumberFormat="1" applyFont="1" applyBorder="1" applyAlignment="1" applyProtection="1">
      <alignment horizontal="center"/>
      <protection/>
    </xf>
    <xf numFmtId="37" fontId="6" fillId="0" borderId="0" xfId="26" applyFont="1">
      <alignment/>
      <protection/>
    </xf>
    <xf numFmtId="5" fontId="6" fillId="0" borderId="0" xfId="26" applyNumberFormat="1" applyFont="1" applyProtection="1">
      <alignment/>
      <protection/>
    </xf>
    <xf numFmtId="5" fontId="1" fillId="0" borderId="0" xfId="26" applyNumberFormat="1" applyFont="1" applyProtection="1">
      <alignment/>
      <protection/>
    </xf>
    <xf numFmtId="37" fontId="1" fillId="0" borderId="4" xfId="26" applyNumberFormat="1" applyFont="1" applyBorder="1" applyAlignment="1" applyProtection="1">
      <alignment horizontal="left"/>
      <protection/>
    </xf>
    <xf numFmtId="5" fontId="6" fillId="0" borderId="4" xfId="26" applyNumberFormat="1" applyFont="1" applyBorder="1" applyProtection="1">
      <alignment/>
      <protection/>
    </xf>
    <xf numFmtId="5" fontId="1" fillId="0" borderId="4" xfId="26" applyNumberFormat="1" applyFont="1" applyBorder="1" applyProtection="1">
      <alignment/>
      <protection/>
    </xf>
    <xf numFmtId="37" fontId="1" fillId="0" borderId="0" xfId="26" applyNumberFormat="1" applyFont="1" applyAlignment="1" applyProtection="1">
      <alignment horizontal="center"/>
      <protection/>
    </xf>
    <xf numFmtId="37" fontId="1" fillId="0" borderId="0" xfId="0" applyNumberFormat="1" applyFont="1" applyAlignment="1">
      <alignment/>
    </xf>
    <xf numFmtId="5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6" fillId="0" borderId="0" xfId="0" applyFont="1" applyFill="1" applyAlignment="1">
      <alignment horizontal="left" wrapText="1"/>
    </xf>
    <xf numFmtId="6" fontId="1" fillId="0" borderId="0" xfId="0" applyNumberFormat="1" applyFont="1" applyFill="1" applyBorder="1" applyAlignment="1">
      <alignment/>
    </xf>
    <xf numFmtId="6" fontId="1" fillId="0" borderId="0" xfId="0" applyNumberFormat="1" applyFont="1" applyFill="1" applyAlignment="1">
      <alignment/>
    </xf>
    <xf numFmtId="9" fontId="1" fillId="0" borderId="0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37" fontId="1" fillId="0" borderId="0" xfId="0" applyNumberFormat="1" applyFont="1" applyAlignment="1">
      <alignment wrapText="1"/>
    </xf>
    <xf numFmtId="181" fontId="1" fillId="0" borderId="0" xfId="0" applyNumberFormat="1" applyFont="1" applyFill="1" applyBorder="1" applyAlignment="1" applyProtection="1">
      <alignment/>
      <protection/>
    </xf>
    <xf numFmtId="166" fontId="1" fillId="0" borderId="0" xfId="0" applyNumberFormat="1" applyFont="1" applyFill="1" applyAlignment="1">
      <alignment/>
    </xf>
    <xf numFmtId="0" fontId="6" fillId="0" borderId="2" xfId="0" applyFont="1" applyFill="1" applyBorder="1" applyAlignment="1">
      <alignment/>
    </xf>
    <xf numFmtId="0" fontId="6" fillId="0" borderId="2" xfId="27" applyFont="1" applyFill="1" applyBorder="1">
      <alignment/>
      <protection/>
    </xf>
    <xf numFmtId="164" fontId="6" fillId="0" borderId="2" xfId="27" applyNumberFormat="1" applyFont="1" applyFill="1" applyBorder="1">
      <alignment/>
      <protection/>
    </xf>
    <xf numFmtId="6" fontId="0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5" fontId="1" fillId="0" borderId="0" xfId="0" applyNumberFormat="1" applyFont="1" applyFill="1" applyAlignment="1">
      <alignment/>
    </xf>
    <xf numFmtId="164" fontId="6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5" fontId="6" fillId="0" borderId="0" xfId="0" applyNumberFormat="1" applyFont="1" applyAlignment="1">
      <alignment wrapText="1"/>
    </xf>
    <xf numFmtId="5" fontId="6" fillId="0" borderId="0" xfId="0" applyNumberFormat="1" applyFont="1" applyAlignment="1">
      <alignment/>
    </xf>
    <xf numFmtId="15" fontId="6" fillId="0" borderId="0" xfId="0" applyNumberFormat="1" applyFont="1" applyAlignment="1" quotePrefix="1">
      <alignment horizontal="center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5" fontId="6" fillId="0" borderId="0" xfId="26" applyNumberFormat="1" applyFont="1" applyBorder="1" applyProtection="1">
      <alignment/>
      <protection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5" fontId="1" fillId="0" borderId="0" xfId="26" applyNumberFormat="1" applyFont="1" applyBorder="1" applyProtection="1">
      <alignment/>
      <protection/>
    </xf>
    <xf numFmtId="0" fontId="9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9" fillId="0" borderId="0" xfId="0" applyFont="1" applyFill="1" applyBorder="1" applyAlignment="1">
      <alignment wrapText="1"/>
    </xf>
    <xf numFmtId="0" fontId="6" fillId="0" borderId="0" xfId="32" applyFont="1" applyFill="1" applyAlignment="1">
      <alignment horizontal="left" wrapText="1"/>
      <protection/>
    </xf>
    <xf numFmtId="37" fontId="1" fillId="0" borderId="0" xfId="28" applyFont="1">
      <alignment/>
      <protection/>
    </xf>
    <xf numFmtId="5" fontId="1" fillId="0" borderId="0" xfId="28" applyNumberFormat="1" applyFont="1" applyFill="1" applyProtection="1">
      <alignment/>
      <protection/>
    </xf>
    <xf numFmtId="37" fontId="1" fillId="0" borderId="0" xfId="26" applyNumberFormat="1" applyFont="1" applyFill="1" applyAlignment="1" applyProtection="1">
      <alignment horizontal="left"/>
      <protection/>
    </xf>
    <xf numFmtId="15" fontId="14" fillId="0" borderId="0" xfId="29" applyNumberFormat="1" applyFont="1" applyFill="1" applyAlignment="1">
      <alignment horizontal="left"/>
      <protection/>
    </xf>
    <xf numFmtId="37" fontId="1" fillId="0" borderId="0" xfId="28" applyFont="1" applyFill="1">
      <alignment/>
      <protection/>
    </xf>
    <xf numFmtId="183" fontId="6" fillId="0" borderId="0" xfId="30" applyNumberFormat="1" applyFont="1" applyAlignment="1">
      <alignment horizontal="right"/>
      <protection/>
    </xf>
    <xf numFmtId="37" fontId="1" fillId="0" borderId="0" xfId="28" applyNumberFormat="1" applyFont="1" applyFill="1" applyAlignment="1" applyProtection="1">
      <alignment horizontal="left"/>
      <protection/>
    </xf>
    <xf numFmtId="0" fontId="15" fillId="0" borderId="0" xfId="24" applyFont="1" applyFill="1" applyAlignment="1" applyProtection="1">
      <alignment horizontal="center" vertical="top"/>
      <protection/>
    </xf>
    <xf numFmtId="0" fontId="16" fillId="0" borderId="0" xfId="24" applyFont="1" applyFill="1" applyAlignment="1" applyProtection="1">
      <alignment horizontal="center" vertical="top"/>
      <protection/>
    </xf>
    <xf numFmtId="37" fontId="1" fillId="0" borderId="0" xfId="28" applyNumberFormat="1" applyFont="1" applyFill="1" applyBorder="1" applyAlignment="1" applyProtection="1">
      <alignment horizontal="center" wrapText="1"/>
      <protection/>
    </xf>
    <xf numFmtId="37" fontId="1" fillId="0" borderId="0" xfId="28" applyFont="1" applyFill="1" applyBorder="1" applyAlignment="1">
      <alignment horizontal="center" wrapText="1"/>
      <protection/>
    </xf>
    <xf numFmtId="37" fontId="6" fillId="0" borderId="0" xfId="28" applyNumberFormat="1" applyFont="1" applyFill="1" applyBorder="1" applyAlignment="1" applyProtection="1">
      <alignment horizontal="center" wrapText="1"/>
      <protection/>
    </xf>
    <xf numFmtId="37" fontId="1" fillId="0" borderId="0" xfId="28" applyFont="1" applyBorder="1">
      <alignment/>
      <protection/>
    </xf>
    <xf numFmtId="37" fontId="6" fillId="0" borderId="0" xfId="28" applyFont="1" applyFill="1">
      <alignment/>
      <protection/>
    </xf>
    <xf numFmtId="37" fontId="6" fillId="0" borderId="0" xfId="28" applyNumberFormat="1" applyFont="1" applyFill="1" applyAlignment="1" applyProtection="1">
      <alignment horizontal="left"/>
      <protection/>
    </xf>
    <xf numFmtId="170" fontId="1" fillId="0" borderId="0" xfId="28" applyNumberFormat="1" applyFont="1" applyFill="1">
      <alignment/>
      <protection/>
    </xf>
    <xf numFmtId="37" fontId="1" fillId="0" borderId="0" xfId="28" applyNumberFormat="1" applyFont="1" applyFill="1" applyAlignment="1" applyProtection="1">
      <alignment horizontal="center"/>
      <protection/>
    </xf>
    <xf numFmtId="5" fontId="6" fillId="0" borderId="0" xfId="28" applyNumberFormat="1" applyFont="1" applyFill="1" applyProtection="1">
      <alignment/>
      <protection/>
    </xf>
    <xf numFmtId="37" fontId="1" fillId="0" borderId="0" xfId="28" applyNumberFormat="1" applyFont="1" applyFill="1" applyProtection="1">
      <alignment/>
      <protection/>
    </xf>
    <xf numFmtId="3" fontId="1" fillId="0" borderId="0" xfId="28" applyNumberFormat="1" applyFont="1" applyFill="1" applyProtection="1">
      <alignment/>
      <protection/>
    </xf>
    <xf numFmtId="170" fontId="1" fillId="0" borderId="0" xfId="28" applyNumberFormat="1" applyFont="1" applyFill="1" applyProtection="1">
      <alignment/>
      <protection/>
    </xf>
    <xf numFmtId="5" fontId="1" fillId="0" borderId="0" xfId="28" applyNumberFormat="1" applyFont="1" applyFill="1">
      <alignment/>
      <protection/>
    </xf>
    <xf numFmtId="5" fontId="1" fillId="0" borderId="0" xfId="28" applyNumberFormat="1" applyFont="1" applyFill="1" applyAlignment="1" applyProtection="1">
      <alignment horizontal="left"/>
      <protection/>
    </xf>
    <xf numFmtId="37" fontId="1" fillId="0" borderId="0" xfId="0" applyNumberFormat="1" applyFont="1" applyFill="1" applyAlignment="1" applyProtection="1">
      <alignment horizontal="left"/>
      <protection/>
    </xf>
    <xf numFmtId="37" fontId="1" fillId="0" borderId="0" xfId="28" applyNumberFormat="1" applyFont="1" applyFill="1" applyAlignment="1" applyProtection="1">
      <alignment horizontal="right"/>
      <protection/>
    </xf>
    <xf numFmtId="37" fontId="1" fillId="0" borderId="4" xfId="28" applyNumberFormat="1" applyFont="1" applyFill="1" applyBorder="1" applyAlignment="1" applyProtection="1">
      <alignment horizontal="left"/>
      <protection/>
    </xf>
    <xf numFmtId="5" fontId="1" fillId="0" borderId="4" xfId="28" applyNumberFormat="1" applyFont="1" applyFill="1" applyBorder="1" applyProtection="1">
      <alignment/>
      <protection/>
    </xf>
    <xf numFmtId="37" fontId="1" fillId="0" borderId="4" xfId="28" applyFont="1" applyFill="1" applyBorder="1">
      <alignment/>
      <protection/>
    </xf>
    <xf numFmtId="37" fontId="1" fillId="0" borderId="4" xfId="28" applyNumberFormat="1" applyFont="1" applyFill="1" applyBorder="1" applyAlignment="1" applyProtection="1">
      <alignment horizontal="center"/>
      <protection/>
    </xf>
    <xf numFmtId="170" fontId="1" fillId="0" borderId="4" xfId="28" applyNumberFormat="1" applyFont="1" applyFill="1" applyBorder="1">
      <alignment/>
      <protection/>
    </xf>
    <xf numFmtId="5" fontId="6" fillId="0" borderId="4" xfId="28" applyNumberFormat="1" applyFont="1" applyFill="1" applyBorder="1" applyProtection="1">
      <alignment/>
      <protection/>
    </xf>
    <xf numFmtId="37" fontId="1" fillId="0" borderId="0" xfId="26" applyFont="1" applyFill="1">
      <alignment/>
      <protection/>
    </xf>
    <xf numFmtId="165" fontId="1" fillId="0" borderId="0" xfId="28" applyNumberFormat="1" applyFont="1" applyProtection="1">
      <alignment/>
      <protection/>
    </xf>
    <xf numFmtId="5" fontId="1" fillId="0" borderId="0" xfId="28" applyNumberFormat="1" applyFont="1" applyProtection="1">
      <alignment/>
      <protection/>
    </xf>
    <xf numFmtId="0" fontId="6" fillId="0" borderId="0" xfId="0" applyFont="1" applyFill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left" wrapText="1"/>
    </xf>
    <xf numFmtId="0" fontId="6" fillId="0" borderId="0" xfId="32" applyFont="1" applyFill="1" applyAlignment="1">
      <alignment horizontal="left" wrapText="1"/>
      <protection/>
    </xf>
    <xf numFmtId="37" fontId="6" fillId="0" borderId="0" xfId="28" applyFont="1" applyFill="1" applyAlignment="1">
      <alignment horizontal="center"/>
      <protection/>
    </xf>
    <xf numFmtId="0" fontId="0" fillId="0" borderId="0" xfId="0" applyAlignment="1">
      <alignment horizontal="center"/>
    </xf>
  </cellXfs>
  <cellStyles count="20">
    <cellStyle name="Normal" xfId="0"/>
    <cellStyle name="Book11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Followed Hyperlink" xfId="22"/>
    <cellStyle name="Hyperlink" xfId="23"/>
    <cellStyle name="Normal_$0.25B-1B_BG" xfId="24"/>
    <cellStyle name="Normal_$1B Contingency 2000 fuel user data (50_50 &amp; 60_40)" xfId="25"/>
    <cellStyle name="Normal_2005-LIHEAP Allocations-$1.884B-FINAL" xfId="26"/>
    <cellStyle name="Normal_2006-Contg-9-12-06-FINAL 14 STATES" xfId="27"/>
    <cellStyle name="Normal_2006-LIHEAP Alloc-$2 0B (2)" xfId="28"/>
    <cellStyle name="Normal_2008-$1 98B_BG_200803Mar13(NCIDC_Corr)" xfId="29"/>
    <cellStyle name="Normal_2009-$4 5B Block-StatesTribes 10 3 08_noLevorT&amp;TA" xfId="30"/>
    <cellStyle name="Normal_LIHEAP - Increases in Block Grant" xfId="31"/>
    <cellStyle name="Normal_Old_formula_anchorBG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J95"/>
  <sheetViews>
    <sheetView tabSelected="1" workbookViewId="0" topLeftCell="A1">
      <pane xSplit="1" ySplit="9" topLeftCell="B10" activePane="bottomRight" state="frozen"/>
      <selection pane="topLeft" activeCell="A3" sqref="A3:G3"/>
      <selection pane="topRight" activeCell="A3" sqref="A3:G3"/>
      <selection pane="bottomLeft" activeCell="A3" sqref="A3:G3"/>
      <selection pane="bottomRight" activeCell="B10" sqref="B10"/>
    </sheetView>
  </sheetViews>
  <sheetFormatPr defaultColWidth="9.33203125" defaultRowHeight="12.75"/>
  <cols>
    <col min="1" max="1" width="38.16015625" style="2" customWidth="1"/>
    <col min="2" max="3" width="42.66015625" style="2" customWidth="1"/>
    <col min="4" max="7" width="24.5" style="2" customWidth="1"/>
    <col min="8" max="8" width="19.83203125" style="18" customWidth="1"/>
    <col min="9" max="9" width="18.33203125" style="2" customWidth="1"/>
    <col min="10" max="11" width="15" style="2" bestFit="1" customWidth="1"/>
    <col min="12" max="12" width="10.66015625" style="2" bestFit="1" customWidth="1"/>
    <col min="13" max="16384" width="9.33203125" style="2" customWidth="1"/>
  </cols>
  <sheetData>
    <row r="1" spans="1:10" ht="27.75" customHeight="1">
      <c r="A1" s="125" t="str">
        <f>"State and Territorial Allocations of "&amp;TEXT('$490M_BG_Ratios'!$C$7/1000000,"$0.0")&amp;" Million in Low Income Home Energy Assistance Program (LIHEAP) Emergency Contingency Funds by Old-Formula Block Grant Ratios"</f>
        <v>State and Territorial Allocations of $489.7 Million in Low Income Home Energy Assistance Program (LIHEAP) Emergency Contingency Funds by Old-Formula Block Grant Ratios</v>
      </c>
      <c r="B1" s="125"/>
      <c r="C1" s="125"/>
      <c r="D1" s="58"/>
      <c r="E1" s="58"/>
      <c r="F1" s="58"/>
      <c r="G1" s="58"/>
      <c r="H1" s="58"/>
      <c r="I1" s="58"/>
      <c r="J1" s="1"/>
    </row>
    <row r="2" spans="1:3" ht="12.75">
      <c r="A2" s="3" t="s">
        <v>0</v>
      </c>
      <c r="B2" s="4"/>
      <c r="C2" s="6">
        <v>39745</v>
      </c>
    </row>
    <row r="3" spans="1:10" ht="12.75" customHeight="1">
      <c r="A3" s="126" t="s">
        <v>269</v>
      </c>
      <c r="B3" s="126"/>
      <c r="C3" s="126"/>
      <c r="D3" s="80"/>
      <c r="E3" s="80"/>
      <c r="F3" s="80"/>
      <c r="H3" s="8"/>
      <c r="I3" s="8"/>
      <c r="J3" s="8"/>
    </row>
    <row r="4" spans="3:10" ht="12.75">
      <c r="C4" s="15" t="s">
        <v>67</v>
      </c>
      <c r="E4" s="9"/>
      <c r="H4" s="7"/>
      <c r="J4" s="7"/>
    </row>
    <row r="5" spans="1:9" ht="12.75">
      <c r="A5" s="7"/>
      <c r="C5" s="5">
        <v>490328000</v>
      </c>
      <c r="D5" s="12"/>
      <c r="E5" s="12"/>
      <c r="H5" s="10"/>
      <c r="I5" s="11"/>
    </row>
    <row r="6" spans="3:8" ht="12.75">
      <c r="C6" s="15" t="s">
        <v>68</v>
      </c>
      <c r="H6" s="2"/>
    </row>
    <row r="7" spans="3:8" ht="12.75">
      <c r="C7" s="5">
        <f>C66</f>
        <v>489663959</v>
      </c>
      <c r="D7" s="59"/>
      <c r="E7" s="59"/>
      <c r="F7" s="60"/>
      <c r="G7" s="60"/>
      <c r="H7" s="2"/>
    </row>
    <row r="8" spans="1:8" ht="12.75">
      <c r="A8" s="4" t="str">
        <f>IF(COLUMN()&lt;=26,CHAR(64+COLUMN()),CHAR(64+ROUNDDOWN((COLUMN()-1)/26,0))&amp;CHAR(65+MOD((COLUMN()-1),26)))</f>
        <v>A</v>
      </c>
      <c r="B8" s="4" t="str">
        <f>IF(COLUMN()&lt;=26,CHAR(64+COLUMN()),CHAR(64+ROUNDDOWN((COLUMN()-1)/26,0))&amp;CHAR(65+MOD((COLUMN()-1),26)))</f>
        <v>B</v>
      </c>
      <c r="C8" s="20" t="str">
        <f>IF(COLUMN()&lt;=26,CHAR(64+COLUMN()),CHAR(64+ROUNDDOWN((COLUMN()-1)/26,0))&amp;CHAR(65+MOD((COLUMN()-1),26)))</f>
        <v>C</v>
      </c>
      <c r="F8" s="60"/>
      <c r="G8" s="60"/>
      <c r="H8" s="2"/>
    </row>
    <row r="9" spans="2:3" s="21" customFormat="1" ht="25.5">
      <c r="B9" s="87" t="s">
        <v>87</v>
      </c>
      <c r="C9" s="88" t="str">
        <f>"Distribution of Funding (Col "&amp;B8&amp;" X "&amp;TEXT(C7/1000000,"$0.00")&amp;" Million)"</f>
        <v>Distribution of Funding (Col B X $489.66 Million)</v>
      </c>
    </row>
    <row r="10" spans="3:8" ht="12.75">
      <c r="C10" s="18"/>
      <c r="H10" s="2"/>
    </row>
    <row r="11" spans="1:8" ht="12.75">
      <c r="A11" s="2" t="s">
        <v>2</v>
      </c>
      <c r="B11" s="23">
        <v>0.00860045</v>
      </c>
      <c r="C11" s="5">
        <f>ROUND(B11*$C$7,0)</f>
        <v>4211330</v>
      </c>
      <c r="G11" s="26"/>
      <c r="H11" s="26"/>
    </row>
    <row r="12" spans="1:8" ht="12.75">
      <c r="A12" s="2" t="s">
        <v>3</v>
      </c>
      <c r="B12" s="23">
        <v>0.00548986</v>
      </c>
      <c r="C12" s="5">
        <f aca="true" t="shared" si="0" ref="C12:C61">ROUND(B12*$C$7,0)</f>
        <v>2688187</v>
      </c>
      <c r="G12" s="26"/>
      <c r="H12" s="26"/>
    </row>
    <row r="13" spans="1:8" ht="12.75">
      <c r="A13" s="2" t="s">
        <v>4</v>
      </c>
      <c r="B13" s="23">
        <v>0.00415928</v>
      </c>
      <c r="C13" s="5">
        <f t="shared" si="0"/>
        <v>2036650</v>
      </c>
      <c r="G13" s="26"/>
      <c r="H13" s="26"/>
    </row>
    <row r="14" spans="1:8" ht="12.75">
      <c r="A14" s="2" t="s">
        <v>5</v>
      </c>
      <c r="B14" s="23">
        <v>0.00656255</v>
      </c>
      <c r="C14" s="5">
        <f t="shared" si="0"/>
        <v>3213444</v>
      </c>
      <c r="G14" s="26"/>
      <c r="H14" s="26"/>
    </row>
    <row r="15" spans="1:8" ht="12.75">
      <c r="A15" s="2" t="s">
        <v>6</v>
      </c>
      <c r="B15" s="23">
        <v>0.04613891</v>
      </c>
      <c r="C15" s="5">
        <f t="shared" si="0"/>
        <v>22592561</v>
      </c>
      <c r="G15" s="26"/>
      <c r="H15" s="26"/>
    </row>
    <row r="16" spans="1:8" ht="12.75">
      <c r="A16" s="2" t="s">
        <v>7</v>
      </c>
      <c r="B16" s="23">
        <v>0.0160872</v>
      </c>
      <c r="C16" s="5">
        <f t="shared" si="0"/>
        <v>7877322</v>
      </c>
      <c r="G16" s="26"/>
      <c r="H16" s="26"/>
    </row>
    <row r="17" spans="1:8" ht="12.75">
      <c r="A17" s="2" t="s">
        <v>8</v>
      </c>
      <c r="B17" s="23">
        <v>0.02098632</v>
      </c>
      <c r="C17" s="5">
        <f t="shared" si="0"/>
        <v>10276245</v>
      </c>
      <c r="G17" s="26"/>
      <c r="H17" s="26"/>
    </row>
    <row r="18" spans="1:8" ht="12.75">
      <c r="A18" s="14" t="s">
        <v>9</v>
      </c>
      <c r="B18" s="23">
        <v>0.00278553</v>
      </c>
      <c r="C18" s="5">
        <f t="shared" si="0"/>
        <v>1363974</v>
      </c>
      <c r="G18" s="26"/>
      <c r="H18" s="26"/>
    </row>
    <row r="19" spans="1:8" ht="12.75">
      <c r="A19" s="27" t="s">
        <v>10</v>
      </c>
      <c r="B19" s="23">
        <v>0.00325921</v>
      </c>
      <c r="C19" s="5">
        <f t="shared" si="0"/>
        <v>1595918</v>
      </c>
      <c r="G19" s="26"/>
      <c r="H19" s="26"/>
    </row>
    <row r="20" spans="1:8" ht="12.75">
      <c r="A20" s="2" t="s">
        <v>11</v>
      </c>
      <c r="B20" s="23">
        <v>0.01360848</v>
      </c>
      <c r="C20" s="5">
        <f t="shared" si="0"/>
        <v>6663582</v>
      </c>
      <c r="G20" s="26"/>
      <c r="H20" s="26"/>
    </row>
    <row r="21" spans="1:8" ht="12.75">
      <c r="A21" s="2" t="s">
        <v>12</v>
      </c>
      <c r="B21" s="23">
        <v>0.01075959</v>
      </c>
      <c r="C21" s="5">
        <f t="shared" si="0"/>
        <v>5268583</v>
      </c>
      <c r="G21" s="26"/>
      <c r="H21" s="26"/>
    </row>
    <row r="22" spans="1:8" ht="12.75">
      <c r="A22" s="2" t="s">
        <v>13</v>
      </c>
      <c r="B22" s="23">
        <v>0.00108355</v>
      </c>
      <c r="C22" s="5">
        <f>ROUND(B22*$C$7,0)</f>
        <v>530575</v>
      </c>
      <c r="G22" s="26"/>
      <c r="H22" s="26"/>
    </row>
    <row r="23" spans="1:8" ht="12.75">
      <c r="A23" s="2" t="s">
        <v>14</v>
      </c>
      <c r="B23" s="23">
        <v>0.00627508</v>
      </c>
      <c r="C23" s="5">
        <f t="shared" si="0"/>
        <v>3072681</v>
      </c>
      <c r="G23" s="26"/>
      <c r="H23" s="26"/>
    </row>
    <row r="24" spans="1:8" ht="12.75">
      <c r="A24" s="2" t="s">
        <v>15</v>
      </c>
      <c r="B24" s="23">
        <v>0.05808651</v>
      </c>
      <c r="C24" s="5">
        <f t="shared" si="0"/>
        <v>28442870</v>
      </c>
      <c r="G24" s="26"/>
      <c r="H24" s="26"/>
    </row>
    <row r="25" spans="1:8" ht="12.75">
      <c r="A25" s="2" t="s">
        <v>16</v>
      </c>
      <c r="B25" s="23">
        <v>0.02629994</v>
      </c>
      <c r="C25" s="5">
        <f t="shared" si="0"/>
        <v>12878133</v>
      </c>
      <c r="G25" s="26"/>
      <c r="H25" s="26"/>
    </row>
    <row r="26" spans="1:8" ht="12.75">
      <c r="A26" s="2" t="s">
        <v>17</v>
      </c>
      <c r="B26" s="23">
        <v>0.01863912</v>
      </c>
      <c r="C26" s="5">
        <f t="shared" si="0"/>
        <v>9126905</v>
      </c>
      <c r="G26" s="26"/>
      <c r="H26" s="26"/>
    </row>
    <row r="27" spans="1:8" ht="12.75">
      <c r="A27" s="2" t="s">
        <v>18</v>
      </c>
      <c r="B27" s="23">
        <v>0.00855992</v>
      </c>
      <c r="C27" s="5">
        <f t="shared" si="0"/>
        <v>4191484</v>
      </c>
      <c r="G27" s="26"/>
      <c r="H27" s="26"/>
    </row>
    <row r="28" spans="1:8" ht="12.75">
      <c r="A28" s="2" t="s">
        <v>19</v>
      </c>
      <c r="B28" s="23">
        <v>0.0136864</v>
      </c>
      <c r="C28" s="5">
        <f t="shared" si="0"/>
        <v>6701737</v>
      </c>
      <c r="G28" s="26"/>
      <c r="H28" s="26"/>
    </row>
    <row r="29" spans="1:8" ht="12.75">
      <c r="A29" s="2" t="s">
        <v>20</v>
      </c>
      <c r="B29" s="23">
        <v>0.00879264</v>
      </c>
      <c r="C29" s="5">
        <f t="shared" si="0"/>
        <v>4305439</v>
      </c>
      <c r="G29" s="26"/>
      <c r="H29" s="26"/>
    </row>
    <row r="30" spans="1:8" ht="12.75">
      <c r="A30" s="2" t="s">
        <v>21</v>
      </c>
      <c r="B30" s="23">
        <v>0.01359579</v>
      </c>
      <c r="C30" s="5">
        <f t="shared" si="0"/>
        <v>6657368</v>
      </c>
      <c r="G30" s="26"/>
      <c r="H30" s="26"/>
    </row>
    <row r="31" spans="1:8" ht="12.75">
      <c r="A31" s="2" t="s">
        <v>22</v>
      </c>
      <c r="B31" s="23">
        <v>0.01606896</v>
      </c>
      <c r="C31" s="5">
        <f t="shared" si="0"/>
        <v>7868391</v>
      </c>
      <c r="G31" s="26"/>
      <c r="H31" s="26"/>
    </row>
    <row r="32" spans="1:8" ht="12.75">
      <c r="A32" s="2" t="s">
        <v>23</v>
      </c>
      <c r="B32" s="23">
        <v>0.04197959</v>
      </c>
      <c r="C32" s="5">
        <f t="shared" si="0"/>
        <v>20555892</v>
      </c>
      <c r="G32" s="26"/>
      <c r="H32" s="26"/>
    </row>
    <row r="33" spans="1:8" ht="12.75">
      <c r="A33" s="2" t="s">
        <v>24</v>
      </c>
      <c r="B33" s="23">
        <v>0.05514805</v>
      </c>
      <c r="C33" s="5">
        <f t="shared" si="0"/>
        <v>27004012</v>
      </c>
      <c r="G33" s="26"/>
      <c r="H33" s="26"/>
    </row>
    <row r="34" spans="1:8" ht="12.75">
      <c r="A34" s="2" t="s">
        <v>25</v>
      </c>
      <c r="B34" s="23">
        <v>0.03973105</v>
      </c>
      <c r="C34" s="5">
        <f t="shared" si="0"/>
        <v>19454863</v>
      </c>
      <c r="G34" s="26"/>
      <c r="H34" s="26"/>
    </row>
    <row r="35" spans="1:8" ht="12.75">
      <c r="A35" s="2" t="s">
        <v>26</v>
      </c>
      <c r="B35" s="23">
        <v>0.00737355</v>
      </c>
      <c r="C35" s="5">
        <f t="shared" si="0"/>
        <v>3610562</v>
      </c>
      <c r="G35" s="26"/>
      <c r="H35" s="26"/>
    </row>
    <row r="36" spans="1:8" ht="12.75">
      <c r="A36" s="2" t="s">
        <v>27</v>
      </c>
      <c r="B36" s="23">
        <v>0.02320202</v>
      </c>
      <c r="C36" s="5">
        <f t="shared" si="0"/>
        <v>11361193</v>
      </c>
      <c r="G36" s="26"/>
      <c r="H36" s="26"/>
    </row>
    <row r="37" spans="1:8" ht="12.75">
      <c r="A37" s="2" t="s">
        <v>28</v>
      </c>
      <c r="B37" s="23">
        <v>0.00736027</v>
      </c>
      <c r="C37" s="5">
        <f t="shared" si="0"/>
        <v>3604059</v>
      </c>
      <c r="G37" s="26"/>
      <c r="H37" s="26"/>
    </row>
    <row r="38" spans="1:8" ht="12.75">
      <c r="A38" s="2" t="s">
        <v>29</v>
      </c>
      <c r="B38" s="23">
        <v>0.00921776</v>
      </c>
      <c r="C38" s="5">
        <f t="shared" si="0"/>
        <v>4513605</v>
      </c>
      <c r="G38" s="26"/>
      <c r="H38" s="26"/>
    </row>
    <row r="39" spans="1:8" ht="12.75">
      <c r="A39" s="2" t="s">
        <v>30</v>
      </c>
      <c r="B39" s="23">
        <v>0.00195349</v>
      </c>
      <c r="C39" s="5">
        <f t="shared" si="0"/>
        <v>956554</v>
      </c>
      <c r="G39" s="26"/>
      <c r="H39" s="26"/>
    </row>
    <row r="40" spans="1:8" ht="12.75">
      <c r="A40" s="2" t="s">
        <v>31</v>
      </c>
      <c r="B40" s="23">
        <v>0.00794588</v>
      </c>
      <c r="C40" s="5">
        <f t="shared" si="0"/>
        <v>3890811</v>
      </c>
      <c r="G40" s="26"/>
      <c r="H40" s="26"/>
    </row>
    <row r="41" spans="1:8" ht="12.75">
      <c r="A41" s="2" t="s">
        <v>32</v>
      </c>
      <c r="B41" s="23">
        <v>0.03897152</v>
      </c>
      <c r="C41" s="5">
        <f t="shared" si="0"/>
        <v>19082949</v>
      </c>
      <c r="G41" s="26"/>
      <c r="H41" s="26"/>
    </row>
    <row r="42" spans="1:8" ht="12.75">
      <c r="A42" s="2" t="s">
        <v>33</v>
      </c>
      <c r="B42" s="23">
        <v>0.00520713</v>
      </c>
      <c r="C42" s="5">
        <f t="shared" si="0"/>
        <v>2549744</v>
      </c>
      <c r="G42" s="26"/>
      <c r="H42" s="26"/>
    </row>
    <row r="43" spans="1:8" ht="12.75">
      <c r="A43" s="14" t="s">
        <v>34</v>
      </c>
      <c r="B43" s="23">
        <v>0.12724791</v>
      </c>
      <c r="C43" s="5">
        <f>ROUND(B43*$C$7,0)</f>
        <v>62308715</v>
      </c>
      <c r="G43" s="26"/>
      <c r="H43" s="26"/>
    </row>
    <row r="44" spans="1:8" ht="12.75">
      <c r="A44" s="2" t="s">
        <v>35</v>
      </c>
      <c r="B44" s="23">
        <v>0.0189638</v>
      </c>
      <c r="C44" s="5">
        <f t="shared" si="0"/>
        <v>9285889</v>
      </c>
      <c r="G44" s="26"/>
      <c r="H44" s="26"/>
    </row>
    <row r="45" spans="1:8" ht="12.75">
      <c r="A45" s="2" t="s">
        <v>36</v>
      </c>
      <c r="B45" s="23">
        <v>0.00799548</v>
      </c>
      <c r="C45" s="5">
        <f t="shared" si="0"/>
        <v>3915098</v>
      </c>
      <c r="G45" s="26"/>
      <c r="H45" s="26"/>
    </row>
    <row r="46" spans="1:8" ht="12.75">
      <c r="A46" s="2" t="s">
        <v>37</v>
      </c>
      <c r="B46" s="23">
        <v>0.0513862</v>
      </c>
      <c r="C46" s="5">
        <f t="shared" si="0"/>
        <v>25161970</v>
      </c>
      <c r="G46" s="26"/>
      <c r="H46" s="26"/>
    </row>
    <row r="47" spans="1:8" ht="12.75">
      <c r="A47" s="2" t="s">
        <v>38</v>
      </c>
      <c r="B47" s="23">
        <v>0.00790558</v>
      </c>
      <c r="C47" s="5">
        <f t="shared" si="0"/>
        <v>3871078</v>
      </c>
      <c r="G47" s="26"/>
      <c r="H47" s="26"/>
    </row>
    <row r="48" spans="1:8" ht="12.75">
      <c r="A48" s="2" t="s">
        <v>39</v>
      </c>
      <c r="B48" s="23">
        <v>0.01246826</v>
      </c>
      <c r="C48" s="5">
        <f t="shared" si="0"/>
        <v>6105258</v>
      </c>
      <c r="G48" s="26"/>
      <c r="H48" s="26"/>
    </row>
    <row r="49" spans="1:8" ht="12.75">
      <c r="A49" s="14" t="s">
        <v>40</v>
      </c>
      <c r="B49" s="23">
        <v>0.0683509</v>
      </c>
      <c r="C49" s="5">
        <f t="shared" si="0"/>
        <v>33468972</v>
      </c>
      <c r="G49" s="26"/>
      <c r="H49" s="26"/>
    </row>
    <row r="50" spans="1:8" ht="12.75">
      <c r="A50" s="2" t="s">
        <v>41</v>
      </c>
      <c r="B50" s="23">
        <v>0.00691008</v>
      </c>
      <c r="C50" s="5">
        <f t="shared" si="0"/>
        <v>3383617</v>
      </c>
      <c r="G50" s="26"/>
      <c r="H50" s="26"/>
    </row>
    <row r="51" spans="1:8" ht="12.75">
      <c r="A51" s="2" t="s">
        <v>42</v>
      </c>
      <c r="B51" s="23">
        <v>0.00683051</v>
      </c>
      <c r="C51" s="5">
        <f t="shared" si="0"/>
        <v>3344655</v>
      </c>
      <c r="G51" s="26"/>
      <c r="H51" s="26"/>
    </row>
    <row r="52" spans="1:8" ht="12.75">
      <c r="A52" s="2" t="s">
        <v>43</v>
      </c>
      <c r="B52" s="23">
        <v>0.00649373</v>
      </c>
      <c r="C52" s="5">
        <f t="shared" si="0"/>
        <v>3179746</v>
      </c>
      <c r="G52" s="26"/>
      <c r="H52" s="26"/>
    </row>
    <row r="53" spans="1:8" ht="12.75">
      <c r="A53" s="2" t="s">
        <v>44</v>
      </c>
      <c r="B53" s="23">
        <v>0.01386403</v>
      </c>
      <c r="C53" s="5">
        <f t="shared" si="0"/>
        <v>6788716</v>
      </c>
      <c r="G53" s="26"/>
      <c r="H53" s="26"/>
    </row>
    <row r="54" spans="1:8" ht="12.75">
      <c r="A54" s="2" t="s">
        <v>45</v>
      </c>
      <c r="B54" s="23">
        <v>0.02263997</v>
      </c>
      <c r="C54" s="5">
        <f t="shared" si="0"/>
        <v>11085977</v>
      </c>
      <c r="G54" s="26"/>
      <c r="H54" s="26"/>
    </row>
    <row r="55" spans="1:8" ht="12.75">
      <c r="A55" s="2" t="s">
        <v>46</v>
      </c>
      <c r="B55" s="23">
        <v>0.00747576</v>
      </c>
      <c r="C55" s="5">
        <f t="shared" si="0"/>
        <v>3660610</v>
      </c>
      <c r="G55" s="26"/>
      <c r="H55" s="26"/>
    </row>
    <row r="56" spans="1:8" ht="12.75">
      <c r="A56" s="2" t="s">
        <v>47</v>
      </c>
      <c r="B56" s="23">
        <v>0.00595572</v>
      </c>
      <c r="C56" s="5">
        <f t="shared" si="0"/>
        <v>2916301</v>
      </c>
      <c r="G56" s="26"/>
      <c r="H56" s="26"/>
    </row>
    <row r="57" spans="1:8" ht="12.75">
      <c r="A57" s="2" t="s">
        <v>48</v>
      </c>
      <c r="B57" s="23">
        <v>0.01957379</v>
      </c>
      <c r="C57" s="5">
        <f t="shared" si="0"/>
        <v>9584580</v>
      </c>
      <c r="G57" s="26"/>
      <c r="H57" s="26"/>
    </row>
    <row r="58" spans="1:8" ht="12.75">
      <c r="A58" s="2" t="s">
        <v>49</v>
      </c>
      <c r="B58" s="23">
        <v>0.02050857</v>
      </c>
      <c r="C58" s="5">
        <f t="shared" si="0"/>
        <v>10042308</v>
      </c>
      <c r="G58" s="26"/>
      <c r="H58" s="26"/>
    </row>
    <row r="59" spans="1:8" ht="12.75">
      <c r="A59" s="2" t="s">
        <v>50</v>
      </c>
      <c r="B59" s="23">
        <v>0.00905733</v>
      </c>
      <c r="C59" s="5">
        <f t="shared" si="0"/>
        <v>4435048</v>
      </c>
      <c r="G59" s="26"/>
      <c r="H59" s="26"/>
    </row>
    <row r="60" spans="1:8" ht="12.75">
      <c r="A60" s="2" t="s">
        <v>51</v>
      </c>
      <c r="B60" s="23">
        <v>0.03576365</v>
      </c>
      <c r="C60" s="5">
        <f t="shared" si="0"/>
        <v>17512170</v>
      </c>
      <c r="G60" s="26"/>
      <c r="H60" s="26"/>
    </row>
    <row r="61" spans="1:8" ht="13.5" thickBot="1">
      <c r="A61" s="2" t="s">
        <v>52</v>
      </c>
      <c r="B61" s="23">
        <v>0.00299313</v>
      </c>
      <c r="C61" s="5">
        <f t="shared" si="0"/>
        <v>1465628</v>
      </c>
      <c r="G61" s="26"/>
      <c r="H61" s="26"/>
    </row>
    <row r="62" spans="1:8" ht="13.5" thickTop="1">
      <c r="A62" s="28" t="s">
        <v>53</v>
      </c>
      <c r="B62" s="29">
        <f>SUM(B11:B61)</f>
        <v>1</v>
      </c>
      <c r="C62" s="30">
        <f>SUM(C11:C61)</f>
        <v>489663959</v>
      </c>
      <c r="H62" s="26"/>
    </row>
    <row r="63" spans="1:8" ht="12.75">
      <c r="A63" s="14"/>
      <c r="B63" s="61"/>
      <c r="C63" s="25"/>
      <c r="H63" s="26"/>
    </row>
    <row r="64" spans="1:8" ht="12.75">
      <c r="A64" s="2" t="s">
        <v>57</v>
      </c>
      <c r="B64" s="65"/>
      <c r="C64" s="26">
        <f>C5</f>
        <v>490328000</v>
      </c>
      <c r="H64" s="26"/>
    </row>
    <row r="65" spans="1:8" ht="13.5" thickBot="1">
      <c r="A65" s="2" t="s">
        <v>58</v>
      </c>
      <c r="B65" s="34">
        <v>0.00135428</v>
      </c>
      <c r="C65" s="26">
        <f>ROUND(C64*B65,0)</f>
        <v>664041</v>
      </c>
      <c r="H65" s="26"/>
    </row>
    <row r="66" spans="1:8" ht="13.5" thickTop="1">
      <c r="A66" s="66" t="s">
        <v>65</v>
      </c>
      <c r="B66" s="66"/>
      <c r="C66" s="30">
        <f>(C64-C65)</f>
        <v>489663959</v>
      </c>
      <c r="H66" s="26"/>
    </row>
    <row r="67" spans="1:8" ht="12.75">
      <c r="A67" s="14"/>
      <c r="B67" s="61"/>
      <c r="C67" s="25"/>
      <c r="H67" s="26"/>
    </row>
    <row r="68" spans="2:10" ht="12.75">
      <c r="B68" s="32"/>
      <c r="C68" s="57"/>
      <c r="D68" s="32"/>
      <c r="E68" s="32"/>
      <c r="F68" s="32"/>
      <c r="G68" s="32"/>
      <c r="H68" s="13"/>
      <c r="I68" s="25"/>
      <c r="J68" s="14"/>
    </row>
    <row r="69" spans="1:10" ht="12.75">
      <c r="A69" s="54" t="s">
        <v>58</v>
      </c>
      <c r="B69" s="54" t="s">
        <v>59</v>
      </c>
      <c r="C69" s="55" t="s">
        <v>79</v>
      </c>
      <c r="F69" s="13"/>
      <c r="G69" s="13"/>
      <c r="H69" s="13"/>
      <c r="I69" s="13"/>
      <c r="J69" s="33"/>
    </row>
    <row r="70" spans="1:10" ht="12.75">
      <c r="A70" s="54" t="s">
        <v>60</v>
      </c>
      <c r="B70" s="56">
        <v>0.01654258</v>
      </c>
      <c r="C70" s="5">
        <f>ROUND(B70*$C$65,0)</f>
        <v>10985</v>
      </c>
      <c r="D70" s="40"/>
      <c r="E70" s="40"/>
      <c r="F70" s="13"/>
      <c r="G70" s="13"/>
      <c r="H70" s="13"/>
      <c r="I70" s="13"/>
      <c r="J70" s="13"/>
    </row>
    <row r="71" spans="1:10" ht="12.75">
      <c r="A71" s="54" t="s">
        <v>61</v>
      </c>
      <c r="B71" s="56">
        <v>0.03626904</v>
      </c>
      <c r="C71" s="5">
        <f>ROUND(B71*$C$65,0)</f>
        <v>24084</v>
      </c>
      <c r="D71" s="40"/>
      <c r="E71" s="40"/>
      <c r="F71" s="13"/>
      <c r="G71" s="13"/>
      <c r="H71" s="13"/>
      <c r="I71" s="13"/>
      <c r="J71" s="13"/>
    </row>
    <row r="72" spans="1:10" ht="12.75">
      <c r="A72" s="54" t="s">
        <v>62</v>
      </c>
      <c r="B72" s="56">
        <v>0.01259719</v>
      </c>
      <c r="C72" s="5">
        <f>ROUND(B72*$C$65,0)</f>
        <v>8365</v>
      </c>
      <c r="D72" s="40"/>
      <c r="E72" s="40"/>
      <c r="F72" s="13"/>
      <c r="G72" s="13"/>
      <c r="H72" s="13"/>
      <c r="I72" s="13"/>
      <c r="J72" s="13"/>
    </row>
    <row r="73" spans="1:10" ht="12.75">
      <c r="A73" s="54" t="s">
        <v>63</v>
      </c>
      <c r="B73" s="56">
        <v>0.90029483</v>
      </c>
      <c r="C73" s="5">
        <f>ROUND(B73*$C$65,0)</f>
        <v>597833</v>
      </c>
      <c r="D73" s="40"/>
      <c r="E73" s="40"/>
      <c r="F73" s="13"/>
      <c r="G73" s="13"/>
      <c r="H73" s="13"/>
      <c r="I73" s="13"/>
      <c r="J73" s="13"/>
    </row>
    <row r="74" spans="1:10" ht="13.5" thickBot="1">
      <c r="A74" s="54" t="s">
        <v>64</v>
      </c>
      <c r="B74" s="56">
        <v>0.03429636</v>
      </c>
      <c r="C74" s="5">
        <f>ROUND(B74*$C$65,0)</f>
        <v>22774</v>
      </c>
      <c r="D74" s="40"/>
      <c r="E74" s="40"/>
      <c r="F74" s="13"/>
      <c r="G74" s="13"/>
      <c r="H74" s="13"/>
      <c r="I74" s="13"/>
      <c r="J74" s="13"/>
    </row>
    <row r="75" spans="1:10" ht="13.5" thickTop="1">
      <c r="A75" s="67" t="s">
        <v>66</v>
      </c>
      <c r="B75" s="67"/>
      <c r="C75" s="68">
        <f>SUM(C70:C74)</f>
        <v>664041</v>
      </c>
      <c r="D75" s="40"/>
      <c r="E75" s="40"/>
      <c r="F75" s="13"/>
      <c r="G75" s="13"/>
      <c r="H75" s="13"/>
      <c r="I75" s="13"/>
      <c r="J75" s="13"/>
    </row>
    <row r="76" spans="1:10" ht="12.75">
      <c r="A76" s="41"/>
      <c r="B76" s="41"/>
      <c r="C76" s="70"/>
      <c r="D76" s="41"/>
      <c r="E76" s="41"/>
      <c r="F76" s="13"/>
      <c r="G76" s="13"/>
      <c r="H76" s="13"/>
      <c r="I76" s="13"/>
      <c r="J76" s="13"/>
    </row>
    <row r="77" spans="1:8" ht="12.75">
      <c r="A77" s="40" t="str">
        <f>"DEA/PE "&amp;TEXT('$490M_BG_Ratios'!$C$2,"dd-MMM-yy")</f>
        <v>DEA/PE 24-Oct-08</v>
      </c>
      <c r="B77" s="36"/>
      <c r="C77" s="71"/>
      <c r="F77" s="37"/>
      <c r="G77" s="37"/>
      <c r="H77" s="2"/>
    </row>
    <row r="78" spans="1:8" ht="12.75">
      <c r="A78" s="38"/>
      <c r="B78" s="34"/>
      <c r="H78" s="2"/>
    </row>
    <row r="79" spans="1:8" ht="12.75">
      <c r="A79" s="38"/>
      <c r="B79" s="34"/>
      <c r="H79" s="2"/>
    </row>
    <row r="80" spans="1:8" ht="12.75">
      <c r="A80" s="38"/>
      <c r="B80" s="34"/>
      <c r="H80" s="2"/>
    </row>
    <row r="81" spans="1:8" ht="12.75">
      <c r="A81" s="38"/>
      <c r="B81" s="34"/>
      <c r="H81" s="2"/>
    </row>
    <row r="82" spans="1:8" ht="12.75">
      <c r="A82" s="38"/>
      <c r="B82" s="34"/>
      <c r="H82" s="2"/>
    </row>
    <row r="83" spans="1:8" ht="12.75">
      <c r="A83" s="35"/>
      <c r="B83" s="38"/>
      <c r="H83" s="2"/>
    </row>
    <row r="84" spans="1:8" ht="12.75">
      <c r="A84" s="35"/>
      <c r="B84" s="38"/>
      <c r="H84" s="2"/>
    </row>
    <row r="85" ht="12.75">
      <c r="A85" s="39"/>
    </row>
    <row r="89" spans="6:8" ht="12.75">
      <c r="F89" s="18"/>
      <c r="G89" s="18"/>
      <c r="H89" s="2"/>
    </row>
    <row r="90" spans="6:8" ht="12.75">
      <c r="F90" s="18"/>
      <c r="G90" s="18"/>
      <c r="H90" s="2"/>
    </row>
    <row r="91" spans="6:8" ht="12.75">
      <c r="F91" s="18"/>
      <c r="G91" s="18"/>
      <c r="H91" s="2"/>
    </row>
    <row r="92" spans="6:8" ht="12.75">
      <c r="F92" s="18"/>
      <c r="G92" s="18"/>
      <c r="H92" s="2"/>
    </row>
    <row r="93" spans="6:8" ht="12.75">
      <c r="F93" s="18"/>
      <c r="G93" s="18"/>
      <c r="H93" s="2"/>
    </row>
    <row r="94" spans="6:8" ht="63" customHeight="1">
      <c r="F94" s="18"/>
      <c r="G94" s="18"/>
      <c r="H94" s="2"/>
    </row>
    <row r="95" spans="6:8" ht="12.75">
      <c r="F95" s="18"/>
      <c r="G95" s="18"/>
      <c r="H95" s="2"/>
    </row>
  </sheetData>
  <mergeCells count="2">
    <mergeCell ref="A1:C1"/>
    <mergeCell ref="A3:C3"/>
  </mergeCells>
  <printOptions gridLines="1" horizontalCentered="1"/>
  <pageMargins left="0.25" right="0.25" top="0.25" bottom="0.6" header="0.5" footer="0.5"/>
  <pageSetup fitToHeight="2" horizontalDpi="600" verticalDpi="600" orientation="portrait" scale="70" r:id="rId1"/>
  <headerFooter alignWithMargins="0">
    <oddFooter>&amp;L&amp;"Arial,Regular"'&amp;F' [&amp;A]&amp;R&amp;"Arial,Regular"Page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H94"/>
  <sheetViews>
    <sheetView workbookViewId="0" topLeftCell="A1">
      <pane xSplit="1" ySplit="9" topLeftCell="B10" activePane="bottomRight" state="frozen"/>
      <selection pane="topLeft" activeCell="A47" sqref="A47"/>
      <selection pane="topRight" activeCell="A47" sqref="A47"/>
      <selection pane="bottomLeft" activeCell="A47" sqref="A47"/>
      <selection pane="bottomRight" activeCell="B10" sqref="B10"/>
    </sheetView>
  </sheetViews>
  <sheetFormatPr defaultColWidth="9.33203125" defaultRowHeight="12.75"/>
  <cols>
    <col min="1" max="1" width="25.66015625" style="2" customWidth="1"/>
    <col min="2" max="2" width="20.33203125" style="2" customWidth="1"/>
    <col min="3" max="3" width="20.66015625" style="2" customWidth="1"/>
    <col min="4" max="5" width="24.5" style="2" customWidth="1"/>
    <col min="6" max="6" width="19.83203125" style="18" customWidth="1"/>
    <col min="7" max="7" width="18.33203125" style="2" customWidth="1"/>
    <col min="8" max="8" width="15" style="2" bestFit="1" customWidth="1"/>
    <col min="9" max="16384" width="9.33203125" style="2" customWidth="1"/>
  </cols>
  <sheetData>
    <row r="1" spans="1:8" ht="27.75" customHeight="1">
      <c r="A1" s="125" t="str">
        <f>"State Allocations of "&amp;TEXT('$100M_Formula'!$G$7/1000000,"$0")&amp;" Million in Low Income Home Energy Assistance Program (LIHEAP) Emergency Contingency Funds Reflecting LI Households Using FO for Heat"</f>
        <v>State Allocations of $100 Million in Low Income Home Energy Assistance Program (LIHEAP) Emergency Contingency Funds Reflecting LI Households Using FO for Heat</v>
      </c>
      <c r="B1" s="125"/>
      <c r="C1" s="125"/>
      <c r="D1" s="125"/>
      <c r="E1" s="125"/>
      <c r="F1" s="125"/>
      <c r="G1" s="125"/>
      <c r="H1" s="1"/>
    </row>
    <row r="2" spans="1:7" ht="12.75">
      <c r="A2" s="7" t="s">
        <v>70</v>
      </c>
      <c r="B2" s="4"/>
      <c r="G2" s="76">
        <f>'$490M_BG_Ratios'!$C$2</f>
        <v>39745</v>
      </c>
    </row>
    <row r="3" spans="1:8" ht="12.75" customHeight="1">
      <c r="A3" s="126" t="s">
        <v>269</v>
      </c>
      <c r="B3" s="126"/>
      <c r="C3" s="126"/>
      <c r="D3" s="128"/>
      <c r="E3" s="128"/>
      <c r="F3" s="128"/>
      <c r="G3" s="128"/>
      <c r="H3" s="8"/>
    </row>
    <row r="4" spans="3:8" ht="12.75">
      <c r="C4" s="9"/>
      <c r="D4" s="9"/>
      <c r="F4" s="7"/>
      <c r="H4" s="7"/>
    </row>
    <row r="5" spans="1:7" ht="12.75">
      <c r="A5" s="7"/>
      <c r="C5" s="12"/>
      <c r="D5" s="12"/>
      <c r="F5" s="10" t="s">
        <v>73</v>
      </c>
      <c r="G5" s="11">
        <v>0.3</v>
      </c>
    </row>
    <row r="6" spans="3:7" ht="12.75">
      <c r="C6" s="16"/>
      <c r="D6" s="16"/>
      <c r="E6" s="17"/>
      <c r="G6" s="15" t="s">
        <v>1</v>
      </c>
    </row>
    <row r="7" spans="7:8" ht="12.75">
      <c r="G7" s="5">
        <v>100000000</v>
      </c>
      <c r="H7" s="59"/>
    </row>
    <row r="8" spans="1:7" ht="12.75">
      <c r="A8" s="4" t="str">
        <f aca="true" t="shared" si="0" ref="A8:G8">IF(COLUMN()&lt;=26,CHAR(64+COLUMN()),CHAR(64+ROUNDDOWN((COLUMN()-1)/26,0))&amp;CHAR(65+MOD((COLUMN()-1),26)))</f>
        <v>A</v>
      </c>
      <c r="B8" s="4" t="str">
        <f t="shared" si="0"/>
        <v>B</v>
      </c>
      <c r="C8" s="19" t="str">
        <f t="shared" si="0"/>
        <v>C</v>
      </c>
      <c r="D8" s="19" t="str">
        <f t="shared" si="0"/>
        <v>D</v>
      </c>
      <c r="E8" s="19" t="str">
        <f t="shared" si="0"/>
        <v>E</v>
      </c>
      <c r="F8" s="19" t="str">
        <f t="shared" si="0"/>
        <v>F</v>
      </c>
      <c r="G8" s="20" t="str">
        <f t="shared" si="0"/>
        <v>G</v>
      </c>
    </row>
    <row r="9" spans="2:7" s="21" customFormat="1" ht="51">
      <c r="B9" s="87" t="s">
        <v>87</v>
      </c>
      <c r="C9" s="87" t="s">
        <v>74</v>
      </c>
      <c r="D9" s="89" t="s">
        <v>88</v>
      </c>
      <c r="E9" s="89" t="str">
        <f>"Oil Usage Times Block Grant Allocation Ratios for &gt;"&amp;TEXT($G$5,"0%")&amp;" Oil"</f>
        <v>Oil Usage Times Block Grant Allocation Ratios for &gt;30% Oil</v>
      </c>
      <c r="F9" s="89" t="str">
        <f>"Re-weighted Oil Usage Times Block Grant Allocation Ratios"</f>
        <v>Re-weighted Oil Usage Times Block Grant Allocation Ratios</v>
      </c>
      <c r="G9" s="88" t="s">
        <v>54</v>
      </c>
    </row>
    <row r="10" spans="3:7" ht="12.75">
      <c r="C10" s="22"/>
      <c r="D10" s="22"/>
      <c r="E10" s="22"/>
      <c r="F10" s="22"/>
      <c r="G10" s="18"/>
    </row>
    <row r="11" spans="1:7" ht="12.75">
      <c r="A11" s="2" t="s">
        <v>2</v>
      </c>
      <c r="B11" s="23">
        <v>0.00860045</v>
      </c>
      <c r="C11" s="24">
        <v>0.007138133758481063</v>
      </c>
      <c r="D11" s="23">
        <f aca="true" t="shared" si="1" ref="D11:D42">B11*C11</f>
        <v>6.139116248312847E-05</v>
      </c>
      <c r="E11" s="64">
        <f aca="true" t="shared" si="2" ref="E11:E42">IF(C11&gt;=$G$5,D11,0)</f>
        <v>0</v>
      </c>
      <c r="F11" s="64">
        <f aca="true" t="shared" si="3" ref="F11:F42">E11/$E$62</f>
        <v>0</v>
      </c>
      <c r="G11" s="5">
        <f aca="true" t="shared" si="4" ref="G11:G42">ROUND(F11*$G$7,0)</f>
        <v>0</v>
      </c>
    </row>
    <row r="12" spans="1:7" ht="12.75">
      <c r="A12" s="2" t="s">
        <v>3</v>
      </c>
      <c r="B12" s="23">
        <v>0.00548986</v>
      </c>
      <c r="C12" s="24">
        <v>0.376902780596712</v>
      </c>
      <c r="D12" s="23">
        <f t="shared" si="1"/>
        <v>0.0020691434990866655</v>
      </c>
      <c r="E12" s="64">
        <f t="shared" si="2"/>
        <v>0.0020691434990866655</v>
      </c>
      <c r="F12" s="64">
        <f t="shared" si="3"/>
        <v>0.046711385482388096</v>
      </c>
      <c r="G12" s="5">
        <f t="shared" si="4"/>
        <v>4671139</v>
      </c>
    </row>
    <row r="13" spans="1:7" ht="12.75">
      <c r="A13" s="2" t="s">
        <v>4</v>
      </c>
      <c r="B13" s="23">
        <v>0.00415928</v>
      </c>
      <c r="C13" s="24">
        <v>0.0013770499265952725</v>
      </c>
      <c r="D13" s="23">
        <f t="shared" si="1"/>
        <v>5.727536218689185E-06</v>
      </c>
      <c r="E13" s="64">
        <f t="shared" si="2"/>
        <v>0</v>
      </c>
      <c r="F13" s="64">
        <f t="shared" si="3"/>
        <v>0</v>
      </c>
      <c r="G13" s="5">
        <f t="shared" si="4"/>
        <v>0</v>
      </c>
    </row>
    <row r="14" spans="1:7" ht="12.75">
      <c r="A14" s="2" t="s">
        <v>5</v>
      </c>
      <c r="B14" s="23">
        <v>0.00656255</v>
      </c>
      <c r="C14" s="24">
        <v>0.001561393634597578</v>
      </c>
      <c r="D14" s="23">
        <f t="shared" si="1"/>
        <v>1.0246723796728336E-05</v>
      </c>
      <c r="E14" s="64">
        <f t="shared" si="2"/>
        <v>0</v>
      </c>
      <c r="F14" s="64">
        <f t="shared" si="3"/>
        <v>0</v>
      </c>
      <c r="G14" s="5">
        <f t="shared" si="4"/>
        <v>0</v>
      </c>
    </row>
    <row r="15" spans="1:7" ht="12.75">
      <c r="A15" s="2" t="s">
        <v>6</v>
      </c>
      <c r="B15" s="23">
        <v>0.04613891</v>
      </c>
      <c r="C15" s="24">
        <v>0.0035464671481736016</v>
      </c>
      <c r="D15" s="23">
        <f t="shared" si="1"/>
        <v>0.00016363012856753846</v>
      </c>
      <c r="E15" s="64">
        <f t="shared" si="2"/>
        <v>0</v>
      </c>
      <c r="F15" s="64">
        <f t="shared" si="3"/>
        <v>0</v>
      </c>
      <c r="G15" s="5">
        <f t="shared" si="4"/>
        <v>0</v>
      </c>
    </row>
    <row r="16" spans="1:7" ht="12.75">
      <c r="A16" s="2" t="s">
        <v>7</v>
      </c>
      <c r="B16" s="23">
        <v>0.0160872</v>
      </c>
      <c r="C16" s="24">
        <v>0.001823398151099777</v>
      </c>
      <c r="D16" s="23">
        <f t="shared" si="1"/>
        <v>2.9333370736372332E-05</v>
      </c>
      <c r="E16" s="64">
        <f t="shared" si="2"/>
        <v>0</v>
      </c>
      <c r="F16" s="64">
        <f t="shared" si="3"/>
        <v>0</v>
      </c>
      <c r="G16" s="5">
        <f t="shared" si="4"/>
        <v>0</v>
      </c>
    </row>
    <row r="17" spans="1:7" ht="12.75">
      <c r="A17" s="2" t="s">
        <v>8</v>
      </c>
      <c r="B17" s="23">
        <v>0.02098632</v>
      </c>
      <c r="C17" s="24">
        <v>0.41850758563877255</v>
      </c>
      <c r="D17" s="23">
        <f t="shared" si="1"/>
        <v>0.008782934114642685</v>
      </c>
      <c r="E17" s="64">
        <f t="shared" si="2"/>
        <v>0.008782934114642685</v>
      </c>
      <c r="F17" s="64">
        <f t="shared" si="3"/>
        <v>0.1982767368607274</v>
      </c>
      <c r="G17" s="5">
        <f t="shared" si="4"/>
        <v>19827674</v>
      </c>
    </row>
    <row r="18" spans="1:7" ht="12.75">
      <c r="A18" s="14" t="s">
        <v>9</v>
      </c>
      <c r="B18" s="23">
        <v>0.00278553</v>
      </c>
      <c r="C18" s="24">
        <v>0.28111737505542533</v>
      </c>
      <c r="D18" s="23">
        <f t="shared" si="1"/>
        <v>0.0007830608817381389</v>
      </c>
      <c r="E18" s="64">
        <f t="shared" si="2"/>
        <v>0</v>
      </c>
      <c r="F18" s="64">
        <f t="shared" si="3"/>
        <v>0</v>
      </c>
      <c r="G18" s="5">
        <f t="shared" si="4"/>
        <v>0</v>
      </c>
    </row>
    <row r="19" spans="1:7" ht="12.75">
      <c r="A19" s="27" t="s">
        <v>10</v>
      </c>
      <c r="B19" s="23">
        <v>0.00325921</v>
      </c>
      <c r="C19" s="24">
        <v>0.06038647342995169</v>
      </c>
      <c r="D19" s="23">
        <f t="shared" si="1"/>
        <v>0.00019681219806763284</v>
      </c>
      <c r="E19" s="64">
        <f t="shared" si="2"/>
        <v>0</v>
      </c>
      <c r="F19" s="64">
        <f t="shared" si="3"/>
        <v>0</v>
      </c>
      <c r="G19" s="5">
        <f t="shared" si="4"/>
        <v>0</v>
      </c>
    </row>
    <row r="20" spans="1:7" ht="12.75">
      <c r="A20" s="2" t="s">
        <v>11</v>
      </c>
      <c r="B20" s="23">
        <v>0.01360848</v>
      </c>
      <c r="C20" s="24">
        <v>0.014197600159656739</v>
      </c>
      <c r="D20" s="23">
        <f t="shared" si="1"/>
        <v>0.00019320775782068553</v>
      </c>
      <c r="E20" s="64">
        <f t="shared" si="2"/>
        <v>0</v>
      </c>
      <c r="F20" s="64">
        <f t="shared" si="3"/>
        <v>0</v>
      </c>
      <c r="G20" s="5">
        <f t="shared" si="4"/>
        <v>0</v>
      </c>
    </row>
    <row r="21" spans="1:7" ht="12.75">
      <c r="A21" s="2" t="s">
        <v>12</v>
      </c>
      <c r="B21" s="23">
        <v>0.01075959</v>
      </c>
      <c r="C21" s="24">
        <v>0.011070274944680419</v>
      </c>
      <c r="D21" s="23">
        <f t="shared" si="1"/>
        <v>0.00011911161959203398</v>
      </c>
      <c r="E21" s="64">
        <f t="shared" si="2"/>
        <v>0</v>
      </c>
      <c r="F21" s="64">
        <f t="shared" si="3"/>
        <v>0</v>
      </c>
      <c r="G21" s="5">
        <f t="shared" si="4"/>
        <v>0</v>
      </c>
    </row>
    <row r="22" spans="1:7" ht="12.75">
      <c r="A22" s="2" t="s">
        <v>13</v>
      </c>
      <c r="B22" s="23">
        <v>0.00108355</v>
      </c>
      <c r="C22" s="24">
        <v>0.0016432626232446967</v>
      </c>
      <c r="D22" s="23">
        <f t="shared" si="1"/>
        <v>1.780557215416791E-06</v>
      </c>
      <c r="E22" s="64">
        <f t="shared" si="2"/>
        <v>0</v>
      </c>
      <c r="F22" s="64">
        <f t="shared" si="3"/>
        <v>0</v>
      </c>
      <c r="G22" s="5">
        <f t="shared" si="4"/>
        <v>0</v>
      </c>
    </row>
    <row r="23" spans="1:7" ht="12.75">
      <c r="A23" s="2" t="s">
        <v>14</v>
      </c>
      <c r="B23" s="23">
        <v>0.00627508</v>
      </c>
      <c r="C23" s="24">
        <v>0.05865934163306898</v>
      </c>
      <c r="D23" s="23">
        <f t="shared" si="1"/>
        <v>0.0003680920614948385</v>
      </c>
      <c r="E23" s="64">
        <f t="shared" si="2"/>
        <v>0</v>
      </c>
      <c r="F23" s="64">
        <f t="shared" si="3"/>
        <v>0</v>
      </c>
      <c r="G23" s="5">
        <f t="shared" si="4"/>
        <v>0</v>
      </c>
    </row>
    <row r="24" spans="1:7" ht="12.75">
      <c r="A24" s="2" t="s">
        <v>15</v>
      </c>
      <c r="B24" s="23">
        <v>0.05808651</v>
      </c>
      <c r="C24" s="24">
        <v>0.007007472362494882</v>
      </c>
      <c r="D24" s="23">
        <f t="shared" si="1"/>
        <v>0.0004070396134587826</v>
      </c>
      <c r="E24" s="64">
        <f t="shared" si="2"/>
        <v>0</v>
      </c>
      <c r="F24" s="64">
        <f t="shared" si="3"/>
        <v>0</v>
      </c>
      <c r="G24" s="5">
        <f t="shared" si="4"/>
        <v>0</v>
      </c>
    </row>
    <row r="25" spans="1:7" ht="12.75">
      <c r="A25" s="2" t="s">
        <v>16</v>
      </c>
      <c r="B25" s="23">
        <v>0.02629994</v>
      </c>
      <c r="C25" s="24">
        <v>0.028352850968911193</v>
      </c>
      <c r="D25" s="23">
        <f t="shared" si="1"/>
        <v>0.0007456782793113062</v>
      </c>
      <c r="E25" s="64">
        <f t="shared" si="2"/>
        <v>0</v>
      </c>
      <c r="F25" s="64">
        <f t="shared" si="3"/>
        <v>0</v>
      </c>
      <c r="G25" s="5">
        <f t="shared" si="4"/>
        <v>0</v>
      </c>
    </row>
    <row r="26" spans="1:7" ht="12.75">
      <c r="A26" s="2" t="s">
        <v>17</v>
      </c>
      <c r="B26" s="23">
        <v>0.01863912</v>
      </c>
      <c r="C26" s="24">
        <v>0.02477176776242197</v>
      </c>
      <c r="D26" s="23">
        <f t="shared" si="1"/>
        <v>0.0004617239519359145</v>
      </c>
      <c r="E26" s="64">
        <f t="shared" si="2"/>
        <v>0</v>
      </c>
      <c r="F26" s="64">
        <f t="shared" si="3"/>
        <v>0</v>
      </c>
      <c r="G26" s="5">
        <f t="shared" si="4"/>
        <v>0</v>
      </c>
    </row>
    <row r="27" spans="1:7" ht="12.75">
      <c r="A27" s="2" t="s">
        <v>18</v>
      </c>
      <c r="B27" s="23">
        <v>0.00855992</v>
      </c>
      <c r="C27" s="24">
        <v>0.0016023501134997996</v>
      </c>
      <c r="D27" s="23">
        <f t="shared" si="1"/>
        <v>1.3715988783549206E-05</v>
      </c>
      <c r="E27" s="64">
        <f t="shared" si="2"/>
        <v>0</v>
      </c>
      <c r="F27" s="64">
        <f t="shared" si="3"/>
        <v>0</v>
      </c>
      <c r="G27" s="5">
        <f t="shared" si="4"/>
        <v>0</v>
      </c>
    </row>
    <row r="28" spans="1:7" ht="12.75">
      <c r="A28" s="2" t="s">
        <v>19</v>
      </c>
      <c r="B28" s="23">
        <v>0.0136864</v>
      </c>
      <c r="C28" s="24">
        <v>0.04116937531742001</v>
      </c>
      <c r="D28" s="23">
        <f t="shared" si="1"/>
        <v>0.0005634605383443372</v>
      </c>
      <c r="E28" s="64">
        <f t="shared" si="2"/>
        <v>0</v>
      </c>
      <c r="F28" s="64">
        <f t="shared" si="3"/>
        <v>0</v>
      </c>
      <c r="G28" s="5">
        <f t="shared" si="4"/>
        <v>0</v>
      </c>
    </row>
    <row r="29" spans="1:7" ht="12.75">
      <c r="A29" s="2" t="s">
        <v>20</v>
      </c>
      <c r="B29" s="23">
        <v>0.00879264</v>
      </c>
      <c r="C29" s="24">
        <v>0.002251584448315481</v>
      </c>
      <c r="D29" s="23">
        <f t="shared" si="1"/>
        <v>1.979737148363663E-05</v>
      </c>
      <c r="E29" s="64">
        <f t="shared" si="2"/>
        <v>0</v>
      </c>
      <c r="F29" s="64">
        <f t="shared" si="3"/>
        <v>0</v>
      </c>
      <c r="G29" s="5">
        <f t="shared" si="4"/>
        <v>0</v>
      </c>
    </row>
    <row r="30" spans="1:7" ht="12.75">
      <c r="A30" s="2" t="s">
        <v>21</v>
      </c>
      <c r="B30" s="23">
        <v>0.01359579</v>
      </c>
      <c r="C30" s="24">
        <v>0.7517375266938459</v>
      </c>
      <c r="D30" s="23">
        <f t="shared" si="1"/>
        <v>0.010220465548048922</v>
      </c>
      <c r="E30" s="64">
        <f t="shared" si="2"/>
        <v>0.010220465548048922</v>
      </c>
      <c r="F30" s="64">
        <f t="shared" si="3"/>
        <v>0.23072933618915903</v>
      </c>
      <c r="G30" s="5">
        <f t="shared" si="4"/>
        <v>23072934</v>
      </c>
    </row>
    <row r="31" spans="1:7" ht="12.75">
      <c r="A31" s="2" t="s">
        <v>22</v>
      </c>
      <c r="B31" s="23">
        <v>0.01606896</v>
      </c>
      <c r="C31" s="24">
        <v>0.1690239448051948</v>
      </c>
      <c r="D31" s="23">
        <f t="shared" si="1"/>
        <v>0.0027160390081168834</v>
      </c>
      <c r="E31" s="64">
        <f t="shared" si="2"/>
        <v>0</v>
      </c>
      <c r="F31" s="64">
        <f t="shared" si="3"/>
        <v>0</v>
      </c>
      <c r="G31" s="5">
        <f t="shared" si="4"/>
        <v>0</v>
      </c>
    </row>
    <row r="32" spans="1:7" ht="12.75">
      <c r="A32" s="2" t="s">
        <v>23</v>
      </c>
      <c r="B32" s="23">
        <v>0.04197959</v>
      </c>
      <c r="C32" s="24">
        <v>0.31616630419347846</v>
      </c>
      <c r="D32" s="23">
        <f t="shared" si="1"/>
        <v>0.013272531821857506</v>
      </c>
      <c r="E32" s="64">
        <f t="shared" si="2"/>
        <v>0.013272531821857506</v>
      </c>
      <c r="F32" s="64">
        <f t="shared" si="3"/>
        <v>0.299630427049507</v>
      </c>
      <c r="G32" s="5">
        <f>ROUND(F32*$G$7,0)-1</f>
        <v>29963042</v>
      </c>
    </row>
    <row r="33" spans="1:7" ht="12.75">
      <c r="A33" s="2" t="s">
        <v>24</v>
      </c>
      <c r="B33" s="23">
        <v>0.05514805</v>
      </c>
      <c r="C33" s="24">
        <v>0.03633897190306867</v>
      </c>
      <c r="D33" s="23">
        <f t="shared" si="1"/>
        <v>0.002004023439459026</v>
      </c>
      <c r="E33" s="64">
        <f t="shared" si="2"/>
        <v>0</v>
      </c>
      <c r="F33" s="64">
        <f t="shared" si="3"/>
        <v>0</v>
      </c>
      <c r="G33" s="5">
        <f t="shared" si="4"/>
        <v>0</v>
      </c>
    </row>
    <row r="34" spans="1:7" ht="12.75">
      <c r="A34" s="2" t="s">
        <v>25</v>
      </c>
      <c r="B34" s="23">
        <v>0.03973105</v>
      </c>
      <c r="C34" s="24">
        <v>0.08636864126844307</v>
      </c>
      <c r="D34" s="23">
        <f t="shared" si="1"/>
        <v>0.0034315168046685747</v>
      </c>
      <c r="E34" s="64">
        <f t="shared" si="2"/>
        <v>0</v>
      </c>
      <c r="F34" s="64">
        <f t="shared" si="3"/>
        <v>0</v>
      </c>
      <c r="G34" s="5">
        <f t="shared" si="4"/>
        <v>0</v>
      </c>
    </row>
    <row r="35" spans="1:7" ht="12.75">
      <c r="A35" s="2" t="s">
        <v>26</v>
      </c>
      <c r="B35" s="23">
        <v>0.00737355</v>
      </c>
      <c r="C35" s="24">
        <v>0.0026436642697443952</v>
      </c>
      <c r="D35" s="23">
        <f t="shared" si="1"/>
        <v>1.9493190676173785E-05</v>
      </c>
      <c r="E35" s="64">
        <f t="shared" si="2"/>
        <v>0</v>
      </c>
      <c r="F35" s="64">
        <f t="shared" si="3"/>
        <v>0</v>
      </c>
      <c r="G35" s="5">
        <f t="shared" si="4"/>
        <v>0</v>
      </c>
    </row>
    <row r="36" spans="1:7" ht="12.75">
      <c r="A36" s="2" t="s">
        <v>27</v>
      </c>
      <c r="B36" s="23">
        <v>0.02320202</v>
      </c>
      <c r="C36" s="24">
        <v>0.006993412603057547</v>
      </c>
      <c r="D36" s="23">
        <f t="shared" si="1"/>
        <v>0.00016226129908439326</v>
      </c>
      <c r="E36" s="64">
        <f t="shared" si="2"/>
        <v>0</v>
      </c>
      <c r="F36" s="64">
        <f t="shared" si="3"/>
        <v>0</v>
      </c>
      <c r="G36" s="5">
        <f t="shared" si="4"/>
        <v>0</v>
      </c>
    </row>
    <row r="37" spans="1:7" ht="12.75">
      <c r="A37" s="2" t="s">
        <v>28</v>
      </c>
      <c r="B37" s="23">
        <v>0.00736027</v>
      </c>
      <c r="C37" s="24">
        <v>0.03456843469806633</v>
      </c>
      <c r="D37" s="23">
        <f t="shared" si="1"/>
        <v>0.0002544330128551367</v>
      </c>
      <c r="E37" s="64">
        <f t="shared" si="2"/>
        <v>0</v>
      </c>
      <c r="F37" s="64">
        <f t="shared" si="3"/>
        <v>0</v>
      </c>
      <c r="G37" s="5">
        <f t="shared" si="4"/>
        <v>0</v>
      </c>
    </row>
    <row r="38" spans="1:7" ht="12.75">
      <c r="A38" s="2" t="s">
        <v>29</v>
      </c>
      <c r="B38" s="23">
        <v>0.00921776</v>
      </c>
      <c r="C38" s="24">
        <v>0.015309264744698948</v>
      </c>
      <c r="D38" s="23">
        <f t="shared" si="1"/>
        <v>0.00014111712819309618</v>
      </c>
      <c r="E38" s="64">
        <f t="shared" si="2"/>
        <v>0</v>
      </c>
      <c r="F38" s="64">
        <f t="shared" si="3"/>
        <v>0</v>
      </c>
      <c r="G38" s="5">
        <f t="shared" si="4"/>
        <v>0</v>
      </c>
    </row>
    <row r="39" spans="1:7" ht="12.75">
      <c r="A39" s="2" t="s">
        <v>30</v>
      </c>
      <c r="B39" s="23">
        <v>0.00195349</v>
      </c>
      <c r="C39" s="24">
        <v>0.011933315566610406</v>
      </c>
      <c r="D39" s="23">
        <f t="shared" si="1"/>
        <v>2.331161262621776E-05</v>
      </c>
      <c r="E39" s="64">
        <f t="shared" si="2"/>
        <v>0</v>
      </c>
      <c r="F39" s="64">
        <f t="shared" si="3"/>
        <v>0</v>
      </c>
      <c r="G39" s="5">
        <f t="shared" si="4"/>
        <v>0</v>
      </c>
    </row>
    <row r="40" spans="1:7" ht="12.75">
      <c r="A40" s="2" t="s">
        <v>31</v>
      </c>
      <c r="B40" s="23">
        <v>0.00794588</v>
      </c>
      <c r="C40" s="24">
        <v>0.5426211400854823</v>
      </c>
      <c r="D40" s="23">
        <f t="shared" si="1"/>
        <v>0.004311602464582433</v>
      </c>
      <c r="E40" s="64">
        <f t="shared" si="2"/>
        <v>0.004311602464582433</v>
      </c>
      <c r="F40" s="64">
        <f t="shared" si="3"/>
        <v>0.09733540707003858</v>
      </c>
      <c r="G40" s="5">
        <f t="shared" si="4"/>
        <v>9733541</v>
      </c>
    </row>
    <row r="41" spans="1:7" ht="12.75">
      <c r="A41" s="2" t="s">
        <v>32</v>
      </c>
      <c r="B41" s="23">
        <v>0.03897152</v>
      </c>
      <c r="C41" s="24">
        <v>0.19562421185372006</v>
      </c>
      <c r="D41" s="23">
        <f t="shared" si="1"/>
        <v>0.007623772884741489</v>
      </c>
      <c r="E41" s="64">
        <f t="shared" si="2"/>
        <v>0</v>
      </c>
      <c r="F41" s="64">
        <f t="shared" si="3"/>
        <v>0</v>
      </c>
      <c r="G41" s="5">
        <f t="shared" si="4"/>
        <v>0</v>
      </c>
    </row>
    <row r="42" spans="1:7" ht="12.75">
      <c r="A42" s="2" t="s">
        <v>33</v>
      </c>
      <c r="B42" s="23">
        <v>0.00520713</v>
      </c>
      <c r="C42" s="24">
        <v>0.0018765868197372778</v>
      </c>
      <c r="D42" s="23">
        <f t="shared" si="1"/>
        <v>9.77163152665857E-06</v>
      </c>
      <c r="E42" s="64">
        <f t="shared" si="2"/>
        <v>0</v>
      </c>
      <c r="F42" s="64">
        <f t="shared" si="3"/>
        <v>0</v>
      </c>
      <c r="G42" s="5">
        <f t="shared" si="4"/>
        <v>0</v>
      </c>
    </row>
    <row r="43" spans="1:7" ht="12.75">
      <c r="A43" s="14" t="s">
        <v>34</v>
      </c>
      <c r="B43" s="23">
        <v>0.12724791</v>
      </c>
      <c r="C43" s="24">
        <v>0.29345501003832813</v>
      </c>
      <c r="D43" s="23">
        <f aca="true" t="shared" si="5" ref="D43:D61">B43*C43</f>
        <v>0.037341536706406275</v>
      </c>
      <c r="E43" s="64">
        <f aca="true" t="shared" si="6" ref="E43:E61">IF(C43&gt;=$G$5,D43,0)</f>
        <v>0</v>
      </c>
      <c r="F43" s="64">
        <f aca="true" t="shared" si="7" ref="F43:F61">E43/$E$62</f>
        <v>0</v>
      </c>
      <c r="G43" s="5">
        <f aca="true" t="shared" si="8" ref="G43:G61">ROUND(F43*$G$7,0)</f>
        <v>0</v>
      </c>
    </row>
    <row r="44" spans="1:7" ht="12.75">
      <c r="A44" s="2" t="s">
        <v>35</v>
      </c>
      <c r="B44" s="23">
        <v>0.0189638</v>
      </c>
      <c r="C44" s="24">
        <v>0.16013043146776454</v>
      </c>
      <c r="D44" s="23">
        <f t="shared" si="5"/>
        <v>0.003036681476268393</v>
      </c>
      <c r="E44" s="64">
        <f t="shared" si="6"/>
        <v>0</v>
      </c>
      <c r="F44" s="64">
        <f t="shared" si="7"/>
        <v>0</v>
      </c>
      <c r="G44" s="5">
        <f t="shared" si="8"/>
        <v>0</v>
      </c>
    </row>
    <row r="45" spans="1:7" ht="12.75">
      <c r="A45" s="2" t="s">
        <v>36</v>
      </c>
      <c r="B45" s="23">
        <v>0.00799548</v>
      </c>
      <c r="C45" s="24">
        <v>0.10338017470565894</v>
      </c>
      <c r="D45" s="23">
        <f t="shared" si="5"/>
        <v>0.0008265741192556019</v>
      </c>
      <c r="E45" s="64">
        <f t="shared" si="6"/>
        <v>0</v>
      </c>
      <c r="F45" s="64">
        <f t="shared" si="7"/>
        <v>0</v>
      </c>
      <c r="G45" s="5">
        <f t="shared" si="8"/>
        <v>0</v>
      </c>
    </row>
    <row r="46" spans="1:7" ht="12.75">
      <c r="A46" s="2" t="s">
        <v>37</v>
      </c>
      <c r="B46" s="23">
        <v>0.0513862</v>
      </c>
      <c r="C46" s="24">
        <v>0.04456429417203968</v>
      </c>
      <c r="D46" s="23">
        <f t="shared" si="5"/>
        <v>0.0022899897331832655</v>
      </c>
      <c r="E46" s="64">
        <f t="shared" si="6"/>
        <v>0</v>
      </c>
      <c r="F46" s="64">
        <f t="shared" si="7"/>
        <v>0</v>
      </c>
      <c r="G46" s="5">
        <f t="shared" si="8"/>
        <v>0</v>
      </c>
    </row>
    <row r="47" spans="1:7" ht="12.75">
      <c r="A47" s="2" t="s">
        <v>38</v>
      </c>
      <c r="B47" s="23">
        <v>0.00790558</v>
      </c>
      <c r="C47" s="24">
        <v>0.001204004329004329</v>
      </c>
      <c r="D47" s="23">
        <f t="shared" si="5"/>
        <v>9.518352543290045E-06</v>
      </c>
      <c r="E47" s="64">
        <f t="shared" si="6"/>
        <v>0</v>
      </c>
      <c r="F47" s="64">
        <f t="shared" si="7"/>
        <v>0</v>
      </c>
      <c r="G47" s="5">
        <f t="shared" si="8"/>
        <v>0</v>
      </c>
    </row>
    <row r="48" spans="1:7" ht="12.75">
      <c r="A48" s="2" t="s">
        <v>39</v>
      </c>
      <c r="B48" s="23">
        <v>0.01246826</v>
      </c>
      <c r="C48" s="24">
        <v>0.05474759872693279</v>
      </c>
      <c r="D48" s="23">
        <f t="shared" si="5"/>
        <v>0.000682607295303067</v>
      </c>
      <c r="E48" s="64">
        <f t="shared" si="6"/>
        <v>0</v>
      </c>
      <c r="F48" s="64">
        <f t="shared" si="7"/>
        <v>0</v>
      </c>
      <c r="G48" s="5">
        <f t="shared" si="8"/>
        <v>0</v>
      </c>
    </row>
    <row r="49" spans="1:7" ht="12.75">
      <c r="A49" s="14" t="s">
        <v>40</v>
      </c>
      <c r="B49" s="23">
        <v>0.0683509</v>
      </c>
      <c r="C49" s="24">
        <v>0.23842536751197824</v>
      </c>
      <c r="D49" s="23">
        <f t="shared" si="5"/>
        <v>0.016296588452274476</v>
      </c>
      <c r="E49" s="64">
        <f t="shared" si="6"/>
        <v>0</v>
      </c>
      <c r="F49" s="64">
        <f t="shared" si="7"/>
        <v>0</v>
      </c>
      <c r="G49" s="5">
        <f t="shared" si="8"/>
        <v>0</v>
      </c>
    </row>
    <row r="50" spans="1:7" ht="12.75">
      <c r="A50" s="2" t="s">
        <v>41</v>
      </c>
      <c r="B50" s="23">
        <v>0.00691008</v>
      </c>
      <c r="C50" s="24">
        <v>0.32441780032280376</v>
      </c>
      <c r="D50" s="23">
        <f t="shared" si="5"/>
        <v>0.0022417529536546</v>
      </c>
      <c r="E50" s="64">
        <f t="shared" si="6"/>
        <v>0.0022417529536546</v>
      </c>
      <c r="F50" s="64">
        <f t="shared" si="7"/>
        <v>0.0506080832096296</v>
      </c>
      <c r="G50" s="5">
        <f t="shared" si="8"/>
        <v>5060808</v>
      </c>
    </row>
    <row r="51" spans="1:7" ht="12.75">
      <c r="A51" s="2" t="s">
        <v>42</v>
      </c>
      <c r="B51" s="23">
        <v>0.00683051</v>
      </c>
      <c r="C51" s="24">
        <v>0.08182326175461004</v>
      </c>
      <c r="D51" s="23">
        <f t="shared" si="5"/>
        <v>0.0005588946076474814</v>
      </c>
      <c r="E51" s="64">
        <f t="shared" si="6"/>
        <v>0</v>
      </c>
      <c r="F51" s="64">
        <f t="shared" si="7"/>
        <v>0</v>
      </c>
      <c r="G51" s="5">
        <f t="shared" si="8"/>
        <v>0</v>
      </c>
    </row>
    <row r="52" spans="1:7" ht="12.75">
      <c r="A52" s="2" t="s">
        <v>43</v>
      </c>
      <c r="B52" s="23">
        <v>0.00649373</v>
      </c>
      <c r="C52" s="24">
        <v>0.0788496590832377</v>
      </c>
      <c r="D52" s="23">
        <f t="shared" si="5"/>
        <v>0.0005120283966785931</v>
      </c>
      <c r="E52" s="64">
        <f t="shared" si="6"/>
        <v>0</v>
      </c>
      <c r="F52" s="64">
        <f t="shared" si="7"/>
        <v>0</v>
      </c>
      <c r="G52" s="5">
        <f t="shared" si="8"/>
        <v>0</v>
      </c>
    </row>
    <row r="53" spans="1:7" ht="12.75">
      <c r="A53" s="14" t="s">
        <v>44</v>
      </c>
      <c r="B53" s="23">
        <v>0.01386403</v>
      </c>
      <c r="C53" s="24">
        <v>0.03172651453255568</v>
      </c>
      <c r="D53" s="23">
        <f t="shared" si="5"/>
        <v>0.00043985734927478784</v>
      </c>
      <c r="E53" s="64">
        <f t="shared" si="6"/>
        <v>0</v>
      </c>
      <c r="F53" s="64">
        <f t="shared" si="7"/>
        <v>0</v>
      </c>
      <c r="G53" s="5">
        <f t="shared" si="8"/>
        <v>0</v>
      </c>
    </row>
    <row r="54" spans="1:7" ht="12.75">
      <c r="A54" s="2" t="s">
        <v>45</v>
      </c>
      <c r="B54" s="23">
        <v>0.02263997</v>
      </c>
      <c r="C54" s="24">
        <v>0.0011018214091211651</v>
      </c>
      <c r="D54" s="23">
        <f t="shared" si="5"/>
        <v>2.4945203647860903E-05</v>
      </c>
      <c r="E54" s="64">
        <f t="shared" si="6"/>
        <v>0</v>
      </c>
      <c r="F54" s="64">
        <f t="shared" si="7"/>
        <v>0</v>
      </c>
      <c r="G54" s="5">
        <f t="shared" si="8"/>
        <v>0</v>
      </c>
    </row>
    <row r="55" spans="1:7" ht="12.75">
      <c r="A55" s="2" t="s">
        <v>46</v>
      </c>
      <c r="B55" s="23">
        <v>0.00747576</v>
      </c>
      <c r="C55" s="24">
        <v>0.008703451483240874</v>
      </c>
      <c r="D55" s="23">
        <f t="shared" si="5"/>
        <v>6.506491446035279E-05</v>
      </c>
      <c r="E55" s="64">
        <f t="shared" si="6"/>
        <v>0</v>
      </c>
      <c r="F55" s="64">
        <f t="shared" si="7"/>
        <v>0</v>
      </c>
      <c r="G55" s="5">
        <f t="shared" si="8"/>
        <v>0</v>
      </c>
    </row>
    <row r="56" spans="1:7" ht="12.75">
      <c r="A56" s="2" t="s">
        <v>47</v>
      </c>
      <c r="B56" s="23">
        <v>0.00595572</v>
      </c>
      <c r="C56" s="24">
        <v>0.5705290773939659</v>
      </c>
      <c r="D56" s="23">
        <f t="shared" si="5"/>
        <v>0.0033979114368167906</v>
      </c>
      <c r="E56" s="64">
        <f t="shared" si="6"/>
        <v>0.0033979114368167906</v>
      </c>
      <c r="F56" s="64">
        <f t="shared" si="7"/>
        <v>0.07670862413855054</v>
      </c>
      <c r="G56" s="5">
        <f t="shared" si="8"/>
        <v>7670862</v>
      </c>
    </row>
    <row r="57" spans="1:7" ht="12.75">
      <c r="A57" s="2" t="s">
        <v>48</v>
      </c>
      <c r="B57" s="23">
        <v>0.01957379</v>
      </c>
      <c r="C57" s="24">
        <v>0.18085511484798636</v>
      </c>
      <c r="D57" s="23">
        <f t="shared" si="5"/>
        <v>0.003540020038460367</v>
      </c>
      <c r="E57" s="64">
        <f t="shared" si="6"/>
        <v>0</v>
      </c>
      <c r="F57" s="64">
        <f t="shared" si="7"/>
        <v>0</v>
      </c>
      <c r="G57" s="5">
        <f t="shared" si="8"/>
        <v>0</v>
      </c>
    </row>
    <row r="58" spans="1:7" ht="12.75">
      <c r="A58" s="2" t="s">
        <v>49</v>
      </c>
      <c r="B58" s="23">
        <v>0.02050857</v>
      </c>
      <c r="C58" s="24">
        <v>0.04531683689204143</v>
      </c>
      <c r="D58" s="23">
        <f t="shared" si="5"/>
        <v>0.0009293835215790142</v>
      </c>
      <c r="E58" s="64">
        <f t="shared" si="6"/>
        <v>0</v>
      </c>
      <c r="F58" s="64">
        <f t="shared" si="7"/>
        <v>0</v>
      </c>
      <c r="G58" s="5">
        <f t="shared" si="8"/>
        <v>0</v>
      </c>
    </row>
    <row r="59" spans="1:7" ht="12.75">
      <c r="A59" s="2" t="s">
        <v>50</v>
      </c>
      <c r="B59" s="23">
        <v>0.00905733</v>
      </c>
      <c r="C59" s="24">
        <v>0.0754883211208286</v>
      </c>
      <c r="D59" s="23">
        <f t="shared" si="5"/>
        <v>0.0006837226355373145</v>
      </c>
      <c r="E59" s="64">
        <f t="shared" si="6"/>
        <v>0</v>
      </c>
      <c r="F59" s="64">
        <f t="shared" si="7"/>
        <v>0</v>
      </c>
      <c r="G59" s="5">
        <f t="shared" si="8"/>
        <v>0</v>
      </c>
    </row>
    <row r="60" spans="1:7" ht="12.75">
      <c r="A60" s="2" t="s">
        <v>51</v>
      </c>
      <c r="B60" s="23">
        <v>0.03576365</v>
      </c>
      <c r="C60" s="24">
        <v>0.07920197704783535</v>
      </c>
      <c r="D60" s="23">
        <f t="shared" si="5"/>
        <v>0.002832551786446817</v>
      </c>
      <c r="E60" s="64">
        <f t="shared" si="6"/>
        <v>0</v>
      </c>
      <c r="F60" s="64">
        <f t="shared" si="7"/>
        <v>0</v>
      </c>
      <c r="G60" s="5">
        <f t="shared" si="8"/>
        <v>0</v>
      </c>
    </row>
    <row r="61" spans="1:7" ht="13.5" thickBot="1">
      <c r="A61" s="2" t="s">
        <v>52</v>
      </c>
      <c r="B61" s="23">
        <v>0.00299313</v>
      </c>
      <c r="C61" s="24">
        <v>0.0026890061019753855</v>
      </c>
      <c r="D61" s="23">
        <f t="shared" si="5"/>
        <v>8.048544834005585E-06</v>
      </c>
      <c r="E61" s="64">
        <f t="shared" si="6"/>
        <v>0</v>
      </c>
      <c r="F61" s="64">
        <f t="shared" si="7"/>
        <v>0</v>
      </c>
      <c r="G61" s="5">
        <f t="shared" si="8"/>
        <v>0</v>
      </c>
    </row>
    <row r="62" spans="1:7" ht="13.5" thickTop="1">
      <c r="A62" s="28" t="s">
        <v>53</v>
      </c>
      <c r="B62" s="29">
        <f>SUM(B11:B61)</f>
        <v>1</v>
      </c>
      <c r="C62" s="28"/>
      <c r="D62" s="28"/>
      <c r="E62" s="31">
        <f>SUM(E11:E61)</f>
        <v>0.04429634183868959</v>
      </c>
      <c r="F62" s="31">
        <f>SUM(F11:F61)</f>
        <v>1.0000000000000002</v>
      </c>
      <c r="G62" s="30">
        <f>SUM(G11:G61)</f>
        <v>100000000</v>
      </c>
    </row>
    <row r="63" spans="1:7" ht="12.75">
      <c r="A63" s="14"/>
      <c r="B63" s="61"/>
      <c r="C63" s="14"/>
      <c r="D63" s="14"/>
      <c r="E63" s="62"/>
      <c r="F63" s="62"/>
      <c r="G63" s="25"/>
    </row>
    <row r="64" spans="1:8" ht="25.5">
      <c r="A64" s="54" t="s">
        <v>58</v>
      </c>
      <c r="B64" s="63" t="s">
        <v>59</v>
      </c>
      <c r="C64" s="74" t="s">
        <v>79</v>
      </c>
      <c r="D64" s="127" t="s">
        <v>86</v>
      </c>
      <c r="E64" s="128"/>
      <c r="F64" s="128"/>
      <c r="G64" s="128"/>
      <c r="H64" s="33"/>
    </row>
    <row r="65" spans="1:8" ht="12.75">
      <c r="A65" s="54" t="s">
        <v>60</v>
      </c>
      <c r="B65" s="56">
        <v>0.01654258</v>
      </c>
      <c r="C65" s="75">
        <v>0</v>
      </c>
      <c r="D65" s="40"/>
      <c r="E65" s="13"/>
      <c r="F65" s="13"/>
      <c r="G65" s="13"/>
      <c r="H65" s="13"/>
    </row>
    <row r="66" spans="1:8" ht="12.75">
      <c r="A66" s="54" t="s">
        <v>61</v>
      </c>
      <c r="B66" s="56">
        <v>0.03626904</v>
      </c>
      <c r="C66" s="75">
        <v>0</v>
      </c>
      <c r="D66" s="40"/>
      <c r="E66" s="13"/>
      <c r="F66" s="13"/>
      <c r="G66" s="13"/>
      <c r="H66" s="13"/>
    </row>
    <row r="67" spans="1:8" ht="12.75">
      <c r="A67" s="54" t="s">
        <v>62</v>
      </c>
      <c r="B67" s="56">
        <v>0.01259719</v>
      </c>
      <c r="C67" s="75">
        <v>0</v>
      </c>
      <c r="D67" s="40"/>
      <c r="E67" s="13"/>
      <c r="F67" s="13"/>
      <c r="G67" s="13"/>
      <c r="H67" s="13"/>
    </row>
    <row r="68" spans="1:8" ht="12.75">
      <c r="A68" s="54" t="s">
        <v>63</v>
      </c>
      <c r="B68" s="56">
        <v>0.90029483</v>
      </c>
      <c r="C68" s="75">
        <v>0</v>
      </c>
      <c r="D68" s="40"/>
      <c r="E68" s="13"/>
      <c r="F68" s="13"/>
      <c r="G68" s="13"/>
      <c r="H68" s="13"/>
    </row>
    <row r="69" spans="1:8" ht="12.75">
      <c r="A69" s="54" t="s">
        <v>64</v>
      </c>
      <c r="B69" s="56">
        <v>0.03429636</v>
      </c>
      <c r="C69" s="75">
        <v>0</v>
      </c>
      <c r="D69" s="40"/>
      <c r="E69" s="13"/>
      <c r="F69" s="13"/>
      <c r="G69" s="13"/>
      <c r="H69" s="13"/>
    </row>
    <row r="70" spans="1:8" ht="12.75">
      <c r="A70" s="54" t="s">
        <v>57</v>
      </c>
      <c r="B70" s="54"/>
      <c r="C70" s="75">
        <f>SUM(C65:C69)</f>
        <v>0</v>
      </c>
      <c r="D70" s="40"/>
      <c r="E70" s="13"/>
      <c r="F70" s="13"/>
      <c r="G70" s="13"/>
      <c r="H70" s="13"/>
    </row>
    <row r="71" spans="1:8" ht="12.75">
      <c r="A71" s="54"/>
      <c r="B71" s="54"/>
      <c r="C71" s="55"/>
      <c r="D71" s="40"/>
      <c r="E71" s="13"/>
      <c r="F71" s="13"/>
      <c r="G71" s="13"/>
      <c r="H71" s="13"/>
    </row>
    <row r="72" spans="1:8" ht="12.75">
      <c r="A72" s="3" t="s">
        <v>72</v>
      </c>
      <c r="B72" s="54"/>
      <c r="C72" s="55"/>
      <c r="D72" s="40"/>
      <c r="E72" s="13"/>
      <c r="F72" s="13"/>
      <c r="G72" s="13"/>
      <c r="H72" s="13"/>
    </row>
    <row r="73" spans="1:8" ht="12.75">
      <c r="A73" s="2" t="s">
        <v>71</v>
      </c>
      <c r="B73" s="54"/>
      <c r="C73" s="55"/>
      <c r="D73" s="40"/>
      <c r="E73" s="13"/>
      <c r="F73" s="13"/>
      <c r="G73" s="13"/>
      <c r="H73" s="13"/>
    </row>
    <row r="74" spans="1:8" ht="12.75">
      <c r="A74" s="41"/>
      <c r="B74" s="41"/>
      <c r="C74" s="41"/>
      <c r="D74" s="41"/>
      <c r="E74" s="13"/>
      <c r="F74" s="13"/>
      <c r="G74" s="13"/>
      <c r="H74" s="13"/>
    </row>
    <row r="75" spans="1:7" ht="12.75">
      <c r="A75" s="40" t="str">
        <f>"DEA/PE "&amp;TEXT('$490M_BG_Ratios'!$C$2,"dd-MMM-yy")</f>
        <v>DEA/PE 24-Oct-08</v>
      </c>
      <c r="B75" s="41"/>
      <c r="C75" s="41"/>
      <c r="D75" s="25"/>
      <c r="E75" s="13"/>
      <c r="F75" s="13"/>
      <c r="G75" s="13"/>
    </row>
    <row r="76" spans="1:6" ht="12.75">
      <c r="A76" s="35"/>
      <c r="B76" s="36"/>
      <c r="E76" s="37"/>
      <c r="F76" s="2"/>
    </row>
    <row r="77" spans="1:6" ht="12.75">
      <c r="A77" s="38"/>
      <c r="B77" s="34"/>
      <c r="F77" s="2"/>
    </row>
    <row r="78" spans="1:6" ht="12.75">
      <c r="A78" s="38"/>
      <c r="B78" s="34"/>
      <c r="F78" s="2"/>
    </row>
    <row r="79" spans="1:6" ht="12.75">
      <c r="A79" s="38"/>
      <c r="B79" s="34"/>
      <c r="F79" s="2"/>
    </row>
    <row r="80" spans="1:6" ht="12.75">
      <c r="A80" s="38"/>
      <c r="B80" s="34"/>
      <c r="F80" s="2"/>
    </row>
    <row r="81" spans="1:6" ht="12.75">
      <c r="A81" s="38"/>
      <c r="B81" s="34"/>
      <c r="F81" s="2"/>
    </row>
    <row r="82" spans="1:6" ht="12.75">
      <c r="A82" s="35"/>
      <c r="B82" s="38"/>
      <c r="F82" s="2"/>
    </row>
    <row r="83" spans="1:6" ht="12.75">
      <c r="A83" s="35"/>
      <c r="B83" s="38"/>
      <c r="F83" s="2"/>
    </row>
    <row r="84" ht="12.75">
      <c r="A84" s="39"/>
    </row>
    <row r="88" spans="5:6" ht="12.75">
      <c r="E88" s="18"/>
      <c r="F88" s="2"/>
    </row>
    <row r="89" spans="5:6" ht="12.75">
      <c r="E89" s="18"/>
      <c r="F89" s="2"/>
    </row>
    <row r="90" spans="5:6" ht="12.75">
      <c r="E90" s="18"/>
      <c r="F90" s="2"/>
    </row>
    <row r="91" spans="5:6" ht="12.75">
      <c r="E91" s="18"/>
      <c r="F91" s="2"/>
    </row>
    <row r="92" spans="5:6" ht="12.75">
      <c r="E92" s="18"/>
      <c r="F92" s="2"/>
    </row>
    <row r="93" spans="5:6" ht="63" customHeight="1">
      <c r="E93" s="18"/>
      <c r="F93" s="2"/>
    </row>
    <row r="94" spans="5:6" ht="12.75">
      <c r="E94" s="18"/>
      <c r="F94" s="2"/>
    </row>
  </sheetData>
  <sheetProtection/>
  <mergeCells count="3">
    <mergeCell ref="A1:G1"/>
    <mergeCell ref="D64:G64"/>
    <mergeCell ref="A3:G3"/>
  </mergeCells>
  <printOptions gridLines="1" horizontalCentered="1"/>
  <pageMargins left="0.25" right="0.25" top="0.25" bottom="0.6" header="0.5" footer="0.5"/>
  <pageSetup fitToHeight="2" horizontalDpi="600" verticalDpi="600" orientation="portrait" scale="70" r:id="rId1"/>
  <headerFooter alignWithMargins="0">
    <oddFooter>&amp;L&amp;"Arial,Regular"'&amp;F' [&amp;A]&amp;R&amp;"Arial,Regular"Page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G73"/>
  <sheetViews>
    <sheetView workbookViewId="0" topLeftCell="A1">
      <pane xSplit="1" ySplit="5" topLeftCell="B6" activePane="bottomRight" state="frozen"/>
      <selection pane="topLeft" activeCell="A47" sqref="A47"/>
      <selection pane="topRight" activeCell="A47" sqref="A47"/>
      <selection pane="bottomLeft" activeCell="A47" sqref="A47"/>
      <selection pane="bottomRight" activeCell="B6" sqref="B6"/>
    </sheetView>
  </sheetViews>
  <sheetFormatPr defaultColWidth="9.33203125" defaultRowHeight="12.75"/>
  <cols>
    <col min="1" max="1" width="23.83203125" style="41" customWidth="1"/>
    <col min="2" max="6" width="25" style="41" customWidth="1"/>
    <col min="7" max="7" width="12.83203125" style="41" bestFit="1" customWidth="1"/>
    <col min="8" max="16384" width="9.33203125" style="41" customWidth="1"/>
  </cols>
  <sheetData>
    <row r="1" spans="1:6" ht="29.25" customHeight="1">
      <c r="A1" s="129" t="str">
        <f>"State and Territorial Allocations of Low Income Home Energy Assistance Program (LIHEAP) Emergency Contingency Funds from the October 16, 2008 Release of "&amp;TEXT($C$3/1000000,"$0.0")&amp;" Million"</f>
        <v>State and Territorial Allocations of Low Income Home Energy Assistance Program (LIHEAP) Emergency Contingency Funds from the October 16, 2008 Release of $590.3 Million</v>
      </c>
      <c r="B1" s="129"/>
      <c r="C1" s="129"/>
      <c r="D1" s="129"/>
      <c r="E1" s="129"/>
      <c r="F1" s="129"/>
    </row>
    <row r="2" spans="1:7" ht="12.75">
      <c r="A2" s="126" t="s">
        <v>269</v>
      </c>
      <c r="B2" s="126"/>
      <c r="C2" s="126"/>
      <c r="D2" s="126"/>
      <c r="E2" s="126"/>
      <c r="F2" s="126"/>
      <c r="G2" s="77"/>
    </row>
    <row r="3" spans="1:6" ht="12.75">
      <c r="A3" s="42" t="s">
        <v>77</v>
      </c>
      <c r="C3" s="43">
        <f>'$490M_BG_Ratios'!$C$5+'$100M_Formula'!$G$7</f>
        <v>590328000</v>
      </c>
      <c r="F3" s="76">
        <f>'$490M_BG_Ratios'!$C$2</f>
        <v>39745</v>
      </c>
    </row>
    <row r="4" spans="2:7" ht="25.5" customHeight="1">
      <c r="B4" s="81" t="str">
        <f>"BG Ratios ("&amp;TEXT('$490M_BG_Ratios'!C7/1000000,"$0.0")&amp;" Million)"</f>
        <v>BG Ratios ($489.7 Million)</v>
      </c>
      <c r="C4" s="82" t="str">
        <f>"High % FO Users ("&amp;TEXT('$100M_Formula'!G7/1000000,"$0")&amp;" Million)"</f>
        <v>High % FO Users ($100 Million)</v>
      </c>
      <c r="D4" s="82" t="str">
        <f>"Total ("&amp;TEXT(('$490M_BG_Ratios'!$C$5+'$100M_Formula'!$G$7)/1000000,"$0.0")&amp;" Million)"</f>
        <v>Total ($590.3 Million)</v>
      </c>
      <c r="E4" s="82" t="str">
        <f>"Total ("&amp;TEXT($E$58/1000000,"$0.0")&amp;" Million)"</f>
        <v>Total ($7.4 Million)</v>
      </c>
      <c r="F4" s="83" t="str">
        <f>"Total ("&amp;TEXT($F$58/1000000,"$0.0")&amp;" Million)"</f>
        <v>Total ($582.2 Million)</v>
      </c>
      <c r="G4" s="69"/>
    </row>
    <row r="5" spans="1:6" ht="38.25">
      <c r="A5" s="45" t="s">
        <v>56</v>
      </c>
      <c r="B5" s="84" t="s">
        <v>85</v>
      </c>
      <c r="C5" s="84" t="str">
        <f>"EC Allocations to "&amp;TEXT(COUNTIF('$100M_Formula'!$G$11:$G$61,"&gt;0"),0)&amp;" States with FO User % &gt;="&amp;TEXT('$100M_Formula'!$G$5,"0%")</f>
        <v>EC Allocations to 7 States with FO User % &gt;=30%</v>
      </c>
      <c r="D5" s="84" t="s">
        <v>81</v>
      </c>
      <c r="E5" s="45" t="s">
        <v>80</v>
      </c>
      <c r="F5" s="46" t="s">
        <v>78</v>
      </c>
    </row>
    <row r="6" spans="1:6" ht="12.75">
      <c r="A6" s="39"/>
      <c r="B6" s="39"/>
      <c r="C6" s="39"/>
      <c r="D6" s="44"/>
      <c r="E6" s="39"/>
      <c r="F6" s="47"/>
    </row>
    <row r="7" spans="1:6" ht="12.75">
      <c r="A7" s="44" t="s">
        <v>2</v>
      </c>
      <c r="B7" s="49">
        <f>'$490M_BG_Ratios'!C11</f>
        <v>4211330</v>
      </c>
      <c r="C7" s="49">
        <f>'$100M_Formula'!G11</f>
        <v>0</v>
      </c>
      <c r="D7" s="49">
        <f>C7+B7</f>
        <v>4211330</v>
      </c>
      <c r="E7" s="49">
        <f>Tribes!H12</f>
        <v>24318</v>
      </c>
      <c r="F7" s="48">
        <f aca="true" t="shared" si="0" ref="F7:F38">D7-E7</f>
        <v>4187012</v>
      </c>
    </row>
    <row r="8" spans="1:6" ht="12.75">
      <c r="A8" s="44" t="s">
        <v>3</v>
      </c>
      <c r="B8" s="49">
        <f>'$490M_BG_Ratios'!C12</f>
        <v>2688187</v>
      </c>
      <c r="C8" s="49">
        <f>'$100M_Formula'!G12</f>
        <v>4671139</v>
      </c>
      <c r="D8" s="49">
        <f aca="true" t="shared" si="1" ref="D8:D57">C8+B8</f>
        <v>7359326</v>
      </c>
      <c r="E8" s="49">
        <f>Tribes!H16</f>
        <v>2259312</v>
      </c>
      <c r="F8" s="48">
        <f t="shared" si="0"/>
        <v>5100014</v>
      </c>
    </row>
    <row r="9" spans="1:6" ht="12.75">
      <c r="A9" s="44" t="s">
        <v>4</v>
      </c>
      <c r="B9" s="49">
        <f>'$490M_BG_Ratios'!C13</f>
        <v>2036650</v>
      </c>
      <c r="C9" s="49">
        <f>'$100M_Formula'!G13</f>
        <v>0</v>
      </c>
      <c r="D9" s="49">
        <f t="shared" si="1"/>
        <v>2036650</v>
      </c>
      <c r="E9" s="49">
        <f>Tribes!H26</f>
        <v>154461</v>
      </c>
      <c r="F9" s="48">
        <f t="shared" si="0"/>
        <v>1882189</v>
      </c>
    </row>
    <row r="10" spans="1:6" ht="12.75">
      <c r="A10" s="44" t="s">
        <v>5</v>
      </c>
      <c r="B10" s="49">
        <f>'$490M_BG_Ratios'!C14</f>
        <v>3213444</v>
      </c>
      <c r="C10" s="49">
        <f>'$100M_Formula'!G14</f>
        <v>0</v>
      </c>
      <c r="D10" s="49">
        <f t="shared" si="1"/>
        <v>3213444</v>
      </c>
      <c r="E10" s="49"/>
      <c r="F10" s="48">
        <f t="shared" si="0"/>
        <v>3213444</v>
      </c>
    </row>
    <row r="11" spans="1:6" ht="12.75">
      <c r="A11" s="44" t="s">
        <v>6</v>
      </c>
      <c r="B11" s="49">
        <f>'$490M_BG_Ratios'!C15</f>
        <v>22592561</v>
      </c>
      <c r="C11" s="49">
        <f>'$100M_Formula'!G15</f>
        <v>0</v>
      </c>
      <c r="D11" s="49">
        <f t="shared" si="1"/>
        <v>22592561</v>
      </c>
      <c r="E11" s="49">
        <f>Tribes!H36</f>
        <v>191647</v>
      </c>
      <c r="F11" s="48">
        <f t="shared" si="0"/>
        <v>22400914</v>
      </c>
    </row>
    <row r="12" spans="1:6" ht="12.75">
      <c r="A12" s="44" t="s">
        <v>7</v>
      </c>
      <c r="B12" s="49">
        <f>'$490M_BG_Ratios'!C16</f>
        <v>7877322</v>
      </c>
      <c r="C12" s="49">
        <f>'$100M_Formula'!G16</f>
        <v>0</v>
      </c>
      <c r="D12" s="49">
        <f t="shared" si="1"/>
        <v>7877322</v>
      </c>
      <c r="E12" s="49"/>
      <c r="F12" s="48">
        <f t="shared" si="0"/>
        <v>7877322</v>
      </c>
    </row>
    <row r="13" spans="1:6" ht="12.75">
      <c r="A13" s="44" t="s">
        <v>8</v>
      </c>
      <c r="B13" s="49">
        <f>'$490M_BG_Ratios'!C17</f>
        <v>10276245</v>
      </c>
      <c r="C13" s="49">
        <f>'$100M_Formula'!G17</f>
        <v>19827674</v>
      </c>
      <c r="D13" s="49">
        <f t="shared" si="1"/>
        <v>30103919</v>
      </c>
      <c r="E13" s="49"/>
      <c r="F13" s="48">
        <f t="shared" si="0"/>
        <v>30103919</v>
      </c>
    </row>
    <row r="14" spans="1:6" ht="12.75">
      <c r="A14" s="44" t="s">
        <v>9</v>
      </c>
      <c r="B14" s="49">
        <f>'$490M_BG_Ratios'!C18</f>
        <v>1363974</v>
      </c>
      <c r="C14" s="49">
        <f>'$100M_Formula'!G18</f>
        <v>0</v>
      </c>
      <c r="D14" s="49">
        <f t="shared" si="1"/>
        <v>1363974</v>
      </c>
      <c r="E14" s="49"/>
      <c r="F14" s="48">
        <f t="shared" si="0"/>
        <v>1363974</v>
      </c>
    </row>
    <row r="15" spans="1:6" ht="12.75">
      <c r="A15" s="44" t="s">
        <v>10</v>
      </c>
      <c r="B15" s="49">
        <f>'$490M_BG_Ratios'!C19</f>
        <v>1595918</v>
      </c>
      <c r="C15" s="49">
        <f>'$100M_Formula'!G19</f>
        <v>0</v>
      </c>
      <c r="D15" s="49">
        <f t="shared" si="1"/>
        <v>1595918</v>
      </c>
      <c r="E15" s="49"/>
      <c r="F15" s="48">
        <f t="shared" si="0"/>
        <v>1595918</v>
      </c>
    </row>
    <row r="16" spans="1:6" ht="12.75">
      <c r="A16" s="44" t="s">
        <v>11</v>
      </c>
      <c r="B16" s="49">
        <f>'$490M_BG_Ratios'!C20</f>
        <v>6663582</v>
      </c>
      <c r="C16" s="49">
        <f>'$100M_Formula'!G20</f>
        <v>0</v>
      </c>
      <c r="D16" s="49">
        <f t="shared" si="1"/>
        <v>6663582</v>
      </c>
      <c r="E16" s="49">
        <f>Tribes!H60</f>
        <v>1708</v>
      </c>
      <c r="F16" s="48">
        <f t="shared" si="0"/>
        <v>6661874</v>
      </c>
    </row>
    <row r="17" spans="1:6" ht="12.75">
      <c r="A17" s="44" t="s">
        <v>12</v>
      </c>
      <c r="B17" s="49">
        <f>'$490M_BG_Ratios'!C21</f>
        <v>5268583</v>
      </c>
      <c r="C17" s="49">
        <f>'$100M_Formula'!G21</f>
        <v>0</v>
      </c>
      <c r="D17" s="49">
        <f t="shared" si="1"/>
        <v>5268583</v>
      </c>
      <c r="E17" s="49"/>
      <c r="F17" s="48">
        <f t="shared" si="0"/>
        <v>5268583</v>
      </c>
    </row>
    <row r="18" spans="1:6" ht="12.75">
      <c r="A18" s="44" t="s">
        <v>13</v>
      </c>
      <c r="B18" s="49">
        <f>'$490M_BG_Ratios'!C22</f>
        <v>530575</v>
      </c>
      <c r="C18" s="49">
        <f>'$100M_Formula'!G22</f>
        <v>0</v>
      </c>
      <c r="D18" s="49">
        <f t="shared" si="1"/>
        <v>530575</v>
      </c>
      <c r="E18" s="49"/>
      <c r="F18" s="48">
        <f t="shared" si="0"/>
        <v>530575</v>
      </c>
    </row>
    <row r="19" spans="1:6" ht="12.75">
      <c r="A19" s="44" t="s">
        <v>14</v>
      </c>
      <c r="B19" s="49">
        <f>'$490M_BG_Ratios'!C23</f>
        <v>3072681</v>
      </c>
      <c r="C19" s="49">
        <f>'$100M_Formula'!G23</f>
        <v>0</v>
      </c>
      <c r="D19" s="49">
        <f t="shared" si="1"/>
        <v>3072681</v>
      </c>
      <c r="E19" s="49">
        <f>Tribes!H62</f>
        <v>149102</v>
      </c>
      <c r="F19" s="48">
        <f t="shared" si="0"/>
        <v>2923579</v>
      </c>
    </row>
    <row r="20" spans="1:6" ht="12.75">
      <c r="A20" s="44" t="s">
        <v>15</v>
      </c>
      <c r="B20" s="49">
        <f>'$490M_BG_Ratios'!C24</f>
        <v>28442870</v>
      </c>
      <c r="C20" s="49">
        <f>'$100M_Formula'!G24</f>
        <v>0</v>
      </c>
      <c r="D20" s="49">
        <f t="shared" si="1"/>
        <v>28442870</v>
      </c>
      <c r="E20" s="49"/>
      <c r="F20" s="48">
        <f t="shared" si="0"/>
        <v>28442870</v>
      </c>
    </row>
    <row r="21" spans="1:6" ht="12.75">
      <c r="A21" s="44" t="s">
        <v>16</v>
      </c>
      <c r="B21" s="49">
        <f>'$490M_BG_Ratios'!C25</f>
        <v>12878133</v>
      </c>
      <c r="C21" s="49">
        <f>'$100M_Formula'!G25</f>
        <v>0</v>
      </c>
      <c r="D21" s="49">
        <f t="shared" si="1"/>
        <v>12878133</v>
      </c>
      <c r="E21" s="49">
        <f>Tribes!H66</f>
        <v>828</v>
      </c>
      <c r="F21" s="48">
        <f t="shared" si="0"/>
        <v>12877305</v>
      </c>
    </row>
    <row r="22" spans="1:6" ht="12.75">
      <c r="A22" s="44" t="s">
        <v>17</v>
      </c>
      <c r="B22" s="49">
        <f>'$490M_BG_Ratios'!C26</f>
        <v>9126905</v>
      </c>
      <c r="C22" s="49">
        <f>'$100M_Formula'!G26</f>
        <v>0</v>
      </c>
      <c r="D22" s="49">
        <f t="shared" si="1"/>
        <v>9126905</v>
      </c>
      <c r="E22" s="49"/>
      <c r="F22" s="48">
        <f t="shared" si="0"/>
        <v>9126905</v>
      </c>
    </row>
    <row r="23" spans="1:6" ht="12.75">
      <c r="A23" s="44" t="s">
        <v>18</v>
      </c>
      <c r="B23" s="49">
        <f>'$490M_BG_Ratios'!C27</f>
        <v>4191484</v>
      </c>
      <c r="C23" s="49">
        <f>'$100M_Formula'!G27</f>
        <v>0</v>
      </c>
      <c r="D23" s="49">
        <f t="shared" si="1"/>
        <v>4191484</v>
      </c>
      <c r="E23" s="49">
        <f>Tribes!H68</f>
        <v>3826</v>
      </c>
      <c r="F23" s="48">
        <f t="shared" si="0"/>
        <v>4187658</v>
      </c>
    </row>
    <row r="24" spans="1:6" ht="12.75">
      <c r="A24" s="44" t="s">
        <v>19</v>
      </c>
      <c r="B24" s="49">
        <f>'$490M_BG_Ratios'!C28</f>
        <v>6701737</v>
      </c>
      <c r="C24" s="49">
        <f>'$100M_Formula'!G28</f>
        <v>0</v>
      </c>
      <c r="D24" s="49">
        <f t="shared" si="1"/>
        <v>6701737</v>
      </c>
      <c r="E24" s="49"/>
      <c r="F24" s="48">
        <f t="shared" si="0"/>
        <v>6701737</v>
      </c>
    </row>
    <row r="25" spans="1:6" ht="12.75">
      <c r="A25" s="44" t="s">
        <v>20</v>
      </c>
      <c r="B25" s="49">
        <f>'$490M_BG_Ratios'!C29</f>
        <v>4305439</v>
      </c>
      <c r="C25" s="49">
        <f>'$100M_Formula'!G29</f>
        <v>0</v>
      </c>
      <c r="D25" s="49">
        <f t="shared" si="1"/>
        <v>4305439</v>
      </c>
      <c r="E25" s="49"/>
      <c r="F25" s="48">
        <f t="shared" si="0"/>
        <v>4305439</v>
      </c>
    </row>
    <row r="26" spans="1:6" ht="12.75">
      <c r="A26" s="44" t="s">
        <v>21</v>
      </c>
      <c r="B26" s="49">
        <f>'$490M_BG_Ratios'!C30</f>
        <v>6657368</v>
      </c>
      <c r="C26" s="49">
        <f>'$100M_Formula'!G30</f>
        <v>23072934</v>
      </c>
      <c r="D26" s="49">
        <f t="shared" si="1"/>
        <v>29730302</v>
      </c>
      <c r="E26" s="49">
        <f>Tribes!H70</f>
        <v>1086643</v>
      </c>
      <c r="F26" s="48">
        <f t="shared" si="0"/>
        <v>28643659</v>
      </c>
    </row>
    <row r="27" spans="1:6" ht="12.75">
      <c r="A27" s="44" t="s">
        <v>22</v>
      </c>
      <c r="B27" s="49">
        <f>'$490M_BG_Ratios'!C31</f>
        <v>7868391</v>
      </c>
      <c r="C27" s="49">
        <f>'$100M_Formula'!G31</f>
        <v>0</v>
      </c>
      <c r="D27" s="49">
        <f t="shared" si="1"/>
        <v>7868391</v>
      </c>
      <c r="E27" s="49"/>
      <c r="F27" s="48">
        <f t="shared" si="0"/>
        <v>7868391</v>
      </c>
    </row>
    <row r="28" spans="1:6" ht="12.75">
      <c r="A28" s="44" t="s">
        <v>23</v>
      </c>
      <c r="B28" s="49">
        <f>'$490M_BG_Ratios'!C32</f>
        <v>20555892</v>
      </c>
      <c r="C28" s="49">
        <f>'$100M_Formula'!G32</f>
        <v>29963042</v>
      </c>
      <c r="D28" s="49">
        <f t="shared" si="1"/>
        <v>50518934</v>
      </c>
      <c r="E28" s="49">
        <f>Tribes!H76</f>
        <v>20207</v>
      </c>
      <c r="F28" s="48">
        <f t="shared" si="0"/>
        <v>50498727</v>
      </c>
    </row>
    <row r="29" spans="1:6" ht="12.75">
      <c r="A29" s="44" t="s">
        <v>24</v>
      </c>
      <c r="B29" s="49">
        <f>'$490M_BG_Ratios'!C33</f>
        <v>27004012</v>
      </c>
      <c r="C29" s="49">
        <f>'$100M_Formula'!G33</f>
        <v>0</v>
      </c>
      <c r="D29" s="49">
        <f t="shared" si="1"/>
        <v>27004012</v>
      </c>
      <c r="E29" s="49">
        <f>Tribes!H78</f>
        <v>141838</v>
      </c>
      <c r="F29" s="48">
        <f t="shared" si="0"/>
        <v>26862174</v>
      </c>
    </row>
    <row r="30" spans="1:6" ht="12.75">
      <c r="A30" s="44" t="s">
        <v>25</v>
      </c>
      <c r="B30" s="49">
        <f>'$490M_BG_Ratios'!C34</f>
        <v>19454863</v>
      </c>
      <c r="C30" s="49">
        <f>'$100M_Formula'!G34</f>
        <v>0</v>
      </c>
      <c r="D30" s="49">
        <f t="shared" si="1"/>
        <v>19454863</v>
      </c>
      <c r="E30" s="49"/>
      <c r="F30" s="48">
        <f t="shared" si="0"/>
        <v>19454863</v>
      </c>
    </row>
    <row r="31" spans="1:6" ht="12.75">
      <c r="A31" s="44" t="s">
        <v>26</v>
      </c>
      <c r="B31" s="49">
        <f>'$490M_BG_Ratios'!C35</f>
        <v>3610562</v>
      </c>
      <c r="C31" s="49">
        <f>'$100M_Formula'!G35</f>
        <v>0</v>
      </c>
      <c r="D31" s="49">
        <f t="shared" si="1"/>
        <v>3610562</v>
      </c>
      <c r="E31" s="49">
        <f>Tribes!H85</f>
        <v>6843</v>
      </c>
      <c r="F31" s="48">
        <f t="shared" si="0"/>
        <v>3603719</v>
      </c>
    </row>
    <row r="32" spans="1:6" ht="12.75">
      <c r="A32" s="44" t="s">
        <v>27</v>
      </c>
      <c r="B32" s="49">
        <f>'$490M_BG_Ratios'!C36</f>
        <v>11361193</v>
      </c>
      <c r="C32" s="49">
        <f>'$100M_Formula'!G36</f>
        <v>0</v>
      </c>
      <c r="D32" s="49">
        <f t="shared" si="1"/>
        <v>11361193</v>
      </c>
      <c r="E32" s="49"/>
      <c r="F32" s="48">
        <f t="shared" si="0"/>
        <v>11361193</v>
      </c>
    </row>
    <row r="33" spans="1:6" ht="12.75">
      <c r="A33" s="44" t="s">
        <v>28</v>
      </c>
      <c r="B33" s="49">
        <f>'$490M_BG_Ratios'!C37</f>
        <v>3604059</v>
      </c>
      <c r="C33" s="49">
        <f>'$100M_Formula'!G37</f>
        <v>0</v>
      </c>
      <c r="D33" s="49">
        <f t="shared" si="1"/>
        <v>3604059</v>
      </c>
      <c r="E33" s="49">
        <f>Tribes!H87</f>
        <v>630011</v>
      </c>
      <c r="F33" s="48">
        <f t="shared" si="0"/>
        <v>2974048</v>
      </c>
    </row>
    <row r="34" spans="1:6" ht="12.75">
      <c r="A34" s="44" t="s">
        <v>29</v>
      </c>
      <c r="B34" s="49">
        <f>'$490M_BG_Ratios'!C38</f>
        <v>4513605</v>
      </c>
      <c r="C34" s="49">
        <f>'$100M_Formula'!G38</f>
        <v>0</v>
      </c>
      <c r="D34" s="49">
        <f t="shared" si="1"/>
        <v>4513605</v>
      </c>
      <c r="E34" s="49">
        <f>Tribes!H94</f>
        <v>1711</v>
      </c>
      <c r="F34" s="48">
        <f t="shared" si="0"/>
        <v>4511894</v>
      </c>
    </row>
    <row r="35" spans="1:6" ht="12.75">
      <c r="A35" s="44" t="s">
        <v>30</v>
      </c>
      <c r="B35" s="49">
        <f>'$490M_BG_Ratios'!C39</f>
        <v>956554</v>
      </c>
      <c r="C35" s="49">
        <f>'$100M_Formula'!G39</f>
        <v>0</v>
      </c>
      <c r="D35" s="49">
        <f t="shared" si="1"/>
        <v>956554</v>
      </c>
      <c r="E35" s="49"/>
      <c r="F35" s="48">
        <f t="shared" si="0"/>
        <v>956554</v>
      </c>
    </row>
    <row r="36" spans="1:6" ht="12.75">
      <c r="A36" s="44" t="s">
        <v>31</v>
      </c>
      <c r="B36" s="49">
        <f>'$490M_BG_Ratios'!C40</f>
        <v>3890811</v>
      </c>
      <c r="C36" s="49">
        <f>'$100M_Formula'!G40</f>
        <v>9733541</v>
      </c>
      <c r="D36" s="49">
        <f t="shared" si="1"/>
        <v>13624352</v>
      </c>
      <c r="E36" s="49"/>
      <c r="F36" s="48">
        <f t="shared" si="0"/>
        <v>13624352</v>
      </c>
    </row>
    <row r="37" spans="1:6" ht="12.75">
      <c r="A37" s="44" t="s">
        <v>32</v>
      </c>
      <c r="B37" s="49">
        <f>'$490M_BG_Ratios'!C41</f>
        <v>19082949</v>
      </c>
      <c r="C37" s="49">
        <f>'$100M_Formula'!G41</f>
        <v>0</v>
      </c>
      <c r="D37" s="49">
        <f t="shared" si="1"/>
        <v>19082949</v>
      </c>
      <c r="E37" s="49"/>
      <c r="F37" s="48">
        <f t="shared" si="0"/>
        <v>19082949</v>
      </c>
    </row>
    <row r="38" spans="1:6" ht="12.75">
      <c r="A38" s="44" t="s">
        <v>33</v>
      </c>
      <c r="B38" s="49">
        <f>'$490M_BG_Ratios'!C42</f>
        <v>2549744</v>
      </c>
      <c r="C38" s="49">
        <f>'$100M_Formula'!G42</f>
        <v>0</v>
      </c>
      <c r="D38" s="49">
        <f t="shared" si="1"/>
        <v>2549744</v>
      </c>
      <c r="E38" s="49">
        <f>Tribes!H96</f>
        <v>202989</v>
      </c>
      <c r="F38" s="48">
        <f t="shared" si="0"/>
        <v>2346755</v>
      </c>
    </row>
    <row r="39" spans="1:6" ht="12.75">
      <c r="A39" s="44" t="s">
        <v>34</v>
      </c>
      <c r="B39" s="49">
        <f>'$490M_BG_Ratios'!C43</f>
        <v>62308715</v>
      </c>
      <c r="C39" s="49">
        <f>'$100M_Formula'!G43</f>
        <v>0</v>
      </c>
      <c r="D39" s="49">
        <f t="shared" si="1"/>
        <v>62308715</v>
      </c>
      <c r="E39" s="49">
        <f>Tribes!H104</f>
        <v>68801</v>
      </c>
      <c r="F39" s="48">
        <f aca="true" t="shared" si="2" ref="F39:F57">D39-E39</f>
        <v>62239914</v>
      </c>
    </row>
    <row r="40" spans="1:6" ht="12.75">
      <c r="A40" s="44" t="s">
        <v>35</v>
      </c>
      <c r="B40" s="49">
        <f>'$490M_BG_Ratios'!C44</f>
        <v>9285889</v>
      </c>
      <c r="C40" s="49">
        <f>'$100M_Formula'!G44</f>
        <v>0</v>
      </c>
      <c r="D40" s="49">
        <f t="shared" si="1"/>
        <v>9285889</v>
      </c>
      <c r="E40" s="49">
        <f>Tribes!H107</f>
        <v>165143</v>
      </c>
      <c r="F40" s="48">
        <f t="shared" si="2"/>
        <v>9120746</v>
      </c>
    </row>
    <row r="41" spans="1:6" ht="12.75">
      <c r="A41" s="44" t="s">
        <v>36</v>
      </c>
      <c r="B41" s="49">
        <f>'$490M_BG_Ratios'!C45</f>
        <v>3915098</v>
      </c>
      <c r="C41" s="49">
        <f>'$100M_Formula'!G45</f>
        <v>0</v>
      </c>
      <c r="D41" s="49">
        <f t="shared" si="1"/>
        <v>3915098</v>
      </c>
      <c r="E41" s="49">
        <f>Tribes!H109</f>
        <v>801420</v>
      </c>
      <c r="F41" s="48">
        <f t="shared" si="2"/>
        <v>3113678</v>
      </c>
    </row>
    <row r="42" spans="1:6" ht="12.75">
      <c r="A42" s="44" t="s">
        <v>37</v>
      </c>
      <c r="B42" s="49">
        <f>'$490M_BG_Ratios'!C46</f>
        <v>25161970</v>
      </c>
      <c r="C42" s="49">
        <f>'$100M_Formula'!G46</f>
        <v>0</v>
      </c>
      <c r="D42" s="49">
        <f t="shared" si="1"/>
        <v>25161970</v>
      </c>
      <c r="E42" s="49"/>
      <c r="F42" s="48">
        <f t="shared" si="2"/>
        <v>25161970</v>
      </c>
    </row>
    <row r="43" spans="1:6" ht="12.75">
      <c r="A43" s="44" t="s">
        <v>38</v>
      </c>
      <c r="B43" s="49">
        <f>'$490M_BG_Ratios'!C47</f>
        <v>3871078</v>
      </c>
      <c r="C43" s="49">
        <f>'$100M_Formula'!G47</f>
        <v>0</v>
      </c>
      <c r="D43" s="49">
        <f t="shared" si="1"/>
        <v>3871078</v>
      </c>
      <c r="E43" s="49">
        <f>Tribes!H114</f>
        <v>350370</v>
      </c>
      <c r="F43" s="48">
        <f t="shared" si="2"/>
        <v>3520708</v>
      </c>
    </row>
    <row r="44" spans="1:6" ht="12.75">
      <c r="A44" s="44" t="s">
        <v>39</v>
      </c>
      <c r="B44" s="49">
        <f>'$490M_BG_Ratios'!C48</f>
        <v>6105258</v>
      </c>
      <c r="C44" s="49">
        <f>'$100M_Formula'!G48</f>
        <v>0</v>
      </c>
      <c r="D44" s="49">
        <f t="shared" si="1"/>
        <v>6105258</v>
      </c>
      <c r="E44" s="49">
        <f>Tribes!H147</f>
        <v>96201</v>
      </c>
      <c r="F44" s="48">
        <f t="shared" si="2"/>
        <v>6009057</v>
      </c>
    </row>
    <row r="45" spans="1:6" ht="12.75">
      <c r="A45" s="44" t="s">
        <v>40</v>
      </c>
      <c r="B45" s="49">
        <f>'$490M_BG_Ratios'!C49</f>
        <v>33468972</v>
      </c>
      <c r="C45" s="49">
        <f>'$100M_Formula'!G49</f>
        <v>0</v>
      </c>
      <c r="D45" s="49">
        <f t="shared" si="1"/>
        <v>33468972</v>
      </c>
      <c r="E45" s="49"/>
      <c r="F45" s="48">
        <f t="shared" si="2"/>
        <v>33468972</v>
      </c>
    </row>
    <row r="46" spans="1:6" ht="12.75">
      <c r="A46" s="44" t="s">
        <v>41</v>
      </c>
      <c r="B46" s="49">
        <f>'$490M_BG_Ratios'!C50</f>
        <v>3383617</v>
      </c>
      <c r="C46" s="49">
        <f>'$100M_Formula'!G50</f>
        <v>5060808</v>
      </c>
      <c r="D46" s="49">
        <f t="shared" si="1"/>
        <v>8444425</v>
      </c>
      <c r="E46" s="49">
        <f>Tribes!H154</f>
        <v>23927</v>
      </c>
      <c r="F46" s="48">
        <f t="shared" si="2"/>
        <v>8420498</v>
      </c>
    </row>
    <row r="47" spans="1:6" ht="12.75">
      <c r="A47" s="44" t="s">
        <v>42</v>
      </c>
      <c r="B47" s="49">
        <f>'$490M_BG_Ratios'!C51</f>
        <v>3344655</v>
      </c>
      <c r="C47" s="49">
        <f>'$100M_Formula'!G51</f>
        <v>0</v>
      </c>
      <c r="D47" s="49">
        <f t="shared" si="1"/>
        <v>3344655</v>
      </c>
      <c r="E47" s="49"/>
      <c r="F47" s="48">
        <f t="shared" si="2"/>
        <v>3344655</v>
      </c>
    </row>
    <row r="48" spans="1:6" ht="12.75">
      <c r="A48" s="44" t="s">
        <v>43</v>
      </c>
      <c r="B48" s="49">
        <f>'$490M_BG_Ratios'!C52</f>
        <v>3179746</v>
      </c>
      <c r="C48" s="49">
        <f>'$100M_Formula'!G52</f>
        <v>0</v>
      </c>
      <c r="D48" s="49">
        <f t="shared" si="1"/>
        <v>3179746</v>
      </c>
      <c r="E48" s="49">
        <f>Tribes!H156</f>
        <v>565358</v>
      </c>
      <c r="F48" s="48">
        <f t="shared" si="2"/>
        <v>2614388</v>
      </c>
    </row>
    <row r="49" spans="1:6" ht="12.75">
      <c r="A49" s="44" t="s">
        <v>44</v>
      </c>
      <c r="B49" s="49">
        <f>'$490M_BG_Ratios'!C53</f>
        <v>6788716</v>
      </c>
      <c r="C49" s="49">
        <f>'$100M_Formula'!G53</f>
        <v>0</v>
      </c>
      <c r="D49" s="49">
        <f t="shared" si="1"/>
        <v>6788716</v>
      </c>
      <c r="E49" s="49"/>
      <c r="F49" s="48">
        <f t="shared" si="2"/>
        <v>6788716</v>
      </c>
    </row>
    <row r="50" spans="1:6" ht="12.75">
      <c r="A50" s="44" t="s">
        <v>45</v>
      </c>
      <c r="B50" s="49">
        <f>'$490M_BG_Ratios'!C54</f>
        <v>11085977</v>
      </c>
      <c r="C50" s="49">
        <f>'$100M_Formula'!G54</f>
        <v>0</v>
      </c>
      <c r="D50" s="49">
        <f t="shared" si="1"/>
        <v>11085977</v>
      </c>
      <c r="E50" s="49"/>
      <c r="F50" s="48">
        <f t="shared" si="2"/>
        <v>11085977</v>
      </c>
    </row>
    <row r="51" spans="1:6" ht="12.75">
      <c r="A51" s="44" t="s">
        <v>46</v>
      </c>
      <c r="B51" s="49">
        <f>'$490M_BG_Ratios'!C55</f>
        <v>3660610</v>
      </c>
      <c r="C51" s="49">
        <f>'$100M_Formula'!G55</f>
        <v>0</v>
      </c>
      <c r="D51" s="49">
        <f t="shared" si="1"/>
        <v>3660610</v>
      </c>
      <c r="E51" s="49">
        <f>Tribes!H164</f>
        <v>51164</v>
      </c>
      <c r="F51" s="48">
        <f t="shared" si="2"/>
        <v>3609446</v>
      </c>
    </row>
    <row r="52" spans="1:6" ht="12.75">
      <c r="A52" s="44" t="s">
        <v>47</v>
      </c>
      <c r="B52" s="49">
        <f>'$490M_BG_Ratios'!C56</f>
        <v>2916301</v>
      </c>
      <c r="C52" s="49">
        <f>'$100M_Formula'!G56</f>
        <v>7670862</v>
      </c>
      <c r="D52" s="49">
        <f t="shared" si="1"/>
        <v>10587163</v>
      </c>
      <c r="E52" s="49"/>
      <c r="F52" s="48">
        <f t="shared" si="2"/>
        <v>10587163</v>
      </c>
    </row>
    <row r="53" spans="1:6" ht="12.75">
      <c r="A53" s="44" t="s">
        <v>48</v>
      </c>
      <c r="B53" s="49">
        <f>'$490M_BG_Ratios'!C57</f>
        <v>9584580</v>
      </c>
      <c r="C53" s="49">
        <f>'$100M_Formula'!G57</f>
        <v>0</v>
      </c>
      <c r="D53" s="49">
        <f t="shared" si="1"/>
        <v>9584580</v>
      </c>
      <c r="E53" s="49"/>
      <c r="F53" s="48">
        <f t="shared" si="2"/>
        <v>9584580</v>
      </c>
    </row>
    <row r="54" spans="1:6" ht="12.75">
      <c r="A54" s="44" t="s">
        <v>49</v>
      </c>
      <c r="B54" s="49">
        <f>'$490M_BG_Ratios'!C58</f>
        <v>10042308</v>
      </c>
      <c r="C54" s="49">
        <f>'$100M_Formula'!G58</f>
        <v>0</v>
      </c>
      <c r="D54" s="49">
        <f t="shared" si="1"/>
        <v>10042308</v>
      </c>
      <c r="E54" s="49">
        <f>Tribes!H168</f>
        <v>408586</v>
      </c>
      <c r="F54" s="48">
        <f t="shared" si="2"/>
        <v>9633722</v>
      </c>
    </row>
    <row r="55" spans="1:6" ht="12.75">
      <c r="A55" s="44" t="s">
        <v>50</v>
      </c>
      <c r="B55" s="49">
        <f>'$490M_BG_Ratios'!C59</f>
        <v>4435048</v>
      </c>
      <c r="C55" s="49">
        <f>'$100M_Formula'!G59</f>
        <v>0</v>
      </c>
      <c r="D55" s="49">
        <f t="shared" si="1"/>
        <v>4435048</v>
      </c>
      <c r="E55" s="49"/>
      <c r="F55" s="48">
        <f t="shared" si="2"/>
        <v>4435048</v>
      </c>
    </row>
    <row r="56" spans="1:6" ht="12.75">
      <c r="A56" s="44" t="s">
        <v>51</v>
      </c>
      <c r="B56" s="49">
        <f>'$490M_BG_Ratios'!C60</f>
        <v>17512170</v>
      </c>
      <c r="C56" s="49">
        <f>'$100M_Formula'!G60</f>
        <v>0</v>
      </c>
      <c r="D56" s="49">
        <f t="shared" si="1"/>
        <v>17512170</v>
      </c>
      <c r="E56" s="49"/>
      <c r="F56" s="48">
        <f t="shared" si="2"/>
        <v>17512170</v>
      </c>
    </row>
    <row r="57" spans="1:6" ht="13.5" thickBot="1">
      <c r="A57" s="50" t="s">
        <v>52</v>
      </c>
      <c r="B57" s="52">
        <f>'$490M_BG_Ratios'!C61</f>
        <v>1465628</v>
      </c>
      <c r="C57" s="52">
        <f>'$100M_Formula'!G61</f>
        <v>0</v>
      </c>
      <c r="D57" s="52">
        <f t="shared" si="1"/>
        <v>1465628</v>
      </c>
      <c r="E57" s="52">
        <f>Tribes!H190</f>
        <v>23952</v>
      </c>
      <c r="F57" s="51">
        <f t="shared" si="2"/>
        <v>1441676</v>
      </c>
    </row>
    <row r="58" spans="1:6" ht="13.5" thickTop="1">
      <c r="A58" s="53" t="s">
        <v>57</v>
      </c>
      <c r="B58" s="49">
        <f>SUM(B7:B57)</f>
        <v>489663959</v>
      </c>
      <c r="C58" s="49">
        <f>SUM(C7:C57)</f>
        <v>100000000</v>
      </c>
      <c r="D58" s="49">
        <f>SUM(D7:D57)</f>
        <v>589663959</v>
      </c>
      <c r="E58" s="49">
        <f>SUM(E7:E57)</f>
        <v>7430366</v>
      </c>
      <c r="F58" s="48">
        <f>SUM(F7:F57)</f>
        <v>582233593</v>
      </c>
    </row>
    <row r="59" spans="1:6" ht="12.75">
      <c r="A59" s="53"/>
      <c r="B59" s="53"/>
      <c r="C59" s="53"/>
      <c r="D59" s="48"/>
      <c r="E59" s="49"/>
      <c r="F59" s="48"/>
    </row>
    <row r="60" spans="1:6" ht="12.75">
      <c r="A60" s="53"/>
      <c r="B60" s="53"/>
      <c r="C60" s="53"/>
      <c r="D60" s="48"/>
      <c r="E60" s="49"/>
      <c r="F60" s="48"/>
    </row>
    <row r="61" spans="1:4" ht="12.75">
      <c r="A61" s="53" t="s">
        <v>76</v>
      </c>
      <c r="B61" s="48">
        <v>590328000</v>
      </c>
      <c r="C61" s="49"/>
      <c r="D61" s="48"/>
    </row>
    <row r="62" spans="1:4" ht="12.75">
      <c r="A62" s="53" t="s">
        <v>58</v>
      </c>
      <c r="B62" s="48">
        <f>D71</f>
        <v>664041</v>
      </c>
      <c r="C62" s="49"/>
      <c r="D62" s="48"/>
    </row>
    <row r="63" spans="1:4" ht="12.75">
      <c r="A63" s="53" t="s">
        <v>69</v>
      </c>
      <c r="B63" s="48">
        <f>(B61-B62)</f>
        <v>589663959</v>
      </c>
      <c r="C63" s="49"/>
      <c r="D63" s="48"/>
    </row>
    <row r="64" spans="1:4" ht="12.75">
      <c r="A64" s="39"/>
      <c r="B64" s="39"/>
      <c r="C64" s="53" t="s">
        <v>55</v>
      </c>
      <c r="D64" s="39"/>
    </row>
    <row r="65" spans="1:7" s="40" customFormat="1" ht="38.25">
      <c r="A65" s="73" t="s">
        <v>75</v>
      </c>
      <c r="B65" s="84" t="s">
        <v>84</v>
      </c>
      <c r="C65" s="84" t="s">
        <v>83</v>
      </c>
      <c r="D65" s="85" t="s">
        <v>82</v>
      </c>
      <c r="E65" s="75"/>
      <c r="F65" s="78"/>
      <c r="G65" s="78"/>
    </row>
    <row r="66" spans="1:7" s="40" customFormat="1" ht="12.75" customHeight="1">
      <c r="A66" s="54" t="s">
        <v>60</v>
      </c>
      <c r="B66" s="86">
        <f>'$490M_BG_Ratios'!C70</f>
        <v>10985</v>
      </c>
      <c r="C66" s="86">
        <f>'$100M_Formula'!C65</f>
        <v>0</v>
      </c>
      <c r="D66" s="79">
        <f>B66+C66</f>
        <v>10985</v>
      </c>
      <c r="E66" s="78"/>
      <c r="F66" s="78"/>
      <c r="G66" s="78"/>
    </row>
    <row r="67" spans="1:7" s="40" customFormat="1" ht="12.75" customHeight="1">
      <c r="A67" s="54" t="s">
        <v>61</v>
      </c>
      <c r="B67" s="86">
        <f>'$490M_BG_Ratios'!C71</f>
        <v>24084</v>
      </c>
      <c r="C67" s="86">
        <f>'$100M_Formula'!C66</f>
        <v>0</v>
      </c>
      <c r="D67" s="79">
        <f>B67+C67</f>
        <v>24084</v>
      </c>
      <c r="E67" s="78"/>
      <c r="F67" s="78"/>
      <c r="G67" s="78"/>
    </row>
    <row r="68" spans="1:7" s="40" customFormat="1" ht="12.75" customHeight="1">
      <c r="A68" s="54" t="s">
        <v>62</v>
      </c>
      <c r="B68" s="86">
        <f>'$490M_BG_Ratios'!C72</f>
        <v>8365</v>
      </c>
      <c r="C68" s="86">
        <f>'$100M_Formula'!C67</f>
        <v>0</v>
      </c>
      <c r="D68" s="79">
        <f>B68+C68</f>
        <v>8365</v>
      </c>
      <c r="E68" s="78"/>
      <c r="F68" s="78"/>
      <c r="G68" s="78"/>
    </row>
    <row r="69" spans="1:7" s="40" customFormat="1" ht="12.75" customHeight="1">
      <c r="A69" s="54" t="s">
        <v>63</v>
      </c>
      <c r="B69" s="86">
        <f>'$490M_BG_Ratios'!C73</f>
        <v>597833</v>
      </c>
      <c r="C69" s="86">
        <f>'$100M_Formula'!C68</f>
        <v>0</v>
      </c>
      <c r="D69" s="79">
        <f>B69+C69</f>
        <v>597833</v>
      </c>
      <c r="E69" s="78"/>
      <c r="F69" s="78"/>
      <c r="G69" s="78"/>
    </row>
    <row r="70" spans="1:7" s="40" customFormat="1" ht="12.75" customHeight="1" thickBot="1">
      <c r="A70" s="50" t="s">
        <v>64</v>
      </c>
      <c r="B70" s="52">
        <f>'$490M_BG_Ratios'!C74</f>
        <v>22774</v>
      </c>
      <c r="C70" s="52">
        <f>'$100M_Formula'!C69</f>
        <v>0</v>
      </c>
      <c r="D70" s="51">
        <f>B70+C70</f>
        <v>22774</v>
      </c>
      <c r="E70" s="78"/>
      <c r="F70" s="78"/>
      <c r="G70" s="78"/>
    </row>
    <row r="71" spans="1:7" s="40" customFormat="1" ht="12.75" customHeight="1" thickTop="1">
      <c r="A71" s="53" t="s">
        <v>57</v>
      </c>
      <c r="B71" s="49">
        <f>SUM(B66:B70)</f>
        <v>664041</v>
      </c>
      <c r="C71" s="49">
        <f>SUM(C66:C70)</f>
        <v>0</v>
      </c>
      <c r="D71" s="48">
        <v>664041</v>
      </c>
      <c r="E71" s="72"/>
      <c r="F71" s="78"/>
      <c r="G71" s="78"/>
    </row>
    <row r="73" ht="12.75">
      <c r="A73" s="40" t="str">
        <f>"DEA/PE "&amp;TEXT('$490M_BG_Ratios'!$C$2,"dd-MMM-yy")</f>
        <v>DEA/PE 24-Oct-08</v>
      </c>
    </row>
  </sheetData>
  <sheetProtection/>
  <mergeCells count="2">
    <mergeCell ref="A2:F2"/>
    <mergeCell ref="A1:F1"/>
  </mergeCells>
  <printOptions gridLines="1" horizontalCentered="1"/>
  <pageMargins left="0.75" right="0.75" top="0.25" bottom="0.76" header="0.5" footer="0.5"/>
  <pageSetup horizontalDpi="600" verticalDpi="600" orientation="portrait" scale="66" r:id="rId1"/>
  <headerFooter alignWithMargins="0">
    <oddFooter>&amp;L&amp;"Arial,Regular"'&amp;F' [&amp;A]&amp;R&amp;"Arial,Regular"Page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0"/>
  </sheetPr>
  <dimension ref="A1:L512"/>
  <sheetViews>
    <sheetView workbookViewId="0" topLeftCell="A1">
      <pane xSplit="1" ySplit="10" topLeftCell="B11" activePane="bottomRight" state="frozen"/>
      <selection pane="topLeft" activeCell="A47" sqref="A47"/>
      <selection pane="topRight" activeCell="A47" sqref="A47"/>
      <selection pane="bottomLeft" activeCell="A47" sqref="A47"/>
      <selection pane="bottomRight" activeCell="B11" sqref="B11"/>
    </sheetView>
  </sheetViews>
  <sheetFormatPr defaultColWidth="20.83203125" defaultRowHeight="12.75"/>
  <cols>
    <col min="1" max="1" width="48.16015625" style="91" customWidth="1"/>
    <col min="2" max="9" width="21" style="91" customWidth="1"/>
    <col min="10" max="10" width="4.33203125" style="91" customWidth="1"/>
    <col min="11" max="16384" width="20.83203125" style="91" customWidth="1"/>
  </cols>
  <sheetData>
    <row r="1" spans="1:9" ht="12.75">
      <c r="A1" s="130" t="s">
        <v>89</v>
      </c>
      <c r="B1" s="130"/>
      <c r="C1" s="130"/>
      <c r="D1" s="130"/>
      <c r="E1" s="130"/>
      <c r="F1" s="130"/>
      <c r="G1" s="130"/>
      <c r="H1" s="130"/>
      <c r="I1" s="130"/>
    </row>
    <row r="2" spans="1:9" ht="12.75">
      <c r="A2" s="90" t="s">
        <v>90</v>
      </c>
      <c r="B2" s="92">
        <v>590328000</v>
      </c>
      <c r="C2" s="90"/>
      <c r="D2" s="93" t="s">
        <v>91</v>
      </c>
      <c r="E2" s="90"/>
      <c r="F2" s="90"/>
      <c r="G2" s="90"/>
      <c r="H2" s="90"/>
      <c r="I2" s="90"/>
    </row>
    <row r="3" spans="1:10" ht="12.75">
      <c r="A3" s="131" t="s">
        <v>269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9" ht="14.25">
      <c r="A4" s="94" t="s">
        <v>92</v>
      </c>
      <c r="B4" s="95"/>
      <c r="C4" s="95"/>
      <c r="D4" s="96">
        <f>'$490M_BG_Ratios'!$C$2</f>
        <v>39745</v>
      </c>
      <c r="E4" s="95"/>
      <c r="G4" s="95"/>
      <c r="H4" s="95"/>
      <c r="I4" s="95"/>
    </row>
    <row r="5" spans="1:9" ht="12.75">
      <c r="A5" s="97" t="s">
        <v>93</v>
      </c>
      <c r="B5" s="97" t="s">
        <v>94</v>
      </c>
      <c r="C5" s="95"/>
      <c r="D5" s="95"/>
      <c r="E5" s="95"/>
      <c r="F5" s="95"/>
      <c r="G5" s="95"/>
      <c r="H5" s="95"/>
      <c r="I5" s="95"/>
    </row>
    <row r="6" spans="1:9" ht="12.75">
      <c r="A6" s="97" t="s">
        <v>95</v>
      </c>
      <c r="B6" s="97" t="s">
        <v>96</v>
      </c>
      <c r="C6" s="95"/>
      <c r="D6" s="95"/>
      <c r="E6" s="95"/>
      <c r="F6" s="95"/>
      <c r="G6" s="95"/>
      <c r="H6" s="95"/>
      <c r="I6" s="95"/>
    </row>
    <row r="7" spans="1:9" ht="12.75">
      <c r="A7" s="97" t="s">
        <v>97</v>
      </c>
      <c r="B7" s="97" t="s">
        <v>98</v>
      </c>
      <c r="C7" s="95"/>
      <c r="D7" s="95"/>
      <c r="E7" s="95"/>
      <c r="F7" s="95"/>
      <c r="G7" s="95"/>
      <c r="H7" s="95"/>
      <c r="I7" s="95"/>
    </row>
    <row r="8" spans="1:9" ht="12.75">
      <c r="A8" s="97" t="s">
        <v>99</v>
      </c>
      <c r="B8" s="97" t="s">
        <v>100</v>
      </c>
      <c r="C8" s="95"/>
      <c r="D8" s="95"/>
      <c r="E8" s="95"/>
      <c r="F8" s="95"/>
      <c r="G8" s="95"/>
      <c r="H8" s="95"/>
      <c r="I8" s="95"/>
    </row>
    <row r="9" spans="1:9" ht="12.75">
      <c r="A9" s="98" t="str">
        <f aca="true" t="shared" si="0" ref="A9:I9">IF(COLUMN()&lt;=26,CHAR(64+COLUMN()),CHAR(64+ROUNDDOWN((COLUMN()-1)/26,0))&amp;CHAR(65+MOD((COLUMN()-1),26)))</f>
        <v>A</v>
      </c>
      <c r="B9" s="98" t="str">
        <f t="shared" si="0"/>
        <v>B</v>
      </c>
      <c r="C9" s="98" t="str">
        <f t="shared" si="0"/>
        <v>C</v>
      </c>
      <c r="D9" s="98" t="str">
        <f t="shared" si="0"/>
        <v>D</v>
      </c>
      <c r="E9" s="98" t="str">
        <f t="shared" si="0"/>
        <v>E</v>
      </c>
      <c r="F9" s="98" t="str">
        <f t="shared" si="0"/>
        <v>F</v>
      </c>
      <c r="G9" s="99" t="str">
        <f t="shared" si="0"/>
        <v>G</v>
      </c>
      <c r="H9" s="98" t="str">
        <f t="shared" si="0"/>
        <v>H</v>
      </c>
      <c r="I9" s="98" t="str">
        <f t="shared" si="0"/>
        <v>I</v>
      </c>
    </row>
    <row r="10" spans="1:11" s="103" customFormat="1" ht="38.25">
      <c r="A10" s="100" t="s">
        <v>101</v>
      </c>
      <c r="B10" s="100" t="s">
        <v>102</v>
      </c>
      <c r="C10" s="100" t="s">
        <v>103</v>
      </c>
      <c r="D10" s="100" t="s">
        <v>104</v>
      </c>
      <c r="E10" s="100" t="s">
        <v>266</v>
      </c>
      <c r="F10" s="101" t="s">
        <v>267</v>
      </c>
      <c r="G10" s="102" t="s">
        <v>105</v>
      </c>
      <c r="H10" s="100" t="s">
        <v>106</v>
      </c>
      <c r="I10" s="100" t="s">
        <v>268</v>
      </c>
      <c r="K10" s="102"/>
    </row>
    <row r="11" spans="1:9" ht="12.75">
      <c r="A11" s="95"/>
      <c r="B11" s="95"/>
      <c r="C11" s="95"/>
      <c r="D11" s="95"/>
      <c r="E11" s="95"/>
      <c r="F11" s="95"/>
      <c r="G11" s="104"/>
      <c r="H11" s="95"/>
      <c r="I11" s="95"/>
    </row>
    <row r="12" spans="1:11" s="95" customFormat="1" ht="12.75">
      <c r="A12" s="105" t="s">
        <v>2</v>
      </c>
      <c r="E12" s="92">
        <f>States_Territories!D7</f>
        <v>4211330</v>
      </c>
      <c r="F12" s="106"/>
      <c r="G12" s="104"/>
      <c r="H12" s="92">
        <f>SUM($G13:$G15)</f>
        <v>24318</v>
      </c>
      <c r="I12" s="92">
        <f>$E12-$H12</f>
        <v>4187012</v>
      </c>
      <c r="K12" s="106"/>
    </row>
    <row r="13" spans="1:11" s="95" customFormat="1" ht="12.75">
      <c r="A13" s="95" t="s">
        <v>107</v>
      </c>
      <c r="B13" s="95">
        <v>449603</v>
      </c>
      <c r="C13" s="95">
        <v>96</v>
      </c>
      <c r="D13" s="107" t="s">
        <v>108</v>
      </c>
      <c r="E13" s="92"/>
      <c r="F13" s="106">
        <v>0.0002135269781888477</v>
      </c>
      <c r="G13" s="108">
        <f>ROUND(F13*$E$12,0)</f>
        <v>899</v>
      </c>
      <c r="K13" s="106"/>
    </row>
    <row r="14" spans="1:11" s="95" customFormat="1" ht="12.75">
      <c r="A14" s="97" t="s">
        <v>109</v>
      </c>
      <c r="B14" s="109">
        <v>449603</v>
      </c>
      <c r="C14" s="97" t="s">
        <v>55</v>
      </c>
      <c r="D14" s="107" t="s">
        <v>110</v>
      </c>
      <c r="E14" s="92"/>
      <c r="F14" s="106">
        <v>0.0031700057013784337</v>
      </c>
      <c r="G14" s="108">
        <f>ROUND(F14*$E$12,0)</f>
        <v>13350</v>
      </c>
      <c r="I14" s="92"/>
      <c r="K14" s="106"/>
    </row>
    <row r="15" spans="1:11" s="95" customFormat="1" ht="12.75">
      <c r="A15" s="97" t="s">
        <v>111</v>
      </c>
      <c r="B15" s="109">
        <v>449603</v>
      </c>
      <c r="C15" s="109">
        <v>1075</v>
      </c>
      <c r="D15" s="107" t="s">
        <v>108</v>
      </c>
      <c r="E15" s="92"/>
      <c r="F15" s="106">
        <v>0.0023910026774035414</v>
      </c>
      <c r="G15" s="108">
        <f>ROUND(F15*$E$12,0)</f>
        <v>10069</v>
      </c>
      <c r="I15" s="92"/>
      <c r="K15" s="106"/>
    </row>
    <row r="16" spans="1:11" s="95" customFormat="1" ht="12.75">
      <c r="A16" s="105" t="s">
        <v>3</v>
      </c>
      <c r="E16" s="92">
        <f>States_Territories!D8</f>
        <v>7359326</v>
      </c>
      <c r="G16" s="104"/>
      <c r="H16" s="92">
        <f>SUM(G17:G25)</f>
        <v>2259312</v>
      </c>
      <c r="I16" s="92">
        <f>E16-H16</f>
        <v>5100014</v>
      </c>
      <c r="K16" s="106"/>
    </row>
    <row r="17" spans="1:11" s="95" customFormat="1" ht="12.75">
      <c r="A17" s="97" t="s">
        <v>112</v>
      </c>
      <c r="B17" s="109">
        <v>54295</v>
      </c>
      <c r="C17" s="110">
        <v>164</v>
      </c>
      <c r="D17" s="107" t="s">
        <v>110</v>
      </c>
      <c r="E17" s="92"/>
      <c r="F17" s="106">
        <v>0.00854001455589315</v>
      </c>
      <c r="G17" s="108">
        <f aca="true" t="shared" si="1" ref="G17:G25">ROUND(F17*$E$16,0)</f>
        <v>62849</v>
      </c>
      <c r="I17" s="97"/>
      <c r="K17" s="106"/>
    </row>
    <row r="18" spans="1:11" s="95" customFormat="1" ht="12.75">
      <c r="A18" s="97" t="s">
        <v>113</v>
      </c>
      <c r="B18" s="109">
        <v>54295</v>
      </c>
      <c r="C18" s="110">
        <v>2029</v>
      </c>
      <c r="D18" s="107" t="s">
        <v>110</v>
      </c>
      <c r="E18" s="92"/>
      <c r="F18" s="106">
        <v>0.13824945973349723</v>
      </c>
      <c r="G18" s="108">
        <f t="shared" si="1"/>
        <v>1017423</v>
      </c>
      <c r="I18" s="97"/>
      <c r="K18" s="106"/>
    </row>
    <row r="19" spans="1:11" s="95" customFormat="1" ht="12.75">
      <c r="A19" s="97" t="s">
        <v>114</v>
      </c>
      <c r="B19" s="109">
        <v>54295</v>
      </c>
      <c r="C19" s="110">
        <v>111</v>
      </c>
      <c r="D19" s="107" t="s">
        <v>110</v>
      </c>
      <c r="E19" s="92"/>
      <c r="F19" s="106">
        <v>0.0068015047736888715</v>
      </c>
      <c r="G19" s="108">
        <f t="shared" si="1"/>
        <v>50054</v>
      </c>
      <c r="K19" s="106"/>
    </row>
    <row r="20" spans="1:11" s="95" customFormat="1" ht="12.75">
      <c r="A20" s="97" t="s">
        <v>115</v>
      </c>
      <c r="B20" s="109">
        <v>54295</v>
      </c>
      <c r="C20" s="110">
        <v>229</v>
      </c>
      <c r="D20" s="107" t="s">
        <v>110</v>
      </c>
      <c r="E20" s="92"/>
      <c r="F20" s="106">
        <v>0.020740005043180375</v>
      </c>
      <c r="G20" s="108">
        <f t="shared" si="1"/>
        <v>152632</v>
      </c>
      <c r="I20" s="97" t="s">
        <v>55</v>
      </c>
      <c r="K20" s="106"/>
    </row>
    <row r="21" spans="1:11" s="95" customFormat="1" ht="12.75">
      <c r="A21" s="97" t="s">
        <v>116</v>
      </c>
      <c r="B21" s="109">
        <v>54295</v>
      </c>
      <c r="C21" s="110">
        <v>275</v>
      </c>
      <c r="D21" s="107" t="s">
        <v>110</v>
      </c>
      <c r="E21" s="92"/>
      <c r="F21" s="106">
        <v>0.008234988275220855</v>
      </c>
      <c r="G21" s="108">
        <f t="shared" si="1"/>
        <v>60604</v>
      </c>
      <c r="K21" s="106"/>
    </row>
    <row r="22" spans="1:11" s="95" customFormat="1" ht="12.75">
      <c r="A22" s="97" t="s">
        <v>117</v>
      </c>
      <c r="B22" s="109">
        <v>54295</v>
      </c>
      <c r="C22" s="110">
        <v>8</v>
      </c>
      <c r="D22" s="107" t="s">
        <v>110</v>
      </c>
      <c r="E22" s="92"/>
      <c r="F22" s="106">
        <v>0.0007014883152531682</v>
      </c>
      <c r="G22" s="108">
        <f t="shared" si="1"/>
        <v>5162</v>
      </c>
      <c r="K22" s="106"/>
    </row>
    <row r="23" spans="1:11" s="95" customFormat="1" ht="12.75">
      <c r="A23" s="97" t="s">
        <v>118</v>
      </c>
      <c r="B23" s="109">
        <v>54295</v>
      </c>
      <c r="C23" s="110">
        <v>1385</v>
      </c>
      <c r="D23" s="107" t="s">
        <v>110</v>
      </c>
      <c r="E23" s="92"/>
      <c r="F23" s="106">
        <v>0.07750752159846161</v>
      </c>
      <c r="G23" s="108">
        <f t="shared" si="1"/>
        <v>570403</v>
      </c>
      <c r="K23" s="106"/>
    </row>
    <row r="24" spans="1:11" s="95" customFormat="1" ht="12.75">
      <c r="A24" s="97" t="s">
        <v>119</v>
      </c>
      <c r="B24" s="109">
        <v>54295</v>
      </c>
      <c r="C24" s="110">
        <v>1171</v>
      </c>
      <c r="D24" s="107" t="s">
        <v>110</v>
      </c>
      <c r="E24" s="92"/>
      <c r="F24" s="106">
        <v>0.04422499203490631</v>
      </c>
      <c r="G24" s="108">
        <f t="shared" si="1"/>
        <v>325466</v>
      </c>
      <c r="I24" s="97" t="s">
        <v>55</v>
      </c>
      <c r="K24" s="106"/>
    </row>
    <row r="25" spans="1:11" s="95" customFormat="1" ht="12.75">
      <c r="A25" s="2" t="s">
        <v>120</v>
      </c>
      <c r="B25" s="109">
        <v>54295</v>
      </c>
      <c r="C25" s="2">
        <v>77</v>
      </c>
      <c r="D25" s="107" t="s">
        <v>110</v>
      </c>
      <c r="E25" s="92"/>
      <c r="F25" s="106">
        <v>0.002000003309507566</v>
      </c>
      <c r="G25" s="108">
        <f t="shared" si="1"/>
        <v>14719</v>
      </c>
      <c r="I25" s="97"/>
      <c r="K25" s="106"/>
    </row>
    <row r="26" spans="1:11" s="95" customFormat="1" ht="12.75">
      <c r="A26" s="105" t="s">
        <v>4</v>
      </c>
      <c r="E26" s="92">
        <f>States_Territories!D9</f>
        <v>2036650</v>
      </c>
      <c r="G26" s="104"/>
      <c r="H26" s="92">
        <f>SUM(G27:G35)</f>
        <v>154461</v>
      </c>
      <c r="I26" s="92">
        <f>E26-H26</f>
        <v>1882189</v>
      </c>
      <c r="K26" s="106"/>
    </row>
    <row r="27" spans="1:11" s="95" customFormat="1" ht="12.75">
      <c r="A27" s="97" t="s">
        <v>121</v>
      </c>
      <c r="B27" s="109">
        <v>343522</v>
      </c>
      <c r="C27" s="110">
        <v>228</v>
      </c>
      <c r="D27" s="107" t="s">
        <v>108</v>
      </c>
      <c r="F27" s="106">
        <v>0.0006637169436411397</v>
      </c>
      <c r="G27" s="108">
        <f aca="true" t="shared" si="2" ref="G27:G35">ROUND(F27*$E$26,0)</f>
        <v>1352</v>
      </c>
      <c r="K27" s="106"/>
    </row>
    <row r="28" spans="1:11" s="95" customFormat="1" ht="12.75">
      <c r="A28" s="97" t="s">
        <v>122</v>
      </c>
      <c r="B28" s="109">
        <v>343522</v>
      </c>
      <c r="C28" s="110">
        <v>680</v>
      </c>
      <c r="D28" s="107" t="s">
        <v>108</v>
      </c>
      <c r="E28" s="92"/>
      <c r="F28" s="106">
        <v>0.0019794800988369855</v>
      </c>
      <c r="G28" s="108">
        <f t="shared" si="2"/>
        <v>4032</v>
      </c>
      <c r="K28" s="106"/>
    </row>
    <row r="29" spans="1:11" s="95" customFormat="1" ht="12.75">
      <c r="A29" s="97" t="s">
        <v>123</v>
      </c>
      <c r="B29" s="109">
        <v>343522</v>
      </c>
      <c r="C29" s="110">
        <v>2301</v>
      </c>
      <c r="D29" s="107" t="s">
        <v>108</v>
      </c>
      <c r="E29" s="92"/>
      <c r="F29" s="106">
        <v>0.006698277251908208</v>
      </c>
      <c r="G29" s="108">
        <f t="shared" si="2"/>
        <v>13642</v>
      </c>
      <c r="K29" s="106"/>
    </row>
    <row r="30" spans="1:11" s="95" customFormat="1" ht="12.75">
      <c r="A30" s="97" t="s">
        <v>124</v>
      </c>
      <c r="B30" s="109">
        <v>343522</v>
      </c>
      <c r="C30" s="110">
        <v>142</v>
      </c>
      <c r="D30" s="107" t="s">
        <v>108</v>
      </c>
      <c r="E30" s="92"/>
      <c r="F30" s="106">
        <v>0.00041336424826490814</v>
      </c>
      <c r="G30" s="108">
        <f t="shared" si="2"/>
        <v>842</v>
      </c>
      <c r="K30" s="106"/>
    </row>
    <row r="31" spans="1:11" s="95" customFormat="1" ht="12.75">
      <c r="A31" s="97" t="s">
        <v>125</v>
      </c>
      <c r="B31" s="109">
        <v>343522</v>
      </c>
      <c r="C31" s="110">
        <v>19524</v>
      </c>
      <c r="D31" s="107" t="s">
        <v>108</v>
      </c>
      <c r="E31" s="92"/>
      <c r="F31" s="106">
        <v>0.05683477834095276</v>
      </c>
      <c r="G31" s="108">
        <f t="shared" si="2"/>
        <v>115753</v>
      </c>
      <c r="K31" s="106"/>
    </row>
    <row r="32" spans="1:11" s="95" customFormat="1" ht="12.75">
      <c r="A32" s="97" t="s">
        <v>126</v>
      </c>
      <c r="B32" s="109">
        <v>343522</v>
      </c>
      <c r="C32" s="110">
        <v>879</v>
      </c>
      <c r="D32" s="107" t="s">
        <v>108</v>
      </c>
      <c r="E32" s="92"/>
      <c r="F32" s="106">
        <v>0.002558782189746756</v>
      </c>
      <c r="G32" s="108">
        <f t="shared" si="2"/>
        <v>5211</v>
      </c>
      <c r="K32" s="106"/>
    </row>
    <row r="33" spans="1:11" s="95" customFormat="1" ht="12.75">
      <c r="A33" s="97" t="s">
        <v>127</v>
      </c>
      <c r="B33" s="109">
        <v>343522</v>
      </c>
      <c r="C33" s="110">
        <v>50</v>
      </c>
      <c r="D33" s="107" t="s">
        <v>108</v>
      </c>
      <c r="E33" s="92"/>
      <c r="F33" s="106">
        <v>0.00014555709516648885</v>
      </c>
      <c r="G33" s="108">
        <f t="shared" si="2"/>
        <v>296</v>
      </c>
      <c r="K33" s="106"/>
    </row>
    <row r="34" spans="1:11" s="95" customFormat="1" ht="12.75">
      <c r="A34" s="97" t="s">
        <v>128</v>
      </c>
      <c r="B34" s="109">
        <v>343522</v>
      </c>
      <c r="C34" s="110">
        <v>849</v>
      </c>
      <c r="D34" s="107" t="s">
        <v>108</v>
      </c>
      <c r="E34" s="92"/>
      <c r="F34" s="106">
        <v>0.002471441047259201</v>
      </c>
      <c r="G34" s="108">
        <f t="shared" si="2"/>
        <v>5033</v>
      </c>
      <c r="K34" s="106"/>
    </row>
    <row r="35" spans="1:11" s="95" customFormat="1" ht="12.75">
      <c r="A35" s="97" t="s">
        <v>129</v>
      </c>
      <c r="B35" s="109">
        <v>343522</v>
      </c>
      <c r="C35" s="110">
        <v>1400</v>
      </c>
      <c r="D35" s="107" t="s">
        <v>108</v>
      </c>
      <c r="F35" s="106">
        <v>0.004075426529970148</v>
      </c>
      <c r="G35" s="108">
        <f t="shared" si="2"/>
        <v>8300</v>
      </c>
      <c r="K35" s="106"/>
    </row>
    <row r="36" spans="1:11" s="95" customFormat="1" ht="12.75">
      <c r="A36" s="105" t="s">
        <v>6</v>
      </c>
      <c r="E36" s="92">
        <f>States_Territories!D11</f>
        <v>22592561</v>
      </c>
      <c r="G36" s="104"/>
      <c r="H36" s="92">
        <f>SUM(G37:G59)</f>
        <v>191647</v>
      </c>
      <c r="I36" s="92">
        <f>E36-H36</f>
        <v>22400914</v>
      </c>
      <c r="K36" s="106"/>
    </row>
    <row r="37" spans="1:11" s="95" customFormat="1" ht="12.75">
      <c r="A37" s="97" t="s">
        <v>130</v>
      </c>
      <c r="B37" s="109">
        <v>1659723</v>
      </c>
      <c r="C37" s="95">
        <v>130</v>
      </c>
      <c r="D37" s="107" t="s">
        <v>108</v>
      </c>
      <c r="E37" s="92"/>
      <c r="F37" s="106">
        <v>7.832430070240027E-05</v>
      </c>
      <c r="G37" s="108">
        <f aca="true" t="shared" si="3" ref="G37:G59">ROUND(F37*$E$36,0)</f>
        <v>1770</v>
      </c>
      <c r="H37" s="92"/>
      <c r="I37" s="92"/>
      <c r="K37" s="106"/>
    </row>
    <row r="38" spans="1:11" s="95" customFormat="1" ht="12.75">
      <c r="A38" s="2" t="s">
        <v>131</v>
      </c>
      <c r="B38" s="109">
        <v>1659723</v>
      </c>
      <c r="C38" s="95">
        <v>490</v>
      </c>
      <c r="D38" s="107" t="s">
        <v>108</v>
      </c>
      <c r="E38" s="92"/>
      <c r="F38" s="106">
        <v>0.00029523121789090467</v>
      </c>
      <c r="G38" s="108">
        <f t="shared" si="3"/>
        <v>6670</v>
      </c>
      <c r="H38" s="92"/>
      <c r="I38" s="92"/>
      <c r="K38" s="106"/>
    </row>
    <row r="39" spans="1:11" s="95" customFormat="1" ht="12.75">
      <c r="A39" s="97" t="s">
        <v>132</v>
      </c>
      <c r="B39" s="109">
        <v>1659723</v>
      </c>
      <c r="C39" s="110">
        <v>24</v>
      </c>
      <c r="D39" s="107" t="s">
        <v>108</v>
      </c>
      <c r="E39" s="92"/>
      <c r="F39" s="106">
        <v>1.445810015791778E-05</v>
      </c>
      <c r="G39" s="108">
        <f t="shared" si="3"/>
        <v>327</v>
      </c>
      <c r="K39" s="106"/>
    </row>
    <row r="40" spans="1:11" s="95" customFormat="1" ht="12.75">
      <c r="A40" s="97" t="s">
        <v>133</v>
      </c>
      <c r="B40" s="109">
        <v>1659723</v>
      </c>
      <c r="C40" s="110">
        <v>108</v>
      </c>
      <c r="D40" s="107" t="s">
        <v>108</v>
      </c>
      <c r="E40" s="92"/>
      <c r="F40" s="106">
        <v>6.507030441556444E-05</v>
      </c>
      <c r="G40" s="108">
        <f t="shared" si="3"/>
        <v>1470</v>
      </c>
      <c r="I40" s="92"/>
      <c r="K40" s="106"/>
    </row>
    <row r="41" spans="1:11" s="95" customFormat="1" ht="12.75">
      <c r="A41" s="97" t="s">
        <v>134</v>
      </c>
      <c r="B41" s="109">
        <v>1659723</v>
      </c>
      <c r="C41" s="110">
        <v>50</v>
      </c>
      <c r="D41" s="107" t="s">
        <v>108</v>
      </c>
      <c r="E41" s="92"/>
      <c r="F41" s="106">
        <v>3.012473103938472E-05</v>
      </c>
      <c r="G41" s="108">
        <f t="shared" si="3"/>
        <v>681</v>
      </c>
      <c r="I41" s="92"/>
      <c r="K41" s="106"/>
    </row>
    <row r="42" spans="1:11" s="95" customFormat="1" ht="12.75">
      <c r="A42" s="97" t="s">
        <v>135</v>
      </c>
      <c r="B42" s="109">
        <v>1659723</v>
      </c>
      <c r="C42" s="110">
        <v>896</v>
      </c>
      <c r="D42" s="107" t="s">
        <v>108</v>
      </c>
      <c r="E42" s="92"/>
      <c r="F42" s="106">
        <v>0.0005398502315241627</v>
      </c>
      <c r="G42" s="108">
        <f t="shared" si="3"/>
        <v>12197</v>
      </c>
      <c r="K42" s="106"/>
    </row>
    <row r="43" spans="1:11" s="95" customFormat="1" ht="12.75">
      <c r="A43" s="97" t="s">
        <v>136</v>
      </c>
      <c r="B43" s="109">
        <v>1659723</v>
      </c>
      <c r="C43" s="110">
        <v>136</v>
      </c>
      <c r="D43" s="107" t="s">
        <v>108</v>
      </c>
      <c r="F43" s="106">
        <v>8.194103916811333E-05</v>
      </c>
      <c r="G43" s="108">
        <f t="shared" si="3"/>
        <v>1851</v>
      </c>
      <c r="K43" s="106"/>
    </row>
    <row r="44" spans="1:11" s="95" customFormat="1" ht="12.75">
      <c r="A44" s="97" t="s">
        <v>137</v>
      </c>
      <c r="B44" s="109">
        <v>1659723</v>
      </c>
      <c r="C44" s="110">
        <v>650</v>
      </c>
      <c r="D44" s="107" t="s">
        <v>108</v>
      </c>
      <c r="E44" s="92"/>
      <c r="F44" s="106">
        <v>0.0003916303572169358</v>
      </c>
      <c r="G44" s="108">
        <f t="shared" si="3"/>
        <v>8848</v>
      </c>
      <c r="I44" s="92"/>
      <c r="K44" s="106"/>
    </row>
    <row r="45" spans="1:11" s="95" customFormat="1" ht="12.75">
      <c r="A45" s="97" t="s">
        <v>138</v>
      </c>
      <c r="B45" s="109">
        <v>1659723</v>
      </c>
      <c r="C45" s="110">
        <v>371</v>
      </c>
      <c r="D45" s="107" t="s">
        <v>108</v>
      </c>
      <c r="E45" s="92"/>
      <c r="F45" s="106">
        <v>0.0002235294884794551</v>
      </c>
      <c r="G45" s="108">
        <f t="shared" si="3"/>
        <v>5050</v>
      </c>
      <c r="I45" s="92"/>
      <c r="K45" s="106"/>
    </row>
    <row r="46" spans="1:11" s="95" customFormat="1" ht="12.75">
      <c r="A46" s="97" t="s">
        <v>139</v>
      </c>
      <c r="B46" s="109">
        <v>1659723</v>
      </c>
      <c r="C46" s="110">
        <v>5787</v>
      </c>
      <c r="D46" s="107" t="s">
        <v>108</v>
      </c>
      <c r="E46" s="92"/>
      <c r="F46" s="106">
        <v>0.003486726235603472</v>
      </c>
      <c r="G46" s="108">
        <f t="shared" si="3"/>
        <v>78774</v>
      </c>
      <c r="K46" s="106"/>
    </row>
    <row r="47" spans="1:11" s="95" customFormat="1" ht="12.75">
      <c r="A47" s="97" t="s">
        <v>140</v>
      </c>
      <c r="B47" s="109">
        <v>1659723</v>
      </c>
      <c r="C47" s="110">
        <v>82</v>
      </c>
      <c r="D47" s="107" t="s">
        <v>110</v>
      </c>
      <c r="E47" s="92"/>
      <c r="F47" s="106">
        <v>9.99981703818753E-05</v>
      </c>
      <c r="G47" s="108">
        <f t="shared" si="3"/>
        <v>2259</v>
      </c>
      <c r="K47" s="106"/>
    </row>
    <row r="48" spans="1:11" s="95" customFormat="1" ht="12.75">
      <c r="A48" s="97" t="s">
        <v>141</v>
      </c>
      <c r="B48" s="109">
        <v>1659723</v>
      </c>
      <c r="C48" s="110">
        <v>779</v>
      </c>
      <c r="D48" s="107" t="s">
        <v>108</v>
      </c>
      <c r="E48" s="92"/>
      <c r="F48" s="106">
        <v>0.0004693570328362623</v>
      </c>
      <c r="G48" s="108">
        <f t="shared" si="3"/>
        <v>10604</v>
      </c>
      <c r="I48" s="92"/>
      <c r="K48" s="106"/>
    </row>
    <row r="49" spans="1:11" s="95" customFormat="1" ht="12.75">
      <c r="A49" s="97" t="s">
        <v>142</v>
      </c>
      <c r="B49" s="109">
        <v>1659723</v>
      </c>
      <c r="C49" s="110">
        <v>78</v>
      </c>
      <c r="D49" s="107" t="s">
        <v>108</v>
      </c>
      <c r="E49" s="92"/>
      <c r="F49" s="106">
        <v>4.69954657919336E-05</v>
      </c>
      <c r="G49" s="108">
        <f t="shared" si="3"/>
        <v>1062</v>
      </c>
      <c r="I49" s="92"/>
      <c r="K49" s="106"/>
    </row>
    <row r="50" spans="1:11" s="95" customFormat="1" ht="12.75">
      <c r="A50" s="97" t="s">
        <v>143</v>
      </c>
      <c r="B50" s="109">
        <v>1659723</v>
      </c>
      <c r="C50" s="110">
        <v>375</v>
      </c>
      <c r="D50" s="107" t="s">
        <v>108</v>
      </c>
      <c r="E50" s="92"/>
      <c r="F50" s="106">
        <v>0.00022594212307408621</v>
      </c>
      <c r="G50" s="108">
        <f t="shared" si="3"/>
        <v>5105</v>
      </c>
      <c r="K50" s="106"/>
    </row>
    <row r="51" spans="1:11" s="95" customFormat="1" ht="12.75">
      <c r="A51" s="97" t="s">
        <v>144</v>
      </c>
      <c r="B51" s="109">
        <v>1659723</v>
      </c>
      <c r="C51" s="110">
        <v>962</v>
      </c>
      <c r="D51" s="107" t="s">
        <v>108</v>
      </c>
      <c r="E51" s="92"/>
      <c r="F51" s="106">
        <v>0.0005796166472371374</v>
      </c>
      <c r="G51" s="108">
        <f t="shared" si="3"/>
        <v>13095</v>
      </c>
      <c r="K51" s="106"/>
    </row>
    <row r="52" spans="1:11" s="95" customFormat="1" ht="12.75">
      <c r="A52" s="97" t="s">
        <v>145</v>
      </c>
      <c r="B52" s="109">
        <v>1659723</v>
      </c>
      <c r="C52" s="110">
        <v>44</v>
      </c>
      <c r="D52" s="107" t="s">
        <v>108</v>
      </c>
      <c r="E52" s="92"/>
      <c r="F52" s="106">
        <v>2.651241942613888E-05</v>
      </c>
      <c r="G52" s="108">
        <f t="shared" si="3"/>
        <v>599</v>
      </c>
      <c r="K52" s="106"/>
    </row>
    <row r="53" spans="1:11" s="95" customFormat="1" ht="12.75">
      <c r="A53" s="97" t="s">
        <v>146</v>
      </c>
      <c r="B53" s="109">
        <v>1659723</v>
      </c>
      <c r="C53" s="110">
        <v>894</v>
      </c>
      <c r="D53" s="107" t="s">
        <v>108</v>
      </c>
      <c r="E53" s="92"/>
      <c r="F53" s="106">
        <v>0.0005386461276530808</v>
      </c>
      <c r="G53" s="108">
        <f t="shared" si="3"/>
        <v>12169</v>
      </c>
      <c r="I53" s="92"/>
      <c r="K53" s="106"/>
    </row>
    <row r="54" spans="1:11" s="95" customFormat="1" ht="12.75">
      <c r="A54" s="97" t="s">
        <v>147</v>
      </c>
      <c r="B54" s="109">
        <v>1659723</v>
      </c>
      <c r="C54" s="110">
        <v>575</v>
      </c>
      <c r="D54" s="107" t="s">
        <v>108</v>
      </c>
      <c r="E54" s="92"/>
      <c r="F54" s="106">
        <v>0.0003464454740840923</v>
      </c>
      <c r="G54" s="108">
        <f t="shared" si="3"/>
        <v>7827</v>
      </c>
      <c r="I54" s="92"/>
      <c r="K54" s="106"/>
    </row>
    <row r="55" spans="1:11" s="95" customFormat="1" ht="12.75">
      <c r="A55" s="97" t="s">
        <v>148</v>
      </c>
      <c r="B55" s="109">
        <v>1659723</v>
      </c>
      <c r="C55" s="110">
        <v>146</v>
      </c>
      <c r="D55" s="107" t="s">
        <v>108</v>
      </c>
      <c r="E55" s="92"/>
      <c r="F55" s="106">
        <v>8.796598537599026E-05</v>
      </c>
      <c r="G55" s="108">
        <f t="shared" si="3"/>
        <v>1987</v>
      </c>
      <c r="I55" s="92"/>
      <c r="K55" s="106"/>
    </row>
    <row r="56" spans="1:11" s="95" customFormat="1" ht="12.75">
      <c r="A56" s="97" t="s">
        <v>149</v>
      </c>
      <c r="B56" s="109">
        <v>1659723</v>
      </c>
      <c r="C56" s="110">
        <v>66</v>
      </c>
      <c r="D56" s="107" t="s">
        <v>108</v>
      </c>
      <c r="E56" s="92"/>
      <c r="F56" s="106">
        <v>3.976641571297472E-05</v>
      </c>
      <c r="G56" s="108">
        <f t="shared" si="3"/>
        <v>898</v>
      </c>
      <c r="K56" s="106"/>
    </row>
    <row r="57" spans="1:11" s="95" customFormat="1" ht="12.75">
      <c r="A57" s="97" t="s">
        <v>150</v>
      </c>
      <c r="B57" s="109">
        <v>1659723</v>
      </c>
      <c r="C57" s="110">
        <v>101</v>
      </c>
      <c r="D57" s="107" t="s">
        <v>108</v>
      </c>
      <c r="E57" s="92"/>
      <c r="F57" s="106">
        <v>6.085151401431041E-05</v>
      </c>
      <c r="G57" s="108">
        <f t="shared" si="3"/>
        <v>1375</v>
      </c>
      <c r="K57" s="106"/>
    </row>
    <row r="58" spans="1:11" s="95" customFormat="1" ht="12.75">
      <c r="A58" s="97" t="s">
        <v>151</v>
      </c>
      <c r="B58" s="109">
        <v>1659723</v>
      </c>
      <c r="C58" s="110">
        <v>85</v>
      </c>
      <c r="D58" s="107" t="s">
        <v>108</v>
      </c>
      <c r="E58" s="92"/>
      <c r="F58" s="106">
        <v>5.121425619318763E-05</v>
      </c>
      <c r="G58" s="108">
        <f t="shared" si="3"/>
        <v>1157</v>
      </c>
      <c r="K58" s="106"/>
    </row>
    <row r="59" spans="1:11" s="95" customFormat="1" ht="12.75">
      <c r="A59" s="97" t="s">
        <v>152</v>
      </c>
      <c r="B59" s="109">
        <v>1659723</v>
      </c>
      <c r="C59" s="110">
        <v>1166</v>
      </c>
      <c r="D59" s="107" t="s">
        <v>108</v>
      </c>
      <c r="E59" s="92"/>
      <c r="F59" s="106">
        <v>0.0007025282059893074</v>
      </c>
      <c r="G59" s="108">
        <f t="shared" si="3"/>
        <v>15872</v>
      </c>
      <c r="K59" s="106"/>
    </row>
    <row r="60" spans="1:11" s="95" customFormat="1" ht="12.75">
      <c r="A60" s="105" t="s">
        <v>11</v>
      </c>
      <c r="E60" s="92">
        <f>States_Territories!D16</f>
        <v>6663582</v>
      </c>
      <c r="G60" s="104"/>
      <c r="H60" s="92">
        <f>G61</f>
        <v>1708</v>
      </c>
      <c r="I60" s="92">
        <f>$E60-$H60</f>
        <v>6661874</v>
      </c>
      <c r="K60" s="106"/>
    </row>
    <row r="61" spans="1:11" s="95" customFormat="1" ht="12.75">
      <c r="A61" s="97" t="s">
        <v>153</v>
      </c>
      <c r="B61" s="109">
        <v>1205419</v>
      </c>
      <c r="C61" s="109">
        <v>309</v>
      </c>
      <c r="D61" s="107" t="s">
        <v>108</v>
      </c>
      <c r="E61" s="92"/>
      <c r="F61" s="106">
        <v>0.00025634206439960404</v>
      </c>
      <c r="G61" s="108">
        <f>ROUND(F61*E60,0)</f>
        <v>1708</v>
      </c>
      <c r="I61" s="92"/>
      <c r="K61" s="106"/>
    </row>
    <row r="62" spans="1:11" s="95" customFormat="1" ht="12.75">
      <c r="A62" s="105" t="s">
        <v>14</v>
      </c>
      <c r="D62" s="97" t="s">
        <v>55</v>
      </c>
      <c r="E62" s="92">
        <f>States_Territories!D19</f>
        <v>3072681</v>
      </c>
      <c r="G62" s="104"/>
      <c r="H62" s="92">
        <f>SUM(G63:G65)</f>
        <v>149102</v>
      </c>
      <c r="I62" s="92">
        <f>E62-H62</f>
        <v>2923579</v>
      </c>
      <c r="K62" s="106"/>
    </row>
    <row r="63" spans="1:11" s="95" customFormat="1" ht="12.75">
      <c r="A63" s="97" t="s">
        <v>154</v>
      </c>
      <c r="B63" s="109">
        <v>84047</v>
      </c>
      <c r="C63" s="95">
        <v>113</v>
      </c>
      <c r="D63" s="107" t="s">
        <v>155</v>
      </c>
      <c r="E63" s="92"/>
      <c r="F63" s="106">
        <v>0.00302500270977762</v>
      </c>
      <c r="G63" s="108">
        <f>ROUND(F63*$E$62,0)</f>
        <v>9295</v>
      </c>
      <c r="H63" s="92"/>
      <c r="I63" s="92"/>
      <c r="K63" s="106"/>
    </row>
    <row r="64" spans="1:11" s="95" customFormat="1" ht="12.75">
      <c r="A64" s="97" t="s">
        <v>156</v>
      </c>
      <c r="B64" s="109">
        <v>84047</v>
      </c>
      <c r="C64" s="109">
        <v>593</v>
      </c>
      <c r="D64" s="107" t="s">
        <v>110</v>
      </c>
      <c r="E64" s="92"/>
      <c r="F64" s="106">
        <v>0.006999986636713106</v>
      </c>
      <c r="G64" s="108">
        <f>ROUND(F64*$E$62,0)</f>
        <v>21509</v>
      </c>
      <c r="I64" s="92"/>
      <c r="K64" s="106"/>
    </row>
    <row r="65" spans="1:11" s="95" customFormat="1" ht="12.75">
      <c r="A65" s="97" t="s">
        <v>157</v>
      </c>
      <c r="B65" s="109">
        <v>84047</v>
      </c>
      <c r="C65" s="109">
        <v>796</v>
      </c>
      <c r="D65" s="107" t="s">
        <v>110</v>
      </c>
      <c r="E65" s="92"/>
      <c r="F65" s="106">
        <v>0.038500000742404825</v>
      </c>
      <c r="G65" s="108">
        <f>ROUND(F65*$E$62,0)</f>
        <v>118298</v>
      </c>
      <c r="I65" s="92"/>
      <c r="K65" s="106"/>
    </row>
    <row r="66" spans="1:11" s="95" customFormat="1" ht="12.75">
      <c r="A66" s="105" t="s">
        <v>16</v>
      </c>
      <c r="E66" s="92">
        <f>States_Territories!D21</f>
        <v>12878133</v>
      </c>
      <c r="G66" s="104"/>
      <c r="H66" s="92">
        <f>G67</f>
        <v>828</v>
      </c>
      <c r="I66" s="92">
        <f>E66-H66</f>
        <v>12877305</v>
      </c>
      <c r="K66" s="106"/>
    </row>
    <row r="67" spans="1:11" s="95" customFormat="1" ht="12.75">
      <c r="A67" s="97" t="s">
        <v>158</v>
      </c>
      <c r="B67" s="109">
        <v>434091</v>
      </c>
      <c r="C67" s="109">
        <v>0</v>
      </c>
      <c r="D67" s="107" t="s">
        <v>159</v>
      </c>
      <c r="F67" s="106">
        <v>6.431898634512938E-05</v>
      </c>
      <c r="G67" s="108">
        <f>ROUND(F67*E66,0)</f>
        <v>828</v>
      </c>
      <c r="I67" s="92"/>
      <c r="K67" s="106"/>
    </row>
    <row r="68" spans="1:11" s="95" customFormat="1" ht="12.75">
      <c r="A68" s="105" t="s">
        <v>18</v>
      </c>
      <c r="D68" s="97" t="s">
        <v>55</v>
      </c>
      <c r="E68" s="92">
        <f>States_Territories!D23</f>
        <v>4191484</v>
      </c>
      <c r="G68" s="104"/>
      <c r="H68" s="92">
        <f>G69</f>
        <v>3826</v>
      </c>
      <c r="I68" s="92">
        <f>$E68-$H68</f>
        <v>4187658</v>
      </c>
      <c r="K68" s="106"/>
    </row>
    <row r="69" spans="1:11" s="95" customFormat="1" ht="12.75">
      <c r="A69" s="97" t="s">
        <v>160</v>
      </c>
      <c r="B69" s="109">
        <v>222152</v>
      </c>
      <c r="C69" s="109">
        <v>120</v>
      </c>
      <c r="D69" s="107" t="s">
        <v>159</v>
      </c>
      <c r="E69" s="92"/>
      <c r="F69" s="106">
        <v>0.0009129138611746886</v>
      </c>
      <c r="G69" s="108">
        <f>ROUND(F69*E68,0)</f>
        <v>3826</v>
      </c>
      <c r="I69" s="92"/>
      <c r="K69" s="106"/>
    </row>
    <row r="70" spans="1:11" s="95" customFormat="1" ht="12.75">
      <c r="A70" s="105" t="s">
        <v>21</v>
      </c>
      <c r="E70" s="92">
        <f>States_Territories!D26</f>
        <v>29730302</v>
      </c>
      <c r="G70" s="104"/>
      <c r="H70" s="92">
        <f>SUM(G71:G75)</f>
        <v>1086643</v>
      </c>
      <c r="I70" s="92">
        <f>SUM(E70-H70)</f>
        <v>28643659</v>
      </c>
      <c r="K70" s="106"/>
    </row>
    <row r="71" spans="1:11" s="95" customFormat="1" ht="12.75">
      <c r="A71" s="97" t="s">
        <v>161</v>
      </c>
      <c r="B71" s="109">
        <v>100697</v>
      </c>
      <c r="D71" s="107" t="s">
        <v>110</v>
      </c>
      <c r="F71" s="106">
        <v>0.004350008585290514</v>
      </c>
      <c r="G71" s="108">
        <f>ROUND(F71*$E$70,0)</f>
        <v>129327</v>
      </c>
      <c r="I71" s="92"/>
      <c r="K71" s="106"/>
    </row>
    <row r="72" spans="1:11" s="95" customFormat="1" ht="12.75">
      <c r="A72" s="97" t="s">
        <v>162</v>
      </c>
      <c r="B72" s="109">
        <v>100697</v>
      </c>
      <c r="D72" s="107" t="s">
        <v>110</v>
      </c>
      <c r="E72" s="92"/>
      <c r="F72" s="106">
        <v>0.004350008585290514</v>
      </c>
      <c r="G72" s="108">
        <f>ROUND(F72*$E$70,0)</f>
        <v>129327</v>
      </c>
      <c r="I72" s="92"/>
      <c r="K72" s="106"/>
    </row>
    <row r="73" spans="1:11" s="95" customFormat="1" ht="12.75">
      <c r="A73" s="97" t="s">
        <v>163</v>
      </c>
      <c r="B73" s="109">
        <v>100697</v>
      </c>
      <c r="C73" s="109">
        <v>83</v>
      </c>
      <c r="D73" s="107" t="s">
        <v>110</v>
      </c>
      <c r="E73" s="92"/>
      <c r="F73" s="106">
        <v>0.008299990351152536</v>
      </c>
      <c r="G73" s="108">
        <f>ROUND(F73*$E$70,0)</f>
        <v>246761</v>
      </c>
      <c r="I73" s="92"/>
      <c r="K73" s="106"/>
    </row>
    <row r="74" spans="1:11" s="95" customFormat="1" ht="12.75">
      <c r="A74" s="97" t="s">
        <v>164</v>
      </c>
      <c r="B74" s="109">
        <v>100697</v>
      </c>
      <c r="C74" s="109">
        <v>69</v>
      </c>
      <c r="D74" s="107" t="s">
        <v>110</v>
      </c>
      <c r="E74" s="92"/>
      <c r="F74" s="106">
        <v>0.011579991897556253</v>
      </c>
      <c r="G74" s="108">
        <f>ROUND(F74*$E$70,0)</f>
        <v>344277</v>
      </c>
      <c r="I74" s="92"/>
      <c r="K74" s="106"/>
    </row>
    <row r="75" spans="1:11" s="95" customFormat="1" ht="12.75">
      <c r="A75" s="97" t="s">
        <v>165</v>
      </c>
      <c r="B75" s="109">
        <v>100697</v>
      </c>
      <c r="C75" s="109">
        <v>95</v>
      </c>
      <c r="D75" s="107" t="s">
        <v>110</v>
      </c>
      <c r="E75" s="92"/>
      <c r="F75" s="106">
        <v>0.007970004620609017</v>
      </c>
      <c r="G75" s="108">
        <f>ROUND(F75*$E$70,0)</f>
        <v>236951</v>
      </c>
      <c r="I75" s="92"/>
      <c r="K75" s="106"/>
    </row>
    <row r="76" spans="1:11" s="95" customFormat="1" ht="12.75">
      <c r="A76" s="105" t="s">
        <v>23</v>
      </c>
      <c r="E76" s="92">
        <f>States_Territories!D28</f>
        <v>50518934</v>
      </c>
      <c r="G76" s="104"/>
      <c r="H76" s="92">
        <f>G77</f>
        <v>20207</v>
      </c>
      <c r="I76" s="92">
        <f>SUM(E76-H76)</f>
        <v>50498727</v>
      </c>
      <c r="K76" s="106"/>
    </row>
    <row r="77" spans="1:11" s="95" customFormat="1" ht="12.75">
      <c r="A77" s="97" t="s">
        <v>166</v>
      </c>
      <c r="B77" s="109">
        <v>531692</v>
      </c>
      <c r="C77" s="109">
        <v>127</v>
      </c>
      <c r="D77" s="107" t="s">
        <v>110</v>
      </c>
      <c r="E77" s="92"/>
      <c r="F77" s="106">
        <v>0.00039999794577076566</v>
      </c>
      <c r="G77" s="108">
        <f>ROUND(F77*$E$76,0)</f>
        <v>20207</v>
      </c>
      <c r="I77" s="92"/>
      <c r="K77" s="106"/>
    </row>
    <row r="78" spans="1:11" s="95" customFormat="1" ht="12.75">
      <c r="A78" s="105" t="s">
        <v>24</v>
      </c>
      <c r="E78" s="92">
        <f>States_Territories!D29</f>
        <v>27004012</v>
      </c>
      <c r="G78" s="104"/>
      <c r="H78" s="92">
        <f>SUM(G79:G84)</f>
        <v>141838</v>
      </c>
      <c r="I78" s="92">
        <f>E78-H78</f>
        <v>26862174</v>
      </c>
      <c r="K78" s="106"/>
    </row>
    <row r="79" spans="1:11" s="95" customFormat="1" ht="12.75">
      <c r="A79" s="97" t="s">
        <v>167</v>
      </c>
      <c r="B79" s="109">
        <v>856399</v>
      </c>
      <c r="C79" s="109">
        <v>335</v>
      </c>
      <c r="D79" s="107" t="s">
        <v>108</v>
      </c>
      <c r="E79" s="92"/>
      <c r="F79" s="106">
        <v>0.00039117411349439275</v>
      </c>
      <c r="G79" s="108">
        <f aca="true" t="shared" si="4" ref="G79:G84">ROUND(F79*$E$78,0)</f>
        <v>10563</v>
      </c>
      <c r="I79" s="92"/>
      <c r="K79" s="106"/>
    </row>
    <row r="80" spans="1:11" s="95" customFormat="1" ht="12.75">
      <c r="A80" s="97" t="s">
        <v>168</v>
      </c>
      <c r="B80" s="109">
        <v>856399</v>
      </c>
      <c r="C80" s="109">
        <v>637</v>
      </c>
      <c r="D80" s="107" t="s">
        <v>108</v>
      </c>
      <c r="E80" s="92"/>
      <c r="F80" s="106">
        <v>0.0007438117183250716</v>
      </c>
      <c r="G80" s="108">
        <f t="shared" si="4"/>
        <v>20086</v>
      </c>
      <c r="K80" s="106"/>
    </row>
    <row r="81" spans="1:11" s="95" customFormat="1" ht="12.75">
      <c r="A81" s="97" t="s">
        <v>169</v>
      </c>
      <c r="B81" s="109">
        <v>856399</v>
      </c>
      <c r="C81" s="109">
        <v>884</v>
      </c>
      <c r="D81" s="107" t="s">
        <v>108</v>
      </c>
      <c r="E81" s="92"/>
      <c r="F81" s="106">
        <v>0.0010322308010178639</v>
      </c>
      <c r="G81" s="108">
        <f t="shared" si="4"/>
        <v>27874</v>
      </c>
      <c r="K81" s="106"/>
    </row>
    <row r="82" spans="1:11" s="95" customFormat="1" ht="12.75">
      <c r="A82" s="97" t="s">
        <v>170</v>
      </c>
      <c r="B82" s="109">
        <v>856399</v>
      </c>
      <c r="C82" s="109">
        <v>162</v>
      </c>
      <c r="D82" s="107" t="s">
        <v>108</v>
      </c>
      <c r="E82" s="92"/>
      <c r="F82" s="106">
        <v>0.0001891620572278349</v>
      </c>
      <c r="G82" s="108">
        <f t="shared" si="4"/>
        <v>5108</v>
      </c>
      <c r="K82" s="106"/>
    </row>
    <row r="83" spans="1:11" s="95" customFormat="1" ht="12.75">
      <c r="A83" s="97" t="s">
        <v>171</v>
      </c>
      <c r="B83" s="109">
        <v>856399</v>
      </c>
      <c r="C83" s="109">
        <v>555</v>
      </c>
      <c r="D83" s="107" t="s">
        <v>108</v>
      </c>
      <c r="E83" s="92"/>
      <c r="F83" s="106">
        <v>0.0006480616904983942</v>
      </c>
      <c r="G83" s="108">
        <f t="shared" si="4"/>
        <v>17500</v>
      </c>
      <c r="K83" s="106"/>
    </row>
    <row r="84" spans="1:11" s="95" customFormat="1" ht="12.75">
      <c r="A84" s="97" t="s">
        <v>172</v>
      </c>
      <c r="B84" s="109">
        <v>856399</v>
      </c>
      <c r="C84" s="109">
        <v>1744</v>
      </c>
      <c r="D84" s="107" t="s">
        <v>159</v>
      </c>
      <c r="E84" s="92"/>
      <c r="F84" s="106">
        <v>0.002248075409153771</v>
      </c>
      <c r="G84" s="108">
        <f t="shared" si="4"/>
        <v>60707</v>
      </c>
      <c r="I84" s="92"/>
      <c r="K84" s="106"/>
    </row>
    <row r="85" spans="1:11" s="95" customFormat="1" ht="12.75">
      <c r="A85" s="105" t="s">
        <v>26</v>
      </c>
      <c r="E85" s="92">
        <f>States_Territories!D31</f>
        <v>3610562</v>
      </c>
      <c r="G85" s="104"/>
      <c r="H85" s="92">
        <f>$G86</f>
        <v>6843</v>
      </c>
      <c r="I85" s="92">
        <f>$E85-$H85</f>
        <v>3603719</v>
      </c>
      <c r="K85" s="106"/>
    </row>
    <row r="86" spans="1:11" s="95" customFormat="1" ht="12.75">
      <c r="A86" s="97" t="s">
        <v>173</v>
      </c>
      <c r="B86" s="109">
        <v>319230</v>
      </c>
      <c r="C86" s="109">
        <v>605</v>
      </c>
      <c r="D86" s="107" t="s">
        <v>155</v>
      </c>
      <c r="E86" s="92"/>
      <c r="F86" s="106">
        <v>0.0018951809321927778</v>
      </c>
      <c r="G86" s="108">
        <f>ROUND(F86*E85,0)</f>
        <v>6843</v>
      </c>
      <c r="I86" s="92"/>
      <c r="K86" s="106"/>
    </row>
    <row r="87" spans="1:11" s="95" customFormat="1" ht="12.75">
      <c r="A87" s="105" t="s">
        <v>28</v>
      </c>
      <c r="E87" s="92">
        <f>States_Territories!D33</f>
        <v>3604059</v>
      </c>
      <c r="G87" s="104"/>
      <c r="H87" s="92">
        <f>SUM($G88:$G93)</f>
        <v>630011</v>
      </c>
      <c r="I87" s="92">
        <f>$E87-$H87</f>
        <v>2974048</v>
      </c>
      <c r="K87" s="106"/>
    </row>
    <row r="88" spans="1:11" s="95" customFormat="1" ht="12.75">
      <c r="A88" s="97" t="s">
        <v>174</v>
      </c>
      <c r="C88" s="95">
        <v>928</v>
      </c>
      <c r="D88" s="107" t="s">
        <v>110</v>
      </c>
      <c r="E88" s="92"/>
      <c r="F88" s="106">
        <v>0.03899899801568432</v>
      </c>
      <c r="G88" s="108">
        <f aca="true" t="shared" si="5" ref="G88:G93">ROUND(F88*$E$87,0)</f>
        <v>140555</v>
      </c>
      <c r="I88" s="111"/>
      <c r="K88" s="106"/>
    </row>
    <row r="89" spans="1:11" s="95" customFormat="1" ht="12.75">
      <c r="A89" s="97" t="s">
        <v>175</v>
      </c>
      <c r="C89" s="95">
        <v>1135</v>
      </c>
      <c r="D89" s="107" t="s">
        <v>110</v>
      </c>
      <c r="E89" s="92"/>
      <c r="F89" s="106">
        <v>0.04452100412113956</v>
      </c>
      <c r="G89" s="108">
        <f t="shared" si="5"/>
        <v>160456</v>
      </c>
      <c r="K89" s="106"/>
    </row>
    <row r="90" spans="1:11" s="95" customFormat="1" ht="12.75">
      <c r="A90" s="97" t="s">
        <v>176</v>
      </c>
      <c r="C90" s="95">
        <v>246</v>
      </c>
      <c r="D90" s="107" t="s">
        <v>110</v>
      </c>
      <c r="E90" s="92"/>
      <c r="F90" s="106">
        <v>0.0113900118484226</v>
      </c>
      <c r="G90" s="108">
        <f t="shared" si="5"/>
        <v>41050</v>
      </c>
      <c r="K90" s="106"/>
    </row>
    <row r="91" spans="1:11" s="95" customFormat="1" ht="12.75">
      <c r="A91" s="97" t="s">
        <v>177</v>
      </c>
      <c r="C91" s="95">
        <v>871</v>
      </c>
      <c r="D91" s="107" t="s">
        <v>110</v>
      </c>
      <c r="E91" s="92"/>
      <c r="F91" s="106">
        <v>0.0436580146292052</v>
      </c>
      <c r="G91" s="108">
        <f t="shared" si="5"/>
        <v>157346</v>
      </c>
      <c r="K91" s="106"/>
    </row>
    <row r="92" spans="1:11" s="95" customFormat="1" ht="12.75">
      <c r="A92" s="97" t="s">
        <v>178</v>
      </c>
      <c r="C92" s="95">
        <v>381</v>
      </c>
      <c r="D92" s="107" t="s">
        <v>110</v>
      </c>
      <c r="E92" s="92"/>
      <c r="F92" s="106">
        <v>0.015702997177158177</v>
      </c>
      <c r="G92" s="108">
        <f t="shared" si="5"/>
        <v>56595</v>
      </c>
      <c r="K92" s="106"/>
    </row>
    <row r="93" spans="1:11" s="95" customFormat="1" ht="12.75">
      <c r="A93" s="97" t="s">
        <v>179</v>
      </c>
      <c r="C93" s="95">
        <v>536</v>
      </c>
      <c r="D93" s="107" t="s">
        <v>110</v>
      </c>
      <c r="E93" s="92"/>
      <c r="F93" s="106">
        <v>0.020534997785798533</v>
      </c>
      <c r="G93" s="108">
        <f t="shared" si="5"/>
        <v>74009</v>
      </c>
      <c r="K93" s="106"/>
    </row>
    <row r="94" spans="1:11" s="95" customFormat="1" ht="12.75">
      <c r="A94" s="105" t="s">
        <v>29</v>
      </c>
      <c r="D94" s="107"/>
      <c r="E94" s="92">
        <f>States_Territories!D34</f>
        <v>4513605</v>
      </c>
      <c r="G94" s="108"/>
      <c r="H94" s="112">
        <f>G95</f>
        <v>1711</v>
      </c>
      <c r="I94" s="92">
        <f>$E94-$H94</f>
        <v>4511894</v>
      </c>
      <c r="K94" s="106"/>
    </row>
    <row r="95" spans="1:11" s="95" customFormat="1" ht="12.75">
      <c r="A95" s="97" t="s">
        <v>180</v>
      </c>
      <c r="B95" s="95">
        <v>136572</v>
      </c>
      <c r="D95" s="107" t="s">
        <v>159</v>
      </c>
      <c r="E95" s="92"/>
      <c r="F95" s="106">
        <v>0.0003790494803610674</v>
      </c>
      <c r="G95" s="108">
        <f>ROUND(F95*E94,0)</f>
        <v>1711</v>
      </c>
      <c r="K95" s="106"/>
    </row>
    <row r="96" spans="1:12" ht="12.75">
      <c r="A96" s="105" t="s">
        <v>33</v>
      </c>
      <c r="B96" s="95"/>
      <c r="C96" s="95"/>
      <c r="D96" s="95"/>
      <c r="E96" s="92">
        <f>States_Territories!D38</f>
        <v>2549744</v>
      </c>
      <c r="F96" s="95"/>
      <c r="G96" s="104"/>
      <c r="H96" s="92">
        <f>SUM($G97:$G103)</f>
        <v>202989</v>
      </c>
      <c r="I96" s="92">
        <f>E96-H96</f>
        <v>2346755</v>
      </c>
      <c r="K96" s="106"/>
      <c r="L96" s="95"/>
    </row>
    <row r="97" spans="1:12" ht="12.75">
      <c r="A97" s="97" t="s">
        <v>181</v>
      </c>
      <c r="B97" s="109">
        <v>154990</v>
      </c>
      <c r="C97" s="109">
        <v>262</v>
      </c>
      <c r="D97" s="107" t="s">
        <v>155</v>
      </c>
      <c r="E97" s="92"/>
      <c r="F97" s="106">
        <v>0.001690435597793109</v>
      </c>
      <c r="G97" s="108">
        <f aca="true" t="shared" si="6" ref="G97:G103">ROUND(F97*$E$96,0)</f>
        <v>4310</v>
      </c>
      <c r="H97" s="95"/>
      <c r="I97" s="92"/>
      <c r="K97" s="106"/>
      <c r="L97" s="95"/>
    </row>
    <row r="98" spans="1:12" ht="12.75">
      <c r="A98" s="97" t="s">
        <v>182</v>
      </c>
      <c r="B98" s="109">
        <v>154990</v>
      </c>
      <c r="C98" s="109">
        <v>261</v>
      </c>
      <c r="D98" s="107" t="s">
        <v>155</v>
      </c>
      <c r="E98" s="92"/>
      <c r="F98" s="106">
        <v>0.0016839700651460645</v>
      </c>
      <c r="G98" s="108">
        <f t="shared" si="6"/>
        <v>4294</v>
      </c>
      <c r="H98" s="95"/>
      <c r="I98" s="92"/>
      <c r="K98" s="106"/>
      <c r="L98" s="95"/>
    </row>
    <row r="99" spans="1:12" ht="12.75">
      <c r="A99" s="97" t="s">
        <v>183</v>
      </c>
      <c r="B99" s="109">
        <v>154990</v>
      </c>
      <c r="C99" s="109">
        <v>9939</v>
      </c>
      <c r="D99" s="107" t="s">
        <v>155</v>
      </c>
      <c r="E99" s="92"/>
      <c r="F99" s="106">
        <v>0.06412671897831412</v>
      </c>
      <c r="G99" s="108">
        <f t="shared" si="6"/>
        <v>163507</v>
      </c>
      <c r="H99" s="95"/>
      <c r="I99" s="92"/>
      <c r="K99" s="106"/>
      <c r="L99" s="95"/>
    </row>
    <row r="100" spans="1:12" ht="12.75">
      <c r="A100" s="97" t="s">
        <v>184</v>
      </c>
      <c r="B100" s="109">
        <v>154990</v>
      </c>
      <c r="C100" s="109">
        <v>200</v>
      </c>
      <c r="D100" s="107" t="s">
        <v>155</v>
      </c>
      <c r="E100" s="92"/>
      <c r="F100" s="106">
        <v>0.0012904159040216176</v>
      </c>
      <c r="G100" s="108">
        <f t="shared" si="6"/>
        <v>3290</v>
      </c>
      <c r="H100" s="95"/>
      <c r="I100" s="92"/>
      <c r="K100" s="106"/>
      <c r="L100" s="95"/>
    </row>
    <row r="101" spans="1:12" ht="12.75">
      <c r="A101" s="97" t="s">
        <v>185</v>
      </c>
      <c r="B101" s="109">
        <v>154990</v>
      </c>
      <c r="C101" s="109">
        <v>520</v>
      </c>
      <c r="D101" s="107" t="s">
        <v>155</v>
      </c>
      <c r="E101" s="92"/>
      <c r="F101" s="106">
        <v>0.00335504922358591</v>
      </c>
      <c r="G101" s="108">
        <f t="shared" si="6"/>
        <v>8555</v>
      </c>
      <c r="H101" s="95"/>
      <c r="I101" s="92"/>
      <c r="K101" s="106"/>
      <c r="L101" s="95"/>
    </row>
    <row r="102" spans="1:12" ht="12.75">
      <c r="A102" s="97" t="s">
        <v>186</v>
      </c>
      <c r="B102" s="109">
        <v>154990</v>
      </c>
      <c r="C102" s="109">
        <v>205</v>
      </c>
      <c r="D102" s="107" t="s">
        <v>155</v>
      </c>
      <c r="E102" s="92"/>
      <c r="F102" s="106">
        <v>0.0013226632500811003</v>
      </c>
      <c r="G102" s="108">
        <f t="shared" si="6"/>
        <v>3372</v>
      </c>
      <c r="H102" s="95"/>
      <c r="I102" s="92"/>
      <c r="K102" s="106"/>
      <c r="L102" s="95"/>
    </row>
    <row r="103" spans="1:12" ht="12.75">
      <c r="A103" s="97" t="s">
        <v>187</v>
      </c>
      <c r="B103" s="109">
        <v>154990</v>
      </c>
      <c r="C103" s="109">
        <v>952</v>
      </c>
      <c r="D103" s="107" t="s">
        <v>155</v>
      </c>
      <c r="E103" s="92"/>
      <c r="F103" s="106">
        <v>0.006142336331868</v>
      </c>
      <c r="G103" s="108">
        <f t="shared" si="6"/>
        <v>15661</v>
      </c>
      <c r="H103" s="95"/>
      <c r="I103" s="92"/>
      <c r="K103" s="106"/>
      <c r="L103" s="95"/>
    </row>
    <row r="104" spans="1:12" ht="12.75">
      <c r="A104" s="105" t="s">
        <v>34</v>
      </c>
      <c r="B104" s="95"/>
      <c r="C104" s="95"/>
      <c r="D104" s="95"/>
      <c r="E104" s="92">
        <f>States_Territories!D39</f>
        <v>62308715</v>
      </c>
      <c r="F104" s="95"/>
      <c r="G104" s="104"/>
      <c r="H104" s="92">
        <f>SUM($G105:$G106)</f>
        <v>68801</v>
      </c>
      <c r="I104" s="92">
        <f>$E104-$H104</f>
        <v>62239914</v>
      </c>
      <c r="K104" s="106"/>
      <c r="L104" s="95"/>
    </row>
    <row r="105" spans="1:12" ht="12.75">
      <c r="A105" s="97" t="s">
        <v>188</v>
      </c>
      <c r="B105" s="109">
        <v>1622237</v>
      </c>
      <c r="C105" s="109">
        <v>547</v>
      </c>
      <c r="D105" s="107" t="s">
        <v>108</v>
      </c>
      <c r="E105" s="92"/>
      <c r="F105" s="106">
        <v>0.0005847987399648991</v>
      </c>
      <c r="G105" s="108">
        <f>ROUND(F105*$E$104,0)</f>
        <v>36438</v>
      </c>
      <c r="H105" s="95"/>
      <c r="I105" s="92"/>
      <c r="K105" s="106"/>
      <c r="L105" s="95"/>
    </row>
    <row r="106" spans="1:12" ht="12.75">
      <c r="A106" s="97" t="s">
        <v>189</v>
      </c>
      <c r="B106" s="109">
        <v>1622237</v>
      </c>
      <c r="C106" s="109">
        <v>317</v>
      </c>
      <c r="D106" s="107" t="s">
        <v>108</v>
      </c>
      <c r="E106" s="92"/>
      <c r="F106" s="106">
        <v>0.0005193990087858233</v>
      </c>
      <c r="G106" s="108">
        <f>ROUND(F106*$E$104,0)</f>
        <v>32363</v>
      </c>
      <c r="H106" s="95"/>
      <c r="I106" s="92"/>
      <c r="K106" s="106"/>
      <c r="L106" s="95"/>
    </row>
    <row r="107" spans="1:12" ht="12.75">
      <c r="A107" s="105" t="s">
        <v>35</v>
      </c>
      <c r="B107" s="95"/>
      <c r="C107" s="95"/>
      <c r="D107" s="95"/>
      <c r="E107" s="92">
        <f>States_Territories!D40</f>
        <v>9285889</v>
      </c>
      <c r="F107" s="95"/>
      <c r="G107" s="104"/>
      <c r="H107" s="92">
        <f>$G108</f>
        <v>165143</v>
      </c>
      <c r="I107" s="92">
        <f>E107-H107</f>
        <v>9120746</v>
      </c>
      <c r="K107" s="106"/>
      <c r="L107" s="95"/>
    </row>
    <row r="108" spans="1:12" ht="12.75">
      <c r="A108" s="97" t="s">
        <v>190</v>
      </c>
      <c r="B108" s="109">
        <v>618221</v>
      </c>
      <c r="C108" s="109">
        <v>6441</v>
      </c>
      <c r="D108" s="107" t="s">
        <v>110</v>
      </c>
      <c r="E108" s="92"/>
      <c r="F108" s="106">
        <v>0.017784312494855167</v>
      </c>
      <c r="G108" s="108">
        <f>ROUND(F108*E107,0)</f>
        <v>165143</v>
      </c>
      <c r="H108" s="95"/>
      <c r="I108" s="92"/>
      <c r="K108" s="106"/>
      <c r="L108" s="95"/>
    </row>
    <row r="109" spans="1:12" ht="12.75">
      <c r="A109" s="105" t="s">
        <v>36</v>
      </c>
      <c r="B109" s="95"/>
      <c r="C109" s="95"/>
      <c r="D109" s="97" t="s">
        <v>55</v>
      </c>
      <c r="E109" s="92">
        <f>States_Territories!D41</f>
        <v>3915098</v>
      </c>
      <c r="F109" s="95"/>
      <c r="G109" s="104"/>
      <c r="H109" s="92">
        <f>SUM(G110:G113)</f>
        <v>801420</v>
      </c>
      <c r="I109" s="92">
        <f>E109-H109</f>
        <v>3113678</v>
      </c>
      <c r="K109" s="106"/>
      <c r="L109" s="95"/>
    </row>
    <row r="110" spans="1:11" s="95" customFormat="1" ht="12.75">
      <c r="A110" s="97" t="s">
        <v>191</v>
      </c>
      <c r="D110" s="107" t="s">
        <v>110</v>
      </c>
      <c r="E110" s="92"/>
      <c r="F110" s="106">
        <v>0.04460000247048009</v>
      </c>
      <c r="G110" s="108">
        <f>ROUND(F110*$E$109,0)</f>
        <v>174613</v>
      </c>
      <c r="I110" s="92"/>
      <c r="K110" s="106"/>
    </row>
    <row r="111" spans="1:11" s="95" customFormat="1" ht="12.75">
      <c r="A111" s="97" t="s">
        <v>192</v>
      </c>
      <c r="D111" s="107" t="s">
        <v>110</v>
      </c>
      <c r="E111" s="92"/>
      <c r="F111" s="106">
        <v>0.03939999146985175</v>
      </c>
      <c r="G111" s="108">
        <f>ROUND(F111*$E$109,0)</f>
        <v>154255</v>
      </c>
      <c r="I111" s="92"/>
      <c r="K111" s="106"/>
    </row>
    <row r="112" spans="1:11" s="95" customFormat="1" ht="12.75">
      <c r="A112" s="97" t="s">
        <v>193</v>
      </c>
      <c r="D112" s="107" t="s">
        <v>110</v>
      </c>
      <c r="E112" s="92"/>
      <c r="F112" s="106">
        <v>0.03670000144499779</v>
      </c>
      <c r="G112" s="108">
        <f>ROUND(F112*$E$109,0)</f>
        <v>143684</v>
      </c>
      <c r="I112" s="92"/>
      <c r="K112" s="106"/>
    </row>
    <row r="113" spans="1:11" s="95" customFormat="1" ht="12.75">
      <c r="A113" s="97" t="s">
        <v>194</v>
      </c>
      <c r="D113" s="107" t="s">
        <v>110</v>
      </c>
      <c r="E113" s="92"/>
      <c r="F113" s="106">
        <v>0.08399999394033185</v>
      </c>
      <c r="G113" s="108">
        <f>ROUND(F113*$E$109,0)</f>
        <v>328868</v>
      </c>
      <c r="I113" s="92"/>
      <c r="K113" s="106"/>
    </row>
    <row r="114" spans="1:12" ht="12.75">
      <c r="A114" s="105" t="s">
        <v>38</v>
      </c>
      <c r="B114" s="95"/>
      <c r="C114" s="95"/>
      <c r="D114" s="95"/>
      <c r="E114" s="92">
        <f>States_Territories!D43</f>
        <v>3871078</v>
      </c>
      <c r="F114" s="95"/>
      <c r="G114" s="104"/>
      <c r="H114" s="92">
        <f>SUM(G115:G146)</f>
        <v>350370</v>
      </c>
      <c r="I114" s="92">
        <f>E114-H114</f>
        <v>3520708</v>
      </c>
      <c r="K114" s="106"/>
      <c r="L114" s="95"/>
    </row>
    <row r="115" spans="1:12" ht="12.75">
      <c r="A115" s="97" t="s">
        <v>195</v>
      </c>
      <c r="B115" s="109">
        <v>334782</v>
      </c>
      <c r="C115" s="109">
        <v>195</v>
      </c>
      <c r="D115" s="107" t="s">
        <v>108</v>
      </c>
      <c r="E115" s="92"/>
      <c r="F115" s="106">
        <v>0.0005824659328337301</v>
      </c>
      <c r="G115" s="108">
        <f aca="true" t="shared" si="7" ref="G115:G146">ROUND(F115*$E$114,0)</f>
        <v>2255</v>
      </c>
      <c r="H115" s="95"/>
      <c r="I115" s="92"/>
      <c r="K115" s="106"/>
      <c r="L115" s="95"/>
    </row>
    <row r="116" spans="1:12" ht="12.75">
      <c r="A116" s="97" t="s">
        <v>196</v>
      </c>
      <c r="B116" s="109">
        <v>334782</v>
      </c>
      <c r="C116" s="109">
        <v>125</v>
      </c>
      <c r="D116" s="107" t="s">
        <v>108</v>
      </c>
      <c r="E116" s="92"/>
      <c r="F116" s="106">
        <v>0.00037337402834092113</v>
      </c>
      <c r="G116" s="108">
        <f t="shared" si="7"/>
        <v>1445</v>
      </c>
      <c r="H116" s="95"/>
      <c r="I116" s="92"/>
      <c r="K116" s="106"/>
      <c r="L116" s="95"/>
    </row>
    <row r="117" spans="1:12" ht="12.75">
      <c r="A117" s="97" t="s">
        <v>197</v>
      </c>
      <c r="B117" s="109">
        <v>334782</v>
      </c>
      <c r="C117" s="109">
        <v>168</v>
      </c>
      <c r="D117" s="107" t="s">
        <v>108</v>
      </c>
      <c r="E117" s="92"/>
      <c r="F117" s="106">
        <v>0.0005018246518192302</v>
      </c>
      <c r="G117" s="108">
        <f t="shared" si="7"/>
        <v>1943</v>
      </c>
      <c r="H117" s="95"/>
      <c r="I117" s="92"/>
      <c r="K117" s="106"/>
      <c r="L117" s="95"/>
    </row>
    <row r="118" spans="1:12" ht="12.75">
      <c r="A118" s="97" t="s">
        <v>198</v>
      </c>
      <c r="B118" s="109">
        <v>334782</v>
      </c>
      <c r="C118" s="109">
        <v>196</v>
      </c>
      <c r="D118" s="107" t="s">
        <v>108</v>
      </c>
      <c r="E118" s="92"/>
      <c r="F118" s="106">
        <v>0.0005854654946528423</v>
      </c>
      <c r="G118" s="108">
        <f t="shared" si="7"/>
        <v>2266</v>
      </c>
      <c r="H118" s="95"/>
      <c r="I118" s="92"/>
      <c r="K118" s="106"/>
      <c r="L118" s="95"/>
    </row>
    <row r="119" spans="1:12" ht="12.75">
      <c r="A119" s="97" t="s">
        <v>199</v>
      </c>
      <c r="B119" s="109">
        <v>334782</v>
      </c>
      <c r="C119" s="109">
        <v>12117</v>
      </c>
      <c r="D119" s="107" t="s">
        <v>108</v>
      </c>
      <c r="E119" s="92"/>
      <c r="F119" s="106">
        <v>0.03619369235816531</v>
      </c>
      <c r="G119" s="108">
        <f t="shared" si="7"/>
        <v>140109</v>
      </c>
      <c r="H119" s="95"/>
      <c r="I119" s="113" t="s">
        <v>55</v>
      </c>
      <c r="K119" s="106"/>
      <c r="L119" s="95"/>
    </row>
    <row r="120" spans="1:12" ht="12.75">
      <c r="A120" s="97" t="s">
        <v>200</v>
      </c>
      <c r="B120" s="109">
        <v>334782</v>
      </c>
      <c r="C120" s="109">
        <v>635</v>
      </c>
      <c r="D120" s="107" t="s">
        <v>108</v>
      </c>
      <c r="E120" s="92"/>
      <c r="F120" s="106">
        <v>0.0018967637339835132</v>
      </c>
      <c r="G120" s="108">
        <f t="shared" si="7"/>
        <v>7343</v>
      </c>
      <c r="H120" s="95"/>
      <c r="I120" s="92"/>
      <c r="K120" s="106"/>
      <c r="L120" s="95"/>
    </row>
    <row r="121" spans="1:12" ht="12.75">
      <c r="A121" s="97" t="s">
        <v>201</v>
      </c>
      <c r="B121" s="109">
        <v>334782</v>
      </c>
      <c r="C121" s="109">
        <v>1377</v>
      </c>
      <c r="D121" s="107" t="s">
        <v>110</v>
      </c>
      <c r="E121" s="92"/>
      <c r="F121" s="106">
        <v>0.004872716757009251</v>
      </c>
      <c r="G121" s="108">
        <f t="shared" si="7"/>
        <v>18863</v>
      </c>
      <c r="H121" s="95"/>
      <c r="I121" s="92"/>
      <c r="K121" s="106"/>
      <c r="L121" s="95"/>
    </row>
    <row r="122" spans="1:12" ht="12.75">
      <c r="A122" s="97" t="s">
        <v>202</v>
      </c>
      <c r="B122" s="109">
        <v>334782</v>
      </c>
      <c r="C122" s="109">
        <v>4412</v>
      </c>
      <c r="D122" s="107" t="s">
        <v>110</v>
      </c>
      <c r="E122" s="92"/>
      <c r="F122" s="106">
        <v>0.013680022008213576</v>
      </c>
      <c r="G122" s="108">
        <f t="shared" si="7"/>
        <v>52956</v>
      </c>
      <c r="H122" s="95"/>
      <c r="I122" s="113" t="s">
        <v>55</v>
      </c>
      <c r="K122" s="106"/>
      <c r="L122" s="95"/>
    </row>
    <row r="123" spans="1:12" ht="12.75">
      <c r="A123" s="97" t="s">
        <v>203</v>
      </c>
      <c r="B123" s="109">
        <v>334782</v>
      </c>
      <c r="C123" s="109">
        <v>256</v>
      </c>
      <c r="D123" s="107" t="s">
        <v>108</v>
      </c>
      <c r="E123" s="92"/>
      <c r="F123" s="106">
        <v>0.0007646842120491868</v>
      </c>
      <c r="G123" s="108">
        <f t="shared" si="7"/>
        <v>2960</v>
      </c>
      <c r="H123" s="95"/>
      <c r="I123" s="92"/>
      <c r="K123" s="106"/>
      <c r="L123" s="95"/>
    </row>
    <row r="124" spans="1:12" ht="12.75">
      <c r="A124" s="97" t="s">
        <v>204</v>
      </c>
      <c r="B124" s="109">
        <v>334782</v>
      </c>
      <c r="C124" s="109">
        <v>696</v>
      </c>
      <c r="D124" s="107" t="s">
        <v>110</v>
      </c>
      <c r="E124" s="92"/>
      <c r="F124" s="106">
        <v>0.0021843135649694274</v>
      </c>
      <c r="G124" s="108">
        <f t="shared" si="7"/>
        <v>8456</v>
      </c>
      <c r="H124" s="95"/>
      <c r="I124" s="92"/>
      <c r="K124" s="106"/>
      <c r="L124" s="95"/>
    </row>
    <row r="125" spans="1:12" ht="12.75">
      <c r="A125" s="97" t="s">
        <v>205</v>
      </c>
      <c r="B125" s="109">
        <v>334782</v>
      </c>
      <c r="C125" s="109"/>
      <c r="D125" s="107" t="s">
        <v>159</v>
      </c>
      <c r="E125" s="92"/>
      <c r="F125" s="106">
        <v>8.16207297717611E-05</v>
      </c>
      <c r="G125" s="108">
        <f t="shared" si="7"/>
        <v>316</v>
      </c>
      <c r="H125" s="95"/>
      <c r="I125" s="92"/>
      <c r="K125" s="106"/>
      <c r="L125" s="95"/>
    </row>
    <row r="126" spans="1:12" ht="12.75">
      <c r="A126" s="97" t="s">
        <v>206</v>
      </c>
      <c r="B126" s="109">
        <v>334782</v>
      </c>
      <c r="C126" s="109"/>
      <c r="D126" s="107" t="s">
        <v>159</v>
      </c>
      <c r="E126" s="92"/>
      <c r="F126" s="106">
        <v>8.16207297717611E-05</v>
      </c>
      <c r="G126" s="108">
        <f t="shared" si="7"/>
        <v>316</v>
      </c>
      <c r="H126" s="95"/>
      <c r="I126" s="92"/>
      <c r="K126" s="106"/>
      <c r="L126" s="95"/>
    </row>
    <row r="127" spans="1:12" ht="12.75">
      <c r="A127" s="97" t="s">
        <v>207</v>
      </c>
      <c r="B127" s="109">
        <v>334782</v>
      </c>
      <c r="C127" s="109"/>
      <c r="D127" s="4" t="s">
        <v>108</v>
      </c>
      <c r="E127" s="92"/>
      <c r="F127" s="106">
        <v>8.16207297717611E-05</v>
      </c>
      <c r="G127" s="108">
        <f t="shared" si="7"/>
        <v>316</v>
      </c>
      <c r="H127" s="95"/>
      <c r="I127" s="92"/>
      <c r="K127" s="106"/>
      <c r="L127" s="95"/>
    </row>
    <row r="128" spans="1:12" ht="12.75">
      <c r="A128" s="97" t="s">
        <v>208</v>
      </c>
      <c r="B128" s="109">
        <v>334782</v>
      </c>
      <c r="C128" s="109">
        <v>170</v>
      </c>
      <c r="D128" s="107" t="s">
        <v>108</v>
      </c>
      <c r="E128" s="95"/>
      <c r="F128" s="106">
        <v>0.0005077829650925687</v>
      </c>
      <c r="G128" s="108">
        <f t="shared" si="7"/>
        <v>1966</v>
      </c>
      <c r="H128" s="95"/>
      <c r="I128" s="95"/>
      <c r="K128" s="106"/>
      <c r="L128" s="95"/>
    </row>
    <row r="129" spans="1:12" ht="12.75">
      <c r="A129" s="114" t="s">
        <v>209</v>
      </c>
      <c r="B129" s="109">
        <v>334782</v>
      </c>
      <c r="C129" s="109">
        <v>612</v>
      </c>
      <c r="D129" s="4" t="s">
        <v>108</v>
      </c>
      <c r="E129" s="95"/>
      <c r="F129" s="106">
        <v>0.0018280594846981333</v>
      </c>
      <c r="G129" s="108">
        <f t="shared" si="7"/>
        <v>7077</v>
      </c>
      <c r="H129" s="95"/>
      <c r="I129" s="95"/>
      <c r="K129" s="106"/>
      <c r="L129" s="95"/>
    </row>
    <row r="130" spans="1:12" ht="12.75">
      <c r="A130" s="97" t="s">
        <v>210</v>
      </c>
      <c r="B130" s="109">
        <v>334782</v>
      </c>
      <c r="C130" s="109">
        <v>100</v>
      </c>
      <c r="D130" s="107" t="s">
        <v>159</v>
      </c>
      <c r="E130" s="92"/>
      <c r="F130" s="106">
        <v>0.0002987114657822027</v>
      </c>
      <c r="G130" s="108">
        <f t="shared" si="7"/>
        <v>1156</v>
      </c>
      <c r="H130" s="95"/>
      <c r="I130" s="92"/>
      <c r="K130" s="106"/>
      <c r="L130" s="95"/>
    </row>
    <row r="131" spans="1:12" ht="12.75">
      <c r="A131" s="97" t="s">
        <v>211</v>
      </c>
      <c r="B131" s="109">
        <v>334782</v>
      </c>
      <c r="C131" s="97" t="s">
        <v>55</v>
      </c>
      <c r="D131" s="107" t="s">
        <v>159</v>
      </c>
      <c r="E131" s="95"/>
      <c r="F131" s="106">
        <v>8.16207297717611E-05</v>
      </c>
      <c r="G131" s="108">
        <f t="shared" si="7"/>
        <v>316</v>
      </c>
      <c r="H131" s="95"/>
      <c r="I131" s="95"/>
      <c r="K131" s="106"/>
      <c r="L131" s="95"/>
    </row>
    <row r="132" spans="1:12" ht="12.75">
      <c r="A132" s="97" t="s">
        <v>212</v>
      </c>
      <c r="B132" s="109">
        <v>334782</v>
      </c>
      <c r="C132" s="109">
        <v>3057</v>
      </c>
      <c r="D132" s="107" t="s">
        <v>108</v>
      </c>
      <c r="E132" s="92"/>
      <c r="F132" s="106">
        <v>0.009131319143215773</v>
      </c>
      <c r="G132" s="108">
        <f t="shared" si="7"/>
        <v>35348</v>
      </c>
      <c r="H132" s="95"/>
      <c r="I132" s="92"/>
      <c r="K132" s="106"/>
      <c r="L132" s="95"/>
    </row>
    <row r="133" spans="1:12" ht="12.75">
      <c r="A133" s="97" t="s">
        <v>213</v>
      </c>
      <c r="B133" s="109">
        <v>334782</v>
      </c>
      <c r="C133" s="109">
        <v>678</v>
      </c>
      <c r="D133" s="107" t="s">
        <v>110</v>
      </c>
      <c r="E133" s="92"/>
      <c r="F133" s="106">
        <v>0.003458515182618833</v>
      </c>
      <c r="G133" s="108">
        <f t="shared" si="7"/>
        <v>13388</v>
      </c>
      <c r="H133" s="95"/>
      <c r="I133" s="92"/>
      <c r="K133" s="106"/>
      <c r="L133" s="95"/>
    </row>
    <row r="134" spans="1:12" ht="12.75">
      <c r="A134" s="97" t="s">
        <v>214</v>
      </c>
      <c r="B134" s="109">
        <v>334782</v>
      </c>
      <c r="C134" s="109">
        <v>92</v>
      </c>
      <c r="D134" s="107" t="s">
        <v>159</v>
      </c>
      <c r="E134" s="92"/>
      <c r="F134" s="106">
        <v>0.00027479659195907665</v>
      </c>
      <c r="G134" s="108">
        <f t="shared" si="7"/>
        <v>1064</v>
      </c>
      <c r="H134" s="95"/>
      <c r="I134" s="92"/>
      <c r="K134" s="106"/>
      <c r="L134" s="95"/>
    </row>
    <row r="135" spans="1:12" ht="12.75">
      <c r="A135" s="97" t="s">
        <v>215</v>
      </c>
      <c r="B135" s="109">
        <v>334782</v>
      </c>
      <c r="C135" s="109">
        <v>23</v>
      </c>
      <c r="D135" s="107" t="s">
        <v>159</v>
      </c>
      <c r="E135" s="92"/>
      <c r="F135" s="106">
        <v>8.16207297717611E-05</v>
      </c>
      <c r="G135" s="108">
        <f t="shared" si="7"/>
        <v>316</v>
      </c>
      <c r="H135" s="95"/>
      <c r="I135" s="92"/>
      <c r="K135" s="106"/>
      <c r="L135" s="95"/>
    </row>
    <row r="136" spans="1:12" ht="12.75">
      <c r="A136" s="97" t="s">
        <v>216</v>
      </c>
      <c r="B136" s="109">
        <v>334782</v>
      </c>
      <c r="C136" s="109">
        <v>104</v>
      </c>
      <c r="D136" s="107" t="s">
        <v>159</v>
      </c>
      <c r="E136" s="92"/>
      <c r="F136" s="106">
        <v>0.00031064849751132273</v>
      </c>
      <c r="G136" s="108">
        <f t="shared" si="7"/>
        <v>1203</v>
      </c>
      <c r="H136" s="95"/>
      <c r="I136" s="92"/>
      <c r="K136" s="106"/>
      <c r="L136" s="95"/>
    </row>
    <row r="137" spans="1:12" ht="12.75">
      <c r="A137" s="97" t="s">
        <v>217</v>
      </c>
      <c r="B137" s="109">
        <v>334782</v>
      </c>
      <c r="C137" s="109">
        <v>225</v>
      </c>
      <c r="D137" s="107" t="s">
        <v>108</v>
      </c>
      <c r="E137" s="95"/>
      <c r="F137" s="106">
        <v>0.0006720854941231238</v>
      </c>
      <c r="G137" s="108">
        <f t="shared" si="7"/>
        <v>2602</v>
      </c>
      <c r="H137" s="95"/>
      <c r="I137" s="95"/>
      <c r="K137" s="106"/>
      <c r="L137" s="95"/>
    </row>
    <row r="138" spans="1:12" ht="12.75">
      <c r="A138" s="97" t="s">
        <v>218</v>
      </c>
      <c r="B138" s="109">
        <v>334782</v>
      </c>
      <c r="C138" s="109">
        <v>246</v>
      </c>
      <c r="D138" s="107" t="s">
        <v>108</v>
      </c>
      <c r="E138" s="95"/>
      <c r="F138" s="106">
        <v>0.0007348110249527222</v>
      </c>
      <c r="G138" s="108">
        <f t="shared" si="7"/>
        <v>2845</v>
      </c>
      <c r="H138" s="95"/>
      <c r="I138" s="95"/>
      <c r="K138" s="106"/>
      <c r="L138" s="95"/>
    </row>
    <row r="139" spans="1:12" ht="12.75">
      <c r="A139" s="97" t="s">
        <v>219</v>
      </c>
      <c r="B139" s="109">
        <v>334782</v>
      </c>
      <c r="C139" s="109">
        <v>194</v>
      </c>
      <c r="D139" s="107" t="s">
        <v>110</v>
      </c>
      <c r="E139" s="92"/>
      <c r="F139" s="106">
        <v>0.0006441099889938527</v>
      </c>
      <c r="G139" s="108">
        <f t="shared" si="7"/>
        <v>2493</v>
      </c>
      <c r="H139" s="95"/>
      <c r="I139" s="92"/>
      <c r="K139" s="106"/>
      <c r="L139" s="95"/>
    </row>
    <row r="140" spans="1:12" ht="12.75">
      <c r="A140" s="97" t="s">
        <v>220</v>
      </c>
      <c r="B140" s="109">
        <v>334782</v>
      </c>
      <c r="C140" s="109">
        <v>606</v>
      </c>
      <c r="D140" s="107" t="s">
        <v>108</v>
      </c>
      <c r="E140" s="92"/>
      <c r="F140" s="106">
        <v>0.0018101233293307888</v>
      </c>
      <c r="G140" s="108">
        <f t="shared" si="7"/>
        <v>7007</v>
      </c>
      <c r="H140" s="95"/>
      <c r="I140" s="92"/>
      <c r="K140" s="106"/>
      <c r="L140" s="95"/>
    </row>
    <row r="141" spans="1:12" ht="12.75">
      <c r="A141" s="97" t="s">
        <v>221</v>
      </c>
      <c r="B141" s="109">
        <v>334782</v>
      </c>
      <c r="C141" s="109">
        <v>119</v>
      </c>
      <c r="D141" s="107" t="s">
        <v>159</v>
      </c>
      <c r="E141" s="92"/>
      <c r="F141" s="106">
        <v>0.00035545827815601955</v>
      </c>
      <c r="G141" s="108">
        <f t="shared" si="7"/>
        <v>1376</v>
      </c>
      <c r="H141" s="95"/>
      <c r="I141" s="92"/>
      <c r="K141" s="106"/>
      <c r="L141" s="95"/>
    </row>
    <row r="142" spans="1:12" ht="12.75">
      <c r="A142" s="97" t="s">
        <v>222</v>
      </c>
      <c r="B142" s="109">
        <v>334782</v>
      </c>
      <c r="C142" s="109"/>
      <c r="D142" s="107" t="s">
        <v>159</v>
      </c>
      <c r="E142" s="92"/>
      <c r="F142" s="106">
        <v>8.16207297717611E-05</v>
      </c>
      <c r="G142" s="108">
        <f t="shared" si="7"/>
        <v>316</v>
      </c>
      <c r="H142" s="95"/>
      <c r="I142" s="92"/>
      <c r="K142" s="106"/>
      <c r="L142" s="95"/>
    </row>
    <row r="143" spans="1:12" ht="12.75">
      <c r="A143" s="97" t="s">
        <v>223</v>
      </c>
      <c r="B143" s="109">
        <v>334782</v>
      </c>
      <c r="C143" s="109">
        <v>34</v>
      </c>
      <c r="D143" s="107" t="s">
        <v>159</v>
      </c>
      <c r="E143" s="92"/>
      <c r="F143" s="106">
        <v>0.00010155659301851375</v>
      </c>
      <c r="G143" s="108">
        <f t="shared" si="7"/>
        <v>393</v>
      </c>
      <c r="H143" s="95"/>
      <c r="I143" s="92"/>
      <c r="K143" s="106"/>
      <c r="L143" s="95"/>
    </row>
    <row r="144" spans="1:12" ht="12.75">
      <c r="A144" s="97" t="s">
        <v>224</v>
      </c>
      <c r="B144" s="109">
        <v>334782</v>
      </c>
      <c r="C144" s="109">
        <v>2600</v>
      </c>
      <c r="D144" s="107" t="s">
        <v>108</v>
      </c>
      <c r="E144" s="92"/>
      <c r="F144" s="106">
        <v>0.007766253248147954</v>
      </c>
      <c r="G144" s="108">
        <f t="shared" si="7"/>
        <v>30064</v>
      </c>
      <c r="H144" s="95"/>
      <c r="I144" s="92"/>
      <c r="K144" s="106"/>
      <c r="L144" s="95"/>
    </row>
    <row r="145" spans="1:12" ht="12.75">
      <c r="A145" s="97" t="s">
        <v>225</v>
      </c>
      <c r="B145" s="109">
        <v>334782</v>
      </c>
      <c r="C145" s="109">
        <v>89</v>
      </c>
      <c r="D145" s="107" t="s">
        <v>159</v>
      </c>
      <c r="E145" s="92"/>
      <c r="F145" s="106">
        <v>0.0002658387168666259</v>
      </c>
      <c r="G145" s="108">
        <f t="shared" si="7"/>
        <v>1029</v>
      </c>
      <c r="H145" s="95"/>
      <c r="I145" s="92"/>
      <c r="K145" s="106"/>
      <c r="L145" s="95"/>
    </row>
    <row r="146" spans="1:12" ht="12.75">
      <c r="A146" s="97" t="s">
        <v>226</v>
      </c>
      <c r="B146" s="109">
        <v>334782</v>
      </c>
      <c r="C146" s="109">
        <v>75</v>
      </c>
      <c r="D146" s="4" t="s">
        <v>108</v>
      </c>
      <c r="E146" s="92"/>
      <c r="F146" s="106">
        <v>0.00022402849804104127</v>
      </c>
      <c r="G146" s="108">
        <f t="shared" si="7"/>
        <v>867</v>
      </c>
      <c r="H146" s="95"/>
      <c r="I146" s="92"/>
      <c r="K146" s="106"/>
      <c r="L146" s="95"/>
    </row>
    <row r="147" spans="1:12" ht="12.75">
      <c r="A147" s="105" t="s">
        <v>39</v>
      </c>
      <c r="B147" s="95"/>
      <c r="C147" s="95"/>
      <c r="D147" s="97" t="s">
        <v>55</v>
      </c>
      <c r="E147" s="92">
        <f>States_Territories!D44</f>
        <v>6105258</v>
      </c>
      <c r="F147" s="95"/>
      <c r="G147" s="104"/>
      <c r="H147" s="92">
        <f>SUM(G148:G153)</f>
        <v>96201</v>
      </c>
      <c r="I147" s="92">
        <f>E147-H147</f>
        <v>6009057</v>
      </c>
      <c r="K147" s="106"/>
      <c r="L147" s="95"/>
    </row>
    <row r="148" spans="1:12" ht="12.75">
      <c r="A148" s="97" t="s">
        <v>227</v>
      </c>
      <c r="B148" s="109">
        <v>239405</v>
      </c>
      <c r="C148" s="95">
        <v>120</v>
      </c>
      <c r="D148" s="107" t="s">
        <v>159</v>
      </c>
      <c r="E148" s="92"/>
      <c r="F148" s="106">
        <v>0.0008157842703034594</v>
      </c>
      <c r="G148" s="108">
        <f aca="true" t="shared" si="8" ref="G148:G153">ROUND(F148*$E$147,0)</f>
        <v>4981</v>
      </c>
      <c r="H148" s="92"/>
      <c r="I148" s="92"/>
      <c r="K148" s="106"/>
      <c r="L148" s="95"/>
    </row>
    <row r="149" spans="1:12" ht="12.75">
      <c r="A149" s="97" t="s">
        <v>228</v>
      </c>
      <c r="B149" s="109">
        <v>239405</v>
      </c>
      <c r="C149" s="95"/>
      <c r="D149" s="107" t="s">
        <v>159</v>
      </c>
      <c r="E149" s="92"/>
      <c r="F149" s="106">
        <v>0.0026203211244382333</v>
      </c>
      <c r="G149" s="108">
        <f t="shared" si="8"/>
        <v>15998</v>
      </c>
      <c r="H149" s="92"/>
      <c r="I149" s="92"/>
      <c r="K149" s="106"/>
      <c r="L149" s="95"/>
    </row>
    <row r="150" spans="1:12" ht="12.75">
      <c r="A150" s="97" t="s">
        <v>229</v>
      </c>
      <c r="B150" s="109">
        <v>239405</v>
      </c>
      <c r="C150" s="95">
        <v>150</v>
      </c>
      <c r="D150" s="107" t="s">
        <v>155</v>
      </c>
      <c r="E150" s="92"/>
      <c r="F150" s="106">
        <v>0.002528159550117464</v>
      </c>
      <c r="G150" s="108">
        <f t="shared" si="8"/>
        <v>15435</v>
      </c>
      <c r="H150" s="92"/>
      <c r="I150" s="92"/>
      <c r="K150" s="106"/>
      <c r="L150" s="95"/>
    </row>
    <row r="151" spans="1:12" ht="12.75">
      <c r="A151" s="97" t="s">
        <v>230</v>
      </c>
      <c r="B151" s="109">
        <v>239405</v>
      </c>
      <c r="C151" s="95"/>
      <c r="D151" s="107" t="s">
        <v>159</v>
      </c>
      <c r="E151" s="92"/>
      <c r="F151" s="106">
        <v>0.002528159550117464</v>
      </c>
      <c r="G151" s="108">
        <f t="shared" si="8"/>
        <v>15435</v>
      </c>
      <c r="H151" s="92"/>
      <c r="I151" s="92"/>
      <c r="K151" s="106"/>
      <c r="L151" s="95"/>
    </row>
    <row r="152" spans="1:12" ht="12.75">
      <c r="A152" s="97" t="s">
        <v>231</v>
      </c>
      <c r="B152" s="109">
        <v>239405</v>
      </c>
      <c r="C152" s="95"/>
      <c r="D152" s="107" t="s">
        <v>159</v>
      </c>
      <c r="E152" s="92"/>
      <c r="F152" s="106">
        <v>0.00026457868226058143</v>
      </c>
      <c r="G152" s="108">
        <f t="shared" si="8"/>
        <v>1615</v>
      </c>
      <c r="H152" s="92"/>
      <c r="I152" s="92"/>
      <c r="K152" s="106"/>
      <c r="L152" s="95"/>
    </row>
    <row r="153" spans="1:12" ht="12.75">
      <c r="A153" s="97" t="s">
        <v>232</v>
      </c>
      <c r="B153" s="109">
        <v>239405</v>
      </c>
      <c r="C153" s="95"/>
      <c r="D153" s="107" t="s">
        <v>110</v>
      </c>
      <c r="E153" s="92"/>
      <c r="F153" s="106">
        <v>0.007000002293015247</v>
      </c>
      <c r="G153" s="108">
        <f t="shared" si="8"/>
        <v>42737</v>
      </c>
      <c r="H153" s="92"/>
      <c r="I153" s="92"/>
      <c r="K153" s="106"/>
      <c r="L153" s="95"/>
    </row>
    <row r="154" spans="1:12" ht="12.75">
      <c r="A154" s="105" t="s">
        <v>41</v>
      </c>
      <c r="B154" s="95"/>
      <c r="C154" s="95"/>
      <c r="D154" s="95"/>
      <c r="E154" s="92">
        <f>States_Territories!D46</f>
        <v>8444425</v>
      </c>
      <c r="F154" s="95"/>
      <c r="G154" s="104"/>
      <c r="H154" s="92">
        <f>$G155</f>
        <v>23927</v>
      </c>
      <c r="I154" s="92">
        <f>SUM($E154-$H154)</f>
        <v>8420498</v>
      </c>
      <c r="K154" s="106"/>
      <c r="L154" s="95"/>
    </row>
    <row r="155" spans="1:12" ht="12.75">
      <c r="A155" s="97" t="s">
        <v>233</v>
      </c>
      <c r="B155" s="109">
        <v>84702</v>
      </c>
      <c r="C155" s="115">
        <v>240</v>
      </c>
      <c r="D155" s="107" t="s">
        <v>108</v>
      </c>
      <c r="E155" s="92"/>
      <c r="F155" s="106">
        <v>0.002833459296121638</v>
      </c>
      <c r="G155" s="108">
        <f>ROUND(F155*E154,0)</f>
        <v>23927</v>
      </c>
      <c r="H155" s="95"/>
      <c r="I155" s="95"/>
      <c r="K155" s="106"/>
      <c r="L155" s="95"/>
    </row>
    <row r="156" spans="1:12" ht="12.75">
      <c r="A156" s="105" t="s">
        <v>43</v>
      </c>
      <c r="B156" s="95"/>
      <c r="C156" s="95"/>
      <c r="D156" s="97" t="s">
        <v>55</v>
      </c>
      <c r="E156" s="92">
        <f>States_Territories!D48</f>
        <v>3179746</v>
      </c>
      <c r="F156" s="95"/>
      <c r="G156" s="104"/>
      <c r="H156" s="92">
        <f>SUM(G157:G163)</f>
        <v>565358</v>
      </c>
      <c r="I156" s="92">
        <f>E156-H156</f>
        <v>2614388</v>
      </c>
      <c r="K156" s="106"/>
      <c r="L156" s="95"/>
    </row>
    <row r="157" spans="1:12" ht="12.75">
      <c r="A157" s="97" t="s">
        <v>234</v>
      </c>
      <c r="B157" s="95"/>
      <c r="C157" s="95"/>
      <c r="D157" s="107" t="s">
        <v>110</v>
      </c>
      <c r="E157" s="92"/>
      <c r="F157" s="106">
        <v>0.02819999092479724</v>
      </c>
      <c r="G157" s="108">
        <f aca="true" t="shared" si="9" ref="G157:G163">ROUND(F157*$E$156,0)</f>
        <v>89669</v>
      </c>
      <c r="H157" s="95"/>
      <c r="I157" s="92"/>
      <c r="K157" s="106"/>
      <c r="L157" s="95"/>
    </row>
    <row r="158" spans="1:12" ht="12.75">
      <c r="A158" s="97" t="s">
        <v>235</v>
      </c>
      <c r="B158" s="95"/>
      <c r="C158" s="95"/>
      <c r="D158" s="107" t="s">
        <v>110</v>
      </c>
      <c r="E158" s="92"/>
      <c r="F158" s="106">
        <v>0.0037999990315001004</v>
      </c>
      <c r="G158" s="108">
        <f t="shared" si="9"/>
        <v>12083</v>
      </c>
      <c r="H158" s="95"/>
      <c r="I158" s="92"/>
      <c r="K158" s="106"/>
      <c r="L158" s="95"/>
    </row>
    <row r="159" spans="1:12" ht="12.75">
      <c r="A159" s="97" t="s">
        <v>236</v>
      </c>
      <c r="B159" s="95"/>
      <c r="C159" s="95"/>
      <c r="D159" s="107" t="s">
        <v>110</v>
      </c>
      <c r="E159" s="92"/>
      <c r="F159" s="106">
        <v>0.05840000588274013</v>
      </c>
      <c r="G159" s="108">
        <f t="shared" si="9"/>
        <v>185697</v>
      </c>
      <c r="H159" s="95"/>
      <c r="I159" s="92"/>
      <c r="K159" s="106"/>
      <c r="L159" s="95"/>
    </row>
    <row r="160" spans="1:12" ht="12.75">
      <c r="A160" s="97" t="s">
        <v>237</v>
      </c>
      <c r="B160" s="95"/>
      <c r="C160" s="95"/>
      <c r="D160" s="107" t="s">
        <v>110</v>
      </c>
      <c r="E160" s="92"/>
      <c r="F160" s="106">
        <v>0.04600001470685033</v>
      </c>
      <c r="G160" s="108">
        <f t="shared" si="9"/>
        <v>146268</v>
      </c>
      <c r="H160" s="95"/>
      <c r="I160" s="92"/>
      <c r="K160" s="106"/>
      <c r="L160" s="95"/>
    </row>
    <row r="161" spans="1:12" ht="12.75">
      <c r="A161" s="97" t="s">
        <v>238</v>
      </c>
      <c r="B161" s="95"/>
      <c r="C161" s="95"/>
      <c r="D161" s="107" t="s">
        <v>110</v>
      </c>
      <c r="E161" s="92"/>
      <c r="F161" s="106">
        <v>0.01860000469901803</v>
      </c>
      <c r="G161" s="108">
        <f t="shared" si="9"/>
        <v>59143</v>
      </c>
      <c r="H161" s="95"/>
      <c r="I161" s="92"/>
      <c r="K161" s="106"/>
      <c r="L161" s="95"/>
    </row>
    <row r="162" spans="1:12" ht="12.75">
      <c r="A162" s="97" t="s">
        <v>239</v>
      </c>
      <c r="B162" s="95"/>
      <c r="C162" s="95"/>
      <c r="D162" s="107" t="s">
        <v>110</v>
      </c>
      <c r="E162" s="92"/>
      <c r="F162" s="106">
        <v>0.011600010258924862</v>
      </c>
      <c r="G162" s="108">
        <f t="shared" si="9"/>
        <v>36885</v>
      </c>
      <c r="H162" s="95"/>
      <c r="I162" s="92"/>
      <c r="K162" s="106"/>
      <c r="L162" s="95"/>
    </row>
    <row r="163" spans="1:12" ht="12.75">
      <c r="A163" s="97" t="s">
        <v>240</v>
      </c>
      <c r="B163" s="95"/>
      <c r="C163" s="95"/>
      <c r="D163" s="107" t="s">
        <v>110</v>
      </c>
      <c r="E163" s="92"/>
      <c r="F163" s="106">
        <v>0.011199983930075742</v>
      </c>
      <c r="G163" s="108">
        <f t="shared" si="9"/>
        <v>35613</v>
      </c>
      <c r="H163" s="95"/>
      <c r="I163" s="92"/>
      <c r="K163" s="106"/>
      <c r="L163" s="95"/>
    </row>
    <row r="164" spans="1:12" ht="12.75">
      <c r="A164" s="105" t="s">
        <v>46</v>
      </c>
      <c r="B164" s="95"/>
      <c r="C164" s="95"/>
      <c r="D164" s="97" t="s">
        <v>55</v>
      </c>
      <c r="E164" s="92">
        <f>States_Territories!D51</f>
        <v>3660610</v>
      </c>
      <c r="F164" s="95"/>
      <c r="G164" s="104"/>
      <c r="H164" s="92">
        <f>SUM(G165:G167)</f>
        <v>51164</v>
      </c>
      <c r="I164" s="92">
        <f>E164-H164</f>
        <v>3609446</v>
      </c>
      <c r="K164" s="106"/>
      <c r="L164" s="95"/>
    </row>
    <row r="165" spans="1:12" ht="12.75">
      <c r="A165" s="97" t="s">
        <v>183</v>
      </c>
      <c r="B165" s="109">
        <v>110884</v>
      </c>
      <c r="C165" s="109">
        <v>997</v>
      </c>
      <c r="D165" s="107" t="s">
        <v>155</v>
      </c>
      <c r="E165" s="92"/>
      <c r="F165" s="106">
        <v>0.008991370004737318</v>
      </c>
      <c r="G165" s="108">
        <f>ROUND(F165*$E$164,0)</f>
        <v>32914</v>
      </c>
      <c r="H165" s="95"/>
      <c r="I165" s="92"/>
      <c r="K165" s="106"/>
      <c r="L165" s="95"/>
    </row>
    <row r="166" spans="1:12" ht="12.75">
      <c r="A166" s="97" t="s">
        <v>241</v>
      </c>
      <c r="B166" s="109">
        <v>110884</v>
      </c>
      <c r="C166" s="95"/>
      <c r="D166" s="107" t="s">
        <v>159</v>
      </c>
      <c r="E166" s="92"/>
      <c r="F166" s="106">
        <v>0.0018695020282227504</v>
      </c>
      <c r="G166" s="108">
        <f>ROUND(F166*$E$164,0)</f>
        <v>6844</v>
      </c>
      <c r="H166" s="95"/>
      <c r="I166" s="95"/>
      <c r="K166" s="106"/>
      <c r="L166" s="95"/>
    </row>
    <row r="167" spans="1:12" ht="12.75">
      <c r="A167" s="97" t="s">
        <v>242</v>
      </c>
      <c r="B167" s="109">
        <v>110884</v>
      </c>
      <c r="C167" s="95"/>
      <c r="D167" s="107" t="s">
        <v>159</v>
      </c>
      <c r="E167" s="92"/>
      <c r="F167" s="106">
        <v>0.003115836713704584</v>
      </c>
      <c r="G167" s="108">
        <f>ROUND(F167*$E$164,0)</f>
        <v>11406</v>
      </c>
      <c r="H167" s="95"/>
      <c r="I167" s="92"/>
      <c r="K167" s="106"/>
      <c r="L167" s="95"/>
    </row>
    <row r="168" spans="1:12" ht="12.75">
      <c r="A168" s="105" t="s">
        <v>49</v>
      </c>
      <c r="B168" s="95"/>
      <c r="C168" s="95"/>
      <c r="D168" s="95"/>
      <c r="E168" s="92">
        <f>States_Territories!D54</f>
        <v>10042308</v>
      </c>
      <c r="F168" s="95"/>
      <c r="G168" s="104"/>
      <c r="H168" s="92">
        <f>SUM(G169:G189)</f>
        <v>408586</v>
      </c>
      <c r="I168" s="92">
        <f>E168-H168</f>
        <v>9633722</v>
      </c>
      <c r="K168" s="106"/>
      <c r="L168" s="95"/>
    </row>
    <row r="169" spans="1:12" ht="12.75">
      <c r="A169" s="97" t="s">
        <v>243</v>
      </c>
      <c r="B169" s="92"/>
      <c r="C169" s="95"/>
      <c r="D169" s="107" t="s">
        <v>110</v>
      </c>
      <c r="E169" s="92"/>
      <c r="F169" s="106">
        <v>0.008470001656905276</v>
      </c>
      <c r="G169" s="108">
        <f aca="true" t="shared" si="10" ref="G169:G189">ROUND(F169*$E$168,0)</f>
        <v>85058</v>
      </c>
      <c r="H169" s="95"/>
      <c r="I169" s="95"/>
      <c r="K169" s="106"/>
      <c r="L169" s="95"/>
    </row>
    <row r="170" spans="1:12" ht="12.75">
      <c r="A170" s="97" t="s">
        <v>244</v>
      </c>
      <c r="B170" s="92"/>
      <c r="C170" s="95"/>
      <c r="D170" s="107" t="s">
        <v>159</v>
      </c>
      <c r="E170" s="92"/>
      <c r="F170" s="106">
        <v>0.00011340036116808645</v>
      </c>
      <c r="G170" s="108">
        <f t="shared" si="10"/>
        <v>1139</v>
      </c>
      <c r="H170" s="95"/>
      <c r="I170" s="95"/>
      <c r="K170" s="106"/>
      <c r="L170" s="95"/>
    </row>
    <row r="171" spans="1:12" ht="12.75">
      <c r="A171" s="97" t="s">
        <v>245</v>
      </c>
      <c r="B171" s="92"/>
      <c r="C171" s="95"/>
      <c r="D171" s="107" t="s">
        <v>110</v>
      </c>
      <c r="E171" s="92"/>
      <c r="F171" s="106">
        <v>0.00024700099943786394</v>
      </c>
      <c r="G171" s="108">
        <f t="shared" si="10"/>
        <v>2480</v>
      </c>
      <c r="H171" s="95"/>
      <c r="I171" s="95"/>
      <c r="K171" s="106"/>
      <c r="L171" s="95"/>
    </row>
    <row r="172" spans="1:12" ht="12.75">
      <c r="A172" s="97" t="s">
        <v>246</v>
      </c>
      <c r="B172" s="92"/>
      <c r="C172" s="95"/>
      <c r="D172" s="107" t="s">
        <v>110</v>
      </c>
      <c r="E172" s="92"/>
      <c r="F172" s="106">
        <v>0.00024700099943786394</v>
      </c>
      <c r="G172" s="108">
        <f t="shared" si="10"/>
        <v>2480</v>
      </c>
      <c r="H172" s="95"/>
      <c r="I172" s="95"/>
      <c r="K172" s="106"/>
      <c r="L172" s="95"/>
    </row>
    <row r="173" spans="1:12" ht="12.75">
      <c r="A173" s="97" t="s">
        <v>247</v>
      </c>
      <c r="B173" s="92"/>
      <c r="C173" s="95"/>
      <c r="D173" s="107" t="s">
        <v>110</v>
      </c>
      <c r="E173" s="92"/>
      <c r="F173" s="106">
        <v>0.0006039976683491697</v>
      </c>
      <c r="G173" s="108">
        <f t="shared" si="10"/>
        <v>6066</v>
      </c>
      <c r="H173" s="95"/>
      <c r="I173" s="95"/>
      <c r="K173" s="106"/>
      <c r="L173" s="95"/>
    </row>
    <row r="174" spans="1:12" ht="12.75">
      <c r="A174" s="97" t="s">
        <v>248</v>
      </c>
      <c r="B174" s="92"/>
      <c r="C174" s="95"/>
      <c r="D174" s="107" t="s">
        <v>110</v>
      </c>
      <c r="E174" s="92"/>
      <c r="F174" s="106">
        <v>0.0024990034909751608</v>
      </c>
      <c r="G174" s="108">
        <f t="shared" si="10"/>
        <v>25096</v>
      </c>
      <c r="H174" s="95"/>
      <c r="I174" s="95"/>
      <c r="K174" s="106"/>
      <c r="L174" s="95"/>
    </row>
    <row r="175" spans="1:12" ht="12.75">
      <c r="A175" s="97" t="s">
        <v>249</v>
      </c>
      <c r="B175" s="92"/>
      <c r="C175" s="95"/>
      <c r="D175" s="107" t="s">
        <v>110</v>
      </c>
      <c r="E175" s="92"/>
      <c r="F175" s="106">
        <v>0.0019489983350119311</v>
      </c>
      <c r="G175" s="108">
        <f t="shared" si="10"/>
        <v>19572</v>
      </c>
      <c r="H175" s="95"/>
      <c r="I175" s="95"/>
      <c r="K175" s="106"/>
      <c r="L175" s="95"/>
    </row>
    <row r="176" spans="1:12" ht="12.75">
      <c r="A176" s="97" t="s">
        <v>250</v>
      </c>
      <c r="B176" s="92"/>
      <c r="C176" s="95"/>
      <c r="D176" s="107" t="s">
        <v>110</v>
      </c>
      <c r="E176" s="92"/>
      <c r="F176" s="106">
        <v>0.0008920024154008843</v>
      </c>
      <c r="G176" s="108">
        <f t="shared" si="10"/>
        <v>8958</v>
      </c>
      <c r="H176" s="95"/>
      <c r="I176" s="95"/>
      <c r="K176" s="106"/>
      <c r="L176" s="95"/>
    </row>
    <row r="177" spans="1:12" ht="12.75">
      <c r="A177" s="97" t="s">
        <v>251</v>
      </c>
      <c r="B177" s="92"/>
      <c r="C177" s="95"/>
      <c r="D177" s="107" t="s">
        <v>110</v>
      </c>
      <c r="E177" s="92"/>
      <c r="F177" s="106">
        <v>0.000686005163576871</v>
      </c>
      <c r="G177" s="108">
        <f t="shared" si="10"/>
        <v>6889</v>
      </c>
      <c r="H177" s="95"/>
      <c r="I177" s="95"/>
      <c r="K177" s="106"/>
      <c r="L177" s="95"/>
    </row>
    <row r="178" spans="1:12" ht="12.75">
      <c r="A178" s="97" t="s">
        <v>252</v>
      </c>
      <c r="B178" s="92"/>
      <c r="C178" s="95"/>
      <c r="D178" s="107" t="s">
        <v>110</v>
      </c>
      <c r="E178" s="92"/>
      <c r="F178" s="106">
        <v>0.0004119945036480266</v>
      </c>
      <c r="G178" s="108">
        <f t="shared" si="10"/>
        <v>4137</v>
      </c>
      <c r="H178" s="95"/>
      <c r="I178" s="95"/>
      <c r="K178" s="106"/>
      <c r="L178" s="95"/>
    </row>
    <row r="179" spans="1:12" ht="12.75">
      <c r="A179" s="97" t="s">
        <v>253</v>
      </c>
      <c r="B179" s="92"/>
      <c r="C179" s="95"/>
      <c r="D179" s="107" t="s">
        <v>110</v>
      </c>
      <c r="E179" s="92"/>
      <c r="F179" s="106">
        <v>0.002786994833728865</v>
      </c>
      <c r="G179" s="108">
        <f t="shared" si="10"/>
        <v>27988</v>
      </c>
      <c r="H179" s="95"/>
      <c r="I179" s="95"/>
      <c r="K179" s="106"/>
      <c r="L179" s="95"/>
    </row>
    <row r="180" spans="1:12" ht="12.75">
      <c r="A180" s="97" t="s">
        <v>254</v>
      </c>
      <c r="B180" s="92"/>
      <c r="C180" s="95"/>
      <c r="D180" s="107" t="s">
        <v>110</v>
      </c>
      <c r="E180" s="92"/>
      <c r="F180" s="106">
        <v>0.0007960008330503127</v>
      </c>
      <c r="G180" s="108">
        <f t="shared" si="10"/>
        <v>7994</v>
      </c>
      <c r="H180" s="95"/>
      <c r="I180" s="95"/>
      <c r="K180" s="106"/>
      <c r="L180" s="95"/>
    </row>
    <row r="181" spans="1:12" ht="12.75">
      <c r="A181" s="97" t="s">
        <v>255</v>
      </c>
      <c r="B181" s="92"/>
      <c r="C181" s="95"/>
      <c r="D181" s="107" t="s">
        <v>110</v>
      </c>
      <c r="E181" s="92"/>
      <c r="F181" s="106">
        <v>0.002169003078256825</v>
      </c>
      <c r="G181" s="108">
        <f t="shared" si="10"/>
        <v>21782</v>
      </c>
      <c r="H181" s="95"/>
      <c r="I181" s="95"/>
      <c r="K181" s="106"/>
      <c r="L181" s="95"/>
    </row>
    <row r="182" spans="1:12" ht="12.75">
      <c r="A182" s="97" t="s">
        <v>256</v>
      </c>
      <c r="B182" s="92"/>
      <c r="C182" s="95"/>
      <c r="D182" s="107" t="s">
        <v>110</v>
      </c>
      <c r="E182" s="92"/>
      <c r="F182" s="106">
        <v>0.0008229970892432827</v>
      </c>
      <c r="G182" s="108">
        <f t="shared" si="10"/>
        <v>8265</v>
      </c>
      <c r="H182" s="95"/>
      <c r="I182" s="95"/>
      <c r="K182" s="106"/>
      <c r="L182" s="95"/>
    </row>
    <row r="183" spans="1:12" ht="12.75">
      <c r="A183" s="97" t="s">
        <v>257</v>
      </c>
      <c r="B183" s="92"/>
      <c r="C183" s="95"/>
      <c r="D183" s="107" t="s">
        <v>110</v>
      </c>
      <c r="E183" s="92"/>
      <c r="F183" s="106">
        <v>0.0013169990881190107</v>
      </c>
      <c r="G183" s="108">
        <f t="shared" si="10"/>
        <v>13226</v>
      </c>
      <c r="H183" s="95"/>
      <c r="I183" s="95"/>
      <c r="K183" s="106"/>
      <c r="L183" s="95"/>
    </row>
    <row r="184" spans="1:12" ht="12.75">
      <c r="A184" s="97" t="s">
        <v>258</v>
      </c>
      <c r="B184" s="92"/>
      <c r="C184" s="95"/>
      <c r="D184" s="107" t="s">
        <v>110</v>
      </c>
      <c r="E184" s="92"/>
      <c r="F184" s="106">
        <v>0.0027819950305709813</v>
      </c>
      <c r="G184" s="108">
        <f t="shared" si="10"/>
        <v>27938</v>
      </c>
      <c r="H184" s="95"/>
      <c r="I184" s="95"/>
      <c r="K184" s="106"/>
      <c r="L184" s="95"/>
    </row>
    <row r="185" spans="1:12" ht="12.75">
      <c r="A185" s="97" t="s">
        <v>259</v>
      </c>
      <c r="B185" s="92"/>
      <c r="C185" s="95"/>
      <c r="D185" s="107" t="s">
        <v>110</v>
      </c>
      <c r="E185" s="92"/>
      <c r="F185" s="106">
        <v>0.0017440064055386987</v>
      </c>
      <c r="G185" s="108">
        <f t="shared" si="10"/>
        <v>17514</v>
      </c>
      <c r="H185" s="95"/>
      <c r="I185" s="95"/>
      <c r="K185" s="106"/>
      <c r="L185" s="95"/>
    </row>
    <row r="186" spans="1:12" ht="12.75">
      <c r="A186" s="2" t="s">
        <v>260</v>
      </c>
      <c r="B186" s="92"/>
      <c r="C186" s="95"/>
      <c r="D186" s="107" t="s">
        <v>110</v>
      </c>
      <c r="E186" s="92"/>
      <c r="F186" s="106">
        <v>0.00024700099943786394</v>
      </c>
      <c r="G186" s="108">
        <f t="shared" si="10"/>
        <v>2480</v>
      </c>
      <c r="H186" s="95"/>
      <c r="I186" s="95"/>
      <c r="K186" s="106"/>
      <c r="L186" s="95"/>
    </row>
    <row r="187" spans="1:12" ht="12.75">
      <c r="A187" s="97" t="s">
        <v>261</v>
      </c>
      <c r="B187" s="92"/>
      <c r="C187" s="95"/>
      <c r="D187" s="107" t="s">
        <v>110</v>
      </c>
      <c r="E187" s="92"/>
      <c r="F187" s="106">
        <v>0.0010569959196110468</v>
      </c>
      <c r="G187" s="108">
        <f t="shared" si="10"/>
        <v>10615</v>
      </c>
      <c r="H187" s="95"/>
      <c r="I187" s="95"/>
      <c r="K187" s="106"/>
      <c r="L187" s="95"/>
    </row>
    <row r="188" spans="1:12" ht="12.75">
      <c r="A188" s="97" t="s">
        <v>262</v>
      </c>
      <c r="B188" s="92"/>
      <c r="C188" s="95"/>
      <c r="D188" s="107" t="s">
        <v>110</v>
      </c>
      <c r="E188" s="92"/>
      <c r="F188" s="106">
        <v>0.0018670042440822403</v>
      </c>
      <c r="G188" s="108">
        <f t="shared" si="10"/>
        <v>18749</v>
      </c>
      <c r="H188" s="95"/>
      <c r="I188" s="95"/>
      <c r="K188" s="106"/>
      <c r="L188" s="95"/>
    </row>
    <row r="189" spans="1:12" ht="12.75">
      <c r="A189" s="97" t="s">
        <v>263</v>
      </c>
      <c r="B189" s="92"/>
      <c r="C189" s="95"/>
      <c r="D189" s="107" t="s">
        <v>110</v>
      </c>
      <c r="E189" s="92"/>
      <c r="F189" s="106">
        <v>0.008977997742903875</v>
      </c>
      <c r="G189" s="108">
        <f t="shared" si="10"/>
        <v>90160</v>
      </c>
      <c r="H189" s="95"/>
      <c r="I189" s="95"/>
      <c r="K189" s="106"/>
      <c r="L189" s="95"/>
    </row>
    <row r="190" spans="1:12" ht="12.75">
      <c r="A190" s="105" t="s">
        <v>52</v>
      </c>
      <c r="B190" s="92"/>
      <c r="C190" s="95"/>
      <c r="D190" s="107"/>
      <c r="E190" s="92">
        <f>States_Territories!D57</f>
        <v>1465628</v>
      </c>
      <c r="F190" s="95"/>
      <c r="G190" s="108"/>
      <c r="H190" s="112">
        <f>G191</f>
        <v>23952</v>
      </c>
      <c r="I190" s="92">
        <f>E190-H190</f>
        <v>1441676</v>
      </c>
      <c r="K190" s="106"/>
      <c r="L190" s="95"/>
    </row>
    <row r="191" spans="1:12" ht="13.5" thickBot="1">
      <c r="A191" s="116" t="s">
        <v>264</v>
      </c>
      <c r="B191" s="117"/>
      <c r="C191" s="118"/>
      <c r="D191" s="119" t="s">
        <v>159</v>
      </c>
      <c r="E191" s="117"/>
      <c r="F191" s="120">
        <v>0.016342697335735658</v>
      </c>
      <c r="G191" s="121">
        <f>ROUND(F191*E190,0)</f>
        <v>23952</v>
      </c>
      <c r="H191" s="118"/>
      <c r="I191" s="118"/>
      <c r="K191" s="106"/>
      <c r="L191" s="95"/>
    </row>
    <row r="192" spans="1:12" ht="13.5" thickTop="1">
      <c r="A192" s="97" t="s">
        <v>265</v>
      </c>
      <c r="B192" s="95"/>
      <c r="C192" s="95"/>
      <c r="D192" s="95"/>
      <c r="E192" s="92">
        <f>SUM(E12:E191)</f>
        <v>296815720</v>
      </c>
      <c r="F192" s="95"/>
      <c r="G192" s="92"/>
      <c r="H192" s="92">
        <f>SUM(H12:H191)</f>
        <v>7430366</v>
      </c>
      <c r="I192" s="92">
        <f>SUM(I12:I191)</f>
        <v>289385354</v>
      </c>
      <c r="K192" s="92"/>
      <c r="L192" s="95"/>
    </row>
    <row r="194" ht="12.75">
      <c r="A194" s="122" t="str">
        <f>"DEA/PE "&amp;TEXT($D$4,"dd-MMM-yyyy")</f>
        <v>DEA/PE 24-Oct-2008</v>
      </c>
    </row>
    <row r="444" ht="12.75">
      <c r="H444" s="123"/>
    </row>
    <row r="446" ht="12.75">
      <c r="E446" s="123"/>
    </row>
    <row r="449" ht="12.75">
      <c r="E449" s="123"/>
    </row>
    <row r="450" ht="12.75">
      <c r="E450" s="123"/>
    </row>
    <row r="451" ht="12.75">
      <c r="E451" s="123"/>
    </row>
    <row r="452" ht="12.75">
      <c r="E452" s="123"/>
    </row>
    <row r="453" ht="12.75">
      <c r="E453" s="123"/>
    </row>
    <row r="454" ht="12.75">
      <c r="E454" s="123"/>
    </row>
    <row r="455" ht="12.75">
      <c r="E455" s="123"/>
    </row>
    <row r="456" ht="12.75">
      <c r="E456" s="123"/>
    </row>
    <row r="457" ht="12.75">
      <c r="E457" s="123"/>
    </row>
    <row r="458" ht="12.75">
      <c r="E458" s="123"/>
    </row>
    <row r="459" ht="12.75">
      <c r="E459" s="123"/>
    </row>
    <row r="460" ht="12.75">
      <c r="E460" s="123"/>
    </row>
    <row r="461" ht="12.75">
      <c r="E461" s="123"/>
    </row>
    <row r="462" ht="12.75">
      <c r="E462" s="123"/>
    </row>
    <row r="463" ht="12.75">
      <c r="E463" s="123"/>
    </row>
    <row r="464" ht="12.75">
      <c r="E464" s="123"/>
    </row>
    <row r="465" ht="12.75">
      <c r="E465" s="123"/>
    </row>
    <row r="466" ht="12.75">
      <c r="E466" s="123"/>
    </row>
    <row r="467" ht="12.75">
      <c r="E467" s="123"/>
    </row>
    <row r="468" ht="12.75">
      <c r="E468" s="123"/>
    </row>
    <row r="469" ht="12.75">
      <c r="E469" s="123"/>
    </row>
    <row r="470" ht="12.75">
      <c r="E470" s="123"/>
    </row>
    <row r="471" ht="12.75">
      <c r="E471" s="123"/>
    </row>
    <row r="472" ht="12.75">
      <c r="E472" s="123"/>
    </row>
    <row r="473" ht="12.75">
      <c r="E473" s="123"/>
    </row>
    <row r="474" ht="12.75">
      <c r="E474" s="123"/>
    </row>
    <row r="475" ht="12.75">
      <c r="E475" s="123"/>
    </row>
    <row r="476" ht="12.75">
      <c r="E476" s="123"/>
    </row>
    <row r="477" ht="12.75">
      <c r="E477" s="123"/>
    </row>
    <row r="478" ht="12.75">
      <c r="E478" s="123"/>
    </row>
    <row r="479" ht="12.75">
      <c r="E479" s="123"/>
    </row>
    <row r="480" ht="12.75">
      <c r="E480" s="123"/>
    </row>
    <row r="481" ht="12.75">
      <c r="E481" s="123"/>
    </row>
    <row r="482" ht="12.75">
      <c r="E482" s="123"/>
    </row>
    <row r="483" ht="12.75">
      <c r="E483" s="123"/>
    </row>
    <row r="484" ht="12.75">
      <c r="E484" s="123"/>
    </row>
    <row r="485" ht="12.75">
      <c r="E485" s="123"/>
    </row>
    <row r="486" ht="12.75">
      <c r="E486" s="123"/>
    </row>
    <row r="487" ht="12.75">
      <c r="E487" s="123"/>
    </row>
    <row r="488" ht="12.75">
      <c r="E488" s="123"/>
    </row>
    <row r="489" ht="12.75">
      <c r="E489" s="123"/>
    </row>
    <row r="490" ht="12.75">
      <c r="E490" s="123"/>
    </row>
    <row r="491" ht="12.75">
      <c r="E491" s="123"/>
    </row>
    <row r="492" ht="12.75">
      <c r="E492" s="123"/>
    </row>
    <row r="493" ht="12.75">
      <c r="E493" s="123"/>
    </row>
    <row r="494" ht="12.75">
      <c r="E494" s="123"/>
    </row>
    <row r="495" ht="12.75">
      <c r="E495" s="123"/>
    </row>
    <row r="496" ht="12.75">
      <c r="E496" s="123"/>
    </row>
    <row r="497" ht="12.75">
      <c r="E497" s="123"/>
    </row>
    <row r="498" ht="12.75">
      <c r="E498" s="123"/>
    </row>
    <row r="499" ht="12.75">
      <c r="E499" s="123"/>
    </row>
    <row r="500" ht="12.75">
      <c r="E500" s="123"/>
    </row>
    <row r="501" spans="5:8" ht="12.75">
      <c r="E501" s="123"/>
      <c r="G501" s="124"/>
      <c r="H501" s="124"/>
    </row>
    <row r="503" spans="5:8" ht="12.75">
      <c r="E503" s="124"/>
      <c r="H503" s="124"/>
    </row>
    <row r="505" ht="12.75">
      <c r="H505" s="124"/>
    </row>
    <row r="506" spans="5:8" ht="12.75">
      <c r="E506" s="124"/>
      <c r="H506" s="124"/>
    </row>
    <row r="507" spans="5:8" ht="12.75">
      <c r="E507" s="124"/>
      <c r="H507" s="124"/>
    </row>
    <row r="508" spans="5:8" ht="12.75">
      <c r="E508" s="124"/>
      <c r="H508" s="124"/>
    </row>
    <row r="509" spans="5:8" ht="12.75">
      <c r="E509" s="124"/>
      <c r="H509" s="124"/>
    </row>
    <row r="510" spans="5:8" ht="12.75">
      <c r="E510" s="124"/>
      <c r="H510" s="124"/>
    </row>
    <row r="511" spans="5:8" ht="12.75">
      <c r="E511" s="124"/>
      <c r="H511" s="124"/>
    </row>
    <row r="512" spans="5:8" ht="12.75">
      <c r="E512" s="124"/>
      <c r="H512" s="124"/>
    </row>
  </sheetData>
  <sheetProtection/>
  <mergeCells count="2">
    <mergeCell ref="A1:I1"/>
    <mergeCell ref="A3:J3"/>
  </mergeCells>
  <printOptions gridLines="1" horizontalCentered="1"/>
  <pageMargins left="0.25" right="0.25" top="0.5" bottom="0.7" header="0.25" footer="0.5"/>
  <pageSetup fitToHeight="0" horizontalDpi="600" verticalDpi="600" orientation="landscape" scale="66" r:id="rId1"/>
  <headerFooter alignWithMargins="0">
    <oddFooter>&amp;L&amp;"Arial,Regular"'&amp;F' [&amp;A]&amp;R&amp;"Arial,Regular"Page &amp;P of &amp;N</oddFooter>
  </headerFooter>
  <rowBreaks count="3" manualBreakCount="3">
    <brk id="59" max="8" man="1"/>
    <brk id="106" max="8" man="1"/>
    <brk id="1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DHHS</dc:creator>
  <cp:keywords/>
  <dc:description/>
  <cp:lastModifiedBy>pedelman</cp:lastModifiedBy>
  <cp:lastPrinted>2008-10-17T21:46:50Z</cp:lastPrinted>
  <dcterms:created xsi:type="dcterms:W3CDTF">2008-02-21T16:55:29Z</dcterms:created>
  <dcterms:modified xsi:type="dcterms:W3CDTF">2008-12-15T15:48:03Z</dcterms:modified>
  <cp:category/>
  <cp:version/>
  <cp:contentType/>
  <cp:contentStatus/>
</cp:coreProperties>
</file>