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148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t_b_cur_ac">'[1]1-Variables'!$C$14</definedName>
    <definedName name="at_b_new_ac">'[1]1-Variables'!$K$14</definedName>
    <definedName name="at_b_total_ac">'[1]1-Variables'!$I$14</definedName>
    <definedName name="at_b_unch_ac">'[1]1-Variables'!$J$14</definedName>
    <definedName name="at_p_cur_ac">'[1]1-Variables'!$C$21</definedName>
    <definedName name="at_p_new_ac">'[1]1-Variables'!$K$21</definedName>
    <definedName name="at_p_total_ac">'[1]1-Variables'!$I$21</definedName>
    <definedName name="at_p_unch_ac">'[1]1-Variables'!$J$21</definedName>
    <definedName name="at_r_cur_ac">'[1]1-Variables'!$C$27</definedName>
    <definedName name="at_r_new_ac">'[1]1-Variables'!$K$27</definedName>
    <definedName name="at_r_total_ac">'[1]1-Variables'!$I$27</definedName>
    <definedName name="at_r_unch_ac">'[1]1-Variables'!$J$27</definedName>
    <definedName name="calc_part_rate">'[1]1-Variables'!$G$9</definedName>
    <definedName name="cost_share_rate">'[1]1-Variables'!$K$7</definedName>
    <definedName name="huc_code">'[1]1-Variables'!$H$3</definedName>
    <definedName name="huc_name">'[1]1-Variables'!$C$3</definedName>
    <definedName name="int_rate">'[1]1-Variables'!$K$5</definedName>
    <definedName name="landuse">'[1]1-Variables'!$C$5</definedName>
    <definedName name="landuse_acres">'[1]1-Variables'!$H$5</definedName>
    <definedName name="res_con1">'[1]RapidAssessment'!$I$6</definedName>
    <definedName name="res_con2">'[1]RapidAssessment'!$J$6</definedName>
    <definedName name="res_con3">'[1]RapidAssessment'!$K$6</definedName>
    <definedName name="res_con4">'[1]RapidAssessment'!$L$6</definedName>
    <definedName name="ta_of_fa">'[1]1-Variables'!$H$7</definedName>
    <definedName name="TU">'[1]1-Variables'!$C$7</definedName>
  </definedNames>
  <calcPr fullCalcOnLoad="1"/>
</workbook>
</file>

<file path=xl/comments1.xml><?xml version="1.0" encoding="utf-8"?>
<comments xmlns="http://schemas.openxmlformats.org/spreadsheetml/2006/main">
  <authors>
    <author>Lisa Greber</author>
  </authors>
  <commentList>
    <comment ref="A3" authorId="0">
      <text>
        <r>
          <rPr>
            <b/>
            <sz val="8"/>
            <rFont val="Tahoma"/>
            <family val="0"/>
          </rPr>
          <t>You can hide the rows below with no practices listed to make the final report more streamline.</t>
        </r>
      </text>
    </comment>
    <comment ref="A39" authorId="0">
      <text>
        <r>
          <rPr>
            <b/>
            <sz val="8"/>
            <rFont val="Tahoma"/>
            <family val="0"/>
          </rPr>
          <t>You can hide the rows below with no practices listed to make the final report more streamline.</t>
        </r>
      </text>
    </comment>
    <comment ref="E41" authorId="0">
      <text>
        <r>
          <rPr>
            <b/>
            <sz val="8"/>
            <rFont val="Tahoma"/>
            <family val="0"/>
          </rPr>
          <t>Technical Assistance costs are more applicable to the system than the individual practices.</t>
        </r>
      </text>
    </comment>
  </commentList>
</comments>
</file>

<file path=xl/sharedStrings.xml><?xml version="1.0" encoding="utf-8"?>
<sst xmlns="http://schemas.openxmlformats.org/spreadsheetml/2006/main" count="41" uniqueCount="34">
  <si>
    <t>WATERSHED NAME &amp; CODE</t>
  </si>
  <si>
    <t>LANDUSE ACRES</t>
  </si>
  <si>
    <t>LANDUSE TYPE</t>
  </si>
  <si>
    <t>TYPICAL UNIT SIZE ACRES</t>
  </si>
  <si>
    <t>ASSESSMENT INFORMATION</t>
  </si>
  <si>
    <t>ESTIMATED PARTICIPATION</t>
  </si>
  <si>
    <t xml:space="preserve">CONSERVATION SYSTEMS
BY TREATMENT LEVELS </t>
  </si>
  <si>
    <t>CURRENT CONDITIONS</t>
  </si>
  <si>
    <t>FUTURE CONDITIONS</t>
  </si>
  <si>
    <t>RESOURCE CONCERNS</t>
  </si>
  <si>
    <t>Total
Units</t>
  </si>
  <si>
    <t>Existing
Unchanged
Units</t>
  </si>
  <si>
    <t>New
Treatment
Units</t>
  </si>
  <si>
    <t>Baseline System</t>
  </si>
  <si>
    <t>System Rating -&gt;</t>
  </si>
  <si>
    <t>Total Acreage at Baseline Level</t>
  </si>
  <si>
    <t>Progressive System</t>
  </si>
  <si>
    <t>Total Acreage at Progressive Level</t>
  </si>
  <si>
    <t>Resource Management System (RMS)</t>
  </si>
  <si>
    <t>Total Acreage at RMS Level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</si>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</sst>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  <font>
      <b/>
      <sz val="8"/>
      <name val="Tahoma"/>
      <family val="0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 wrapText="1"/>
      <protection/>
    </xf>
    <xf numFmtId="0" fontId="1" fillId="5" borderId="1" xfId="19" applyFont="1" applyFill="1" applyBorder="1" applyAlignment="1">
      <alignment vertical="center" wrapText="1"/>
      <protection/>
    </xf>
    <xf numFmtId="0" fontId="2" fillId="6" borderId="1" xfId="19" applyFont="1" applyFill="1" applyBorder="1" applyAlignment="1">
      <alignment vertical="center"/>
      <protection/>
    </xf>
    <xf numFmtId="1" fontId="2" fillId="6" borderId="1" xfId="19" applyNumberFormat="1" applyFont="1" applyFill="1" applyBorder="1" applyAlignment="1">
      <alignment horizontal="center" vertical="center"/>
      <protection/>
    </xf>
    <xf numFmtId="3" fontId="2" fillId="7" borderId="1" xfId="19" applyNumberFormat="1" applyFont="1" applyFill="1" applyBorder="1" applyAlignment="1">
      <alignment horizontal="right"/>
      <protection/>
    </xf>
    <xf numFmtId="3" fontId="2" fillId="7" borderId="1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2" fillId="7" borderId="1" xfId="19" applyFont="1" applyFill="1" applyBorder="1" applyAlignment="1">
      <alignment horizontal="right"/>
      <protection/>
    </xf>
    <xf numFmtId="0" fontId="1" fillId="8" borderId="2" xfId="19" applyFont="1" applyFill="1" applyBorder="1" applyAlignment="1">
      <alignment vertical="center"/>
      <protection/>
    </xf>
    <xf numFmtId="0" fontId="1" fillId="4" borderId="3" xfId="19" applyFont="1" applyFill="1" applyBorder="1" applyAlignment="1">
      <alignment horizontal="center" vertical="center"/>
      <protection/>
    </xf>
    <xf numFmtId="0" fontId="2" fillId="9" borderId="2" xfId="19" applyFont="1" applyFill="1" applyBorder="1" applyAlignment="1">
      <alignment horizontal="left" vertical="center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0" fontId="5" fillId="10" borderId="4" xfId="19" applyFont="1" applyFill="1" applyBorder="1" applyAlignment="1">
      <alignment horizontal="center" vertical="center" wrapText="1"/>
      <protection/>
    </xf>
    <xf numFmtId="9" fontId="5" fillId="5" borderId="5" xfId="20" applyFont="1" applyFill="1" applyBorder="1" applyAlignment="1">
      <alignment horizontal="center" vertical="center" wrapText="1"/>
    </xf>
    <xf numFmtId="9" fontId="5" fillId="10" borderId="5" xfId="20" applyFont="1" applyFill="1" applyBorder="1" applyAlignment="1">
      <alignment horizontal="center" vertical="center" wrapText="1"/>
    </xf>
    <xf numFmtId="0" fontId="2" fillId="6" borderId="1" xfId="19" applyFont="1" applyFill="1" applyBorder="1" applyAlignment="1">
      <alignment horizontal="center" vertical="center"/>
      <protection/>
    </xf>
    <xf numFmtId="0" fontId="2" fillId="6" borderId="6" xfId="19" applyFont="1" applyFill="1" applyBorder="1" applyAlignment="1">
      <alignment vertical="center"/>
      <protection/>
    </xf>
    <xf numFmtId="0" fontId="2" fillId="6" borderId="3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2" xfId="19" applyNumberFormat="1" applyFont="1" applyFill="1" applyBorder="1" applyAlignment="1">
      <alignment horizontal="center"/>
      <protection/>
    </xf>
    <xf numFmtId="164" fontId="4" fillId="11" borderId="1" xfId="19" applyNumberFormat="1" applyFont="1" applyFill="1" applyBorder="1" applyAlignment="1">
      <alignment/>
      <protection/>
    </xf>
    <xf numFmtId="164" fontId="4" fillId="7" borderId="1" xfId="19" applyNumberFormat="1" applyFont="1" applyFill="1" applyBorder="1" applyAlignment="1">
      <alignment/>
      <protection/>
    </xf>
    <xf numFmtId="3" fontId="2" fillId="9" borderId="7" xfId="19" applyNumberFormat="1" applyFont="1" applyFill="1" applyBorder="1" applyAlignment="1">
      <alignment/>
      <protection/>
    </xf>
    <xf numFmtId="3" fontId="2" fillId="9" borderId="7" xfId="19" applyNumberFormat="1" applyFont="1" applyFill="1" applyBorder="1" applyAlignment="1">
      <alignment horizontal="center"/>
      <protection/>
    </xf>
    <xf numFmtId="164" fontId="2" fillId="11" borderId="8" xfId="19" applyNumberFormat="1" applyFont="1" applyFill="1" applyBorder="1" applyAlignment="1">
      <alignment/>
      <protection/>
    </xf>
    <xf numFmtId="164" fontId="2" fillId="7" borderId="8" xfId="19" applyNumberFormat="1" applyFont="1" applyFill="1" applyBorder="1" applyAlignment="1">
      <alignment/>
      <protection/>
    </xf>
    <xf numFmtId="0" fontId="1" fillId="2" borderId="9" xfId="19" applyFont="1" applyFill="1" applyBorder="1" applyAlignment="1">
      <alignment horizontal="center" vertical="center"/>
      <protection/>
    </xf>
    <xf numFmtId="0" fontId="1" fillId="2" borderId="10" xfId="19" applyFont="1" applyFill="1" applyBorder="1" applyAlignment="1">
      <alignment horizontal="center" vertical="center"/>
      <protection/>
    </xf>
    <xf numFmtId="0" fontId="2" fillId="6" borderId="1" xfId="19" applyFont="1" applyFill="1" applyBorder="1" applyAlignment="1">
      <alignment horizontal="left" vertical="center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9" borderId="11" xfId="19" applyNumberFormat="1" applyFont="1" applyFill="1" applyBorder="1" applyAlignment="1">
      <alignment/>
      <protection/>
    </xf>
    <xf numFmtId="3" fontId="2" fillId="9" borderId="12" xfId="19" applyNumberFormat="1" applyFont="1" applyFill="1" applyBorder="1" applyAlignment="1">
      <alignment horizontal="center"/>
      <protection/>
    </xf>
    <xf numFmtId="164" fontId="2" fillId="11" borderId="12" xfId="19" applyNumberFormat="1" applyFont="1" applyFill="1" applyBorder="1" applyAlignment="1">
      <alignment/>
      <protection/>
    </xf>
    <xf numFmtId="164" fontId="2" fillId="7" borderId="12" xfId="19" applyNumberFormat="1" applyFont="1" applyFill="1" applyBorder="1" applyAlignment="1">
      <alignment/>
      <protection/>
    </xf>
    <xf numFmtId="0" fontId="2" fillId="12" borderId="5" xfId="19" applyFont="1" applyFill="1" applyBorder="1" applyAlignment="1">
      <alignment horizontal="left" vertical="center"/>
      <protection/>
    </xf>
    <xf numFmtId="0" fontId="2" fillId="12" borderId="5" xfId="19" applyFont="1" applyFill="1" applyBorder="1" applyAlignment="1">
      <alignment horizontal="center" vertical="center"/>
      <protection/>
    </xf>
    <xf numFmtId="164" fontId="2" fillId="12" borderId="5" xfId="19" applyNumberFormat="1" applyFont="1" applyFill="1" applyBorder="1" applyAlignment="1">
      <alignment horizontal="right" vertical="center"/>
      <protection/>
    </xf>
    <xf numFmtId="0" fontId="1" fillId="13" borderId="2" xfId="19" applyFont="1" applyFill="1" applyBorder="1" applyAlignment="1">
      <alignment horizontal="center" vertical="center"/>
      <protection/>
    </xf>
    <xf numFmtId="0" fontId="1" fillId="13" borderId="6" xfId="19" applyFont="1" applyFill="1" applyBorder="1" applyAlignment="1">
      <alignment horizontal="center" vertical="center"/>
      <protection/>
    </xf>
    <xf numFmtId="0" fontId="1" fillId="13" borderId="3" xfId="19" applyFont="1" applyFill="1" applyBorder="1" applyAlignment="1">
      <alignment horizontal="center" vertical="center"/>
      <protection/>
    </xf>
    <xf numFmtId="0" fontId="4" fillId="13" borderId="2" xfId="19" applyFont="1" applyFill="1" applyBorder="1" applyAlignment="1">
      <alignment horizontal="center"/>
      <protection/>
    </xf>
    <xf numFmtId="0" fontId="4" fillId="13" borderId="6" xfId="19" applyFont="1" applyFill="1" applyBorder="1" applyAlignment="1">
      <alignment horizontal="center"/>
      <protection/>
    </xf>
    <xf numFmtId="0" fontId="4" fillId="13" borderId="3" xfId="19" applyFont="1" applyFill="1" applyBorder="1" applyAlignment="1">
      <alignment horizontal="center"/>
      <protection/>
    </xf>
    <xf numFmtId="0" fontId="3" fillId="8" borderId="13" xfId="19" applyFont="1" applyFill="1" applyBorder="1" applyAlignment="1">
      <alignment horizontal="center" vertical="center" wrapText="1"/>
      <protection/>
    </xf>
    <xf numFmtId="0" fontId="3" fillId="8" borderId="14" xfId="19" applyFont="1" applyFill="1" applyBorder="1" applyAlignment="1">
      <alignment horizontal="center" vertical="center"/>
      <protection/>
    </xf>
    <xf numFmtId="3" fontId="5" fillId="4" borderId="15" xfId="19" applyNumberFormat="1" applyFont="1" applyFill="1" applyBorder="1" applyAlignment="1">
      <alignment horizontal="center" vertical="center" wrapText="1"/>
      <protection/>
    </xf>
    <xf numFmtId="3" fontId="5" fillId="4" borderId="9" xfId="19" applyNumberFormat="1" applyFont="1" applyFill="1" applyBorder="1" applyAlignment="1">
      <alignment horizontal="center" vertical="center" wrapText="1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3" fontId="5" fillId="5" borderId="5" xfId="19" applyNumberFormat="1" applyFont="1" applyFill="1" applyBorder="1" applyAlignment="1">
      <alignment horizontal="center" vertical="center" wrapText="1"/>
      <protection/>
    </xf>
    <xf numFmtId="0" fontId="5" fillId="10" borderId="4" xfId="19" applyFont="1" applyFill="1" applyBorder="1" applyAlignment="1">
      <alignment horizontal="center" vertical="center" wrapText="1"/>
      <protection/>
    </xf>
    <xf numFmtId="0" fontId="5" fillId="10" borderId="5" xfId="19" applyFont="1" applyFill="1" applyBorder="1" applyAlignment="1">
      <alignment horizontal="center" vertical="center" wrapText="1"/>
      <protection/>
    </xf>
    <xf numFmtId="3" fontId="2" fillId="7" borderId="2" xfId="19" applyNumberFormat="1" applyFont="1" applyFill="1" applyBorder="1" applyAlignment="1">
      <alignment horizontal="center"/>
      <protection/>
    </xf>
    <xf numFmtId="3" fontId="2" fillId="7" borderId="6" xfId="19" applyNumberFormat="1" applyFont="1" applyFill="1" applyBorder="1" applyAlignment="1">
      <alignment horizontal="center"/>
      <protection/>
    </xf>
    <xf numFmtId="3" fontId="2" fillId="7" borderId="3" xfId="19" applyNumberFormat="1" applyFont="1" applyFill="1" applyBorder="1" applyAlignment="1">
      <alignment horizontal="center"/>
      <protection/>
    </xf>
    <xf numFmtId="0" fontId="1" fillId="2" borderId="13" xfId="19" applyFont="1" applyFill="1" applyBorder="1" applyAlignment="1">
      <alignment horizontal="center" vertical="center"/>
      <protection/>
    </xf>
    <xf numFmtId="0" fontId="1" fillId="2" borderId="15" xfId="19" applyFont="1" applyFill="1" applyBorder="1" applyAlignment="1">
      <alignment horizontal="center" vertical="center"/>
      <protection/>
    </xf>
    <xf numFmtId="0" fontId="1" fillId="2" borderId="16" xfId="19" applyFont="1" applyFill="1" applyBorder="1" applyAlignment="1">
      <alignment horizontal="center" vertical="center"/>
      <protection/>
    </xf>
    <xf numFmtId="0" fontId="1" fillId="2" borderId="14" xfId="19" applyFont="1" applyFill="1" applyBorder="1" applyAlignment="1">
      <alignment horizontal="center" vertical="center"/>
      <protection/>
    </xf>
    <xf numFmtId="0" fontId="2" fillId="9" borderId="6" xfId="19" applyFont="1" applyFill="1" applyBorder="1" applyAlignment="1">
      <alignment horizontal="left" vertical="center"/>
      <protection/>
    </xf>
    <xf numFmtId="0" fontId="2" fillId="9" borderId="3" xfId="19" applyFont="1" applyFill="1" applyBorder="1" applyAlignment="1">
      <alignment horizontal="left" vertical="center"/>
      <protection/>
    </xf>
    <xf numFmtId="3" fontId="1" fillId="5" borderId="13" xfId="19" applyNumberFormat="1" applyFont="1" applyFill="1" applyBorder="1" applyAlignment="1">
      <alignment horizontal="center" vertical="center"/>
      <protection/>
    </xf>
    <xf numFmtId="3" fontId="1" fillId="5" borderId="15" xfId="19" applyNumberFormat="1" applyFont="1" applyFill="1" applyBorder="1" applyAlignment="1">
      <alignment horizontal="center" vertical="center"/>
      <protection/>
    </xf>
    <xf numFmtId="3" fontId="1" fillId="5" borderId="16" xfId="19" applyNumberFormat="1" applyFont="1" applyFill="1" applyBorder="1" applyAlignment="1">
      <alignment horizontal="center" vertical="center"/>
      <protection/>
    </xf>
    <xf numFmtId="1" fontId="1" fillId="10" borderId="2" xfId="19" applyNumberFormat="1" applyFont="1" applyFill="1" applyBorder="1" applyAlignment="1">
      <alignment horizontal="center" vertical="center"/>
      <protection/>
    </xf>
    <xf numFmtId="1" fontId="1" fillId="10" borderId="6" xfId="19" applyNumberFormat="1" applyFont="1" applyFill="1" applyBorder="1" applyAlignment="1">
      <alignment horizontal="center" vertical="center"/>
      <protection/>
    </xf>
    <xf numFmtId="1" fontId="1" fillId="10" borderId="3" xfId="19" applyNumberFormat="1" applyFont="1" applyFill="1" applyBorder="1" applyAlignment="1">
      <alignment horizontal="center" vertical="center"/>
      <protection/>
    </xf>
    <xf numFmtId="3" fontId="2" fillId="6" borderId="1" xfId="19" applyNumberFormat="1" applyFont="1" applyFill="1" applyBorder="1" applyAlignment="1">
      <alignment horizontal="right" vertical="center"/>
      <protection/>
    </xf>
    <xf numFmtId="0" fontId="4" fillId="13" borderId="1" xfId="19" applyFont="1" applyFill="1" applyBorder="1" applyAlignment="1">
      <alignment horizontal="center"/>
      <protection/>
    </xf>
    <xf numFmtId="0" fontId="1" fillId="13" borderId="1" xfId="19" applyFont="1" applyFill="1" applyBorder="1" applyAlignment="1">
      <alignment horizontal="center" vertical="center" wrapText="1"/>
      <protection/>
    </xf>
    <xf numFmtId="0" fontId="1" fillId="2" borderId="1" xfId="19" applyFont="1" applyFill="1" applyBorder="1" applyAlignment="1">
      <alignment horizontal="righ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0" fontId="3" fillId="8" borderId="4" xfId="19" applyFont="1" applyFill="1" applyBorder="1" applyAlignment="1">
      <alignment horizontal="center" vertical="center" wrapText="1"/>
      <protection/>
    </xf>
    <xf numFmtId="0" fontId="3" fillId="8" borderId="17" xfId="19" applyFont="1" applyFill="1" applyBorder="1" applyAlignment="1">
      <alignment horizontal="center" vertical="center" wrapText="1"/>
      <protection/>
    </xf>
    <xf numFmtId="0" fontId="3" fillId="8" borderId="5" xfId="19" applyFont="1" applyFill="1" applyBorder="1" applyAlignment="1">
      <alignment horizontal="center" vertical="center" wrapText="1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/>
      <protection/>
    </xf>
    <xf numFmtId="0" fontId="1" fillId="5" borderId="1" xfId="19" applyFont="1" applyFill="1" applyBorder="1" applyAlignment="1">
      <alignment horizontal="center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1" xfId="19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-dev.sc.egov.usda.gov/Matt's\Water%20Resources%20Position\CCPI\RWA's\2007\Driftless\Coon-Yellow%20LaCrosse-Pine%20Matrix\RWA_Matrix_Tool_LG_06NOV07%20LaXPine%20Woo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1-Variables"/>
      <sheetName val="2-Select Concerns-Practices"/>
      <sheetName val="3-Practice Effects"/>
      <sheetName val="4-Treatment Levels"/>
      <sheetName val="5-Practice_Factor"/>
      <sheetName val="6-Template"/>
      <sheetName val="7-FundingSources"/>
      <sheetName val="RWA_Output"/>
      <sheetName val="Computations"/>
      <sheetName val="RapidAssessment"/>
      <sheetName val="CPPE"/>
      <sheetName val="CostList"/>
      <sheetName val="ProblemDefinitions"/>
      <sheetName val="Practice Descriptions"/>
      <sheetName val="LOOKUP"/>
    </sheetNames>
    <sheetDataSet>
      <sheetData sheetId="1">
        <row r="3">
          <cell r="C3" t="str">
            <v>La Crosse-Pine</v>
          </cell>
          <cell r="H3" t="str">
            <v>07060006</v>
          </cell>
        </row>
        <row r="5">
          <cell r="C5" t="str">
            <v>Woodland</v>
          </cell>
          <cell r="H5">
            <v>196968</v>
          </cell>
          <cell r="K5">
            <v>0.06</v>
          </cell>
        </row>
        <row r="7">
          <cell r="C7">
            <v>40</v>
          </cell>
          <cell r="H7">
            <v>0.2</v>
          </cell>
          <cell r="K7">
            <v>0.5</v>
          </cell>
        </row>
        <row r="9">
          <cell r="G9">
            <v>0.2555555555555556</v>
          </cell>
        </row>
        <row r="14">
          <cell r="C14">
            <v>98484</v>
          </cell>
          <cell r="I14">
            <v>68938.79999999999</v>
          </cell>
          <cell r="J14">
            <v>68938.79999999999</v>
          </cell>
          <cell r="K14">
            <v>0</v>
          </cell>
        </row>
        <row r="21">
          <cell r="C21">
            <v>78787.20000000001</v>
          </cell>
          <cell r="I21">
            <v>82726.56000000001</v>
          </cell>
          <cell r="J21">
            <v>63029.76000000001</v>
          </cell>
          <cell r="K21">
            <v>19696.800000000003</v>
          </cell>
        </row>
        <row r="27">
          <cell r="C27">
            <v>19696.800000000003</v>
          </cell>
          <cell r="I27">
            <v>45302.64000000001</v>
          </cell>
          <cell r="J27">
            <v>19696.800000000003</v>
          </cell>
          <cell r="K27">
            <v>25605.840000000004</v>
          </cell>
        </row>
      </sheetData>
      <sheetData sheetId="9">
        <row r="5">
          <cell r="A5" t="str">
            <v>Fence   (ft.)  382</v>
          </cell>
          <cell r="B5">
            <v>382</v>
          </cell>
          <cell r="G5">
            <v>246210</v>
          </cell>
          <cell r="H5">
            <v>172346.99999999997</v>
          </cell>
          <cell r="I5">
            <v>0</v>
          </cell>
          <cell r="J5">
            <v>172346.99999999997</v>
          </cell>
          <cell r="K5">
            <v>0</v>
          </cell>
          <cell r="L5">
            <v>1</v>
          </cell>
          <cell r="M5">
            <v>0</v>
          </cell>
          <cell r="N5">
            <v>1</v>
          </cell>
        </row>
        <row r="6">
          <cell r="A6" t="str">
            <v>Tree/Shrub Establishment   (ac.)  612</v>
          </cell>
          <cell r="B6">
            <v>612</v>
          </cell>
          <cell r="G6">
            <v>1969.68</v>
          </cell>
          <cell r="H6">
            <v>1378.7759999999998</v>
          </cell>
          <cell r="I6">
            <v>0</v>
          </cell>
          <cell r="J6">
            <v>1378.7759999999998</v>
          </cell>
          <cell r="K6">
            <v>2</v>
          </cell>
          <cell r="L6">
            <v>4</v>
          </cell>
          <cell r="M6">
            <v>5</v>
          </cell>
          <cell r="N6">
            <v>3</v>
          </cell>
        </row>
        <row r="7">
          <cell r="A7" t="str">
            <v>Use Exclusion   (ac.)  472</v>
          </cell>
          <cell r="B7">
            <v>472</v>
          </cell>
          <cell r="G7">
            <v>9848.400000000001</v>
          </cell>
          <cell r="H7">
            <v>6893.879999999999</v>
          </cell>
          <cell r="I7">
            <v>0</v>
          </cell>
          <cell r="J7">
            <v>6893.879999999999</v>
          </cell>
          <cell r="K7">
            <v>4</v>
          </cell>
          <cell r="L7">
            <v>3</v>
          </cell>
          <cell r="M7">
            <v>1</v>
          </cell>
          <cell r="N7">
            <v>2</v>
          </cell>
        </row>
        <row r="13">
          <cell r="A13" t="str">
            <v>Access Road   (ft.)  560</v>
          </cell>
          <cell r="B13">
            <v>560</v>
          </cell>
          <cell r="C13">
            <v>8.5</v>
          </cell>
          <cell r="D13">
            <v>10</v>
          </cell>
          <cell r="E13">
            <v>0.03</v>
          </cell>
          <cell r="G13">
            <v>98484.00000000001</v>
          </cell>
          <cell r="H13">
            <v>78787.20000000001</v>
          </cell>
          <cell r="I13">
            <v>24621</v>
          </cell>
          <cell r="J13">
            <v>103408.20000000001</v>
          </cell>
          <cell r="K13">
            <v>3</v>
          </cell>
          <cell r="L13">
            <v>-1</v>
          </cell>
          <cell r="M13">
            <v>1</v>
          </cell>
          <cell r="N13">
            <v>-3</v>
          </cell>
        </row>
        <row r="14">
          <cell r="A14" t="str">
            <v>Fence   (ft.)  382</v>
          </cell>
          <cell r="B14">
            <v>382</v>
          </cell>
          <cell r="C14">
            <v>2.5</v>
          </cell>
          <cell r="D14">
            <v>20</v>
          </cell>
          <cell r="E14">
            <v>0.02</v>
          </cell>
          <cell r="G14">
            <v>590904.0000000001</v>
          </cell>
          <cell r="H14">
            <v>521965.20000000007</v>
          </cell>
          <cell r="I14">
            <v>98484</v>
          </cell>
          <cell r="J14">
            <v>620449.2000000001</v>
          </cell>
          <cell r="K14">
            <v>0</v>
          </cell>
          <cell r="L14">
            <v>1</v>
          </cell>
          <cell r="M14">
            <v>0</v>
          </cell>
          <cell r="N14">
            <v>1</v>
          </cell>
        </row>
        <row r="15">
          <cell r="A15" t="str">
            <v>Forest Stand Improvement   (ac.)  666</v>
          </cell>
          <cell r="B15">
            <v>666</v>
          </cell>
          <cell r="C15">
            <v>250</v>
          </cell>
          <cell r="D15">
            <v>10</v>
          </cell>
          <cell r="E15">
            <v>0.03</v>
          </cell>
          <cell r="G15">
            <v>19696.800000000003</v>
          </cell>
          <cell r="H15">
            <v>15757.440000000002</v>
          </cell>
          <cell r="I15">
            <v>4924.200000000001</v>
          </cell>
          <cell r="J15">
            <v>20681.640000000003</v>
          </cell>
          <cell r="K15">
            <v>0</v>
          </cell>
          <cell r="L15">
            <v>5</v>
          </cell>
          <cell r="M15">
            <v>3</v>
          </cell>
          <cell r="N15">
            <v>1</v>
          </cell>
        </row>
        <row r="16">
          <cell r="A16" t="str">
            <v>Tree/Shrub Establishment   (ac.)  612</v>
          </cell>
          <cell r="B16">
            <v>612</v>
          </cell>
          <cell r="C16">
            <v>514</v>
          </cell>
          <cell r="D16">
            <v>15</v>
          </cell>
          <cell r="E16">
            <v>0.01</v>
          </cell>
          <cell r="G16">
            <v>3151.4880000000007</v>
          </cell>
          <cell r="H16">
            <v>2915.1264000000006</v>
          </cell>
          <cell r="I16">
            <v>393.93600000000015</v>
          </cell>
          <cell r="J16">
            <v>3309.0624000000007</v>
          </cell>
          <cell r="K16">
            <v>2</v>
          </cell>
          <cell r="L16">
            <v>4</v>
          </cell>
          <cell r="M16">
            <v>5</v>
          </cell>
          <cell r="N16">
            <v>3</v>
          </cell>
        </row>
        <row r="17">
          <cell r="A17" t="str">
            <v>Tree/Shrub Pruning   (ac.)  660</v>
          </cell>
          <cell r="B17">
            <v>660</v>
          </cell>
          <cell r="C17">
            <v>225</v>
          </cell>
          <cell r="D17">
            <v>10</v>
          </cell>
          <cell r="E17">
            <v>0</v>
          </cell>
          <cell r="G17">
            <v>787.8720000000002</v>
          </cell>
          <cell r="H17">
            <v>630.2976000000001</v>
          </cell>
          <cell r="I17">
            <v>196.96800000000007</v>
          </cell>
          <cell r="J17">
            <v>827.2656000000002</v>
          </cell>
          <cell r="K17">
            <v>0</v>
          </cell>
          <cell r="L17">
            <v>0</v>
          </cell>
          <cell r="M17">
            <v>1</v>
          </cell>
          <cell r="N17">
            <v>-1</v>
          </cell>
        </row>
        <row r="18">
          <cell r="A18" t="str">
            <v>Use Exclusion   (ac.)  472</v>
          </cell>
          <cell r="B18">
            <v>472</v>
          </cell>
          <cell r="C18">
            <v>28</v>
          </cell>
          <cell r="D18">
            <v>10</v>
          </cell>
          <cell r="E18">
            <v>0.03</v>
          </cell>
          <cell r="G18">
            <v>23636.160000000003</v>
          </cell>
          <cell r="H18">
            <v>20878.608000000004</v>
          </cell>
          <cell r="I18">
            <v>3939.3600000000006</v>
          </cell>
          <cell r="J18">
            <v>24817.968000000004</v>
          </cell>
          <cell r="K18">
            <v>4</v>
          </cell>
          <cell r="L18">
            <v>3</v>
          </cell>
          <cell r="M18">
            <v>1</v>
          </cell>
          <cell r="N18">
            <v>2</v>
          </cell>
        </row>
        <row r="26">
          <cell r="A26" t="str">
            <v>Access Road   (ft.)  560</v>
          </cell>
          <cell r="B26">
            <v>560</v>
          </cell>
          <cell r="C26">
            <v>8.5</v>
          </cell>
          <cell r="D26">
            <v>10</v>
          </cell>
          <cell r="E26">
            <v>0.03</v>
          </cell>
          <cell r="G26">
            <v>36931.50000000001</v>
          </cell>
          <cell r="H26">
            <v>56628.30000000001</v>
          </cell>
          <cell r="I26">
            <v>28314.15</v>
          </cell>
          <cell r="J26">
            <v>84942.45000000001</v>
          </cell>
          <cell r="K26">
            <v>3</v>
          </cell>
          <cell r="L26">
            <v>-1</v>
          </cell>
          <cell r="M26">
            <v>1</v>
          </cell>
          <cell r="N26">
            <v>-3</v>
          </cell>
        </row>
        <row r="27">
          <cell r="A27" t="str">
            <v>Brush Management   (ac.)  314</v>
          </cell>
          <cell r="B27">
            <v>314</v>
          </cell>
          <cell r="C27">
            <v>220</v>
          </cell>
          <cell r="D27">
            <v>10</v>
          </cell>
          <cell r="E27">
            <v>0.01</v>
          </cell>
          <cell r="G27">
            <v>4924.200000000001</v>
          </cell>
          <cell r="H27">
            <v>4924.200000000001</v>
          </cell>
          <cell r="I27">
            <v>6401.460000000001</v>
          </cell>
          <cell r="J27">
            <v>11325.660000000002</v>
          </cell>
          <cell r="K27">
            <v>2</v>
          </cell>
          <cell r="L27">
            <v>5</v>
          </cell>
          <cell r="M27">
            <v>5</v>
          </cell>
          <cell r="N27">
            <v>2</v>
          </cell>
        </row>
        <row r="28">
          <cell r="A28" t="str">
            <v>Critical Area Planting   (ac.)  342</v>
          </cell>
          <cell r="B28">
            <v>342</v>
          </cell>
          <cell r="C28">
            <v>506</v>
          </cell>
          <cell r="D28">
            <v>10</v>
          </cell>
          <cell r="E28">
            <v>0.05</v>
          </cell>
          <cell r="G28">
            <v>98.48400000000002</v>
          </cell>
          <cell r="H28">
            <v>98.48400000000002</v>
          </cell>
          <cell r="I28">
            <v>128.0292</v>
          </cell>
          <cell r="J28">
            <v>226.51320000000004</v>
          </cell>
          <cell r="K28">
            <v>1</v>
          </cell>
          <cell r="L28">
            <v>5</v>
          </cell>
          <cell r="M28">
            <v>0</v>
          </cell>
          <cell r="N28">
            <v>2</v>
          </cell>
        </row>
        <row r="29">
          <cell r="A29" t="str">
            <v>Fence   (ft.)  382</v>
          </cell>
          <cell r="B29">
            <v>382</v>
          </cell>
          <cell r="C29">
            <v>2.5</v>
          </cell>
          <cell r="D29">
            <v>20</v>
          </cell>
          <cell r="E29">
            <v>0.02</v>
          </cell>
          <cell r="G29">
            <v>196968.00000000003</v>
          </cell>
          <cell r="H29">
            <v>339769.80000000005</v>
          </cell>
          <cell r="I29">
            <v>113256.60000000003</v>
          </cell>
          <cell r="J29">
            <v>453026.4000000001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</row>
        <row r="30">
          <cell r="A30" t="str">
            <v>Forest Site Preparation   (ac.)  490</v>
          </cell>
          <cell r="B30">
            <v>490</v>
          </cell>
          <cell r="C30">
            <v>150</v>
          </cell>
          <cell r="D30">
            <v>1</v>
          </cell>
          <cell r="E30">
            <v>0</v>
          </cell>
          <cell r="G30">
            <v>295.45200000000006</v>
          </cell>
          <cell r="H30">
            <v>295.45200000000006</v>
          </cell>
          <cell r="I30">
            <v>384.0876</v>
          </cell>
          <cell r="J30">
            <v>679.5396000000001</v>
          </cell>
          <cell r="K30">
            <v>0</v>
          </cell>
          <cell r="L30">
            <v>5</v>
          </cell>
          <cell r="M30">
            <v>5</v>
          </cell>
          <cell r="N30">
            <v>0</v>
          </cell>
        </row>
        <row r="31">
          <cell r="A31" t="str">
            <v>Forest Stand Improvement   (ac.)  666</v>
          </cell>
          <cell r="B31">
            <v>666</v>
          </cell>
          <cell r="C31">
            <v>250</v>
          </cell>
          <cell r="D31">
            <v>10</v>
          </cell>
          <cell r="E31">
            <v>0.03</v>
          </cell>
          <cell r="G31">
            <v>7878.720000000001</v>
          </cell>
          <cell r="H31">
            <v>11818.080000000002</v>
          </cell>
          <cell r="I31">
            <v>6302.976000000002</v>
          </cell>
          <cell r="J31">
            <v>18121.056000000004</v>
          </cell>
          <cell r="K31">
            <v>0</v>
          </cell>
          <cell r="L31">
            <v>5</v>
          </cell>
          <cell r="M31">
            <v>3</v>
          </cell>
          <cell r="N31">
            <v>1</v>
          </cell>
        </row>
        <row r="32">
          <cell r="A32" t="str">
            <v>Forest Trails &amp; Landings   (ac.)  655</v>
          </cell>
          <cell r="B32">
            <v>655</v>
          </cell>
          <cell r="C32">
            <v>490</v>
          </cell>
          <cell r="D32">
            <v>5</v>
          </cell>
          <cell r="E32">
            <v>0.15</v>
          </cell>
          <cell r="G32">
            <v>590.9040000000001</v>
          </cell>
          <cell r="H32">
            <v>590.9040000000001</v>
          </cell>
          <cell r="I32">
            <v>768.1752</v>
          </cell>
          <cell r="J32">
            <v>1359.0792000000001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Riparian Forest Buffer   (ac.)  391</v>
          </cell>
          <cell r="B33">
            <v>391</v>
          </cell>
          <cell r="C33">
            <v>1260</v>
          </cell>
          <cell r="D33">
            <v>15</v>
          </cell>
          <cell r="E33">
            <v>0.03</v>
          </cell>
          <cell r="G33">
            <v>19.696800000000003</v>
          </cell>
          <cell r="H33">
            <v>19.696800000000003</v>
          </cell>
          <cell r="I33">
            <v>25.605840000000008</v>
          </cell>
          <cell r="J33">
            <v>45.30264000000001</v>
          </cell>
          <cell r="K33">
            <v>0</v>
          </cell>
          <cell r="L33">
            <v>4</v>
          </cell>
          <cell r="M33">
            <v>2</v>
          </cell>
          <cell r="N33">
            <v>5</v>
          </cell>
        </row>
        <row r="34">
          <cell r="A34" t="str">
            <v>Tree/Shrub Establishment   (ac.)  612</v>
          </cell>
          <cell r="B34">
            <v>612</v>
          </cell>
          <cell r="C34">
            <v>514</v>
          </cell>
          <cell r="D34">
            <v>15</v>
          </cell>
          <cell r="E34">
            <v>0.01</v>
          </cell>
          <cell r="G34">
            <v>984.8400000000001</v>
          </cell>
          <cell r="H34">
            <v>1812.1056000000003</v>
          </cell>
          <cell r="I34">
            <v>453.0264000000002</v>
          </cell>
          <cell r="J34">
            <v>2265.1320000000005</v>
          </cell>
          <cell r="K34">
            <v>2</v>
          </cell>
          <cell r="L34">
            <v>4</v>
          </cell>
          <cell r="M34">
            <v>5</v>
          </cell>
          <cell r="N34">
            <v>3</v>
          </cell>
        </row>
        <row r="35">
          <cell r="A35" t="str">
            <v>Tree/Shrub Pruning   (ac.)  660</v>
          </cell>
          <cell r="B35">
            <v>660</v>
          </cell>
          <cell r="C35">
            <v>225</v>
          </cell>
          <cell r="D35">
            <v>10</v>
          </cell>
          <cell r="E35">
            <v>0</v>
          </cell>
          <cell r="G35">
            <v>393.9360000000001</v>
          </cell>
          <cell r="H35">
            <v>551.5104000000001</v>
          </cell>
          <cell r="I35">
            <v>354.54240000000004</v>
          </cell>
          <cell r="J35">
            <v>906.0528000000002</v>
          </cell>
          <cell r="K35">
            <v>0</v>
          </cell>
          <cell r="L35">
            <v>0</v>
          </cell>
          <cell r="M35">
            <v>1</v>
          </cell>
          <cell r="N35">
            <v>-1</v>
          </cell>
        </row>
        <row r="36">
          <cell r="A36" t="str">
            <v>Upland Wildlife Habitat Management   (ac.)  645</v>
          </cell>
          <cell r="B36">
            <v>645</v>
          </cell>
          <cell r="C36">
            <v>10</v>
          </cell>
          <cell r="D36">
            <v>1</v>
          </cell>
          <cell r="E36">
            <v>0</v>
          </cell>
          <cell r="G36">
            <v>984.8400000000001</v>
          </cell>
          <cell r="H36">
            <v>984.8400000000001</v>
          </cell>
          <cell r="I36">
            <v>1280.2920000000004</v>
          </cell>
          <cell r="J36">
            <v>2265.1320000000005</v>
          </cell>
          <cell r="K36">
            <v>0</v>
          </cell>
          <cell r="L36">
            <v>4</v>
          </cell>
          <cell r="M36">
            <v>4</v>
          </cell>
          <cell r="N36">
            <v>5</v>
          </cell>
        </row>
        <row r="37">
          <cell r="A37" t="str">
            <v>Use Exclusion   (ac.)  472</v>
          </cell>
          <cell r="B37">
            <v>472</v>
          </cell>
          <cell r="C37">
            <v>28</v>
          </cell>
          <cell r="D37">
            <v>10</v>
          </cell>
          <cell r="E37">
            <v>0.03</v>
          </cell>
          <cell r="G37">
            <v>7878.720000000001</v>
          </cell>
          <cell r="H37">
            <v>13590.792000000001</v>
          </cell>
          <cell r="I37">
            <v>4530.264000000003</v>
          </cell>
          <cell r="J37">
            <v>18121.056000000004</v>
          </cell>
          <cell r="K37">
            <v>4</v>
          </cell>
          <cell r="L37">
            <v>3</v>
          </cell>
          <cell r="M37">
            <v>1</v>
          </cell>
          <cell r="N37">
            <v>2</v>
          </cell>
        </row>
        <row r="72">
          <cell r="K72">
            <v>2</v>
          </cell>
          <cell r="L72">
            <v>3</v>
          </cell>
          <cell r="M72">
            <v>3</v>
          </cell>
          <cell r="N72">
            <v>2</v>
          </cell>
        </row>
        <row r="113">
          <cell r="K113">
            <v>3</v>
          </cell>
          <cell r="L113">
            <v>4</v>
          </cell>
          <cell r="M113">
            <v>4</v>
          </cell>
          <cell r="N113">
            <v>1</v>
          </cell>
        </row>
        <row r="175">
          <cell r="K175">
            <v>3</v>
          </cell>
          <cell r="L175">
            <v>5</v>
          </cell>
          <cell r="M175">
            <v>5</v>
          </cell>
          <cell r="N175">
            <v>3</v>
          </cell>
        </row>
      </sheetData>
      <sheetData sheetId="10">
        <row r="6">
          <cell r="I6" t="str">
            <v>Soil Erosion – Classic Gully</v>
          </cell>
          <cell r="J6" t="str">
            <v>Plant Condition – Productivity, Health and Vigor</v>
          </cell>
          <cell r="K6" t="str">
            <v>Plant Condition – Noxious and Invasive Plants</v>
          </cell>
          <cell r="L6" t="str">
            <v>Fish and Wildlife – Inadequate Cover/Shelter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A13" sqref="A13:IV14"/>
    </sheetView>
  </sheetViews>
  <sheetFormatPr defaultColWidth="9.140625" defaultRowHeight="12.75"/>
  <cols>
    <col min="1" max="1" width="46.140625" style="0" customWidth="1"/>
    <col min="2" max="2" width="16.7109375" style="0" customWidth="1"/>
    <col min="3" max="3" width="12.28125" style="0" customWidth="1"/>
    <col min="4" max="4" width="11.421875" style="0" customWidth="1"/>
    <col min="6" max="6" width="11.8515625" style="0" customWidth="1"/>
    <col min="7" max="7" width="14.7109375" style="0" customWidth="1"/>
    <col min="8" max="8" width="14.8515625" style="0" customWidth="1"/>
    <col min="9" max="9" width="16.57421875" style="0" customWidth="1"/>
  </cols>
  <sheetData>
    <row r="1" spans="1:9" ht="12.75">
      <c r="A1" s="1" t="s">
        <v>0</v>
      </c>
      <c r="B1" s="82" t="str">
        <f>UPPER(CONCATENATE(huc_name," - ",huc_code))</f>
        <v>LA CROSSE-PINE - 07060006</v>
      </c>
      <c r="C1" s="82"/>
      <c r="D1" s="82"/>
      <c r="E1" s="82"/>
      <c r="F1" s="74" t="s">
        <v>1</v>
      </c>
      <c r="G1" s="74"/>
      <c r="H1" s="83">
        <f>landuse_acres</f>
        <v>196968</v>
      </c>
      <c r="I1" s="83"/>
    </row>
    <row r="2" spans="1:9" ht="12.75">
      <c r="A2" s="1" t="s">
        <v>2</v>
      </c>
      <c r="B2" s="84" t="str">
        <f>UPPER(landuse)</f>
        <v>WOODLAND</v>
      </c>
      <c r="C2" s="84"/>
      <c r="D2" s="84"/>
      <c r="E2" s="84"/>
      <c r="F2" s="74" t="s">
        <v>3</v>
      </c>
      <c r="G2" s="74"/>
      <c r="H2" s="82">
        <f>TU</f>
        <v>40</v>
      </c>
      <c r="I2" s="82"/>
    </row>
    <row r="3" spans="1:9" ht="12.75">
      <c r="A3" s="15" t="s">
        <v>4</v>
      </c>
      <c r="B3" s="63"/>
      <c r="C3" s="63"/>
      <c r="D3" s="63"/>
      <c r="E3" s="64"/>
      <c r="F3" s="74" t="s">
        <v>5</v>
      </c>
      <c r="G3" s="74"/>
      <c r="H3" s="75">
        <f>calc_part_rate</f>
        <v>0.2555555555555556</v>
      </c>
      <c r="I3" s="75"/>
    </row>
    <row r="4" spans="1:9" ht="12.75">
      <c r="A4" s="76" t="s">
        <v>6</v>
      </c>
      <c r="B4" s="79" t="s">
        <v>7</v>
      </c>
      <c r="C4" s="80" t="s">
        <v>8</v>
      </c>
      <c r="D4" s="80"/>
      <c r="E4" s="80"/>
      <c r="F4" s="81" t="s">
        <v>9</v>
      </c>
      <c r="G4" s="81"/>
      <c r="H4" s="81"/>
      <c r="I4" s="81"/>
    </row>
    <row r="5" spans="1:9" ht="12.75">
      <c r="A5" s="77"/>
      <c r="B5" s="79"/>
      <c r="C5" s="80"/>
      <c r="D5" s="80"/>
      <c r="E5" s="80"/>
      <c r="F5" s="81"/>
      <c r="G5" s="81"/>
      <c r="H5" s="81"/>
      <c r="I5" s="81"/>
    </row>
    <row r="6" spans="1:9" ht="45">
      <c r="A6" s="78"/>
      <c r="B6" s="2" t="s">
        <v>10</v>
      </c>
      <c r="C6" s="3" t="s">
        <v>11</v>
      </c>
      <c r="D6" s="3" t="s">
        <v>12</v>
      </c>
      <c r="E6" s="3" t="s">
        <v>10</v>
      </c>
      <c r="F6" s="4" t="str">
        <f>res_con1</f>
        <v>Soil Erosion – Classic Gully</v>
      </c>
      <c r="G6" s="4" t="str">
        <f>res_con2</f>
        <v>Plant Condition – Productivity, Health and Vigor</v>
      </c>
      <c r="H6" s="4" t="str">
        <f>res_con3</f>
        <v>Plant Condition – Noxious and Invasive Plants</v>
      </c>
      <c r="I6" s="4" t="str">
        <f>res_con4</f>
        <v>Fish and Wildlife – Inadequate Cover/Shelter</v>
      </c>
    </row>
    <row r="7" spans="1:9" ht="12.75">
      <c r="A7" s="73"/>
      <c r="B7" s="73"/>
      <c r="C7" s="73"/>
      <c r="D7" s="73"/>
      <c r="E7" s="73"/>
      <c r="F7" s="73"/>
      <c r="G7" s="73"/>
      <c r="H7" s="73"/>
      <c r="I7" s="73"/>
    </row>
    <row r="8" spans="1:9" ht="12.75">
      <c r="A8" s="5" t="s">
        <v>13</v>
      </c>
      <c r="B8" s="71" t="s">
        <v>14</v>
      </c>
      <c r="C8" s="71"/>
      <c r="D8" s="71"/>
      <c r="E8" s="71"/>
      <c r="F8" s="6">
        <f>'[1]Computations'!K72</f>
        <v>2</v>
      </c>
      <c r="G8" s="6">
        <f>'[1]Computations'!L72</f>
        <v>3</v>
      </c>
      <c r="H8" s="6">
        <f>'[1]Computations'!M72</f>
        <v>3</v>
      </c>
      <c r="I8" s="6">
        <f>'[1]Computations'!N72</f>
        <v>2</v>
      </c>
    </row>
    <row r="9" spans="1:9" ht="12.75">
      <c r="A9" s="7" t="s">
        <v>15</v>
      </c>
      <c r="B9" s="8">
        <f>at_b_cur_ac</f>
        <v>98484</v>
      </c>
      <c r="C9" s="8">
        <f>at_b_unch_ac</f>
        <v>68938.79999999999</v>
      </c>
      <c r="D9" s="8">
        <f>at_b_new_ac</f>
        <v>0</v>
      </c>
      <c r="E9" s="8">
        <f>at_b_total_ac</f>
        <v>68938.79999999999</v>
      </c>
      <c r="F9" s="56"/>
      <c r="G9" s="57"/>
      <c r="H9" s="57"/>
      <c r="I9" s="58"/>
    </row>
    <row r="10" spans="1:9" ht="12.75">
      <c r="A10" s="9" t="str">
        <f>IF('[1]Computations'!$B5="na","No Conservation Practices being applied at this level",'[1]Computations'!A5)</f>
        <v>Fence   (ft.)  382</v>
      </c>
      <c r="B10" s="10">
        <f>IF($A10="na","na",'[1]Computations'!G5)</f>
        <v>246210</v>
      </c>
      <c r="C10" s="10">
        <f>IF($A10="na","na",'[1]Computations'!H5)</f>
        <v>172346.99999999997</v>
      </c>
      <c r="D10" s="10">
        <f>IF($A10="na","na",'[1]Computations'!I5)</f>
        <v>0</v>
      </c>
      <c r="E10" s="10">
        <f>IF($A10="na","na",'[1]Computations'!J5)</f>
        <v>172346.99999999997</v>
      </c>
      <c r="F10" s="11">
        <f>IF($A10="na","na",'[1]Computations'!K5)</f>
        <v>0</v>
      </c>
      <c r="G10" s="11">
        <f>IF($A10="na","na",'[1]Computations'!L5)</f>
        <v>1</v>
      </c>
      <c r="H10" s="11">
        <f>IF($A10="na","na",'[1]Computations'!M5)</f>
        <v>0</v>
      </c>
      <c r="I10" s="11">
        <f>IF($A10="na","na",'[1]Computations'!N5)</f>
        <v>1</v>
      </c>
    </row>
    <row r="11" spans="1:9" ht="12.75">
      <c r="A11" s="9" t="str">
        <f>IF('[1]Computations'!$B6="na","na",'[1]Computations'!A6)</f>
        <v>Tree/Shrub Establishment   (ac.)  612</v>
      </c>
      <c r="B11" s="10">
        <f>IF($A11="na","na",'[1]Computations'!G6)</f>
        <v>1969.68</v>
      </c>
      <c r="C11" s="10">
        <f>IF($A11="na","na",'[1]Computations'!H6)</f>
        <v>1378.7759999999998</v>
      </c>
      <c r="D11" s="10">
        <f>IF($A11="na","na",'[1]Computations'!I6)</f>
        <v>0</v>
      </c>
      <c r="E11" s="10">
        <f>IF($A11="na","na",'[1]Computations'!J6)</f>
        <v>1378.7759999999998</v>
      </c>
      <c r="F11" s="11">
        <f>IF($A11="na","na",'[1]Computations'!K6)</f>
        <v>2</v>
      </c>
      <c r="G11" s="11">
        <f>IF($A11="na","na",'[1]Computations'!L6)</f>
        <v>4</v>
      </c>
      <c r="H11" s="11">
        <f>IF($A11="na","na",'[1]Computations'!M6)</f>
        <v>5</v>
      </c>
      <c r="I11" s="11">
        <f>IF($A11="na","na",'[1]Computations'!N6)</f>
        <v>3</v>
      </c>
    </row>
    <row r="12" spans="1:9" ht="12.75">
      <c r="A12" s="9" t="str">
        <f>IF('[1]Computations'!$B7="na","na",'[1]Computations'!A7)</f>
        <v>Use Exclusion   (ac.)  472</v>
      </c>
      <c r="B12" s="10">
        <f>IF($A12="na","na",'[1]Computations'!G7)</f>
        <v>9848.400000000001</v>
      </c>
      <c r="C12" s="10">
        <f>IF($A12="na","na",'[1]Computations'!H7)</f>
        <v>6893.879999999999</v>
      </c>
      <c r="D12" s="10">
        <f>IF($A12="na","na",'[1]Computations'!I7)</f>
        <v>0</v>
      </c>
      <c r="E12" s="10">
        <f>IF($A12="na","na",'[1]Computations'!J7)</f>
        <v>6893.879999999999</v>
      </c>
      <c r="F12" s="11">
        <f>IF($A12="na","na",'[1]Computations'!K7)</f>
        <v>4</v>
      </c>
      <c r="G12" s="11">
        <f>IF($A12="na","na",'[1]Computations'!L7)</f>
        <v>3</v>
      </c>
      <c r="H12" s="11">
        <f>IF($A12="na","na",'[1]Computations'!M7)</f>
        <v>1</v>
      </c>
      <c r="I12" s="11">
        <f>IF($A12="na","na",'[1]Computations'!N7)</f>
        <v>2</v>
      </c>
    </row>
    <row r="13" spans="1:9" ht="12.75">
      <c r="A13" s="72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5" t="s">
        <v>16</v>
      </c>
      <c r="B14" s="71" t="s">
        <v>14</v>
      </c>
      <c r="C14" s="71"/>
      <c r="D14" s="71"/>
      <c r="E14" s="71"/>
      <c r="F14" s="6">
        <f>'[1]Computations'!K113</f>
        <v>3</v>
      </c>
      <c r="G14" s="6">
        <f>'[1]Computations'!L113</f>
        <v>4</v>
      </c>
      <c r="H14" s="6">
        <f>'[1]Computations'!M113</f>
        <v>4</v>
      </c>
      <c r="I14" s="6">
        <f>'[1]Computations'!N113</f>
        <v>1</v>
      </c>
    </row>
    <row r="15" spans="1:9" ht="12.75">
      <c r="A15" s="7" t="s">
        <v>17</v>
      </c>
      <c r="B15" s="8">
        <f>at_p_cur_ac</f>
        <v>78787.20000000001</v>
      </c>
      <c r="C15" s="8">
        <f>at_p_unch_ac</f>
        <v>63029.76000000001</v>
      </c>
      <c r="D15" s="8">
        <f>at_p_new_ac</f>
        <v>19696.800000000003</v>
      </c>
      <c r="E15" s="8">
        <f>at_p_total_ac</f>
        <v>82726.56000000001</v>
      </c>
      <c r="F15" s="56"/>
      <c r="G15" s="57"/>
      <c r="H15" s="57"/>
      <c r="I15" s="58"/>
    </row>
    <row r="16" spans="1:9" ht="12.75">
      <c r="A16" s="9" t="str">
        <f>IF('[1]Computations'!$B13="na","No Conservation Practices being applied at this level",'[1]Computations'!A13)</f>
        <v>Access Road   (ft.)  560</v>
      </c>
      <c r="B16" s="10">
        <f>IF($A16="na","na",'[1]Computations'!G13)</f>
        <v>98484.00000000001</v>
      </c>
      <c r="C16" s="10">
        <f>IF($A16="na","na",'[1]Computations'!H13)</f>
        <v>78787.20000000001</v>
      </c>
      <c r="D16" s="10">
        <f>IF($A16="na","na",'[1]Computations'!I13)</f>
        <v>24621</v>
      </c>
      <c r="E16" s="10">
        <f>IF($A16="na","na",'[1]Computations'!J13)</f>
        <v>103408.20000000001</v>
      </c>
      <c r="F16" s="11">
        <f>IF($A16="na","na",'[1]Computations'!K13)</f>
        <v>3</v>
      </c>
      <c r="G16" s="11">
        <f>IF($A16="na","na",'[1]Computations'!L13)</f>
        <v>-1</v>
      </c>
      <c r="H16" s="11">
        <f>IF($A16="na","na",'[1]Computations'!M13)</f>
        <v>1</v>
      </c>
      <c r="I16" s="11">
        <f>IF($A16="na","na",'[1]Computations'!N13)</f>
        <v>-3</v>
      </c>
    </row>
    <row r="17" spans="1:9" ht="12.75">
      <c r="A17" s="9" t="str">
        <f>IF('[1]Computations'!$B14="na","na",'[1]Computations'!A14)</f>
        <v>Fence   (ft.)  382</v>
      </c>
      <c r="B17" s="10">
        <f>IF($A17="na","na",'[1]Computations'!G14)</f>
        <v>590904.0000000001</v>
      </c>
      <c r="C17" s="10">
        <f>IF($A17="na","na",'[1]Computations'!H14)</f>
        <v>521965.20000000007</v>
      </c>
      <c r="D17" s="10">
        <f>IF($A17="na","na",'[1]Computations'!I14)</f>
        <v>98484</v>
      </c>
      <c r="E17" s="10">
        <f>IF($A17="na","na",'[1]Computations'!J14)</f>
        <v>620449.2000000001</v>
      </c>
      <c r="F17" s="11">
        <f>IF($A17="na","na",'[1]Computations'!K14)</f>
        <v>0</v>
      </c>
      <c r="G17" s="11">
        <f>IF($A17="na","na",'[1]Computations'!L14)</f>
        <v>1</v>
      </c>
      <c r="H17" s="11">
        <f>IF($A17="na","na",'[1]Computations'!M14)</f>
        <v>0</v>
      </c>
      <c r="I17" s="11">
        <f>IF($A17="na","na",'[1]Computations'!N14)</f>
        <v>1</v>
      </c>
    </row>
    <row r="18" spans="1:9" ht="12.75">
      <c r="A18" s="9" t="str">
        <f>IF('[1]Computations'!$B15="na","na",'[1]Computations'!A15)</f>
        <v>Forest Stand Improvement   (ac.)  666</v>
      </c>
      <c r="B18" s="10">
        <f>IF($A18="na","na",'[1]Computations'!G15)</f>
        <v>19696.800000000003</v>
      </c>
      <c r="C18" s="10">
        <f>IF($A18="na","na",'[1]Computations'!H15)</f>
        <v>15757.440000000002</v>
      </c>
      <c r="D18" s="10">
        <f>IF($A18="na","na",'[1]Computations'!I15)</f>
        <v>4924.200000000001</v>
      </c>
      <c r="E18" s="10">
        <f>IF($A18="na","na",'[1]Computations'!J15)</f>
        <v>20681.640000000003</v>
      </c>
      <c r="F18" s="11">
        <f>IF($A18="na","na",'[1]Computations'!K15)</f>
        <v>0</v>
      </c>
      <c r="G18" s="11">
        <f>IF($A18="na","na",'[1]Computations'!L15)</f>
        <v>5</v>
      </c>
      <c r="H18" s="11">
        <f>IF($A18="na","na",'[1]Computations'!M15)</f>
        <v>3</v>
      </c>
      <c r="I18" s="11">
        <f>IF($A18="na","na",'[1]Computations'!N15)</f>
        <v>1</v>
      </c>
    </row>
    <row r="19" spans="1:9" ht="12.75">
      <c r="A19" s="9" t="str">
        <f>IF('[1]Computations'!$B16="na","na",'[1]Computations'!A16)</f>
        <v>Tree/Shrub Establishment   (ac.)  612</v>
      </c>
      <c r="B19" s="10">
        <f>IF($A19="na","na",'[1]Computations'!G16)</f>
        <v>3151.4880000000007</v>
      </c>
      <c r="C19" s="10">
        <f>IF($A19="na","na",'[1]Computations'!H16)</f>
        <v>2915.1264000000006</v>
      </c>
      <c r="D19" s="10">
        <f>IF($A19="na","na",'[1]Computations'!I16)</f>
        <v>393.93600000000015</v>
      </c>
      <c r="E19" s="10">
        <f>IF($A19="na","na",'[1]Computations'!J16)</f>
        <v>3309.0624000000007</v>
      </c>
      <c r="F19" s="11">
        <f>IF($A19="na","na",'[1]Computations'!K16)</f>
        <v>2</v>
      </c>
      <c r="G19" s="11">
        <f>IF($A19="na","na",'[1]Computations'!L16)</f>
        <v>4</v>
      </c>
      <c r="H19" s="11">
        <f>IF($A19="na","na",'[1]Computations'!M16)</f>
        <v>5</v>
      </c>
      <c r="I19" s="11">
        <f>IF($A19="na","na",'[1]Computations'!N16)</f>
        <v>3</v>
      </c>
    </row>
    <row r="20" spans="1:9" ht="12.75">
      <c r="A20" s="9" t="str">
        <f>IF('[1]Computations'!$B17="na","na",'[1]Computations'!A17)</f>
        <v>Tree/Shrub Pruning   (ac.)  660</v>
      </c>
      <c r="B20" s="10">
        <f>IF($A20="na","na",'[1]Computations'!G17)</f>
        <v>787.8720000000002</v>
      </c>
      <c r="C20" s="10">
        <f>IF($A20="na","na",'[1]Computations'!H17)</f>
        <v>630.2976000000001</v>
      </c>
      <c r="D20" s="10">
        <f>IF($A20="na","na",'[1]Computations'!I17)</f>
        <v>196.96800000000007</v>
      </c>
      <c r="E20" s="10">
        <f>IF($A20="na","na",'[1]Computations'!J17)</f>
        <v>827.2656000000002</v>
      </c>
      <c r="F20" s="11">
        <f>IF($A20="na","na",'[1]Computations'!K17)</f>
        <v>0</v>
      </c>
      <c r="G20" s="11">
        <f>IF($A20="na","na",'[1]Computations'!L17)</f>
        <v>0</v>
      </c>
      <c r="H20" s="11">
        <f>IF($A20="na","na",'[1]Computations'!M17)</f>
        <v>1</v>
      </c>
      <c r="I20" s="11">
        <f>IF($A20="na","na",'[1]Computations'!N17)</f>
        <v>-1</v>
      </c>
    </row>
    <row r="21" spans="1:9" ht="12.75">
      <c r="A21" s="9" t="str">
        <f>IF('[1]Computations'!$B18="na","na",'[1]Computations'!A18)</f>
        <v>Use Exclusion   (ac.)  472</v>
      </c>
      <c r="B21" s="10">
        <f>IF($A21="na","na",'[1]Computations'!G18)</f>
        <v>23636.160000000003</v>
      </c>
      <c r="C21" s="10">
        <f>IF($A21="na","na",'[1]Computations'!H18)</f>
        <v>20878.608000000004</v>
      </c>
      <c r="D21" s="10">
        <f>IF($A21="na","na",'[1]Computations'!I18)</f>
        <v>3939.3600000000006</v>
      </c>
      <c r="E21" s="10">
        <f>IF($A21="na","na",'[1]Computations'!J18)</f>
        <v>24817.968000000004</v>
      </c>
      <c r="F21" s="11">
        <f>IF($A21="na","na",'[1]Computations'!K18)</f>
        <v>4</v>
      </c>
      <c r="G21" s="11">
        <f>IF($A21="na","na",'[1]Computations'!L18)</f>
        <v>3</v>
      </c>
      <c r="H21" s="11">
        <f>IF($A21="na","na",'[1]Computations'!M18)</f>
        <v>1</v>
      </c>
      <c r="I21" s="11">
        <f>IF($A21="na","na",'[1]Computations'!N18)</f>
        <v>2</v>
      </c>
    </row>
    <row r="22" spans="1:9" ht="12.75">
      <c r="A22" s="72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5" t="s">
        <v>18</v>
      </c>
      <c r="B23" s="71" t="s">
        <v>14</v>
      </c>
      <c r="C23" s="71"/>
      <c r="D23" s="71"/>
      <c r="E23" s="71"/>
      <c r="F23" s="6">
        <f>'[1]Computations'!K175</f>
        <v>3</v>
      </c>
      <c r="G23" s="6">
        <f>'[1]Computations'!L175</f>
        <v>5</v>
      </c>
      <c r="H23" s="6">
        <f>'[1]Computations'!M175</f>
        <v>5</v>
      </c>
      <c r="I23" s="6">
        <f>'[1]Computations'!N175</f>
        <v>3</v>
      </c>
    </row>
    <row r="24" spans="1:9" ht="12.75">
      <c r="A24" s="12" t="s">
        <v>19</v>
      </c>
      <c r="B24" s="8">
        <f>at_r_cur_ac</f>
        <v>19696.800000000003</v>
      </c>
      <c r="C24" s="8">
        <f>at_r_unch_ac</f>
        <v>19696.800000000003</v>
      </c>
      <c r="D24" s="8">
        <f>at_r_new_ac</f>
        <v>25605.840000000004</v>
      </c>
      <c r="E24" s="8">
        <f>at_r_total_ac</f>
        <v>45302.64000000001</v>
      </c>
      <c r="F24" s="56"/>
      <c r="G24" s="57"/>
      <c r="H24" s="57"/>
      <c r="I24" s="58"/>
    </row>
    <row r="25" spans="1:9" ht="12.75">
      <c r="A25" s="9" t="str">
        <f>IF('[1]Computations'!$B26="na","No Conservation Practices being applied at this level",'[1]Computations'!A26)</f>
        <v>Access Road   (ft.)  560</v>
      </c>
      <c r="B25" s="10">
        <f>IF($A25="na","na",'[1]Computations'!G26)</f>
        <v>36931.50000000001</v>
      </c>
      <c r="C25" s="10">
        <f>IF($A25="na","na",'[1]Computations'!H26)</f>
        <v>56628.30000000001</v>
      </c>
      <c r="D25" s="10">
        <f>IF($A25="na","na",'[1]Computations'!I26)</f>
        <v>28314.15</v>
      </c>
      <c r="E25" s="10">
        <f>IF($A25="na","na",'[1]Computations'!J26)</f>
        <v>84942.45000000001</v>
      </c>
      <c r="F25" s="10">
        <f>IF($A25="na","na",'[1]Computations'!K26)</f>
        <v>3</v>
      </c>
      <c r="G25" s="10">
        <f>IF($A25="na","na",'[1]Computations'!L26)</f>
        <v>-1</v>
      </c>
      <c r="H25" s="10">
        <f>IF($A25="na","na",'[1]Computations'!M26)</f>
        <v>1</v>
      </c>
      <c r="I25" s="10">
        <f>IF($A25="na","na",'[1]Computations'!N26)</f>
        <v>-3</v>
      </c>
    </row>
    <row r="26" spans="1:9" ht="12.75">
      <c r="A26" s="9" t="str">
        <f>IF('[1]Computations'!$B27="na","na",'[1]Computations'!A27)</f>
        <v>Brush Management   (ac.)  314</v>
      </c>
      <c r="B26" s="10">
        <f>IF($A26="na","na",'[1]Computations'!G27)</f>
        <v>4924.200000000001</v>
      </c>
      <c r="C26" s="10">
        <f>IF($A26="na","na",'[1]Computations'!H27)</f>
        <v>4924.200000000001</v>
      </c>
      <c r="D26" s="10">
        <f>IF($A26="na","na",'[1]Computations'!I27)</f>
        <v>6401.460000000001</v>
      </c>
      <c r="E26" s="10">
        <f>IF($A26="na","na",'[1]Computations'!J27)</f>
        <v>11325.660000000002</v>
      </c>
      <c r="F26" s="10">
        <f>IF($A26="na","na",'[1]Computations'!K27)</f>
        <v>2</v>
      </c>
      <c r="G26" s="10">
        <f>IF($A26="na","na",'[1]Computations'!L27)</f>
        <v>5</v>
      </c>
      <c r="H26" s="10">
        <f>IF($A26="na","na",'[1]Computations'!M27)</f>
        <v>5</v>
      </c>
      <c r="I26" s="10">
        <f>IF($A26="na","na",'[1]Computations'!N27)</f>
        <v>2</v>
      </c>
    </row>
    <row r="27" spans="1:9" ht="12.75">
      <c r="A27" s="9" t="str">
        <f>IF('[1]Computations'!$B28="na","na",'[1]Computations'!A28)</f>
        <v>Critical Area Planting   (ac.)  342</v>
      </c>
      <c r="B27" s="10">
        <f>IF($A27="na","na",'[1]Computations'!G28)</f>
        <v>98.48400000000002</v>
      </c>
      <c r="C27" s="10">
        <f>IF($A27="na","na",'[1]Computations'!H28)</f>
        <v>98.48400000000002</v>
      </c>
      <c r="D27" s="10">
        <f>IF($A27="na","na",'[1]Computations'!I28)</f>
        <v>128.0292</v>
      </c>
      <c r="E27" s="10">
        <f>IF($A27="na","na",'[1]Computations'!J28)</f>
        <v>226.51320000000004</v>
      </c>
      <c r="F27" s="10">
        <f>IF($A27="na","na",'[1]Computations'!K28)</f>
        <v>1</v>
      </c>
      <c r="G27" s="10">
        <f>IF($A27="na","na",'[1]Computations'!L28)</f>
        <v>5</v>
      </c>
      <c r="H27" s="10">
        <f>IF($A27="na","na",'[1]Computations'!M28)</f>
        <v>0</v>
      </c>
      <c r="I27" s="10">
        <f>IF($A27="na","na",'[1]Computations'!N28)</f>
        <v>2</v>
      </c>
    </row>
    <row r="28" spans="1:9" ht="12.75">
      <c r="A28" s="9" t="str">
        <f>IF('[1]Computations'!$B29="na","na",'[1]Computations'!A29)</f>
        <v>Fence   (ft.)  382</v>
      </c>
      <c r="B28" s="10">
        <f>IF($A28="na","na",'[1]Computations'!G29)</f>
        <v>196968.00000000003</v>
      </c>
      <c r="C28" s="10">
        <f>IF($A28="na","na",'[1]Computations'!H29)</f>
        <v>339769.80000000005</v>
      </c>
      <c r="D28" s="10">
        <f>IF($A28="na","na",'[1]Computations'!I29)</f>
        <v>113256.60000000003</v>
      </c>
      <c r="E28" s="10">
        <f>IF($A28="na","na",'[1]Computations'!J29)</f>
        <v>453026.4000000001</v>
      </c>
      <c r="F28" s="10">
        <f>IF($A28="na","na",'[1]Computations'!K29)</f>
        <v>0</v>
      </c>
      <c r="G28" s="10">
        <f>IF($A28="na","na",'[1]Computations'!L29)</f>
        <v>1</v>
      </c>
      <c r="H28" s="10">
        <f>IF($A28="na","na",'[1]Computations'!M29)</f>
        <v>0</v>
      </c>
      <c r="I28" s="10">
        <f>IF($A28="na","na",'[1]Computations'!N29)</f>
        <v>1</v>
      </c>
    </row>
    <row r="29" spans="1:9" ht="12.75">
      <c r="A29" s="9" t="str">
        <f>IF('[1]Computations'!$B30="na","na",'[1]Computations'!A30)</f>
        <v>Forest Site Preparation   (ac.)  490</v>
      </c>
      <c r="B29" s="10">
        <f>IF($A29="na","na",'[1]Computations'!G30)</f>
        <v>295.45200000000006</v>
      </c>
      <c r="C29" s="10">
        <f>IF($A29="na","na",'[1]Computations'!H30)</f>
        <v>295.45200000000006</v>
      </c>
      <c r="D29" s="10">
        <f>IF($A29="na","na",'[1]Computations'!I30)</f>
        <v>384.0876</v>
      </c>
      <c r="E29" s="10">
        <f>IF($A29="na","na",'[1]Computations'!J30)</f>
        <v>679.5396000000001</v>
      </c>
      <c r="F29" s="10">
        <f>IF($A29="na","na",'[1]Computations'!K30)</f>
        <v>0</v>
      </c>
      <c r="G29" s="10">
        <f>IF($A29="na","na",'[1]Computations'!L30)</f>
        <v>5</v>
      </c>
      <c r="H29" s="10">
        <f>IF($A29="na","na",'[1]Computations'!M30)</f>
        <v>5</v>
      </c>
      <c r="I29" s="10">
        <f>IF($A29="na","na",'[1]Computations'!N30)</f>
        <v>0</v>
      </c>
    </row>
    <row r="30" spans="1:9" ht="12.75">
      <c r="A30" s="9" t="str">
        <f>IF('[1]Computations'!$B31="na","na",'[1]Computations'!A31)</f>
        <v>Forest Stand Improvement   (ac.)  666</v>
      </c>
      <c r="B30" s="10">
        <f>IF($A30="na","na",'[1]Computations'!G31)</f>
        <v>7878.720000000001</v>
      </c>
      <c r="C30" s="10">
        <f>IF($A30="na","na",'[1]Computations'!H31)</f>
        <v>11818.080000000002</v>
      </c>
      <c r="D30" s="10">
        <f>IF($A30="na","na",'[1]Computations'!I31)</f>
        <v>6302.976000000002</v>
      </c>
      <c r="E30" s="10">
        <f>IF($A30="na","na",'[1]Computations'!J31)</f>
        <v>18121.056000000004</v>
      </c>
      <c r="F30" s="10">
        <f>IF($A30="na","na",'[1]Computations'!K31)</f>
        <v>0</v>
      </c>
      <c r="G30" s="10">
        <f>IF($A30="na","na",'[1]Computations'!L31)</f>
        <v>5</v>
      </c>
      <c r="H30" s="10">
        <f>IF($A30="na","na",'[1]Computations'!M31)</f>
        <v>3</v>
      </c>
      <c r="I30" s="10">
        <f>IF($A30="na","na",'[1]Computations'!N31)</f>
        <v>1</v>
      </c>
    </row>
    <row r="31" spans="1:9" ht="12.75">
      <c r="A31" s="9" t="str">
        <f>IF('[1]Computations'!$B32="na","na",'[1]Computations'!A32)</f>
        <v>Forest Trails &amp; Landings   (ac.)  655</v>
      </c>
      <c r="B31" s="10">
        <f>IF($A31="na","na",'[1]Computations'!G32)</f>
        <v>590.9040000000001</v>
      </c>
      <c r="C31" s="10">
        <f>IF($A31="na","na",'[1]Computations'!H32)</f>
        <v>590.9040000000001</v>
      </c>
      <c r="D31" s="10">
        <f>IF($A31="na","na",'[1]Computations'!I32)</f>
        <v>768.1752</v>
      </c>
      <c r="E31" s="10">
        <f>IF($A31="na","na",'[1]Computations'!J32)</f>
        <v>1359.0792000000001</v>
      </c>
      <c r="F31" s="10">
        <f>IF($A31="na","na",'[1]Computations'!K32)</f>
        <v>0</v>
      </c>
      <c r="G31" s="10">
        <f>IF($A31="na","na",'[1]Computations'!L32)</f>
        <v>0</v>
      </c>
      <c r="H31" s="10">
        <f>IF($A31="na","na",'[1]Computations'!M32)</f>
        <v>0</v>
      </c>
      <c r="I31" s="10">
        <f>IF($A31="na","na",'[1]Computations'!N32)</f>
        <v>0</v>
      </c>
    </row>
    <row r="32" spans="1:9" ht="12.75">
      <c r="A32" s="9" t="str">
        <f>IF('[1]Computations'!$B33="na","na",'[1]Computations'!A33)</f>
        <v>Riparian Forest Buffer   (ac.)  391</v>
      </c>
      <c r="B32" s="10">
        <f>IF($A32="na","na",'[1]Computations'!G33)</f>
        <v>19.696800000000003</v>
      </c>
      <c r="C32" s="10">
        <f>IF($A32="na","na",'[1]Computations'!H33)</f>
        <v>19.696800000000003</v>
      </c>
      <c r="D32" s="10">
        <f>IF($A32="na","na",'[1]Computations'!I33)</f>
        <v>25.605840000000008</v>
      </c>
      <c r="E32" s="10">
        <f>IF($A32="na","na",'[1]Computations'!J33)</f>
        <v>45.30264000000001</v>
      </c>
      <c r="F32" s="10">
        <f>IF($A32="na","na",'[1]Computations'!K33)</f>
        <v>0</v>
      </c>
      <c r="G32" s="10">
        <f>IF($A32="na","na",'[1]Computations'!L33)</f>
        <v>4</v>
      </c>
      <c r="H32" s="10">
        <f>IF($A32="na","na",'[1]Computations'!M33)</f>
        <v>2</v>
      </c>
      <c r="I32" s="10">
        <f>IF($A32="na","na",'[1]Computations'!N33)</f>
        <v>5</v>
      </c>
    </row>
    <row r="33" spans="1:9" ht="12.75">
      <c r="A33" s="9" t="str">
        <f>IF('[1]Computations'!$B34="na","na",'[1]Computations'!A34)</f>
        <v>Tree/Shrub Establishment   (ac.)  612</v>
      </c>
      <c r="B33" s="10">
        <f>IF($A33="na","na",'[1]Computations'!G34)</f>
        <v>984.8400000000001</v>
      </c>
      <c r="C33" s="10">
        <f>IF($A33="na","na",'[1]Computations'!H34)</f>
        <v>1812.1056000000003</v>
      </c>
      <c r="D33" s="10">
        <f>IF($A33="na","na",'[1]Computations'!I34)</f>
        <v>453.0264000000002</v>
      </c>
      <c r="E33" s="10">
        <f>IF($A33="na","na",'[1]Computations'!J34)</f>
        <v>2265.1320000000005</v>
      </c>
      <c r="F33" s="10">
        <f>IF($A33="na","na",'[1]Computations'!K34)</f>
        <v>2</v>
      </c>
      <c r="G33" s="10">
        <f>IF($A33="na","na",'[1]Computations'!L34)</f>
        <v>4</v>
      </c>
      <c r="H33" s="10">
        <f>IF($A33="na","na",'[1]Computations'!M34)</f>
        <v>5</v>
      </c>
      <c r="I33" s="10">
        <f>IF($A33="na","na",'[1]Computations'!N34)</f>
        <v>3</v>
      </c>
    </row>
    <row r="34" spans="1:9" ht="12.75">
      <c r="A34" s="9" t="str">
        <f>IF('[1]Computations'!$B35="na","na",'[1]Computations'!A35)</f>
        <v>Tree/Shrub Pruning   (ac.)  660</v>
      </c>
      <c r="B34" s="10">
        <f>IF($A34="na","na",'[1]Computations'!G35)</f>
        <v>393.9360000000001</v>
      </c>
      <c r="C34" s="10">
        <f>IF($A34="na","na",'[1]Computations'!H35)</f>
        <v>551.5104000000001</v>
      </c>
      <c r="D34" s="10">
        <f>IF($A34="na","na",'[1]Computations'!I35)</f>
        <v>354.54240000000004</v>
      </c>
      <c r="E34" s="10">
        <f>IF($A34="na","na",'[1]Computations'!J35)</f>
        <v>906.0528000000002</v>
      </c>
      <c r="F34" s="10">
        <f>IF($A34="na","na",'[1]Computations'!K35)</f>
        <v>0</v>
      </c>
      <c r="G34" s="10">
        <f>IF($A34="na","na",'[1]Computations'!L35)</f>
        <v>0</v>
      </c>
      <c r="H34" s="10">
        <f>IF($A34="na","na",'[1]Computations'!M35)</f>
        <v>1</v>
      </c>
      <c r="I34" s="10">
        <f>IF($A34="na","na",'[1]Computations'!N35)</f>
        <v>-1</v>
      </c>
    </row>
    <row r="35" spans="1:9" ht="12.75">
      <c r="A35" s="9" t="str">
        <f>IF('[1]Computations'!$B36="na","na",'[1]Computations'!A36)</f>
        <v>Upland Wildlife Habitat Management   (ac.)  645</v>
      </c>
      <c r="B35" s="10">
        <f>IF($A35="na","na",'[1]Computations'!G36)</f>
        <v>984.8400000000001</v>
      </c>
      <c r="C35" s="10">
        <f>IF($A35="na","na",'[1]Computations'!H36)</f>
        <v>984.8400000000001</v>
      </c>
      <c r="D35" s="10">
        <f>IF($A35="na","na",'[1]Computations'!I36)</f>
        <v>1280.2920000000004</v>
      </c>
      <c r="E35" s="10">
        <f>IF($A35="na","na",'[1]Computations'!J36)</f>
        <v>2265.1320000000005</v>
      </c>
      <c r="F35" s="10">
        <f>IF($A35="na","na",'[1]Computations'!K36)</f>
        <v>0</v>
      </c>
      <c r="G35" s="10">
        <f>IF($A35="na","na",'[1]Computations'!L36)</f>
        <v>4</v>
      </c>
      <c r="H35" s="10">
        <f>IF($A35="na","na",'[1]Computations'!M36)</f>
        <v>4</v>
      </c>
      <c r="I35" s="10">
        <f>IF($A35="na","na",'[1]Computations'!N36)</f>
        <v>5</v>
      </c>
    </row>
    <row r="36" spans="1:9" ht="12.75">
      <c r="A36" s="9" t="str">
        <f>IF('[1]Computations'!$B37="na","na",'[1]Computations'!A37)</f>
        <v>Use Exclusion   (ac.)  472</v>
      </c>
      <c r="B36" s="10">
        <f>IF($A36="na","na",'[1]Computations'!G37)</f>
        <v>7878.720000000001</v>
      </c>
      <c r="C36" s="10">
        <f>IF($A36="na","na",'[1]Computations'!H37)</f>
        <v>13590.792000000001</v>
      </c>
      <c r="D36" s="10">
        <f>IF($A36="na","na",'[1]Computations'!I37)</f>
        <v>4530.264000000003</v>
      </c>
      <c r="E36" s="10">
        <f>IF($A36="na","na",'[1]Computations'!J37)</f>
        <v>18121.056000000004</v>
      </c>
      <c r="F36" s="10">
        <f>IF($A36="na","na",'[1]Computations'!K37)</f>
        <v>4</v>
      </c>
      <c r="G36" s="10">
        <f>IF($A36="na","na",'[1]Computations'!L37)</f>
        <v>3</v>
      </c>
      <c r="H36" s="10">
        <f>IF($A36="na","na",'[1]Computations'!M37)</f>
        <v>1</v>
      </c>
      <c r="I36" s="10">
        <f>IF($A36="na","na",'[1]Computations'!N37)</f>
        <v>2</v>
      </c>
    </row>
    <row r="37" spans="1:9" ht="12.75">
      <c r="A37" s="59"/>
      <c r="B37" s="60"/>
      <c r="C37" s="60"/>
      <c r="D37" s="60"/>
      <c r="E37" s="60"/>
      <c r="F37" s="60"/>
      <c r="G37" s="60"/>
      <c r="H37" s="60"/>
      <c r="I37" s="61"/>
    </row>
    <row r="38" spans="1:9" ht="12.75">
      <c r="A38" s="62"/>
      <c r="B38" s="31"/>
      <c r="C38" s="31"/>
      <c r="D38" s="31"/>
      <c r="E38" s="31"/>
      <c r="F38" s="31"/>
      <c r="G38" s="31"/>
      <c r="H38" s="31"/>
      <c r="I38" s="32"/>
    </row>
    <row r="39" spans="1:9" ht="12.75">
      <c r="A39" s="15" t="s">
        <v>20</v>
      </c>
      <c r="B39" s="63"/>
      <c r="C39" s="63"/>
      <c r="D39" s="63"/>
      <c r="E39" s="63"/>
      <c r="F39" s="63"/>
      <c r="G39" s="63"/>
      <c r="H39" s="63"/>
      <c r="I39" s="64"/>
    </row>
    <row r="40" spans="1:9" ht="12.75">
      <c r="A40" s="13"/>
      <c r="B40" s="14" t="s">
        <v>21</v>
      </c>
      <c r="C40" s="65" t="s">
        <v>22</v>
      </c>
      <c r="D40" s="66"/>
      <c r="E40" s="66"/>
      <c r="F40" s="67"/>
      <c r="G40" s="68" t="s">
        <v>23</v>
      </c>
      <c r="H40" s="69"/>
      <c r="I40" s="70"/>
    </row>
    <row r="41" spans="1:9" ht="33.75">
      <c r="A41" s="48" t="s">
        <v>6</v>
      </c>
      <c r="B41" s="50" t="s">
        <v>24</v>
      </c>
      <c r="C41" s="16" t="s">
        <v>25</v>
      </c>
      <c r="D41" s="16" t="s">
        <v>26</v>
      </c>
      <c r="E41" s="16" t="s">
        <v>27</v>
      </c>
      <c r="F41" s="52" t="s">
        <v>28</v>
      </c>
      <c r="G41" s="17" t="s">
        <v>25</v>
      </c>
      <c r="H41" s="17" t="s">
        <v>29</v>
      </c>
      <c r="I41" s="54" t="s">
        <v>28</v>
      </c>
    </row>
    <row r="42" spans="1:9" ht="12.75">
      <c r="A42" s="49"/>
      <c r="B42" s="51"/>
      <c r="C42" s="18">
        <f>cost_share_rate</f>
        <v>0.5</v>
      </c>
      <c r="D42" s="18">
        <v>1</v>
      </c>
      <c r="E42" s="18">
        <f>ta_of_fa</f>
        <v>0.2</v>
      </c>
      <c r="F42" s="53"/>
      <c r="G42" s="19">
        <f>1-cost_share_rate</f>
        <v>0.5</v>
      </c>
      <c r="H42" s="19">
        <v>1</v>
      </c>
      <c r="I42" s="55"/>
    </row>
    <row r="43" spans="1:9" ht="12.75">
      <c r="A43" s="42"/>
      <c r="B43" s="43"/>
      <c r="C43" s="43"/>
      <c r="D43" s="43"/>
      <c r="E43" s="43"/>
      <c r="F43" s="43"/>
      <c r="G43" s="43"/>
      <c r="H43" s="43"/>
      <c r="I43" s="44"/>
    </row>
    <row r="44" spans="1:9" ht="12.75">
      <c r="A44" s="5" t="s">
        <v>30</v>
      </c>
      <c r="B44" s="20">
        <f>at_p_new_ac</f>
        <v>19696.800000000003</v>
      </c>
      <c r="C44" s="21"/>
      <c r="D44" s="21"/>
      <c r="E44" s="21"/>
      <c r="F44" s="21"/>
      <c r="G44" s="21"/>
      <c r="H44" s="21"/>
      <c r="I44" s="22"/>
    </row>
    <row r="45" spans="1:9" ht="12.75">
      <c r="A45" s="23" t="str">
        <f>A16</f>
        <v>Access Road   (ft.)  560</v>
      </c>
      <c r="B45" s="24">
        <f>'[1]Computations'!I13</f>
        <v>24621</v>
      </c>
      <c r="C45" s="25">
        <f>IF('[1]Computations'!D13=1,0,'[1]Computations'!I13*'[1]Computations'!C13*cost_share_rate)</f>
        <v>104639.25</v>
      </c>
      <c r="D45" s="25">
        <f>IF('[1]Computations'!D13=1,'[1]Computations'!I13*'[1]Computations'!C13*3,0)</f>
        <v>0</v>
      </c>
      <c r="E45" s="25">
        <f aca="true" t="shared" si="0" ref="E45:E51">(C45+D45)*ta_of_fa</f>
        <v>20927.850000000002</v>
      </c>
      <c r="F45" s="25">
        <f aca="true" t="shared" si="1" ref="F45:F50">C45+D45/3/(1+int_rate)+D45/3/(1+int_rate)^2+D45/3/(1+int_rate)^3+E45</f>
        <v>125567.1</v>
      </c>
      <c r="G45" s="26">
        <f>IF('[1]Computations'!D13=1,0,'[1]Computations'!I13*'[1]Computations'!C13*(1-cost_share_rate))</f>
        <v>104639.25</v>
      </c>
      <c r="H45" s="26">
        <f>(G45+C45)*'[1]Computations'!E13+D45/3</f>
        <v>6278.355</v>
      </c>
      <c r="I45" s="26">
        <f>IF('[1]Computations'!D13=1,G45+H45/(1+int_rate)^4+H45/(1+int_rate)^5,G45-PV(int_rate,5,H45))</f>
        <v>131085.96523492545</v>
      </c>
    </row>
    <row r="46" spans="1:9" ht="12.75">
      <c r="A46" s="23" t="str">
        <f>A17</f>
        <v>Fence   (ft.)  382</v>
      </c>
      <c r="B46" s="24">
        <f>'[1]Computations'!I14</f>
        <v>98484</v>
      </c>
      <c r="C46" s="25">
        <f>IF('[1]Computations'!D14=1,0,'[1]Computations'!I14*'[1]Computations'!C14*cost_share_rate)</f>
        <v>123105</v>
      </c>
      <c r="D46" s="25">
        <f>IF('[1]Computations'!D14=1,'[1]Computations'!I14*'[1]Computations'!C14*3,0)</f>
        <v>0</v>
      </c>
      <c r="E46" s="25">
        <f t="shared" si="0"/>
        <v>24621</v>
      </c>
      <c r="F46" s="25">
        <f t="shared" si="1"/>
        <v>147726</v>
      </c>
      <c r="G46" s="26">
        <f>IF('[1]Computations'!D14=1,0,'[1]Computations'!I14*'[1]Computations'!C14*(1-cost_share_rate))</f>
        <v>123105</v>
      </c>
      <c r="H46" s="26">
        <f>(G46+C46)*'[1]Computations'!E14+D46/3</f>
        <v>4924.2</v>
      </c>
      <c r="I46" s="26">
        <f>IF('[1]Computations'!D14=1,G46+H46/(1+int_rate)^4+H46/(1+int_rate)^5,G46-PV(int_rate,5,H46))</f>
        <v>143847.52175288272</v>
      </c>
    </row>
    <row r="47" spans="1:9" ht="12.75">
      <c r="A47" s="23" t="str">
        <f>A18</f>
        <v>Forest Stand Improvement   (ac.)  666</v>
      </c>
      <c r="B47" s="24">
        <f>'[1]Computations'!I15</f>
        <v>4924.200000000001</v>
      </c>
      <c r="C47" s="25">
        <f>IF('[1]Computations'!D15=1,0,'[1]Computations'!I15*'[1]Computations'!C15*cost_share_rate)</f>
        <v>615525.0000000001</v>
      </c>
      <c r="D47" s="25">
        <f>IF('[1]Computations'!D15=1,'[1]Computations'!I15*'[1]Computations'!C15*3,0)</f>
        <v>0</v>
      </c>
      <c r="E47" s="25">
        <f t="shared" si="0"/>
        <v>123105.00000000003</v>
      </c>
      <c r="F47" s="25">
        <f t="shared" si="1"/>
        <v>738630.0000000001</v>
      </c>
      <c r="G47" s="26">
        <f>IF('[1]Computations'!D15=1,0,'[1]Computations'!I15*'[1]Computations'!C15*(1-cost_share_rate))</f>
        <v>615525.0000000001</v>
      </c>
      <c r="H47" s="26">
        <f>(G47+C47)*'[1]Computations'!E15+D47/3</f>
        <v>36931.50000000001</v>
      </c>
      <c r="I47" s="26">
        <f>IF('[1]Computations'!D15=1,G47+H47/(1+int_rate)^4+H47/(1+int_rate)^5,G47-PV(int_rate,5,H47))</f>
        <v>771093.9131466205</v>
      </c>
    </row>
    <row r="48" spans="1:9" ht="12.75">
      <c r="A48" s="23" t="str">
        <f>A19</f>
        <v>Tree/Shrub Establishment   (ac.)  612</v>
      </c>
      <c r="B48" s="24">
        <f>'[1]Computations'!I16</f>
        <v>393.93600000000015</v>
      </c>
      <c r="C48" s="25">
        <f>IF('[1]Computations'!D16=1,0,'[1]Computations'!I16*'[1]Computations'!C16*cost_share_rate)</f>
        <v>101241.55200000004</v>
      </c>
      <c r="D48" s="25">
        <f>IF('[1]Computations'!D16=1,'[1]Computations'!I16*'[1]Computations'!C16*3,0)</f>
        <v>0</v>
      </c>
      <c r="E48" s="25">
        <f t="shared" si="0"/>
        <v>20248.31040000001</v>
      </c>
      <c r="F48" s="25">
        <f t="shared" si="1"/>
        <v>121489.86240000004</v>
      </c>
      <c r="G48" s="26">
        <f>IF('[1]Computations'!D16=1,0,'[1]Computations'!I16*'[1]Computations'!C16*(1-cost_share_rate))</f>
        <v>101241.55200000004</v>
      </c>
      <c r="H48" s="26">
        <f>(G48+C48)*'[1]Computations'!E16+D48/3</f>
        <v>2024.831040000001</v>
      </c>
      <c r="I48" s="26">
        <f>IF('[1]Computations'!D16=1,G48+H48/(1+int_rate)^4+H48/(1+int_rate)^5,G48-PV(int_rate,5,H48))</f>
        <v>109770.87694478541</v>
      </c>
    </row>
    <row r="49" spans="1:9" ht="12.75">
      <c r="A49" s="23" t="str">
        <f>A20</f>
        <v>Tree/Shrub Pruning   (ac.)  660</v>
      </c>
      <c r="B49" s="24">
        <f>'[1]Computations'!I17</f>
        <v>196.96800000000007</v>
      </c>
      <c r="C49" s="25">
        <f>IF('[1]Computations'!D17=1,0,'[1]Computations'!I17*'[1]Computations'!C17*cost_share_rate)</f>
        <v>22158.90000000001</v>
      </c>
      <c r="D49" s="25">
        <f>IF('[1]Computations'!D17=1,'[1]Computations'!I17*'[1]Computations'!C17*3,0)</f>
        <v>0</v>
      </c>
      <c r="E49" s="25">
        <f t="shared" si="0"/>
        <v>4431.780000000002</v>
      </c>
      <c r="F49" s="25">
        <f t="shared" si="1"/>
        <v>26590.68000000001</v>
      </c>
      <c r="G49" s="26">
        <f>IF('[1]Computations'!D17=1,0,'[1]Computations'!I17*'[1]Computations'!C17*(1-cost_share_rate))</f>
        <v>22158.90000000001</v>
      </c>
      <c r="H49" s="26">
        <f>(G49+C49)*'[1]Computations'!E17+D49/3</f>
        <v>0</v>
      </c>
      <c r="I49" s="26">
        <f>IF('[1]Computations'!D17=1,G49+H49/(1+int_rate)^4+H49/(1+int_rate)^5,G49-PV(int_rate,5,H49))</f>
        <v>22158.90000000001</v>
      </c>
    </row>
    <row r="50" spans="1:9" ht="13.5" thickBot="1">
      <c r="A50" s="23" t="str">
        <f>A21</f>
        <v>Use Exclusion   (ac.)  472</v>
      </c>
      <c r="B50" s="24">
        <f>'[1]Computations'!I18</f>
        <v>3939.3600000000006</v>
      </c>
      <c r="C50" s="25">
        <f>IF('[1]Computations'!D18=1,0,'[1]Computations'!I18*'[1]Computations'!C18*cost_share_rate)</f>
        <v>55151.04000000001</v>
      </c>
      <c r="D50" s="25">
        <f>IF('[1]Computations'!D18=1,'[1]Computations'!I18*'[1]Computations'!C18*3,0)</f>
        <v>0</v>
      </c>
      <c r="E50" s="25">
        <f t="shared" si="0"/>
        <v>11030.208000000002</v>
      </c>
      <c r="F50" s="25">
        <f t="shared" si="1"/>
        <v>66181.248</v>
      </c>
      <c r="G50" s="26">
        <f>IF('[1]Computations'!D18=1,0,'[1]Computations'!I18*'[1]Computations'!C18*(1-cost_share_rate))</f>
        <v>55151.04000000001</v>
      </c>
      <c r="H50" s="26">
        <f>(G50+C50)*'[1]Computations'!E18+D50/3</f>
        <v>3309.0624000000003</v>
      </c>
      <c r="I50" s="26">
        <f>IF('[1]Computations'!D18=1,G50+H50/(1+int_rate)^4+H50/(1+int_rate)^5,G50-PV(int_rate,5,H50))</f>
        <v>69090.0146179372</v>
      </c>
    </row>
    <row r="51" spans="1:9" ht="13.5" thickTop="1">
      <c r="A51" s="27"/>
      <c r="B51" s="28" t="s">
        <v>31</v>
      </c>
      <c r="C51" s="29">
        <f>SUM(C45:C50)</f>
        <v>1021820.7420000002</v>
      </c>
      <c r="D51" s="29">
        <f>SUM(D45:D50)</f>
        <v>0</v>
      </c>
      <c r="E51" s="29">
        <f t="shared" si="0"/>
        <v>204364.14840000006</v>
      </c>
      <c r="F51" s="29">
        <f>SUM(F45:F50)</f>
        <v>1226184.8904</v>
      </c>
      <c r="G51" s="30">
        <f>SUM(G45:G50)</f>
        <v>1021820.7420000002</v>
      </c>
      <c r="H51" s="30">
        <f>SUM(H45:H50)</f>
        <v>53467.948440000015</v>
      </c>
      <c r="I51" s="30">
        <f>SUM(I45:I50)</f>
        <v>1247047.1916971512</v>
      </c>
    </row>
    <row r="52" spans="1:9" ht="12.75">
      <c r="A52" s="45"/>
      <c r="B52" s="46"/>
      <c r="C52" s="46"/>
      <c r="D52" s="46"/>
      <c r="E52" s="46"/>
      <c r="F52" s="46"/>
      <c r="G52" s="46"/>
      <c r="H52" s="46"/>
      <c r="I52" s="47"/>
    </row>
    <row r="53" spans="1:9" ht="12.75">
      <c r="A53" s="33" t="s">
        <v>32</v>
      </c>
      <c r="B53" s="20">
        <f>at_r_new_ac</f>
        <v>25605.840000000004</v>
      </c>
      <c r="C53" s="21"/>
      <c r="D53" s="21"/>
      <c r="E53" s="21"/>
      <c r="F53" s="21"/>
      <c r="G53" s="21"/>
      <c r="H53" s="21"/>
      <c r="I53" s="22"/>
    </row>
    <row r="54" spans="1:9" ht="12.75">
      <c r="A54" s="23" t="str">
        <f>A25</f>
        <v>Access Road   (ft.)  560</v>
      </c>
      <c r="B54" s="34">
        <f>'[1]Computations'!I26</f>
        <v>28314.15</v>
      </c>
      <c r="C54" s="25">
        <f>IF('[1]Computations'!D26=1,0,'[1]Computations'!I26*'[1]Computations'!C26*cost_share_rate)</f>
        <v>120335.13750000001</v>
      </c>
      <c r="D54" s="25">
        <f>IF('[1]Computations'!D26=1,'[1]Computations'!I26*'[1]Computations'!C26*3,0)</f>
        <v>0</v>
      </c>
      <c r="E54" s="25">
        <f aca="true" t="shared" si="2" ref="E54:E66">(C54+D54)*ta_of_fa</f>
        <v>24067.027500000004</v>
      </c>
      <c r="F54" s="25">
        <f aca="true" t="shared" si="3" ref="F54:F65">C54+D54/3/(1+int_rate)+D54/3/(1+int_rate)^2+D54/3/(1+int_rate)^3+E54</f>
        <v>144402.165</v>
      </c>
      <c r="G54" s="26">
        <f>IF('[1]Computations'!D26=1,0,'[1]Computations'!I26*'[1]Computations'!C26*(1-cost_share_rate))</f>
        <v>120335.13750000001</v>
      </c>
      <c r="H54" s="26">
        <f>(G54+C54)*'[1]Computations'!E26+D54/3</f>
        <v>7220.10825</v>
      </c>
      <c r="I54" s="26">
        <f>IF('[1]Computations'!D26=1,G54+H54/(1+int_rate)^4+H54/(1+int_rate)^5,G54-PV(int_rate,5,H54))</f>
        <v>150748.86002016428</v>
      </c>
    </row>
    <row r="55" spans="1:9" ht="12.75">
      <c r="A55" s="23" t="str">
        <f>A26</f>
        <v>Brush Management   (ac.)  314</v>
      </c>
      <c r="B55" s="34">
        <f>'[1]Computations'!I27</f>
        <v>6401.460000000001</v>
      </c>
      <c r="C55" s="25">
        <f>IF('[1]Computations'!D27=1,0,'[1]Computations'!I27*'[1]Computations'!C27*cost_share_rate)</f>
        <v>704160.6000000001</v>
      </c>
      <c r="D55" s="25">
        <f>IF('[1]Computations'!D27=1,'[1]Computations'!I27*'[1]Computations'!C27*3,0)</f>
        <v>0</v>
      </c>
      <c r="E55" s="25">
        <f t="shared" si="2"/>
        <v>140832.12000000002</v>
      </c>
      <c r="F55" s="25">
        <f t="shared" si="3"/>
        <v>844992.7200000001</v>
      </c>
      <c r="G55" s="26">
        <f>IF('[1]Computations'!D27=1,0,'[1]Computations'!I27*'[1]Computations'!C27*(1-cost_share_rate))</f>
        <v>704160.6000000001</v>
      </c>
      <c r="H55" s="26">
        <f>(G55+C55)*'[1]Computations'!E27+D55/3</f>
        <v>14083.212000000001</v>
      </c>
      <c r="I55" s="26">
        <f>IF('[1]Computations'!D27=1,G55+H55/(1+int_rate)^4+H55/(1+int_rate)^5,G55-PV(int_rate,5,H55))</f>
        <v>763484.2122132446</v>
      </c>
    </row>
    <row r="56" spans="1:9" ht="12.75">
      <c r="A56" s="23" t="str">
        <f>A27</f>
        <v>Critical Area Planting   (ac.)  342</v>
      </c>
      <c r="B56" s="34">
        <f>'[1]Computations'!I28</f>
        <v>128.0292</v>
      </c>
      <c r="C56" s="25">
        <f>IF('[1]Computations'!D28=1,0,'[1]Computations'!I28*'[1]Computations'!C28*cost_share_rate)</f>
        <v>32391.387600000002</v>
      </c>
      <c r="D56" s="25">
        <f>IF('[1]Computations'!D28=1,'[1]Computations'!I28*'[1]Computations'!C28*3,0)</f>
        <v>0</v>
      </c>
      <c r="E56" s="25">
        <f t="shared" si="2"/>
        <v>6478.277520000001</v>
      </c>
      <c r="F56" s="25">
        <f t="shared" si="3"/>
        <v>38869.665120000005</v>
      </c>
      <c r="G56" s="26">
        <f>IF('[1]Computations'!D28=1,0,'[1]Computations'!I28*'[1]Computations'!C28*(1-cost_share_rate))</f>
        <v>32391.387600000002</v>
      </c>
      <c r="H56" s="26">
        <f>(G56+C56)*'[1]Computations'!E28+D56/3</f>
        <v>3239.1387600000003</v>
      </c>
      <c r="I56" s="26">
        <f>IF('[1]Computations'!D28=1,G56+H56/(1+int_rate)^4+H56/(1+int_rate)^5,G56-PV(int_rate,5,H56))</f>
        <v>46035.818409046246</v>
      </c>
    </row>
    <row r="57" spans="1:9" ht="12.75">
      <c r="A57" s="23" t="str">
        <f>A28</f>
        <v>Fence   (ft.)  382</v>
      </c>
      <c r="B57" s="34">
        <f>'[1]Computations'!I29</f>
        <v>113256.60000000003</v>
      </c>
      <c r="C57" s="25">
        <f>IF('[1]Computations'!D29=1,0,'[1]Computations'!I29*'[1]Computations'!C29*cost_share_rate)</f>
        <v>141570.75000000006</v>
      </c>
      <c r="D57" s="25">
        <f>IF('[1]Computations'!D29=1,'[1]Computations'!I29*'[1]Computations'!C29*3,0)</f>
        <v>0</v>
      </c>
      <c r="E57" s="25">
        <f t="shared" si="2"/>
        <v>28314.150000000012</v>
      </c>
      <c r="F57" s="25">
        <f t="shared" si="3"/>
        <v>169884.90000000008</v>
      </c>
      <c r="G57" s="26">
        <f>IF('[1]Computations'!D29=1,0,'[1]Computations'!I29*'[1]Computations'!C29*(1-cost_share_rate))</f>
        <v>141570.75000000006</v>
      </c>
      <c r="H57" s="26">
        <f>(G57+C57)*'[1]Computations'!E29+D57/3</f>
        <v>5662.830000000003</v>
      </c>
      <c r="I57" s="26">
        <f>IF('[1]Computations'!D29=1,G57+H57/(1+int_rate)^4+H57/(1+int_rate)^5,G57-PV(int_rate,5,H57))</f>
        <v>165424.6500158152</v>
      </c>
    </row>
    <row r="58" spans="1:9" ht="12.75">
      <c r="A58" s="23" t="str">
        <f>A29</f>
        <v>Forest Site Preparation   (ac.)  490</v>
      </c>
      <c r="B58" s="34">
        <f>'[1]Computations'!I30</f>
        <v>384.0876</v>
      </c>
      <c r="C58" s="25">
        <f>IF('[1]Computations'!D30=1,0,'[1]Computations'!I30*'[1]Computations'!C30*cost_share_rate)</f>
        <v>0</v>
      </c>
      <c r="D58" s="25">
        <f>IF('[1]Computations'!D30=1,'[1]Computations'!I30*'[1]Computations'!C30*3,0)</f>
        <v>172839.41999999998</v>
      </c>
      <c r="E58" s="25">
        <f t="shared" si="2"/>
        <v>34567.884</v>
      </c>
      <c r="F58" s="25">
        <f t="shared" si="3"/>
        <v>188568.4956660061</v>
      </c>
      <c r="G58" s="26">
        <f>IF('[1]Computations'!D30=1,0,'[1]Computations'!I30*'[1]Computations'!C30*(1-cost_share_rate))</f>
        <v>0</v>
      </c>
      <c r="H58" s="26">
        <f>(G58+C58)*'[1]Computations'!E30+D58/3</f>
        <v>57613.13999999999</v>
      </c>
      <c r="I58" s="26">
        <f>IF('[1]Computations'!D30=1,G58+H58/(1+int_rate)^4+H58/(1+int_rate)^5,G58-PV(int_rate,5,H58))</f>
        <v>88686.89284272125</v>
      </c>
    </row>
    <row r="59" spans="1:9" ht="12.75">
      <c r="A59" s="23" t="str">
        <f>A30</f>
        <v>Forest Stand Improvement   (ac.)  666</v>
      </c>
      <c r="B59" s="34">
        <f>'[1]Computations'!I31</f>
        <v>6302.976000000002</v>
      </c>
      <c r="C59" s="25">
        <f>IF('[1]Computations'!D31=1,0,'[1]Computations'!I31*'[1]Computations'!C31*cost_share_rate)</f>
        <v>787872.0000000003</v>
      </c>
      <c r="D59" s="25">
        <f>IF('[1]Computations'!D31=1,'[1]Computations'!I31*'[1]Computations'!C31*3,0)</f>
        <v>0</v>
      </c>
      <c r="E59" s="25">
        <f t="shared" si="2"/>
        <v>157574.40000000008</v>
      </c>
      <c r="F59" s="25">
        <f t="shared" si="3"/>
        <v>945446.4000000004</v>
      </c>
      <c r="G59" s="26">
        <f>IF('[1]Computations'!D31=1,0,'[1]Computations'!I31*'[1]Computations'!C31*(1-cost_share_rate))</f>
        <v>787872.0000000003</v>
      </c>
      <c r="H59" s="26">
        <f>(G59+C59)*'[1]Computations'!E31+D59/3</f>
        <v>47272.32000000002</v>
      </c>
      <c r="I59" s="26">
        <f>IF('[1]Computations'!D31=1,G59+H59/(1+int_rate)^4+H59/(1+int_rate)^5,G59-PV(int_rate,5,H59))</f>
        <v>987000.2088276744</v>
      </c>
    </row>
    <row r="60" spans="1:9" ht="12.75">
      <c r="A60" s="23" t="str">
        <f>A31</f>
        <v>Forest Trails &amp; Landings   (ac.)  655</v>
      </c>
      <c r="B60" s="34">
        <f>'[1]Computations'!I32</f>
        <v>768.1752</v>
      </c>
      <c r="C60" s="25">
        <f>IF('[1]Computations'!D32=1,0,'[1]Computations'!I32*'[1]Computations'!C32*cost_share_rate)</f>
        <v>188202.924</v>
      </c>
      <c r="D60" s="25">
        <f>IF('[1]Computations'!D32=1,'[1]Computations'!I32*'[1]Computations'!C32*3,0)</f>
        <v>0</v>
      </c>
      <c r="E60" s="25">
        <f t="shared" si="2"/>
        <v>37640.584800000004</v>
      </c>
      <c r="F60" s="25">
        <f t="shared" si="3"/>
        <v>225843.5088</v>
      </c>
      <c r="G60" s="26">
        <f>IF('[1]Computations'!D32=1,0,'[1]Computations'!I32*'[1]Computations'!C32*(1-cost_share_rate))</f>
        <v>188202.924</v>
      </c>
      <c r="H60" s="26">
        <f>(G60+C60)*'[1]Computations'!E32+D60/3</f>
        <v>56460.877199999995</v>
      </c>
      <c r="I60" s="26">
        <f>IF('[1]Computations'!D32=1,G60+H60/(1+int_rate)^4+H60/(1+int_rate)^5,G60-PV(int_rate,5,H60))</f>
        <v>426036.67841855314</v>
      </c>
    </row>
    <row r="61" spans="1:9" ht="12.75">
      <c r="A61" s="23" t="str">
        <f>A32</f>
        <v>Riparian Forest Buffer   (ac.)  391</v>
      </c>
      <c r="B61" s="34">
        <f>'[1]Computations'!I33</f>
        <v>25.605840000000008</v>
      </c>
      <c r="C61" s="25">
        <f>IF('[1]Computations'!D33=1,0,'[1]Computations'!I33*'[1]Computations'!C33*cost_share_rate)</f>
        <v>16131.679200000004</v>
      </c>
      <c r="D61" s="25">
        <f>IF('[1]Computations'!D33=1,'[1]Computations'!I33*'[1]Computations'!C33*3,0)</f>
        <v>0</v>
      </c>
      <c r="E61" s="25">
        <f t="shared" si="2"/>
        <v>3226.335840000001</v>
      </c>
      <c r="F61" s="25">
        <f t="shared" si="3"/>
        <v>19358.015040000006</v>
      </c>
      <c r="G61" s="26">
        <f>IF('[1]Computations'!D33=1,0,'[1]Computations'!I33*'[1]Computations'!C33*(1-cost_share_rate))</f>
        <v>16131.679200000004</v>
      </c>
      <c r="H61" s="26">
        <f>(G61+C61)*'[1]Computations'!E33+D61/3</f>
        <v>967.9007520000002</v>
      </c>
      <c r="I61" s="26">
        <f>IF('[1]Computations'!D33=1,G61+H61/(1+int_rate)^4+H61/(1+int_rate)^5,G61-PV(int_rate,5,H61))</f>
        <v>20208.82927574663</v>
      </c>
    </row>
    <row r="62" spans="1:9" ht="12.75">
      <c r="A62" s="23" t="str">
        <f>A33</f>
        <v>Tree/Shrub Establishment   (ac.)  612</v>
      </c>
      <c r="B62" s="34">
        <f>'[1]Computations'!I34</f>
        <v>453.0264000000002</v>
      </c>
      <c r="C62" s="25">
        <f>IF('[1]Computations'!D34=1,0,'[1]Computations'!I34*'[1]Computations'!C34*cost_share_rate)</f>
        <v>116427.78480000005</v>
      </c>
      <c r="D62" s="25">
        <f>IF('[1]Computations'!D34=1,'[1]Computations'!I34*'[1]Computations'!C34*3,0)</f>
        <v>0</v>
      </c>
      <c r="E62" s="25">
        <f t="shared" si="2"/>
        <v>23285.556960000013</v>
      </c>
      <c r="F62" s="25">
        <f t="shared" si="3"/>
        <v>139713.34176000007</v>
      </c>
      <c r="G62" s="26">
        <f>IF('[1]Computations'!D34=1,0,'[1]Computations'!I34*'[1]Computations'!C34*(1-cost_share_rate))</f>
        <v>116427.78480000005</v>
      </c>
      <c r="H62" s="26">
        <f>(G62+C62)*'[1]Computations'!E34+D62/3</f>
        <v>2328.5556960000013</v>
      </c>
      <c r="I62" s="26">
        <f>IF('[1]Computations'!D34=1,G62+H62/(1+int_rate)^4+H62/(1+int_rate)^5,G62-PV(int_rate,5,H62))</f>
        <v>126236.50848650324</v>
      </c>
    </row>
    <row r="63" spans="1:9" ht="12.75">
      <c r="A63" s="23" t="str">
        <f>A34</f>
        <v>Tree/Shrub Pruning   (ac.)  660</v>
      </c>
      <c r="B63" s="34">
        <f>'[1]Computations'!I35</f>
        <v>354.54240000000004</v>
      </c>
      <c r="C63" s="25">
        <f>IF('[1]Computations'!D35=1,0,'[1]Computations'!I35*'[1]Computations'!C35*cost_share_rate)</f>
        <v>39886.020000000004</v>
      </c>
      <c r="D63" s="25">
        <f>IF('[1]Computations'!D35=1,'[1]Computations'!I35*'[1]Computations'!C35*3,0)</f>
        <v>0</v>
      </c>
      <c r="E63" s="25">
        <f t="shared" si="2"/>
        <v>7977.2040000000015</v>
      </c>
      <c r="F63" s="25">
        <f t="shared" si="3"/>
        <v>47863.224</v>
      </c>
      <c r="G63" s="26">
        <f>IF('[1]Computations'!D35=1,0,'[1]Computations'!I35*'[1]Computations'!C35*(1-cost_share_rate))</f>
        <v>39886.020000000004</v>
      </c>
      <c r="H63" s="26">
        <f>(G63+C63)*'[1]Computations'!E35+D63/3</f>
        <v>0</v>
      </c>
      <c r="I63" s="26">
        <f>IF('[1]Computations'!D35=1,G63+H63/(1+int_rate)^4+H63/(1+int_rate)^5,G63-PV(int_rate,5,H63))</f>
        <v>39886.020000000004</v>
      </c>
    </row>
    <row r="64" spans="1:9" ht="12.75">
      <c r="A64" s="23" t="str">
        <f>A35</f>
        <v>Upland Wildlife Habitat Management   (ac.)  645</v>
      </c>
      <c r="B64" s="34">
        <f>'[1]Computations'!I36</f>
        <v>1280.2920000000004</v>
      </c>
      <c r="C64" s="25">
        <f>IF('[1]Computations'!D36=1,0,'[1]Computations'!I36*'[1]Computations'!C36*cost_share_rate)</f>
        <v>0</v>
      </c>
      <c r="D64" s="25">
        <f>IF('[1]Computations'!D36=1,'[1]Computations'!I36*'[1]Computations'!C36*3,0)</f>
        <v>38408.76000000001</v>
      </c>
      <c r="E64" s="25">
        <f t="shared" si="2"/>
        <v>7681.752000000002</v>
      </c>
      <c r="F64" s="25">
        <f t="shared" si="3"/>
        <v>41904.11014800138</v>
      </c>
      <c r="G64" s="26">
        <f>IF('[1]Computations'!D36=1,0,'[1]Computations'!I36*'[1]Computations'!C36*(1-cost_share_rate))</f>
        <v>0</v>
      </c>
      <c r="H64" s="26">
        <f>(G64+C64)*'[1]Computations'!E36+D64/3</f>
        <v>12802.920000000004</v>
      </c>
      <c r="I64" s="26">
        <f>IF('[1]Computations'!D36=1,G64+H64/(1+int_rate)^4+H64/(1+int_rate)^5,G64-PV(int_rate,5,H64))</f>
        <v>19708.19840949362</v>
      </c>
    </row>
    <row r="65" spans="1:9" ht="13.5" thickBot="1">
      <c r="A65" s="23" t="str">
        <f>A36</f>
        <v>Use Exclusion   (ac.)  472</v>
      </c>
      <c r="B65" s="34">
        <f>'[1]Computations'!I37</f>
        <v>4530.264000000003</v>
      </c>
      <c r="C65" s="25">
        <f>IF('[1]Computations'!D37=1,0,'[1]Computations'!I37*'[1]Computations'!C37*cost_share_rate)</f>
        <v>63423.69600000004</v>
      </c>
      <c r="D65" s="25">
        <f>IF('[1]Computations'!D37=1,'[1]Computations'!I37*'[1]Computations'!C37*3,0)</f>
        <v>0</v>
      </c>
      <c r="E65" s="25">
        <f t="shared" si="2"/>
        <v>12684.739200000009</v>
      </c>
      <c r="F65" s="25">
        <f t="shared" si="3"/>
        <v>76108.43520000005</v>
      </c>
      <c r="G65" s="26">
        <f>IF('[1]Computations'!D37=1,0,'[1]Computations'!I37*'[1]Computations'!C37*(1-cost_share_rate))</f>
        <v>63423.69600000004</v>
      </c>
      <c r="H65" s="26">
        <f>(G65+C65)*'[1]Computations'!E37+D65/3</f>
        <v>3805.4217600000025</v>
      </c>
      <c r="I65" s="26">
        <f>IF('[1]Computations'!D37=1,G65+H65/(1+int_rate)^4+H65/(1+int_rate)^5,G65-PV(int_rate,5,H65))</f>
        <v>79453.51681062781</v>
      </c>
    </row>
    <row r="66" spans="1:9" ht="14.25" thickBot="1" thickTop="1">
      <c r="A66" s="35"/>
      <c r="B66" s="36" t="s">
        <v>31</v>
      </c>
      <c r="C66" s="37">
        <f>SUM(C54:C65)</f>
        <v>2210401.9791000006</v>
      </c>
      <c r="D66" s="37">
        <f>SUM(D54:D65)</f>
        <v>211248.18</v>
      </c>
      <c r="E66" s="37">
        <f t="shared" si="2"/>
        <v>484330.03182000015</v>
      </c>
      <c r="F66" s="37">
        <f>SUM(F54:F65)</f>
        <v>2882954.9807340084</v>
      </c>
      <c r="G66" s="38">
        <f>SUM(G54:G65)</f>
        <v>2210401.9791000006</v>
      </c>
      <c r="H66" s="38">
        <f>SUM(H54:H65)</f>
        <v>211456.424418</v>
      </c>
      <c r="I66" s="38">
        <f>SUM(I54:I65)</f>
        <v>2912910.3937295903</v>
      </c>
    </row>
    <row r="67" spans="1:9" ht="13.5" thickTop="1">
      <c r="A67" s="39" t="s">
        <v>33</v>
      </c>
      <c r="B67" s="40">
        <f>at_p_new_ac+at_r_new_ac</f>
        <v>45302.64000000001</v>
      </c>
      <c r="C67" s="41">
        <f>C66+C51</f>
        <v>3232222.7211000007</v>
      </c>
      <c r="D67" s="41">
        <f>D66+D51</f>
        <v>211248.18</v>
      </c>
      <c r="E67" s="41">
        <f>E66+E51</f>
        <v>688694.1802200002</v>
      </c>
      <c r="F67" s="41">
        <f>F66+F51</f>
        <v>4109139.8711340083</v>
      </c>
      <c r="G67" s="41">
        <f>G66+G51</f>
        <v>3232222.7211000007</v>
      </c>
      <c r="H67" s="41">
        <f>H66+H51</f>
        <v>264924.37285800005</v>
      </c>
      <c r="I67" s="41">
        <f>I66+I51</f>
        <v>4159957.5854267413</v>
      </c>
    </row>
  </sheetData>
  <mergeCells count="32">
    <mergeCell ref="B1:E1"/>
    <mergeCell ref="F1:G1"/>
    <mergeCell ref="H1:I1"/>
    <mergeCell ref="B2:E2"/>
    <mergeCell ref="F2:G2"/>
    <mergeCell ref="H2:I2"/>
    <mergeCell ref="A3:E3"/>
    <mergeCell ref="F3:G3"/>
    <mergeCell ref="H3:I3"/>
    <mergeCell ref="A4:A6"/>
    <mergeCell ref="B4:B5"/>
    <mergeCell ref="C4:E5"/>
    <mergeCell ref="F4:I5"/>
    <mergeCell ref="A7:I7"/>
    <mergeCell ref="B8:E8"/>
    <mergeCell ref="F9:I9"/>
    <mergeCell ref="A13:I13"/>
    <mergeCell ref="B14:E14"/>
    <mergeCell ref="F15:I15"/>
    <mergeCell ref="A22:I22"/>
    <mergeCell ref="B23:E23"/>
    <mergeCell ref="F24:I24"/>
    <mergeCell ref="A37:I38"/>
    <mergeCell ref="A39:I39"/>
    <mergeCell ref="C40:F40"/>
    <mergeCell ref="G40:I40"/>
    <mergeCell ref="A43:I43"/>
    <mergeCell ref="A52:I52"/>
    <mergeCell ref="A41:A42"/>
    <mergeCell ref="B41:B42"/>
    <mergeCell ref="F41:F42"/>
    <mergeCell ref="I41:I42"/>
  </mergeCells>
  <conditionalFormatting sqref="A54:I65 B45:I50">
    <cfRule type="expression" priority="1" dxfId="0" stopIfTrue="1">
      <formula>$A45="na"</formula>
    </cfRule>
  </conditionalFormatting>
  <conditionalFormatting sqref="C66:I66 C51:I51 A45:A50 A25:I36 A16:I21 A10:I12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matt.otto</dc:creator>
  <cp:keywords/>
  <dc:description/>
  <cp:lastModifiedBy>barbara.jansen</cp:lastModifiedBy>
  <dcterms:created xsi:type="dcterms:W3CDTF">2007-12-05T14:28:31Z</dcterms:created>
  <dcterms:modified xsi:type="dcterms:W3CDTF">2008-02-26T15:50:37Z</dcterms:modified>
  <cp:category/>
  <cp:version/>
  <cp:contentType/>
  <cp:contentStatus/>
</cp:coreProperties>
</file>