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9720" windowHeight="7095" activeTab="0"/>
  </bookViews>
  <sheets>
    <sheet name="Input" sheetId="1" r:id="rId1"/>
    <sheet name="Alloc" sheetId="2" r:id="rId2"/>
    <sheet name="Chart1" sheetId="3" r:id="rId3"/>
    <sheet name="Sheet1" sheetId="4" r:id="rId4"/>
  </sheets>
  <definedNames>
    <definedName name="_xlnm.Print_Area" localSheetId="0">'Input'!$A$1:$K$21</definedName>
  </definedNames>
  <calcPr fullCalcOnLoad="1"/>
</workbook>
</file>

<file path=xl/sharedStrings.xml><?xml version="1.0" encoding="utf-8"?>
<sst xmlns="http://schemas.openxmlformats.org/spreadsheetml/2006/main" count="116" uniqueCount="62">
  <si>
    <t>Heat Input</t>
  </si>
  <si>
    <t>Electric</t>
  </si>
  <si>
    <t>Steam</t>
  </si>
  <si>
    <t>Heat</t>
  </si>
  <si>
    <t>Power</t>
  </si>
  <si>
    <t>Capacity</t>
  </si>
  <si>
    <t>Category</t>
  </si>
  <si>
    <t>Unit</t>
  </si>
  <si>
    <t>Rate</t>
  </si>
  <si>
    <t>to Heat</t>
  </si>
  <si>
    <t>Factor</t>
  </si>
  <si>
    <t>Heat input</t>
  </si>
  <si>
    <t>Generation</t>
  </si>
  <si>
    <t>Allocation</t>
  </si>
  <si>
    <t>Type</t>
  </si>
  <si>
    <t>(MMBtu/hr)</t>
  </si>
  <si>
    <t>(MW)</t>
  </si>
  <si>
    <t>(Btu/kWh)</t>
  </si>
  <si>
    <t>Ratio</t>
  </si>
  <si>
    <t>(%)</t>
  </si>
  <si>
    <t>(MMBtu/5 mo)</t>
  </si>
  <si>
    <t>(MWh/5 mo)</t>
  </si>
  <si>
    <t>(tons)</t>
  </si>
  <si>
    <t>EGU</t>
  </si>
  <si>
    <t>Lower Eff Blr</t>
  </si>
  <si>
    <t>Average Boiler</t>
  </si>
  <si>
    <t>Higher Eff Blr</t>
  </si>
  <si>
    <t>GT</t>
  </si>
  <si>
    <t>CC Cogen</t>
  </si>
  <si>
    <t>Boiler Cogen</t>
  </si>
  <si>
    <t>Non-Egu</t>
  </si>
  <si>
    <t>Boiler</t>
  </si>
  <si>
    <t>Turbine Cogen</t>
  </si>
  <si>
    <t>egu cogen</t>
  </si>
  <si>
    <t>non egu cogen</t>
  </si>
  <si>
    <t>Allocation Components</t>
  </si>
  <si>
    <t>Ratchet</t>
  </si>
  <si>
    <t>Thermal</t>
  </si>
  <si>
    <t>NSPS</t>
  </si>
  <si>
    <t>Option 1</t>
  </si>
  <si>
    <t>Option 2</t>
  </si>
  <si>
    <t>Option 3</t>
  </si>
  <si>
    <t>Option 4</t>
  </si>
  <si>
    <t>Option 5</t>
  </si>
  <si>
    <t>Output</t>
  </si>
  <si>
    <t>Elec+50%</t>
  </si>
  <si>
    <t>0.15 EGU</t>
  </si>
  <si>
    <t>0.17 Non</t>
  </si>
  <si>
    <t>1.5 lb/MWh</t>
  </si>
  <si>
    <t>0.22lb/MMBtu</t>
  </si>
  <si>
    <t>Input</t>
  </si>
  <si>
    <t>By Category</t>
  </si>
  <si>
    <t>By Energy</t>
  </si>
  <si>
    <t>Total</t>
  </si>
  <si>
    <t>Normal</t>
  </si>
  <si>
    <t>Non-EGU</t>
  </si>
  <si>
    <t>Summary of Allocation Changes</t>
  </si>
  <si>
    <t xml:space="preserve">to </t>
  </si>
  <si>
    <t>Output by Category</t>
  </si>
  <si>
    <t>Output by Energy</t>
  </si>
  <si>
    <t>Output Total</t>
  </si>
  <si>
    <t>NPSS/50%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</si>
</sst>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3" fontId="0" fillId="0" borderId="0" xfId="15" applyBorder="1" applyAlignment="1">
      <alignment horizontal="center"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166" fontId="0" fillId="0" borderId="10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1" xfId="15" applyNumberFormat="1" applyBorder="1" applyAlignment="1">
      <alignment/>
    </xf>
    <xf numFmtId="0" fontId="0" fillId="0" borderId="11" xfId="0" applyBorder="1" applyAlignment="1">
      <alignment horizontal="center"/>
    </xf>
    <xf numFmtId="166" fontId="0" fillId="0" borderId="12" xfId="15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1" fontId="0" fillId="0" borderId="7" xfId="0" applyNumberFormat="1" applyBorder="1" applyAlignment="1">
      <alignment/>
    </xf>
    <xf numFmtId="166" fontId="0" fillId="0" borderId="13" xfId="15" applyNumberForma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8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0" xfId="15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9" fontId="0" fillId="0" borderId="7" xfId="19" applyFont="1" applyBorder="1" applyAlignment="1">
      <alignment/>
    </xf>
    <xf numFmtId="166" fontId="0" fillId="0" borderId="12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/>
    </xf>
    <xf numFmtId="43" fontId="0" fillId="0" borderId="0" xfId="15" applyFont="1" applyAlignment="1">
      <alignment horizontal="center"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9" fontId="0" fillId="0" borderId="0" xfId="19" applyFont="1" applyBorder="1" applyAlignment="1">
      <alignment/>
    </xf>
    <xf numFmtId="166" fontId="0" fillId="0" borderId="8" xfId="15" applyNumberFormat="1" applyFont="1" applyBorder="1" applyAlignment="1">
      <alignment/>
    </xf>
    <xf numFmtId="43" fontId="0" fillId="0" borderId="4" xfId="15" applyFont="1" applyBorder="1" applyAlignment="1">
      <alignment/>
    </xf>
    <xf numFmtId="166" fontId="0" fillId="0" borderId="5" xfId="15" applyNumberFormat="1" applyFont="1" applyBorder="1" applyAlignment="1">
      <alignment/>
    </xf>
    <xf numFmtId="9" fontId="0" fillId="0" borderId="8" xfId="19" applyFont="1" applyBorder="1" applyAlignment="1">
      <alignment/>
    </xf>
    <xf numFmtId="166" fontId="0" fillId="0" borderId="6" xfId="15" applyNumberFormat="1" applyFont="1" applyBorder="1" applyAlignment="1">
      <alignment/>
    </xf>
    <xf numFmtId="9" fontId="0" fillId="0" borderId="1" xfId="19" applyFont="1" applyBorder="1" applyAlignment="1">
      <alignment/>
    </xf>
    <xf numFmtId="43" fontId="0" fillId="0" borderId="0" xfId="15" applyNumberFormat="1" applyFont="1" applyBorder="1" applyAlignment="1">
      <alignment/>
    </xf>
    <xf numFmtId="1" fontId="0" fillId="0" borderId="0" xfId="0" applyNumberFormat="1" applyFont="1" applyAlignment="1">
      <alignment/>
    </xf>
    <xf numFmtId="166" fontId="0" fillId="0" borderId="13" xfId="15" applyNumberFormat="1" applyFont="1" applyBorder="1" applyAlignment="1">
      <alignment/>
    </xf>
    <xf numFmtId="166" fontId="0" fillId="0" borderId="15" xfId="15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9" fontId="0" fillId="0" borderId="15" xfId="19" applyFont="1" applyBorder="1" applyAlignment="1">
      <alignment/>
    </xf>
    <xf numFmtId="166" fontId="0" fillId="0" borderId="14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43" fontId="0" fillId="0" borderId="0" xfId="15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8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8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43" fontId="0" fillId="0" borderId="6" xfId="15" applyFont="1" applyBorder="1" applyAlignment="1">
      <alignment/>
    </xf>
    <xf numFmtId="9" fontId="0" fillId="0" borderId="10" xfId="19" applyBorder="1" applyAlignment="1">
      <alignment/>
    </xf>
    <xf numFmtId="9" fontId="0" fillId="0" borderId="9" xfId="19" applyBorder="1" applyAlignment="1">
      <alignment/>
    </xf>
    <xf numFmtId="166" fontId="0" fillId="0" borderId="0" xfId="0" applyNumberFormat="1" applyBorder="1" applyAlignment="1">
      <alignment/>
    </xf>
    <xf numFmtId="43" fontId="0" fillId="0" borderId="7" xfId="15" applyBorder="1" applyAlignment="1">
      <alignment/>
    </xf>
    <xf numFmtId="43" fontId="1" fillId="0" borderId="7" xfId="15" applyFont="1" applyBorder="1" applyAlignment="1">
      <alignment horizontal="left"/>
    </xf>
    <xf numFmtId="43" fontId="1" fillId="0" borderId="0" xfId="15" applyFont="1" applyBorder="1" applyAlignment="1">
      <alignment horizontal="left"/>
    </xf>
    <xf numFmtId="0" fontId="1" fillId="0" borderId="0" xfId="0" applyFont="1" applyBorder="1" applyAlignment="1">
      <alignment horizontal="left"/>
    </xf>
    <xf numFmtId="9" fontId="0" fillId="0" borderId="12" xfId="19" applyBorder="1" applyAlignment="1">
      <alignment/>
    </xf>
    <xf numFmtId="169" fontId="0" fillId="0" borderId="10" xfId="19" applyNumberFormat="1" applyBorder="1" applyAlignment="1">
      <alignment/>
    </xf>
    <xf numFmtId="9" fontId="0" fillId="0" borderId="10" xfId="19" applyNumberFormat="1" applyBorder="1" applyAlignment="1">
      <alignment/>
    </xf>
    <xf numFmtId="166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Allowance Allocation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025"/>
          <c:w val="0.858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Heat Input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Lower Eff Blr</c:v>
                </c:pt>
                <c:pt idx="1">
                  <c:v>Average Boiler</c:v>
                </c:pt>
                <c:pt idx="2">
                  <c:v>Higher Eff Blr</c:v>
                </c:pt>
                <c:pt idx="3">
                  <c:v>GT</c:v>
                </c:pt>
                <c:pt idx="4">
                  <c:v>CC Cogen</c:v>
                </c:pt>
                <c:pt idx="5">
                  <c:v>Boiler Cogen</c:v>
                </c:pt>
                <c:pt idx="6">
                  <c:v>Boiler</c:v>
                </c:pt>
                <c:pt idx="7">
                  <c:v>Boiler Cogen</c:v>
                </c:pt>
                <c:pt idx="8">
                  <c:v>Turbine Cogen</c:v>
                </c:pt>
              </c:strCache>
            </c:strRef>
          </c:cat>
          <c:val>
            <c:numRef>
              <c:f>Sheet1!$B$4:$B$12</c:f>
              <c:numCache>
                <c:ptCount val="9"/>
                <c:pt idx="0">
                  <c:v>15413.587200000004</c:v>
                </c:pt>
                <c:pt idx="1">
                  <c:v>22770.072000000004</c:v>
                </c:pt>
                <c:pt idx="2">
                  <c:v>8538.777</c:v>
                </c:pt>
                <c:pt idx="3">
                  <c:v>33.016604400000006</c:v>
                </c:pt>
                <c:pt idx="4">
                  <c:v>1494.0670320000002</c:v>
                </c:pt>
                <c:pt idx="5">
                  <c:v>700.3439212500001</c:v>
                </c:pt>
                <c:pt idx="6">
                  <c:v>5263.785568944002</c:v>
                </c:pt>
                <c:pt idx="7">
                  <c:v>1954.3525850769229</c:v>
                </c:pt>
                <c:pt idx="8">
                  <c:v>313.56962400000003</c:v>
                </c:pt>
              </c:numCache>
            </c:numRef>
          </c:val>
        </c:ser>
        <c:ser>
          <c:idx val="2"/>
          <c:order val="1"/>
          <c:tx>
            <c:strRef>
              <c:f>Sheet1!$C$3</c:f>
              <c:strCache>
                <c:ptCount val="1"/>
                <c:pt idx="0">
                  <c:v>Output by Category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Lower Eff Blr</c:v>
                </c:pt>
                <c:pt idx="1">
                  <c:v>Average Boiler</c:v>
                </c:pt>
                <c:pt idx="2">
                  <c:v>Higher Eff Blr</c:v>
                </c:pt>
                <c:pt idx="3">
                  <c:v>GT</c:v>
                </c:pt>
                <c:pt idx="4">
                  <c:v>CC Cogen</c:v>
                </c:pt>
                <c:pt idx="5">
                  <c:v>Boiler Cogen</c:v>
                </c:pt>
                <c:pt idx="6">
                  <c:v>Boiler</c:v>
                </c:pt>
                <c:pt idx="7">
                  <c:v>Boiler Cogen</c:v>
                </c:pt>
                <c:pt idx="8">
                  <c:v>Turbine Cogen</c:v>
                </c:pt>
              </c:strCache>
            </c:strRef>
          </c:cat>
          <c:val>
            <c:numRef>
              <c:f>Sheet1!$C$4:$C$12</c:f>
              <c:numCache>
                <c:ptCount val="9"/>
                <c:pt idx="0">
                  <c:v>13018.519211468314</c:v>
                </c:pt>
                <c:pt idx="1">
                  <c:v>23078.28405669383</c:v>
                </c:pt>
                <c:pt idx="2">
                  <c:v>9615.951690289094</c:v>
                </c:pt>
                <c:pt idx="3">
                  <c:v>25.741162986312343</c:v>
                </c:pt>
                <c:pt idx="4">
                  <c:v>2441.5404329886273</c:v>
                </c:pt>
                <c:pt idx="5">
                  <c:v>769.8272032238402</c:v>
                </c:pt>
                <c:pt idx="6">
                  <c:v>4991.869464978193</c:v>
                </c:pt>
                <c:pt idx="7">
                  <c:v>2153.4267940675236</c:v>
                </c:pt>
                <c:pt idx="8">
                  <c:v>386.4115189752069</c:v>
                </c:pt>
              </c:numCache>
            </c:numRef>
          </c:val>
        </c:ser>
        <c:ser>
          <c:idx val="3"/>
          <c:order val="2"/>
          <c:tx>
            <c:strRef>
              <c:f>Sheet1!$D$3</c:f>
              <c:strCache>
                <c:ptCount val="1"/>
                <c:pt idx="0">
                  <c:v>Output by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Lower Eff Blr</c:v>
                </c:pt>
                <c:pt idx="1">
                  <c:v>Average Boiler</c:v>
                </c:pt>
                <c:pt idx="2">
                  <c:v>Higher Eff Blr</c:v>
                </c:pt>
                <c:pt idx="3">
                  <c:v>GT</c:v>
                </c:pt>
                <c:pt idx="4">
                  <c:v>CC Cogen</c:v>
                </c:pt>
                <c:pt idx="5">
                  <c:v>Boiler Cogen</c:v>
                </c:pt>
                <c:pt idx="6">
                  <c:v>Boiler</c:v>
                </c:pt>
                <c:pt idx="7">
                  <c:v>Boiler Cogen</c:v>
                </c:pt>
                <c:pt idx="8">
                  <c:v>Turbine Cogen</c:v>
                </c:pt>
              </c:strCache>
            </c:strRef>
          </c:cat>
          <c:val>
            <c:numRef>
              <c:f>Sheet1!$D$4:$D$12</c:f>
              <c:numCache>
                <c:ptCount val="9"/>
                <c:pt idx="0">
                  <c:v>12987.415385810169</c:v>
                </c:pt>
                <c:pt idx="1">
                  <c:v>23023.14545666348</c:v>
                </c:pt>
                <c:pt idx="2">
                  <c:v>9592.977273609782</c:v>
                </c:pt>
                <c:pt idx="3">
                  <c:v>25.679662240124646</c:v>
                </c:pt>
                <c:pt idx="4">
                  <c:v>2381.7799000024156</c:v>
                </c:pt>
                <c:pt idx="5">
                  <c:v>759.5618069634647</c:v>
                </c:pt>
                <c:pt idx="6">
                  <c:v>5063.093608354568</c:v>
                </c:pt>
                <c:pt idx="7">
                  <c:v>2238.033181976686</c:v>
                </c:pt>
                <c:pt idx="8">
                  <c:v>409.88526005025244</c:v>
                </c:pt>
              </c:numCache>
            </c:numRef>
          </c:val>
        </c:ser>
        <c:ser>
          <c:idx val="4"/>
          <c:order val="3"/>
          <c:tx>
            <c:strRef>
              <c:f>Sheet1!$E$3</c:f>
              <c:strCache>
                <c:ptCount val="1"/>
                <c:pt idx="0">
                  <c:v>Output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Lower Eff Blr</c:v>
                </c:pt>
                <c:pt idx="1">
                  <c:v>Average Boiler</c:v>
                </c:pt>
                <c:pt idx="2">
                  <c:v>Higher Eff Blr</c:v>
                </c:pt>
                <c:pt idx="3">
                  <c:v>GT</c:v>
                </c:pt>
                <c:pt idx="4">
                  <c:v>CC Cogen</c:v>
                </c:pt>
                <c:pt idx="5">
                  <c:v>Boiler Cogen</c:v>
                </c:pt>
                <c:pt idx="6">
                  <c:v>Boiler</c:v>
                </c:pt>
                <c:pt idx="7">
                  <c:v>Boiler Cogen</c:v>
                </c:pt>
                <c:pt idx="8">
                  <c:v>Turbine Cogen</c:v>
                </c:pt>
              </c:strCache>
            </c:strRef>
          </c:cat>
          <c:val>
            <c:numRef>
              <c:f>Sheet1!$E$4:$E$12</c:f>
              <c:numCache>
                <c:ptCount val="9"/>
                <c:pt idx="0">
                  <c:v>12836.28313985147</c:v>
                </c:pt>
                <c:pt idx="1">
                  <c:v>22755.229202463965</c:v>
                </c:pt>
                <c:pt idx="2">
                  <c:v>9481.345501026652</c:v>
                </c:pt>
                <c:pt idx="3">
                  <c:v>25.380832571979038</c:v>
                </c:pt>
                <c:pt idx="4">
                  <c:v>2407.3632174409804</c:v>
                </c:pt>
                <c:pt idx="5">
                  <c:v>759.0509941127679</c:v>
                </c:pt>
                <c:pt idx="6">
                  <c:v>5446.013906151991</c:v>
                </c:pt>
                <c:pt idx="7">
                  <c:v>2349.3387294379636</c:v>
                </c:pt>
                <c:pt idx="8">
                  <c:v>421.5660126131691</c:v>
                </c:pt>
              </c:numCache>
            </c:numRef>
          </c:val>
        </c:ser>
        <c:ser>
          <c:idx val="1"/>
          <c:order val="4"/>
          <c:tx>
            <c:strRef>
              <c:f>Sheet1!$F$3</c:f>
              <c:strCache>
                <c:ptCount val="1"/>
                <c:pt idx="0">
                  <c:v>NPSS/50%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Sheet1!$A$4:$A$12</c:f>
              <c:strCache>
                <c:ptCount val="9"/>
                <c:pt idx="0">
                  <c:v>Lower Eff Blr</c:v>
                </c:pt>
                <c:pt idx="1">
                  <c:v>Average Boiler</c:v>
                </c:pt>
                <c:pt idx="2">
                  <c:v>Higher Eff Blr</c:v>
                </c:pt>
                <c:pt idx="3">
                  <c:v>GT</c:v>
                </c:pt>
                <c:pt idx="4">
                  <c:v>CC Cogen</c:v>
                </c:pt>
                <c:pt idx="5">
                  <c:v>Boiler Cogen</c:v>
                </c:pt>
                <c:pt idx="6">
                  <c:v>Boiler</c:v>
                </c:pt>
                <c:pt idx="7">
                  <c:v>Boiler Cogen</c:v>
                </c:pt>
                <c:pt idx="8">
                  <c:v>Turbine Cogen</c:v>
                </c:pt>
              </c:strCache>
            </c:strRef>
          </c:cat>
          <c:val>
            <c:numRef>
              <c:f>Sheet1!$F$4:$F$12</c:f>
              <c:numCache>
                <c:ptCount val="9"/>
                <c:pt idx="0">
                  <c:v>13131.245868137707</c:v>
                </c:pt>
                <c:pt idx="1">
                  <c:v>23278.117675335023</c:v>
                </c:pt>
                <c:pt idx="2">
                  <c:v>9699.21569805626</c:v>
                </c:pt>
                <c:pt idx="3">
                  <c:v>25.96405433018137</c:v>
                </c:pt>
                <c:pt idx="4">
                  <c:v>2096.104965442091</c:v>
                </c:pt>
                <c:pt idx="5">
                  <c:v>719.2154963487526</c:v>
                </c:pt>
                <c:pt idx="6">
                  <c:v>5243.177243992187</c:v>
                </c:pt>
                <c:pt idx="7">
                  <c:v>1977.4587190439215</c:v>
                </c:pt>
                <c:pt idx="8">
                  <c:v>311.0718149848151</c:v>
                </c:pt>
              </c:numCache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823236"/>
        <c:crosses val="autoZero"/>
        <c:auto val="0"/>
        <c:lblOffset val="100"/>
        <c:noMultiLvlLbl val="0"/>
      </c:catAx>
      <c:val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963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0.9525</cdr:y>
    </cdr:from>
    <cdr:to>
      <cdr:x>0.41675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067050" y="5648325"/>
          <a:ext cx="54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EGU</a:t>
          </a:r>
        </a:p>
      </cdr:txBody>
    </cdr:sp>
  </cdr:relSizeAnchor>
  <cdr:relSizeAnchor xmlns:cdr="http://schemas.openxmlformats.org/drawingml/2006/chartDrawing">
    <cdr:from>
      <cdr:x>0.711</cdr:x>
      <cdr:y>0.9525</cdr:y>
    </cdr:from>
    <cdr:to>
      <cdr:x>0.82425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6162675" y="5648325"/>
          <a:ext cx="981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Non-EGU</a:t>
          </a:r>
        </a:p>
      </cdr:txBody>
    </cdr:sp>
  </cdr:relSizeAnchor>
  <cdr:relSizeAnchor xmlns:cdr="http://schemas.openxmlformats.org/drawingml/2006/chartDrawing">
    <cdr:from>
      <cdr:x>0.1295</cdr:x>
      <cdr:y>0.9525</cdr:y>
    </cdr:from>
    <cdr:to>
      <cdr:x>0.6265</cdr:x>
      <cdr:y>0.9525</cdr:y>
    </cdr:to>
    <cdr:sp>
      <cdr:nvSpPr>
        <cdr:cNvPr id="3" name="Line 3"/>
        <cdr:cNvSpPr>
          <a:spLocks/>
        </cdr:cNvSpPr>
      </cdr:nvSpPr>
      <cdr:spPr>
        <a:xfrm>
          <a:off x="1114425" y="5648325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0.9525</cdr:y>
    </cdr:from>
    <cdr:to>
      <cdr:x>0.901</cdr:x>
      <cdr:y>0.9525</cdr:y>
    </cdr:to>
    <cdr:sp>
      <cdr:nvSpPr>
        <cdr:cNvPr id="4" name="Line 4"/>
        <cdr:cNvSpPr>
          <a:spLocks/>
        </cdr:cNvSpPr>
      </cdr:nvSpPr>
      <cdr:spPr>
        <a:xfrm flipV="1">
          <a:off x="5619750" y="5648325"/>
          <a:ext cx="219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45" customWidth="1"/>
    <col min="2" max="2" width="10.28125" style="45" customWidth="1"/>
    <col min="3" max="3" width="8.28125" style="45" customWidth="1"/>
    <col min="4" max="5" width="10.28125" style="45" customWidth="1"/>
    <col min="6" max="6" width="7.00390625" style="45" customWidth="1"/>
    <col min="7" max="7" width="8.28125" style="45" customWidth="1"/>
    <col min="8" max="8" width="13.8515625" style="45" customWidth="1"/>
    <col min="9" max="9" width="12.421875" style="45" customWidth="1"/>
    <col min="10" max="10" width="12.8515625" style="45" customWidth="1"/>
    <col min="11" max="11" width="9.140625" style="45" customWidth="1"/>
    <col min="12" max="12" width="9.7109375" style="45" customWidth="1"/>
    <col min="13" max="13" width="4.7109375" style="45" customWidth="1"/>
    <col min="14" max="14" width="6.28125" style="45" customWidth="1"/>
    <col min="15" max="15" width="6.00390625" style="45" customWidth="1"/>
    <col min="16" max="16" width="9.140625" style="45" customWidth="1"/>
    <col min="17" max="17" width="8.28125" style="45" customWidth="1"/>
    <col min="18" max="18" width="8.8515625" style="45" customWidth="1"/>
    <col min="19" max="19" width="6.140625" style="45" customWidth="1"/>
    <col min="20" max="16384" width="9.140625" style="45" customWidth="1"/>
  </cols>
  <sheetData>
    <row r="1" spans="1:15" ht="12.75">
      <c r="A1" s="39"/>
      <c r="B1" s="40" t="s">
        <v>0</v>
      </c>
      <c r="C1" s="41" t="s">
        <v>1</v>
      </c>
      <c r="D1" s="41" t="s">
        <v>2</v>
      </c>
      <c r="E1" s="41" t="s">
        <v>3</v>
      </c>
      <c r="F1" s="42" t="s">
        <v>4</v>
      </c>
      <c r="G1" s="41" t="s">
        <v>5</v>
      </c>
      <c r="H1" s="41"/>
      <c r="I1" s="41"/>
      <c r="J1" s="42"/>
      <c r="K1" s="43" t="s">
        <v>6</v>
      </c>
      <c r="L1" s="46"/>
      <c r="M1" s="44"/>
      <c r="N1" s="44"/>
      <c r="O1" s="44"/>
    </row>
    <row r="2" spans="1:15" ht="12.75">
      <c r="A2" s="44" t="s">
        <v>7</v>
      </c>
      <c r="B2" s="46" t="s">
        <v>5</v>
      </c>
      <c r="C2" s="47" t="s">
        <v>5</v>
      </c>
      <c r="D2" s="47" t="s">
        <v>5</v>
      </c>
      <c r="E2" s="47" t="s">
        <v>8</v>
      </c>
      <c r="F2" s="48" t="s">
        <v>9</v>
      </c>
      <c r="G2" s="47" t="s">
        <v>10</v>
      </c>
      <c r="H2" s="47" t="s">
        <v>11</v>
      </c>
      <c r="I2" s="47" t="s">
        <v>12</v>
      </c>
      <c r="J2" s="48" t="s">
        <v>2</v>
      </c>
      <c r="K2" s="49" t="s">
        <v>13</v>
      </c>
      <c r="L2" s="46"/>
      <c r="M2" s="47"/>
      <c r="N2" s="47"/>
      <c r="O2" s="47"/>
    </row>
    <row r="3" spans="1:19" ht="13.5" thickBot="1">
      <c r="A3" s="50" t="s">
        <v>14</v>
      </c>
      <c r="B3" s="51" t="s">
        <v>15</v>
      </c>
      <c r="C3" s="52" t="s">
        <v>16</v>
      </c>
      <c r="D3" s="52" t="s">
        <v>15</v>
      </c>
      <c r="E3" s="52" t="s">
        <v>17</v>
      </c>
      <c r="F3" s="53" t="s">
        <v>18</v>
      </c>
      <c r="G3" s="52" t="s">
        <v>19</v>
      </c>
      <c r="H3" s="52" t="s">
        <v>20</v>
      </c>
      <c r="I3" s="52" t="s">
        <v>21</v>
      </c>
      <c r="J3" s="53" t="s">
        <v>20</v>
      </c>
      <c r="K3" s="54" t="s">
        <v>22</v>
      </c>
      <c r="L3" s="46"/>
      <c r="M3" s="47"/>
      <c r="N3" s="47"/>
      <c r="O3" s="47"/>
      <c r="Q3" s="55"/>
      <c r="R3" s="55"/>
      <c r="S3" s="55"/>
    </row>
    <row r="4" spans="1:19" ht="13.5" thickBot="1">
      <c r="A4" s="92" t="s">
        <v>23</v>
      </c>
      <c r="B4" s="88"/>
      <c r="C4" s="89"/>
      <c r="D4" s="89"/>
      <c r="E4" s="89"/>
      <c r="F4" s="90"/>
      <c r="G4" s="89"/>
      <c r="H4" s="89"/>
      <c r="I4" s="89"/>
      <c r="J4" s="90"/>
      <c r="K4" s="54"/>
      <c r="L4" s="46"/>
      <c r="M4" s="47"/>
      <c r="N4" s="47"/>
      <c r="O4" s="47"/>
      <c r="Q4" s="55"/>
      <c r="R4" s="55"/>
      <c r="S4" s="55"/>
    </row>
    <row r="5" spans="1:19" ht="14.25" customHeight="1" thickBot="1">
      <c r="A5" s="56" t="s">
        <v>24</v>
      </c>
      <c r="B5" s="57"/>
      <c r="C5" s="58">
        <v>8000</v>
      </c>
      <c r="D5" s="58"/>
      <c r="E5" s="58">
        <v>12000</v>
      </c>
      <c r="F5" s="59"/>
      <c r="G5" s="60">
        <v>0.55</v>
      </c>
      <c r="H5" s="58">
        <v>193881600.00000003</v>
      </c>
      <c r="I5" s="58">
        <v>16156800.000000002</v>
      </c>
      <c r="J5" s="59">
        <v>0</v>
      </c>
      <c r="K5" s="61">
        <v>48949.86375765001</v>
      </c>
      <c r="L5" s="65"/>
      <c r="M5" s="62"/>
      <c r="N5" s="62"/>
      <c r="O5" s="62"/>
      <c r="P5" s="63"/>
      <c r="Q5" s="64"/>
      <c r="R5" s="64"/>
      <c r="S5" s="64"/>
    </row>
    <row r="6" spans="1:19" ht="12.75">
      <c r="A6" s="56" t="s">
        <v>25</v>
      </c>
      <c r="B6" s="65"/>
      <c r="C6" s="62">
        <v>12000</v>
      </c>
      <c r="D6" s="62"/>
      <c r="E6" s="62">
        <v>10000</v>
      </c>
      <c r="F6" s="66"/>
      <c r="G6" s="67">
        <v>0.65</v>
      </c>
      <c r="H6" s="62">
        <v>286416000</v>
      </c>
      <c r="I6" s="62">
        <v>28641600</v>
      </c>
      <c r="J6" s="66">
        <v>0</v>
      </c>
      <c r="L6" s="65"/>
      <c r="M6" s="62"/>
      <c r="N6" s="62"/>
      <c r="O6" s="62"/>
      <c r="Q6" s="64"/>
      <c r="R6" s="64"/>
      <c r="S6" s="64"/>
    </row>
    <row r="7" spans="1:19" ht="12.75">
      <c r="A7" s="56" t="s">
        <v>26</v>
      </c>
      <c r="B7" s="65"/>
      <c r="C7" s="62">
        <v>5000</v>
      </c>
      <c r="D7" s="62"/>
      <c r="E7" s="62">
        <v>9000</v>
      </c>
      <c r="F7" s="66"/>
      <c r="G7" s="67">
        <v>0.65</v>
      </c>
      <c r="H7" s="62">
        <v>107406000</v>
      </c>
      <c r="I7" s="62">
        <v>11934000</v>
      </c>
      <c r="J7" s="66">
        <v>0</v>
      </c>
      <c r="L7" s="65"/>
      <c r="M7" s="62"/>
      <c r="N7" s="62"/>
      <c r="O7" s="62"/>
      <c r="Q7" s="64"/>
      <c r="R7" s="64"/>
      <c r="S7" s="64"/>
    </row>
    <row r="8" spans="1:19" ht="12.75">
      <c r="A8" s="56" t="s">
        <v>27</v>
      </c>
      <c r="B8" s="65"/>
      <c r="C8" s="62">
        <v>174</v>
      </c>
      <c r="D8" s="62"/>
      <c r="E8" s="62">
        <v>13000</v>
      </c>
      <c r="F8" s="66"/>
      <c r="G8" s="67">
        <v>0.05</v>
      </c>
      <c r="H8" s="62">
        <v>415303.2</v>
      </c>
      <c r="I8" s="62">
        <v>31946.4</v>
      </c>
      <c r="J8" s="66">
        <v>0</v>
      </c>
      <c r="L8" s="65"/>
      <c r="M8" s="62"/>
      <c r="N8" s="62"/>
      <c r="O8" s="62"/>
      <c r="Q8" s="64"/>
      <c r="R8" s="64"/>
      <c r="S8" s="64"/>
    </row>
    <row r="9" spans="1:19" ht="12.75">
      <c r="A9" s="86" t="s">
        <v>28</v>
      </c>
      <c r="B9" s="65"/>
      <c r="C9" s="62">
        <v>800</v>
      </c>
      <c r="D9" s="62">
        <v>2047.2</v>
      </c>
      <c r="E9" s="62">
        <v>8532.5</v>
      </c>
      <c r="F9" s="69">
        <v>1.3333333333333335</v>
      </c>
      <c r="G9" s="67">
        <v>0.75</v>
      </c>
      <c r="H9" s="62">
        <v>18793296</v>
      </c>
      <c r="I9" s="62">
        <v>2203200</v>
      </c>
      <c r="J9" s="66">
        <v>5637988.8</v>
      </c>
      <c r="L9" s="65"/>
      <c r="M9" s="44"/>
      <c r="N9" s="74"/>
      <c r="O9" s="74"/>
      <c r="P9" s="63"/>
      <c r="Q9" s="64"/>
      <c r="R9" s="64"/>
      <c r="S9" s="64"/>
    </row>
    <row r="10" spans="1:19" ht="13.5" thickBot="1">
      <c r="A10" s="87" t="s">
        <v>29</v>
      </c>
      <c r="B10" s="70"/>
      <c r="C10" s="68">
        <v>300</v>
      </c>
      <c r="D10" s="68">
        <v>319.875</v>
      </c>
      <c r="E10" s="68">
        <v>10665.625</v>
      </c>
      <c r="F10" s="104">
        <v>3.2</v>
      </c>
      <c r="G10" s="71">
        <v>0.75</v>
      </c>
      <c r="H10" s="68">
        <v>8809357.500000002</v>
      </c>
      <c r="I10" s="68">
        <v>826200</v>
      </c>
      <c r="J10" s="72">
        <v>880935.75</v>
      </c>
      <c r="L10" s="65"/>
      <c r="M10" s="44"/>
      <c r="N10" s="74"/>
      <c r="O10" s="74"/>
      <c r="P10" s="63"/>
      <c r="Q10" s="64"/>
      <c r="R10" s="64"/>
      <c r="S10" s="64"/>
    </row>
    <row r="11" spans="1:19" ht="13.5" thickBot="1">
      <c r="A11" s="91" t="s">
        <v>30</v>
      </c>
      <c r="B11" s="65"/>
      <c r="C11" s="62"/>
      <c r="D11" s="62"/>
      <c r="E11" s="62"/>
      <c r="F11" s="69"/>
      <c r="G11" s="67"/>
      <c r="H11" s="62"/>
      <c r="I11" s="62"/>
      <c r="J11" s="66"/>
      <c r="L11" s="65"/>
      <c r="M11" s="44"/>
      <c r="N11" s="74"/>
      <c r="O11" s="74"/>
      <c r="P11" s="63"/>
      <c r="Q11" s="64"/>
      <c r="R11" s="64"/>
      <c r="S11" s="64"/>
    </row>
    <row r="12" spans="1:19" ht="13.5" thickBot="1">
      <c r="A12" s="56" t="s">
        <v>31</v>
      </c>
      <c r="B12" s="57">
        <v>34587</v>
      </c>
      <c r="C12" s="58"/>
      <c r="D12" s="58">
        <v>27669.6</v>
      </c>
      <c r="E12" s="58"/>
      <c r="F12" s="59"/>
      <c r="G12" s="73">
        <v>0.46</v>
      </c>
      <c r="H12" s="58">
        <v>58421593.44000001</v>
      </c>
      <c r="I12" s="58">
        <v>0</v>
      </c>
      <c r="J12" s="59">
        <v>46737274.75200001</v>
      </c>
      <c r="K12" s="61">
        <v>7531.707778020924</v>
      </c>
      <c r="L12" s="65"/>
      <c r="M12" s="62"/>
      <c r="N12" s="74"/>
      <c r="O12" s="62"/>
      <c r="Q12" s="64"/>
      <c r="R12" s="64"/>
      <c r="S12" s="64"/>
    </row>
    <row r="13" spans="1:19" ht="12.75">
      <c r="A13" s="86" t="s">
        <v>29</v>
      </c>
      <c r="B13" s="65"/>
      <c r="C13" s="62">
        <v>300</v>
      </c>
      <c r="D13" s="62">
        <v>5275.476923076923</v>
      </c>
      <c r="E13" s="62">
        <v>26253.846153846152</v>
      </c>
      <c r="F13" s="69">
        <v>0.19402985074626866</v>
      </c>
      <c r="G13" s="67">
        <v>0.75</v>
      </c>
      <c r="H13" s="62">
        <v>21690927.69230769</v>
      </c>
      <c r="I13" s="62">
        <v>826200</v>
      </c>
      <c r="J13" s="66">
        <v>14528663.44615385</v>
      </c>
      <c r="L13" s="65"/>
      <c r="M13" s="44"/>
      <c r="N13" s="74"/>
      <c r="O13" s="74"/>
      <c r="P13" s="63"/>
      <c r="Q13" s="64"/>
      <c r="R13" s="64"/>
      <c r="S13" s="64"/>
    </row>
    <row r="14" spans="1:19" ht="13.5" thickBot="1">
      <c r="A14" s="87" t="s">
        <v>32</v>
      </c>
      <c r="B14" s="70"/>
      <c r="C14" s="68">
        <v>100</v>
      </c>
      <c r="D14" s="62">
        <v>631.8518518518518</v>
      </c>
      <c r="E14" s="62">
        <v>12640.740740740739</v>
      </c>
      <c r="F14" s="69">
        <v>0.54</v>
      </c>
      <c r="G14" s="71">
        <v>0.75</v>
      </c>
      <c r="H14" s="62">
        <v>3480240</v>
      </c>
      <c r="I14" s="62">
        <v>275400</v>
      </c>
      <c r="J14" s="72">
        <v>1740120</v>
      </c>
      <c r="L14" s="65"/>
      <c r="M14" s="44"/>
      <c r="N14" s="74"/>
      <c r="O14" s="74"/>
      <c r="P14" s="63"/>
      <c r="Q14" s="64"/>
      <c r="R14" s="64"/>
      <c r="S14" s="64"/>
    </row>
    <row r="15" spans="1:14" ht="13.5" thickBot="1">
      <c r="A15" s="75"/>
      <c r="B15" s="76">
        <v>34587</v>
      </c>
      <c r="C15" s="77">
        <v>26674</v>
      </c>
      <c r="D15" s="77">
        <v>35944.00377492878</v>
      </c>
      <c r="E15" s="77"/>
      <c r="F15" s="78">
        <v>0.21749670060088017</v>
      </c>
      <c r="G15" s="79">
        <v>0.6217177776111569</v>
      </c>
      <c r="H15" s="77">
        <v>699314317.8323078</v>
      </c>
      <c r="I15" s="77">
        <v>60895346.4</v>
      </c>
      <c r="J15" s="80">
        <v>69524982.74815387</v>
      </c>
      <c r="K15" s="93">
        <v>56481.57153567093</v>
      </c>
      <c r="L15" s="65"/>
      <c r="M15" s="44"/>
      <c r="N15" s="44"/>
    </row>
    <row r="16" spans="1:14" ht="12.75">
      <c r="A16" s="75"/>
      <c r="B16" s="62"/>
      <c r="C16" s="62"/>
      <c r="D16" s="62"/>
      <c r="E16" s="62"/>
      <c r="F16" s="81"/>
      <c r="G16"/>
      <c r="H16"/>
      <c r="I16"/>
      <c r="J16"/>
      <c r="L16" s="62"/>
      <c r="M16" s="44"/>
      <c r="N16" s="44"/>
    </row>
    <row r="17" spans="1:14" ht="12.75">
      <c r="A17" s="75"/>
      <c r="B17" s="62"/>
      <c r="C17" s="62"/>
      <c r="D17" s="62"/>
      <c r="E17" s="62"/>
      <c r="F17" s="81"/>
      <c r="G17"/>
      <c r="H17"/>
      <c r="I17"/>
      <c r="J17"/>
      <c r="L17" s="62"/>
      <c r="M17" s="44"/>
      <c r="N17" s="44"/>
    </row>
    <row r="18" spans="1:12" ht="12.75">
      <c r="A18" s="75"/>
      <c r="B18" s="62"/>
      <c r="C18" s="62"/>
      <c r="D18" s="62"/>
      <c r="E18" s="62"/>
      <c r="F18" s="81"/>
      <c r="G18"/>
      <c r="H18"/>
      <c r="I18"/>
      <c r="J18"/>
      <c r="L18" s="62"/>
    </row>
    <row r="19" spans="1:12" ht="12.75">
      <c r="A19" s="75"/>
      <c r="B19" s="62"/>
      <c r="C19" s="62"/>
      <c r="D19" s="62"/>
      <c r="E19" s="62"/>
      <c r="F19" s="81"/>
      <c r="G19"/>
      <c r="H19"/>
      <c r="I19"/>
      <c r="J19"/>
      <c r="L19" s="62"/>
    </row>
    <row r="20" spans="1:12" ht="12.75">
      <c r="A20" s="75"/>
      <c r="B20" s="62"/>
      <c r="C20" s="62"/>
      <c r="D20" s="62"/>
      <c r="E20" s="62"/>
      <c r="F20" s="81"/>
      <c r="G20"/>
      <c r="H20"/>
      <c r="I20"/>
      <c r="J20"/>
      <c r="L20" s="62"/>
    </row>
    <row r="21" spans="1:15" ht="12.75">
      <c r="A21" s="75"/>
      <c r="B21" s="62"/>
      <c r="C21" s="62"/>
      <c r="D21" s="62"/>
      <c r="E21" s="62"/>
      <c r="F21" s="62"/>
      <c r="G21" s="63"/>
      <c r="H21" s="63"/>
      <c r="I21" s="63"/>
      <c r="J21" s="63"/>
      <c r="K21" s="63"/>
      <c r="L21" s="63"/>
      <c r="M21" s="63"/>
      <c r="N21" s="63"/>
      <c r="O21" s="63"/>
    </row>
    <row r="22" ht="12.75">
      <c r="H22" s="82"/>
    </row>
    <row r="23" spans="7:10" ht="12.75">
      <c r="G23" s="67" t="s">
        <v>33</v>
      </c>
      <c r="H23" s="62"/>
      <c r="I23" s="62">
        <f>SUM(I9:I10)</f>
        <v>3029400</v>
      </c>
      <c r="J23" s="62">
        <f>SUM(J9:J10)</f>
        <v>6518924.55</v>
      </c>
    </row>
    <row r="24" spans="7:10" ht="12.75">
      <c r="G24" s="67" t="s">
        <v>34</v>
      </c>
      <c r="H24" s="62"/>
      <c r="I24" s="62">
        <f>SUM(I13:I14)</f>
        <v>1101600</v>
      </c>
      <c r="J24" s="62">
        <f>SUM(J13:J14)</f>
        <v>16268783.44615385</v>
      </c>
    </row>
    <row r="25" spans="7:10" ht="12.75">
      <c r="G25" s="67"/>
      <c r="H25" s="62"/>
      <c r="I25" s="67">
        <f>SUM(I23:I24)/I15</f>
        <v>0.06783769605094159</v>
      </c>
      <c r="J25" s="67">
        <f>SUM(J23:J24)/J15</f>
        <v>0.3277628716385254</v>
      </c>
    </row>
  </sheetData>
  <printOptions horizontalCentered="1"/>
  <pageMargins left="0.25" right="0.25" top="1" bottom="1" header="0.5" footer="0.5"/>
  <pageSetup fitToHeight="1" fitToWidth="1" horizontalDpi="600" verticalDpi="600" orientation="landscape" r:id="rId1"/>
  <headerFooter alignWithMargins="0">
    <oddHeader>&amp;CAllocation Options</oddHeader>
    <oddFooter>&amp;R&amp;F, &amp;A, &amp;D</oddFooter>
  </headerFooter>
  <rowBreaks count="1" manualBreakCount="1">
    <brk id="1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0" zoomScaleNormal="50" workbookViewId="0" topLeftCell="A11">
      <selection activeCell="C48" sqref="C48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9.421875" style="0" customWidth="1"/>
    <col min="4" max="4" width="10.28125" style="0" customWidth="1"/>
    <col min="5" max="5" width="13.7109375" style="0" hidden="1" customWidth="1"/>
    <col min="6" max="6" width="11.421875" style="0" customWidth="1"/>
    <col min="7" max="7" width="13.7109375" style="0" hidden="1" customWidth="1"/>
    <col min="8" max="8" width="9.7109375" style="0" customWidth="1"/>
    <col min="9" max="9" width="10.00390625" style="0" customWidth="1"/>
    <col min="10" max="10" width="11.7109375" style="0" customWidth="1"/>
    <col min="11" max="11" width="12.7109375" style="0" customWidth="1"/>
    <col min="12" max="13" width="11.7109375" style="0" customWidth="1"/>
    <col min="14" max="14" width="10.8515625" style="0" customWidth="1"/>
    <col min="15" max="15" width="9.8515625" style="0" customWidth="1"/>
    <col min="16" max="18" width="8.7109375" style="0" customWidth="1"/>
  </cols>
  <sheetData>
    <row r="1" spans="3:13" ht="13.5" thickBot="1">
      <c r="C1" s="99"/>
      <c r="D1" s="102" t="s">
        <v>35</v>
      </c>
      <c r="E1" s="103"/>
      <c r="F1" s="103"/>
      <c r="G1" s="103"/>
      <c r="H1" s="102"/>
      <c r="J1" s="102"/>
      <c r="K1" s="102" t="s">
        <v>36</v>
      </c>
      <c r="L1" s="103"/>
      <c r="M1" s="102"/>
    </row>
    <row r="2" spans="3:14" ht="12.75">
      <c r="C2" s="33" t="s">
        <v>0</v>
      </c>
      <c r="D2" s="33" t="s">
        <v>1</v>
      </c>
      <c r="E2" s="34"/>
      <c r="F2" s="24" t="s">
        <v>37</v>
      </c>
      <c r="G2" s="34"/>
      <c r="H2" s="97" t="s">
        <v>38</v>
      </c>
      <c r="I2" s="96"/>
      <c r="J2" s="34" t="s">
        <v>39</v>
      </c>
      <c r="K2" s="24" t="s">
        <v>40</v>
      </c>
      <c r="L2" s="24" t="s">
        <v>41</v>
      </c>
      <c r="M2" s="34" t="s">
        <v>42</v>
      </c>
      <c r="N2" s="34" t="s">
        <v>43</v>
      </c>
    </row>
    <row r="3" spans="3:14" ht="13.5" thickBot="1">
      <c r="C3" s="30"/>
      <c r="D3" s="37" t="s">
        <v>44</v>
      </c>
      <c r="E3" s="38"/>
      <c r="F3" s="21" t="s">
        <v>44</v>
      </c>
      <c r="G3" s="38"/>
      <c r="H3" s="98" t="s">
        <v>45</v>
      </c>
      <c r="I3" s="96"/>
      <c r="J3" s="31"/>
      <c r="K3" s="21"/>
      <c r="L3" s="21"/>
      <c r="M3" s="38"/>
      <c r="N3" s="38"/>
    </row>
    <row r="4" spans="1:14" ht="12.75">
      <c r="A4" s="11"/>
      <c r="B4" s="11"/>
      <c r="C4" s="33" t="s">
        <v>46</v>
      </c>
      <c r="D4" s="9"/>
      <c r="E4" s="12"/>
      <c r="F4" s="9"/>
      <c r="G4" s="12"/>
      <c r="H4" s="33" t="s">
        <v>37</v>
      </c>
      <c r="I4" s="94"/>
      <c r="J4" s="34" t="s">
        <v>3</v>
      </c>
      <c r="K4" s="24" t="s">
        <v>44</v>
      </c>
      <c r="L4" s="24" t="s">
        <v>44</v>
      </c>
      <c r="M4" s="34" t="s">
        <v>44</v>
      </c>
      <c r="N4" s="34" t="s">
        <v>44</v>
      </c>
    </row>
    <row r="5" spans="1:14" ht="12.75">
      <c r="A5" s="13" t="s">
        <v>7</v>
      </c>
      <c r="B5" s="13"/>
      <c r="C5" s="35" t="s">
        <v>47</v>
      </c>
      <c r="D5" s="95" t="s">
        <v>48</v>
      </c>
      <c r="E5" s="14"/>
      <c r="F5" s="10" t="s">
        <v>49</v>
      </c>
      <c r="G5" s="14"/>
      <c r="H5" s="35" t="s">
        <v>48</v>
      </c>
      <c r="I5" s="94"/>
      <c r="J5" s="36" t="s">
        <v>50</v>
      </c>
      <c r="K5" s="17" t="s">
        <v>51</v>
      </c>
      <c r="L5" s="17" t="s">
        <v>52</v>
      </c>
      <c r="M5" s="36" t="s">
        <v>53</v>
      </c>
      <c r="N5" s="36" t="s">
        <v>38</v>
      </c>
    </row>
    <row r="6" spans="1:14" ht="13.5" thickBot="1">
      <c r="A6" s="16" t="s">
        <v>14</v>
      </c>
      <c r="B6" s="16"/>
      <c r="C6" s="30"/>
      <c r="D6" s="30"/>
      <c r="E6" s="31"/>
      <c r="F6" s="30"/>
      <c r="G6" s="31" t="s">
        <v>54</v>
      </c>
      <c r="H6" s="30"/>
      <c r="I6" s="94"/>
      <c r="J6" s="31"/>
      <c r="K6" s="21"/>
      <c r="L6" s="21" t="s">
        <v>14</v>
      </c>
      <c r="M6" s="31"/>
      <c r="N6" s="31"/>
    </row>
    <row r="7" spans="1:14" ht="13.5" thickBot="1">
      <c r="A7" s="92" t="s">
        <v>23</v>
      </c>
      <c r="B7" s="23"/>
      <c r="C7" s="10"/>
      <c r="D7" s="10"/>
      <c r="E7" s="14"/>
      <c r="F7" s="10"/>
      <c r="G7" s="14"/>
      <c r="H7" s="10"/>
      <c r="I7" s="94"/>
      <c r="J7" s="14"/>
      <c r="K7" s="94"/>
      <c r="L7" s="94"/>
      <c r="M7" s="14"/>
      <c r="N7" s="14"/>
    </row>
    <row r="8" spans="1:14" ht="12.75">
      <c r="A8" s="83" t="str">
        <f>Input!A5</f>
        <v>Lower Eff Blr</v>
      </c>
      <c r="B8" s="23"/>
      <c r="C8" s="3">
        <f>Input!H5*0.15/2000</f>
        <v>14541.120000000003</v>
      </c>
      <c r="D8" s="3">
        <f>Input!I5*1.5/2000</f>
        <v>12117.600000000002</v>
      </c>
      <c r="E8" s="4">
        <f>D8*Input!K$5/Alloc!D$21</f>
        <v>12987.415385810169</v>
      </c>
      <c r="F8" s="3">
        <f>Input!J5*0.22/2000</f>
        <v>0</v>
      </c>
      <c r="G8" s="4">
        <f>F8*Input!K$12/Alloc!F$21</f>
        <v>0</v>
      </c>
      <c r="H8" s="3">
        <f>Input!I5*1.5/2000+0.5*Input!J5*0.2/2000</f>
        <v>12117.600000000002</v>
      </c>
      <c r="I8" s="19"/>
      <c r="J8" s="4">
        <f>C8*Input!K$5/Alloc!C$14</f>
        <v>15413.587200000004</v>
      </c>
      <c r="K8" s="18">
        <f>(D8+F8)*Input!K$5/(Alloc!D$14+F$14)</f>
        <v>13018.519211468314</v>
      </c>
      <c r="L8" s="18">
        <f>D8*Input!K$5/(Alloc!D$21)+F8*Input!K$12/(Alloc!F$21)</f>
        <v>12987.415385810169</v>
      </c>
      <c r="M8" s="18">
        <f>(D8+F8)*(Input!K$5+Input!K$12)/(Alloc!D$21+F$21)</f>
        <v>12836.28313985147</v>
      </c>
      <c r="N8" s="4">
        <f>H8*Input!K$5/Alloc!H$14</f>
        <v>13131.245868137707</v>
      </c>
    </row>
    <row r="9" spans="1:14" ht="12.75">
      <c r="A9" s="83" t="str">
        <f>Input!A6</f>
        <v>Average Boiler</v>
      </c>
      <c r="B9" s="23"/>
      <c r="C9" s="5">
        <f>Input!H6*0.15/2000</f>
        <v>21481.2</v>
      </c>
      <c r="D9" s="5">
        <f>Input!I6*1.5/2000</f>
        <v>21481.2</v>
      </c>
      <c r="E9" s="6">
        <f>D9*Input!K$5/Alloc!D$21</f>
        <v>23023.14545666348</v>
      </c>
      <c r="F9" s="5">
        <f>Input!J6*0.22/2000</f>
        <v>0</v>
      </c>
      <c r="G9" s="6">
        <f>F9*Input!K$12/Alloc!F$21</f>
        <v>0</v>
      </c>
      <c r="H9" s="5">
        <f>Input!I6*1.5/2000+0.5*Input!J6*0.2/2000</f>
        <v>21481.2</v>
      </c>
      <c r="I9" s="19"/>
      <c r="J9" s="6">
        <f>C9*Input!K$5/Alloc!C$14</f>
        <v>22770.072000000004</v>
      </c>
      <c r="K9" s="19">
        <f>(D9+F9)*Input!K$5/(Alloc!D$14+F$14)</f>
        <v>23078.28405669383</v>
      </c>
      <c r="L9" s="19">
        <f>D9*Input!K$5/(Alloc!D$21)+F9*Input!K$12/(Alloc!F$21)</f>
        <v>23023.14545666348</v>
      </c>
      <c r="M9" s="19">
        <f>(D9+F9)*(Input!K$5+Input!K$12)/(Alloc!D$21+F$21)</f>
        <v>22755.229202463965</v>
      </c>
      <c r="N9" s="6">
        <f>H9*Input!K$5/Alloc!H$14</f>
        <v>23278.117675335023</v>
      </c>
    </row>
    <row r="10" spans="1:14" ht="12.75">
      <c r="A10" s="83" t="str">
        <f>Input!A7</f>
        <v>Higher Eff Blr</v>
      </c>
      <c r="B10" s="23"/>
      <c r="C10" s="5">
        <f>Input!H7*0.15/2000</f>
        <v>8055.45</v>
      </c>
      <c r="D10" s="5">
        <f>Input!I7*1.5/2000</f>
        <v>8950.5</v>
      </c>
      <c r="E10" s="6">
        <f>D10*Input!K$5/Alloc!D$21</f>
        <v>9592.977273609782</v>
      </c>
      <c r="F10" s="5">
        <f>Input!J7*0.22/2000</f>
        <v>0</v>
      </c>
      <c r="G10" s="6">
        <f>F10*Input!K$12/Alloc!F$21</f>
        <v>0</v>
      </c>
      <c r="H10" s="5">
        <f>Input!I7*1.5/2000+0.5*Input!J7*0.2/2000</f>
        <v>8950.5</v>
      </c>
      <c r="I10" s="19"/>
      <c r="J10" s="6">
        <f>C10*Input!K$5/Alloc!C$14</f>
        <v>8538.777</v>
      </c>
      <c r="K10" s="19">
        <f>(D10+F10)*Input!K$5/(Alloc!D$14+F$14)</f>
        <v>9615.951690289094</v>
      </c>
      <c r="L10" s="19">
        <f>D10*Input!K$5/(Alloc!D$21)+F10*Input!K$12/(Alloc!F$21)</f>
        <v>9592.977273609782</v>
      </c>
      <c r="M10" s="19">
        <f>(D10+F10)*(Input!K$5+Input!K$12)/(Alloc!D$21+F$21)</f>
        <v>9481.345501026652</v>
      </c>
      <c r="N10" s="6">
        <f>H10*Input!K$5/Alloc!H$14</f>
        <v>9699.21569805626</v>
      </c>
    </row>
    <row r="11" spans="1:14" ht="12.75">
      <c r="A11" s="83" t="str">
        <f>Input!A8</f>
        <v>GT</v>
      </c>
      <c r="B11" s="23"/>
      <c r="C11" s="5">
        <f>Input!H8*0.15/2000</f>
        <v>31.14774</v>
      </c>
      <c r="D11" s="5">
        <f>Input!I8*1.5/2000</f>
        <v>23.9598</v>
      </c>
      <c r="E11" s="6">
        <f>D11*Input!K$5/Alloc!D$21</f>
        <v>25.679662240124646</v>
      </c>
      <c r="F11" s="5">
        <f>Input!J8*0.22/2000</f>
        <v>0</v>
      </c>
      <c r="G11" s="6">
        <f>F11*Input!K$12/Alloc!F$21</f>
        <v>0</v>
      </c>
      <c r="H11" s="5">
        <f>Input!I8*1.5/2000+0.5*Input!J8*0.2/2000</f>
        <v>23.9598</v>
      </c>
      <c r="I11" s="19"/>
      <c r="J11" s="6">
        <f>C11*Input!K$5/Alloc!C$14</f>
        <v>33.016604400000006</v>
      </c>
      <c r="K11" s="19">
        <f>(D11+F11)*Input!K$5/(Alloc!D$14+F$14)</f>
        <v>25.741162986312343</v>
      </c>
      <c r="L11" s="19">
        <f>D11*Input!K$5/(Alloc!D$21)+F11*Input!K$12/(Alloc!F$21)</f>
        <v>25.679662240124646</v>
      </c>
      <c r="M11" s="19">
        <f>(D11+F11)*(Input!K$5+Input!K$12)/(Alloc!D$21+F$21)</f>
        <v>25.380832571979038</v>
      </c>
      <c r="N11" s="6">
        <f>H11*Input!K$5/Alloc!H$14</f>
        <v>25.96405433018137</v>
      </c>
    </row>
    <row r="12" spans="1:14" ht="12.75">
      <c r="A12" s="83" t="str">
        <f>Input!A9</f>
        <v>CC Cogen</v>
      </c>
      <c r="B12" s="23"/>
      <c r="C12" s="5">
        <f>Input!H9*0.15/2000</f>
        <v>1409.4972</v>
      </c>
      <c r="D12" s="5">
        <f>Input!I9*1.5/2000</f>
        <v>1652.4</v>
      </c>
      <c r="E12" s="6">
        <f>D12*Input!K$5/Alloc!D$21</f>
        <v>1771.0111889741138</v>
      </c>
      <c r="F12" s="5">
        <f>Input!J9*0.22/2000</f>
        <v>620.178768</v>
      </c>
      <c r="G12" s="6">
        <f>F12*Input!K$12/Alloc!F$21</f>
        <v>610.7687110283018</v>
      </c>
      <c r="H12" s="5">
        <f>Input!I9*1.5/2000+0.5*Input!J9*0.2/2000</f>
        <v>1934.2994400000002</v>
      </c>
      <c r="I12" s="19"/>
      <c r="J12" s="6">
        <f>C12*Input!K$5/Alloc!C$14</f>
        <v>1494.0670320000002</v>
      </c>
      <c r="K12" s="19">
        <f>(D12+F12)*Input!K$5/(Alloc!D$14+F$14)</f>
        <v>2441.5404329886273</v>
      </c>
      <c r="L12" s="19">
        <f>D12*Input!K$5/(Alloc!D$21)+F12*Input!K$12/(Alloc!F$21)</f>
        <v>2381.7799000024156</v>
      </c>
      <c r="M12" s="19">
        <f>(D12+F12)*(Input!K$5+Input!K$12)/(Alloc!D$21+F$21)</f>
        <v>2407.3632174409804</v>
      </c>
      <c r="N12" s="6">
        <f>H12*Input!K$5/Alloc!H$14</f>
        <v>2096.104965442091</v>
      </c>
    </row>
    <row r="13" spans="1:14" ht="13.5" thickBot="1">
      <c r="A13" s="83" t="str">
        <f>Input!A10</f>
        <v>Boiler Cogen</v>
      </c>
      <c r="B13" s="23"/>
      <c r="C13" s="7">
        <f>Input!H10*0.15/2000</f>
        <v>660.7018125000001</v>
      </c>
      <c r="D13" s="7">
        <f>Input!I10*1.5/2000</f>
        <v>619.65</v>
      </c>
      <c r="E13" s="8">
        <f>D13*Input!K$5/Alloc!D$21</f>
        <v>664.1291958652926</v>
      </c>
      <c r="F13" s="7">
        <f>Input!J10*0.22/2000</f>
        <v>96.90293249999999</v>
      </c>
      <c r="G13" s="8">
        <f>F13*Input!K$12/Alloc!F$21</f>
        <v>95.43261109817216</v>
      </c>
      <c r="H13" s="7">
        <f>Input!I10*1.5/2000+0.5*Input!J10*0.2/2000</f>
        <v>663.6967875</v>
      </c>
      <c r="I13" s="19"/>
      <c r="J13" s="8">
        <f>C13*Input!K$5/Alloc!C$14</f>
        <v>700.3439212500001</v>
      </c>
      <c r="K13" s="19">
        <f>(D13+F13)*Input!K$5/(Alloc!D$14+F$14)</f>
        <v>769.8272032238402</v>
      </c>
      <c r="L13" s="19">
        <f>D13*Input!K$5/(Alloc!D$21)+F13*Input!K$12/(Alloc!F$21)</f>
        <v>759.5618069634647</v>
      </c>
      <c r="M13" s="20">
        <f>(D13+F13)*(Input!K$5+Input!K$12)/(Alloc!D$21+F$21)</f>
        <v>759.0509941127679</v>
      </c>
      <c r="N13" s="8">
        <f>H13*Input!K$5/Alloc!H$14</f>
        <v>719.2154963487526</v>
      </c>
    </row>
    <row r="14" spans="1:14" ht="13.5" thickBot="1">
      <c r="A14" s="15"/>
      <c r="B14" s="23"/>
      <c r="C14" s="26">
        <f aca="true" t="shared" si="0" ref="C14:H14">SUM(C8:C13)</f>
        <v>46179.116752500006</v>
      </c>
      <c r="D14" s="26">
        <f t="shared" si="0"/>
        <v>44845.3098</v>
      </c>
      <c r="E14" s="27">
        <f t="shared" si="0"/>
        <v>48064.358163162964</v>
      </c>
      <c r="F14" s="26">
        <f t="shared" si="0"/>
        <v>717.0817005</v>
      </c>
      <c r="G14" s="27">
        <f t="shared" si="0"/>
        <v>706.201322126474</v>
      </c>
      <c r="H14" s="26">
        <f t="shared" si="0"/>
        <v>45171.2560275</v>
      </c>
      <c r="I14" s="19"/>
      <c r="J14" s="27">
        <f>SUM(J8:J13)</f>
        <v>48949.86375765001</v>
      </c>
      <c r="K14" s="26">
        <f>SUM(K8:K13)</f>
        <v>48949.86375765001</v>
      </c>
      <c r="L14" s="22">
        <f>SUM(L8:L13)</f>
        <v>48770.559485289436</v>
      </c>
      <c r="M14" s="22">
        <f>SUM(M8:M13)</f>
        <v>48264.65288746782</v>
      </c>
      <c r="N14" s="22">
        <f>SUM(N8:N13)</f>
        <v>48949.86375765002</v>
      </c>
    </row>
    <row r="15" spans="1:14" ht="13.5" thickBot="1">
      <c r="A15" s="109" t="s">
        <v>55</v>
      </c>
      <c r="B15" s="25"/>
      <c r="C15" s="3"/>
      <c r="D15" s="3"/>
      <c r="E15" s="4"/>
      <c r="F15" s="3"/>
      <c r="G15" s="4"/>
      <c r="H15" s="3"/>
      <c r="I15" s="19"/>
      <c r="J15" s="4"/>
      <c r="K15" s="3"/>
      <c r="L15" s="20"/>
      <c r="M15" s="4"/>
      <c r="N15" s="4"/>
    </row>
    <row r="16" spans="1:14" ht="12.75">
      <c r="A16" s="23" t="str">
        <f>Input!A12</f>
        <v>Boiler</v>
      </c>
      <c r="B16" s="25"/>
      <c r="C16" s="3">
        <f>Input!H12*0.17/2000</f>
        <v>4965.835442400001</v>
      </c>
      <c r="D16" s="3">
        <f>Input!I12*1.5/2000</f>
        <v>0</v>
      </c>
      <c r="E16" s="4">
        <f>D16*Input!K$5/Alloc!D$21</f>
        <v>0</v>
      </c>
      <c r="F16" s="3">
        <f>Input!J12*0.22/2000</f>
        <v>5141.100222720001</v>
      </c>
      <c r="G16" s="4">
        <f>F16*Input!K$12/Alloc!F$21</f>
        <v>5063.093608354568</v>
      </c>
      <c r="H16" s="3">
        <f>Input!J12*0.2/2000+0.5*Input!I12*1.5/2000</f>
        <v>4673.727475200001</v>
      </c>
      <c r="I16" s="19"/>
      <c r="J16" s="4">
        <f>C16*Input!K$12/Alloc!C$19</f>
        <v>5263.785568944002</v>
      </c>
      <c r="K16" s="18">
        <f>(D16+F16)*Input!K$12/(Alloc!D$19+Alloc!F$19)</f>
        <v>4991.869464978193</v>
      </c>
      <c r="L16" s="19">
        <f>D16*Input!K$5/(Alloc!D$21)+F16*Input!K$12/(Alloc!F$21)</f>
        <v>5063.093608354568</v>
      </c>
      <c r="M16" s="18">
        <f>(D16+F16)*(Input!K$5+Input!K$12)/(Alloc!D$21+F$21)</f>
        <v>5446.013906151991</v>
      </c>
      <c r="N16" s="4">
        <f>H16*Input!K$12/Alloc!H$19</f>
        <v>5243.177243992187</v>
      </c>
    </row>
    <row r="17" spans="1:14" ht="12.75">
      <c r="A17" s="23" t="str">
        <f>Input!A13</f>
        <v>Boiler Cogen</v>
      </c>
      <c r="B17" s="23"/>
      <c r="C17" s="5">
        <f>Input!H13*0.17/2000</f>
        <v>1843.7288538461537</v>
      </c>
      <c r="D17" s="5">
        <f>Input!I13*1.5/2000</f>
        <v>619.65</v>
      </c>
      <c r="E17" s="6">
        <f>D17*Input!K$5/Alloc!D$21</f>
        <v>664.1291958652926</v>
      </c>
      <c r="F17" s="5">
        <f>Input!J13*0.22/2000</f>
        <v>1598.1529790769234</v>
      </c>
      <c r="G17" s="6">
        <f>F17*Input!K$12/Alloc!F$21</f>
        <v>1573.9039861113936</v>
      </c>
      <c r="H17" s="5">
        <f>Input!J13*0.2/2000+0.5*Input!I13*1.5/2000</f>
        <v>1762.6913446153849</v>
      </c>
      <c r="I17" s="19"/>
      <c r="J17" s="6">
        <f>C17*Input!K$12/Alloc!C$19</f>
        <v>1954.3525850769229</v>
      </c>
      <c r="K17" s="19">
        <f>(D17+F17)*Input!K$12/(Alloc!D$19+Alloc!F$19)</f>
        <v>2153.4267940675236</v>
      </c>
      <c r="L17" s="19">
        <f>D17*Input!K$5/(Alloc!D$21)+F17*Input!K$12/(Alloc!F$21)</f>
        <v>2238.033181976686</v>
      </c>
      <c r="M17" s="19">
        <f>(D17+F17)*(Input!K$5+Input!K$12)/(Alloc!D$21+F$21)</f>
        <v>2349.3387294379636</v>
      </c>
      <c r="N17" s="6">
        <f>H17*Input!K$12/Alloc!H$19</f>
        <v>1977.4587190439215</v>
      </c>
    </row>
    <row r="18" spans="1:14" ht="13.5" thickBot="1">
      <c r="A18" s="16" t="str">
        <f>Input!A14</f>
        <v>Turbine Cogen</v>
      </c>
      <c r="B18" s="16"/>
      <c r="C18" s="7">
        <f>Input!H14*0.17/2000</f>
        <v>295.8204</v>
      </c>
      <c r="D18" s="7">
        <f>Input!I14*1.5/2000</f>
        <v>206.55</v>
      </c>
      <c r="E18" s="8">
        <f>D18*Input!K$5/Alloc!D$21</f>
        <v>221.37639862176422</v>
      </c>
      <c r="F18" s="7">
        <f>Input!J14*0.22/2000</f>
        <v>191.41320000000002</v>
      </c>
      <c r="G18" s="8">
        <f>F18*Input!K$12/Alloc!F$21</f>
        <v>188.50886142848825</v>
      </c>
      <c r="H18" s="7">
        <f>Input!J14*0.2/2000+0.5*Input!I14*1.5/2000</f>
        <v>277.28700000000003</v>
      </c>
      <c r="I18" s="19"/>
      <c r="J18" s="8">
        <f>C18*Input!K$12/Alloc!C$19</f>
        <v>313.56962400000003</v>
      </c>
      <c r="K18" s="19">
        <f>(D18+F18)*Input!K$12/(Alloc!D$19+Alloc!F$19)</f>
        <v>386.4115189752069</v>
      </c>
      <c r="L18" s="19">
        <f>D18*Input!K$5/(Alloc!D$21)+F18*Input!K$12/(Alloc!F$21)</f>
        <v>409.88526005025244</v>
      </c>
      <c r="M18" s="19">
        <f>(D18+F18)*(Input!K$5+Input!K$12)/(Alloc!D$21+F$21)</f>
        <v>421.5660126131691</v>
      </c>
      <c r="N18" s="8">
        <f>H18*Input!K$12/Alloc!H$19</f>
        <v>311.0718149848151</v>
      </c>
    </row>
    <row r="19" spans="1:14" ht="13.5" thickBot="1">
      <c r="A19" s="1"/>
      <c r="B19" s="1"/>
      <c r="C19" s="26">
        <f aca="true" t="shared" si="1" ref="C19:H19">SUM(C16:C18)</f>
        <v>7105.384696246154</v>
      </c>
      <c r="D19" s="26">
        <f t="shared" si="1"/>
        <v>826.2</v>
      </c>
      <c r="E19" s="27">
        <f t="shared" si="1"/>
        <v>885.5055944870568</v>
      </c>
      <c r="F19" s="26">
        <f t="shared" si="1"/>
        <v>6930.666401796924</v>
      </c>
      <c r="G19" s="27">
        <f t="shared" si="1"/>
        <v>6825.50645589445</v>
      </c>
      <c r="H19" s="26">
        <f t="shared" si="1"/>
        <v>6713.705819815386</v>
      </c>
      <c r="I19" s="19"/>
      <c r="J19" s="27">
        <f>SUM(J16:J18)</f>
        <v>7531.707778020925</v>
      </c>
      <c r="K19" s="26">
        <f>SUM(K16:K18)</f>
        <v>7531.707778020923</v>
      </c>
      <c r="L19" s="22">
        <f>SUM(L16:L18)</f>
        <v>7711.012050381506</v>
      </c>
      <c r="M19" s="22">
        <f>SUM(M16:M18)</f>
        <v>8216.918648203124</v>
      </c>
      <c r="N19" s="22">
        <f>SUM(N16:N18)</f>
        <v>7531.707778020924</v>
      </c>
    </row>
    <row r="20" spans="3:18" ht="13.5" thickBo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3:18" ht="13.5" thickBot="1">
      <c r="C21" s="28">
        <f aca="true" t="shared" si="2" ref="C21:H21">C14+C19</f>
        <v>53284.50144874616</v>
      </c>
      <c r="D21" s="28">
        <f t="shared" si="2"/>
        <v>45671.5098</v>
      </c>
      <c r="E21" s="29">
        <f t="shared" si="2"/>
        <v>48949.86375765002</v>
      </c>
      <c r="F21" s="28">
        <f t="shared" si="2"/>
        <v>7647.748102296924</v>
      </c>
      <c r="G21" s="29">
        <f t="shared" si="2"/>
        <v>7531.707778020924</v>
      </c>
      <c r="H21" s="28">
        <f t="shared" si="2"/>
        <v>51884.96184731538</v>
      </c>
      <c r="I21" s="115"/>
      <c r="J21" s="29">
        <f>J14+J19</f>
        <v>56481.57153567093</v>
      </c>
      <c r="K21" s="28">
        <f>K14+K19</f>
        <v>56481.57153567093</v>
      </c>
      <c r="L21" s="32">
        <f>L14+L19</f>
        <v>56481.57153567094</v>
      </c>
      <c r="M21" s="29">
        <f>M14+M19</f>
        <v>56481.57153567094</v>
      </c>
      <c r="N21" s="29">
        <f>N14+N19</f>
        <v>56481.57153567094</v>
      </c>
      <c r="O21" s="107"/>
      <c r="P21" s="107"/>
      <c r="Q21" s="107"/>
      <c r="R21" s="107"/>
    </row>
    <row r="23" spans="3:13" ht="13.5" thickBot="1">
      <c r="C23" s="103"/>
      <c r="D23" s="103"/>
      <c r="E23" s="13"/>
      <c r="F23" s="103"/>
      <c r="G23" s="103"/>
      <c r="H23" s="111" t="s">
        <v>56</v>
      </c>
      <c r="I23" s="99"/>
      <c r="K23" s="103"/>
      <c r="L23" s="103"/>
      <c r="M23" s="103"/>
    </row>
    <row r="24" spans="3:15" ht="12.75">
      <c r="C24" s="24" t="s">
        <v>39</v>
      </c>
      <c r="D24" s="24" t="s">
        <v>39</v>
      </c>
      <c r="F24" s="24" t="s">
        <v>39</v>
      </c>
      <c r="H24" s="24" t="s">
        <v>39</v>
      </c>
      <c r="I24" s="100" t="s">
        <v>40</v>
      </c>
      <c r="K24" s="24" t="s">
        <v>39</v>
      </c>
      <c r="L24" s="24" t="s">
        <v>39</v>
      </c>
      <c r="M24" s="24" t="s">
        <v>39</v>
      </c>
      <c r="N24" s="24" t="s">
        <v>39</v>
      </c>
      <c r="O24" s="100" t="s">
        <v>40</v>
      </c>
    </row>
    <row r="25" spans="3:15" ht="12.75">
      <c r="C25" s="17" t="s">
        <v>57</v>
      </c>
      <c r="D25" s="17" t="s">
        <v>57</v>
      </c>
      <c r="F25" s="17" t="s">
        <v>57</v>
      </c>
      <c r="H25" s="17" t="s">
        <v>57</v>
      </c>
      <c r="I25" s="17" t="s">
        <v>57</v>
      </c>
      <c r="K25" s="17" t="s">
        <v>57</v>
      </c>
      <c r="L25" s="17" t="s">
        <v>57</v>
      </c>
      <c r="M25" s="17" t="s">
        <v>57</v>
      </c>
      <c r="N25" s="17" t="s">
        <v>57</v>
      </c>
      <c r="O25" s="17" t="s">
        <v>57</v>
      </c>
    </row>
    <row r="26" spans="3:15" ht="13.5" thickBot="1">
      <c r="C26" s="21" t="s">
        <v>40</v>
      </c>
      <c r="D26" s="21" t="s">
        <v>41</v>
      </c>
      <c r="F26" s="21" t="s">
        <v>42</v>
      </c>
      <c r="H26" s="21" t="s">
        <v>43</v>
      </c>
      <c r="I26" s="101" t="s">
        <v>41</v>
      </c>
      <c r="K26" s="21" t="s">
        <v>40</v>
      </c>
      <c r="L26" s="21" t="s">
        <v>41</v>
      </c>
      <c r="M26" s="21" t="s">
        <v>42</v>
      </c>
      <c r="N26" s="21" t="s">
        <v>43</v>
      </c>
      <c r="O26" s="101" t="s">
        <v>41</v>
      </c>
    </row>
    <row r="27" spans="1:15" ht="13.5" thickBot="1">
      <c r="A27" s="92" t="s">
        <v>23</v>
      </c>
      <c r="C27" s="17"/>
      <c r="D27" s="17"/>
      <c r="F27" s="17"/>
      <c r="H27" s="17"/>
      <c r="I27" s="17"/>
      <c r="K27" s="17"/>
      <c r="L27" s="17"/>
      <c r="M27" s="17"/>
      <c r="N27" s="17"/>
      <c r="O27" s="17"/>
    </row>
    <row r="28" spans="1:15" ht="12.75">
      <c r="A28" s="108" t="str">
        <f>Input!A5</f>
        <v>Lower Eff Blr</v>
      </c>
      <c r="B28" s="11"/>
      <c r="C28" s="18">
        <f aca="true" t="shared" si="3" ref="C28:C33">K8-J8</f>
        <v>-2395.0679885316895</v>
      </c>
      <c r="D28" s="18">
        <f aca="true" t="shared" si="4" ref="D28:D33">L8-J8</f>
        <v>-2426.1718141898345</v>
      </c>
      <c r="F28" s="18">
        <f aca="true" t="shared" si="5" ref="F28:F33">M8-J8</f>
        <v>-2577.3040601485336</v>
      </c>
      <c r="H28" s="18">
        <f aca="true" t="shared" si="6" ref="H28:H33">N8-J8</f>
        <v>-2282.341331862297</v>
      </c>
      <c r="I28" s="18">
        <f aca="true" t="shared" si="7" ref="I28:I33">L8-K8</f>
        <v>-31.10382565814507</v>
      </c>
      <c r="K28" s="105">
        <f aca="true" t="shared" si="8" ref="K28:L34">C28/$J8</f>
        <v>-0.15538679980554357</v>
      </c>
      <c r="L28" s="105">
        <f t="shared" si="8"/>
        <v>-0.1574047483372225</v>
      </c>
      <c r="M28" s="105">
        <f aca="true" t="shared" si="9" ref="M28:M34">F28/$J8</f>
        <v>-0.1672098796150797</v>
      </c>
      <c r="N28" s="105">
        <f aca="true" t="shared" si="10" ref="N28:O33">H28/$J8</f>
        <v>-0.14807333959626845</v>
      </c>
      <c r="O28" s="105">
        <f t="shared" si="10"/>
        <v>-0.0020179485316789243</v>
      </c>
    </row>
    <row r="29" spans="1:15" ht="12.75">
      <c r="A29" s="83" t="str">
        <f>Input!A6</f>
        <v>Average Boiler</v>
      </c>
      <c r="C29" s="19">
        <f t="shared" si="3"/>
        <v>308.2120566938247</v>
      </c>
      <c r="D29" s="19">
        <f t="shared" si="4"/>
        <v>253.07345666347464</v>
      </c>
      <c r="F29" s="19">
        <f t="shared" si="5"/>
        <v>-14.842797536039143</v>
      </c>
      <c r="H29" s="19">
        <f t="shared" si="6"/>
        <v>508.04567533501904</v>
      </c>
      <c r="I29" s="19">
        <f t="shared" si="7"/>
        <v>-55.13860003035006</v>
      </c>
      <c r="K29" s="106">
        <f t="shared" si="8"/>
        <v>0.013535840233347732</v>
      </c>
      <c r="L29" s="106">
        <f t="shared" si="8"/>
        <v>0.011114301995332936</v>
      </c>
      <c r="M29" s="106">
        <f t="shared" si="9"/>
        <v>-0.0006518555380957574</v>
      </c>
      <c r="N29" s="106">
        <f t="shared" si="10"/>
        <v>0.022311992484477825</v>
      </c>
      <c r="O29" s="106">
        <f t="shared" si="10"/>
        <v>-0.0024215382380147967</v>
      </c>
    </row>
    <row r="30" spans="1:15" ht="12.75">
      <c r="A30" s="83" t="str">
        <f>Input!A7</f>
        <v>Higher Eff Blr</v>
      </c>
      <c r="C30" s="19">
        <f t="shared" si="3"/>
        <v>1077.1746902890936</v>
      </c>
      <c r="D30" s="19">
        <f t="shared" si="4"/>
        <v>1054.200273609782</v>
      </c>
      <c r="F30" s="19">
        <f t="shared" si="5"/>
        <v>942.5685010266516</v>
      </c>
      <c r="H30" s="19">
        <f t="shared" si="6"/>
        <v>1160.4386980562595</v>
      </c>
      <c r="I30" s="19">
        <f t="shared" si="7"/>
        <v>-22.974416679311616</v>
      </c>
      <c r="K30" s="106">
        <f t="shared" si="8"/>
        <v>0.1261509335926086</v>
      </c>
      <c r="L30" s="106">
        <f t="shared" si="8"/>
        <v>0.12346033555037003</v>
      </c>
      <c r="M30" s="106">
        <f t="shared" si="9"/>
        <v>0.11038682717989375</v>
      </c>
      <c r="N30" s="106">
        <f t="shared" si="10"/>
        <v>0.1359022138716422</v>
      </c>
      <c r="O30" s="106">
        <f t="shared" si="10"/>
        <v>-0.0026905980422385566</v>
      </c>
    </row>
    <row r="31" spans="1:15" ht="12.75">
      <c r="A31" s="83" t="str">
        <f>Input!A8</f>
        <v>GT</v>
      </c>
      <c r="C31" s="19">
        <f t="shared" si="3"/>
        <v>-7.275441413687663</v>
      </c>
      <c r="D31" s="19">
        <f t="shared" si="4"/>
        <v>-7.33694215987536</v>
      </c>
      <c r="F31" s="19">
        <f t="shared" si="5"/>
        <v>-7.635771828020967</v>
      </c>
      <c r="H31" s="19">
        <f t="shared" si="6"/>
        <v>-7.052550069818636</v>
      </c>
      <c r="I31" s="19">
        <f t="shared" si="7"/>
        <v>-0.061500746187697075</v>
      </c>
      <c r="K31" s="106">
        <f t="shared" si="8"/>
        <v>-0.22035704597434802</v>
      </c>
      <c r="L31" s="106">
        <f t="shared" si="8"/>
        <v>-0.22221976769589785</v>
      </c>
      <c r="M31" s="106">
        <f t="shared" si="9"/>
        <v>-0.2312706581062275</v>
      </c>
      <c r="N31" s="106">
        <f t="shared" si="10"/>
        <v>-0.21360615962732482</v>
      </c>
      <c r="O31" s="106">
        <f t="shared" si="10"/>
        <v>-0.001862721721549811</v>
      </c>
    </row>
    <row r="32" spans="1:15" ht="12.75">
      <c r="A32" s="83" t="str">
        <f>Input!A9</f>
        <v>CC Cogen</v>
      </c>
      <c r="C32" s="19">
        <f t="shared" si="3"/>
        <v>947.4734009886272</v>
      </c>
      <c r="D32" s="19">
        <f t="shared" si="4"/>
        <v>887.7128680024155</v>
      </c>
      <c r="F32" s="19">
        <f t="shared" si="5"/>
        <v>913.2961854409803</v>
      </c>
      <c r="H32" s="19">
        <f t="shared" si="6"/>
        <v>602.0379334420907</v>
      </c>
      <c r="I32" s="19">
        <f t="shared" si="7"/>
        <v>-59.76053298621173</v>
      </c>
      <c r="K32" s="106">
        <f t="shared" si="8"/>
        <v>0.6341572236690831</v>
      </c>
      <c r="L32" s="106">
        <f t="shared" si="8"/>
        <v>0.5941586615522183</v>
      </c>
      <c r="M32" s="106">
        <f t="shared" si="9"/>
        <v>0.6112819343978271</v>
      </c>
      <c r="N32" s="106">
        <f t="shared" si="10"/>
        <v>0.4029524248561899</v>
      </c>
      <c r="O32" s="106">
        <f t="shared" si="10"/>
        <v>-0.03999856211686473</v>
      </c>
    </row>
    <row r="33" spans="1:15" ht="13.5" thickBot="1">
      <c r="A33" s="83" t="str">
        <f>Input!A10</f>
        <v>Boiler Cogen</v>
      </c>
      <c r="C33" s="19">
        <f t="shared" si="3"/>
        <v>69.48328197384012</v>
      </c>
      <c r="D33" s="19">
        <f t="shared" si="4"/>
        <v>59.217885713464625</v>
      </c>
      <c r="F33" s="19">
        <f t="shared" si="5"/>
        <v>58.707072862767745</v>
      </c>
      <c r="H33" s="19">
        <f t="shared" si="6"/>
        <v>18.871575098752487</v>
      </c>
      <c r="I33" s="19">
        <f t="shared" si="7"/>
        <v>-10.265396260375496</v>
      </c>
      <c r="K33" s="106">
        <f t="shared" si="8"/>
        <v>0.0992130864073522</v>
      </c>
      <c r="L33" s="106">
        <f t="shared" si="8"/>
        <v>0.08455543614595858</v>
      </c>
      <c r="M33" s="106">
        <f t="shared" si="9"/>
        <v>0.08382606185541693</v>
      </c>
      <c r="N33" s="106">
        <f t="shared" si="10"/>
        <v>0.02694615391973388</v>
      </c>
      <c r="O33" s="106">
        <f t="shared" si="10"/>
        <v>-0.01465765026139362</v>
      </c>
    </row>
    <row r="34" spans="1:15" ht="13.5" thickBot="1">
      <c r="A34" s="15"/>
      <c r="C34" s="22">
        <f>SUM(C28:C33)</f>
        <v>8.526512829121202E-12</v>
      </c>
      <c r="D34" s="22">
        <f>SUM(D28:D33)</f>
        <v>-179.30427236057324</v>
      </c>
      <c r="F34" s="22">
        <f>SUM(F28:F33)</f>
        <v>-685.2108701821942</v>
      </c>
      <c r="H34" s="22">
        <f>SUM(H28:H33)</f>
        <v>6.0254023992456496E-12</v>
      </c>
      <c r="I34" s="22">
        <f>SUM(I28:I33)</f>
        <v>-179.30427236058168</v>
      </c>
      <c r="K34" s="114">
        <f t="shared" si="8"/>
        <v>1.7418869378954413E-16</v>
      </c>
      <c r="L34" s="113">
        <f t="shared" si="8"/>
        <v>-0.0036630188236744807</v>
      </c>
      <c r="M34" s="114">
        <f t="shared" si="9"/>
        <v>-0.013998218127320276</v>
      </c>
      <c r="N34" s="114">
        <f>G34/$J14</f>
        <v>0</v>
      </c>
      <c r="O34" s="113">
        <f>I34/$J14</f>
        <v>-0.003663018823674653</v>
      </c>
    </row>
    <row r="35" spans="1:15" ht="13.5" thickBot="1">
      <c r="A35" s="110" t="s">
        <v>55</v>
      </c>
      <c r="C35" s="18"/>
      <c r="D35" s="18"/>
      <c r="F35" s="18"/>
      <c r="H35" s="18"/>
      <c r="I35" s="18"/>
      <c r="K35" s="18"/>
      <c r="L35" s="18"/>
      <c r="M35" s="18"/>
      <c r="N35" s="18"/>
      <c r="O35" s="18"/>
    </row>
    <row r="36" spans="1:15" ht="12.75">
      <c r="A36" s="25" t="str">
        <f>Input!A12</f>
        <v>Boiler</v>
      </c>
      <c r="B36" s="11"/>
      <c r="C36" s="18">
        <f>K16-J16</f>
        <v>-271.91610396580927</v>
      </c>
      <c r="D36" s="18">
        <f>L16-J16</f>
        <v>-200.69196058943453</v>
      </c>
      <c r="F36" s="18">
        <f>M16-J16</f>
        <v>182.22833720798917</v>
      </c>
      <c r="H36" s="18">
        <f>N16-J16</f>
        <v>-20.60832495181512</v>
      </c>
      <c r="I36" s="18">
        <f>L16-K16</f>
        <v>71.22414337637474</v>
      </c>
      <c r="K36" s="105">
        <f aca="true" t="shared" si="11" ref="K36:L39">C36/$J16</f>
        <v>-0.05165789913063649</v>
      </c>
      <c r="L36" s="105">
        <f t="shared" si="11"/>
        <v>-0.038126925567314944</v>
      </c>
      <c r="M36" s="105">
        <f>F36/$J16</f>
        <v>0.03461925544291255</v>
      </c>
      <c r="N36" s="105">
        <f aca="true" t="shared" si="12" ref="N36:O38">H36/$J16</f>
        <v>-0.003915114831691268</v>
      </c>
      <c r="O36" s="105">
        <f t="shared" si="12"/>
        <v>0.013530973563321544</v>
      </c>
    </row>
    <row r="37" spans="1:15" ht="12.75">
      <c r="A37" s="23" t="str">
        <f>Input!A13</f>
        <v>Boiler Cogen</v>
      </c>
      <c r="C37" s="19">
        <f>K17-J17</f>
        <v>199.0742089906007</v>
      </c>
      <c r="D37" s="19">
        <f>L17-J17</f>
        <v>283.68059689976326</v>
      </c>
      <c r="F37" s="19">
        <f>M17-J17</f>
        <v>394.9861443610407</v>
      </c>
      <c r="H37" s="19">
        <f>N17-J17</f>
        <v>23.10613396699864</v>
      </c>
      <c r="I37" s="19">
        <f>L17-K17</f>
        <v>84.60638790916255</v>
      </c>
      <c r="K37" s="106">
        <f t="shared" si="11"/>
        <v>0.10186197235375785</v>
      </c>
      <c r="L37" s="106">
        <f t="shared" si="11"/>
        <v>0.145153233385775</v>
      </c>
      <c r="M37" s="106">
        <f>F37/$J17</f>
        <v>0.20210587760728657</v>
      </c>
      <c r="N37" s="106">
        <f t="shared" si="12"/>
        <v>0.011822909613870513</v>
      </c>
      <c r="O37" s="106">
        <f t="shared" si="12"/>
        <v>0.043291261032017136</v>
      </c>
    </row>
    <row r="38" spans="1:15" ht="13.5" thickBot="1">
      <c r="A38" s="23" t="str">
        <f>Input!A14</f>
        <v>Turbine Cogen</v>
      </c>
      <c r="C38" s="20">
        <f>K18-J18</f>
        <v>72.84189497520686</v>
      </c>
      <c r="D38" s="20">
        <f>L18-J18</f>
        <v>96.31563605025241</v>
      </c>
      <c r="F38" s="20">
        <f>M18-J18</f>
        <v>107.99638861316907</v>
      </c>
      <c r="H38" s="19">
        <f>N18-J18</f>
        <v>-2.4978090151849415</v>
      </c>
      <c r="I38" s="19">
        <f>L18-K18</f>
        <v>23.473741075045552</v>
      </c>
      <c r="K38" s="106">
        <f t="shared" si="11"/>
        <v>0.23229895181175728</v>
      </c>
      <c r="L38" s="106">
        <f t="shared" si="11"/>
        <v>0.3071586935673731</v>
      </c>
      <c r="M38" s="106">
        <f>F38/$J18</f>
        <v>0.3444095994871272</v>
      </c>
      <c r="N38" s="106">
        <f t="shared" si="12"/>
        <v>-0.007965723794677705</v>
      </c>
      <c r="O38" s="106">
        <f t="shared" si="12"/>
        <v>0.07485974175561581</v>
      </c>
    </row>
    <row r="39" spans="3:15" ht="13.5" thickBot="1">
      <c r="C39" s="22">
        <f>SUM(C36:C38)</f>
        <v>-1.7053025658242404E-12</v>
      </c>
      <c r="D39" s="22">
        <f>SUM(D36:D38)</f>
        <v>179.30427236058114</v>
      </c>
      <c r="F39" s="22">
        <f>SUM(F36:F38)</f>
        <v>685.210870182199</v>
      </c>
      <c r="H39" s="22">
        <f>SUM(H36:H38)</f>
        <v>-1.4210854715202004E-12</v>
      </c>
      <c r="I39" s="22">
        <f>SUM(I36:I38)</f>
        <v>179.30427236058284</v>
      </c>
      <c r="K39" s="112">
        <f t="shared" si="11"/>
        <v>-2.2641645375576903E-16</v>
      </c>
      <c r="L39" s="112">
        <f t="shared" si="11"/>
        <v>0.02380658910902358</v>
      </c>
      <c r="M39" s="112">
        <f>F39/$J19</f>
        <v>0.09097682628922293</v>
      </c>
      <c r="N39" s="112">
        <f>G39/$J19</f>
        <v>0</v>
      </c>
      <c r="O39" s="112">
        <f>I39/$J19</f>
        <v>0.023806589109023807</v>
      </c>
    </row>
  </sheetData>
  <printOptions/>
  <pageMargins left="0.25" right="0.25" top="1" bottom="1" header="0.5" footer="0.5"/>
  <pageSetup fitToHeight="1" fitToWidth="1" horizontalDpi="600" verticalDpi="600" orientation="landscape" scale="89" r:id="rId1"/>
  <headerFooter alignWithMargins="0">
    <oddHeader>&amp;C&amp;"Arial,Bold"&amp;16Allocation Analysis for: &amp;F</oddHeader>
    <oddFooter>&amp;R&amp;F, &amp;A,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E5" sqref="E5"/>
    </sheetView>
  </sheetViews>
  <sheetFormatPr defaultColWidth="9.140625" defaultRowHeight="12.75"/>
  <cols>
    <col min="1" max="1" width="14.28125" style="0" customWidth="1"/>
  </cols>
  <sheetData>
    <row r="3" spans="2:6" ht="12.75">
      <c r="B3" t="s">
        <v>0</v>
      </c>
      <c r="C3" t="s">
        <v>58</v>
      </c>
      <c r="D3" t="s">
        <v>59</v>
      </c>
      <c r="E3" t="s">
        <v>60</v>
      </c>
      <c r="F3" s="85" t="s">
        <v>61</v>
      </c>
    </row>
    <row r="4" spans="1:6" ht="12.75">
      <c r="A4" s="84" t="str">
        <f>Alloc!A8</f>
        <v>Lower Eff Blr</v>
      </c>
      <c r="B4" s="2">
        <f>Alloc!J8</f>
        <v>15413.587200000004</v>
      </c>
      <c r="C4" s="2">
        <f>Alloc!K8</f>
        <v>13018.519211468314</v>
      </c>
      <c r="D4" s="2">
        <f>Alloc!L8</f>
        <v>12987.415385810169</v>
      </c>
      <c r="E4" s="2">
        <f>Alloc!M8</f>
        <v>12836.28313985147</v>
      </c>
      <c r="F4" s="2">
        <f>Alloc!N8</f>
        <v>13131.245868137707</v>
      </c>
    </row>
    <row r="5" spans="1:6" ht="12.75">
      <c r="A5" s="84" t="str">
        <f>Alloc!A9</f>
        <v>Average Boiler</v>
      </c>
      <c r="B5" s="2">
        <f>Alloc!J9</f>
        <v>22770.072000000004</v>
      </c>
      <c r="C5" s="2">
        <f>Alloc!K9</f>
        <v>23078.28405669383</v>
      </c>
      <c r="D5" s="2">
        <f>Alloc!L9</f>
        <v>23023.14545666348</v>
      </c>
      <c r="E5" s="2">
        <f>Alloc!M9</f>
        <v>22755.229202463965</v>
      </c>
      <c r="F5" s="2">
        <f>Alloc!N9</f>
        <v>23278.117675335023</v>
      </c>
    </row>
    <row r="6" spans="1:6" ht="12.75">
      <c r="A6" s="84" t="str">
        <f>Alloc!A10</f>
        <v>Higher Eff Blr</v>
      </c>
      <c r="B6" s="2">
        <f>Alloc!J10</f>
        <v>8538.777</v>
      </c>
      <c r="C6" s="2">
        <f>Alloc!K10</f>
        <v>9615.951690289094</v>
      </c>
      <c r="D6" s="2">
        <f>Alloc!L10</f>
        <v>9592.977273609782</v>
      </c>
      <c r="E6" s="2">
        <f>Alloc!M10</f>
        <v>9481.345501026652</v>
      </c>
      <c r="F6" s="2">
        <f>Alloc!N10</f>
        <v>9699.21569805626</v>
      </c>
    </row>
    <row r="7" spans="1:6" ht="12.75">
      <c r="A7" s="84" t="str">
        <f>Alloc!A11</f>
        <v>GT</v>
      </c>
      <c r="B7" s="2">
        <f>Alloc!J11</f>
        <v>33.016604400000006</v>
      </c>
      <c r="C7" s="2">
        <f>Alloc!K11</f>
        <v>25.741162986312343</v>
      </c>
      <c r="D7" s="2">
        <f>Alloc!L11</f>
        <v>25.679662240124646</v>
      </c>
      <c r="E7" s="2">
        <f>Alloc!M11</f>
        <v>25.380832571979038</v>
      </c>
      <c r="F7" s="2">
        <f>Alloc!N11</f>
        <v>25.96405433018137</v>
      </c>
    </row>
    <row r="8" spans="1:6" ht="12.75">
      <c r="A8" s="84" t="str">
        <f>Alloc!A12</f>
        <v>CC Cogen</v>
      </c>
      <c r="B8" s="2">
        <f>Alloc!J12</f>
        <v>1494.0670320000002</v>
      </c>
      <c r="C8" s="2">
        <f>Alloc!K12</f>
        <v>2441.5404329886273</v>
      </c>
      <c r="D8" s="2">
        <f>Alloc!L12</f>
        <v>2381.7799000024156</v>
      </c>
      <c r="E8" s="2">
        <f>Alloc!M12</f>
        <v>2407.3632174409804</v>
      </c>
      <c r="F8" s="2">
        <f>Alloc!N12</f>
        <v>2096.104965442091</v>
      </c>
    </row>
    <row r="9" spans="1:6" ht="12.75">
      <c r="A9" s="84" t="str">
        <f>Alloc!A13</f>
        <v>Boiler Cogen</v>
      </c>
      <c r="B9" s="2">
        <f>Alloc!J13</f>
        <v>700.3439212500001</v>
      </c>
      <c r="C9" s="2">
        <f>Alloc!K13</f>
        <v>769.8272032238402</v>
      </c>
      <c r="D9" s="2">
        <f>Alloc!L13</f>
        <v>759.5618069634647</v>
      </c>
      <c r="E9" s="2">
        <f>Alloc!M13</f>
        <v>759.0509941127679</v>
      </c>
      <c r="F9" s="2">
        <f>Alloc!N13</f>
        <v>719.2154963487526</v>
      </c>
    </row>
    <row r="10" spans="1:6" ht="12.75">
      <c r="A10" s="84" t="str">
        <f>Alloc!A16</f>
        <v>Boiler</v>
      </c>
      <c r="B10" s="2">
        <f>Alloc!J16</f>
        <v>5263.785568944002</v>
      </c>
      <c r="C10" s="2">
        <f>Alloc!K16</f>
        <v>4991.869464978193</v>
      </c>
      <c r="D10" s="2">
        <f>Alloc!L16</f>
        <v>5063.093608354568</v>
      </c>
      <c r="E10" s="2">
        <f>Alloc!M16</f>
        <v>5446.013906151991</v>
      </c>
      <c r="F10" s="2">
        <f>Alloc!N16</f>
        <v>5243.177243992187</v>
      </c>
    </row>
    <row r="11" spans="1:6" ht="12.75">
      <c r="A11" s="84" t="str">
        <f>Alloc!A17</f>
        <v>Boiler Cogen</v>
      </c>
      <c r="B11" s="2">
        <f>Alloc!J17</f>
        <v>1954.3525850769229</v>
      </c>
      <c r="C11" s="2">
        <f>Alloc!K17</f>
        <v>2153.4267940675236</v>
      </c>
      <c r="D11" s="2">
        <f>Alloc!L17</f>
        <v>2238.033181976686</v>
      </c>
      <c r="E11" s="2">
        <f>Alloc!M17</f>
        <v>2349.3387294379636</v>
      </c>
      <c r="F11" s="2">
        <f>Alloc!N17</f>
        <v>1977.4587190439215</v>
      </c>
    </row>
    <row r="12" spans="1:6" ht="12.75">
      <c r="A12" s="84" t="str">
        <f>Alloc!A18</f>
        <v>Turbine Cogen</v>
      </c>
      <c r="B12" s="2">
        <f>Alloc!J18</f>
        <v>313.56962400000003</v>
      </c>
      <c r="C12" s="2">
        <f>Alloc!K18</f>
        <v>386.4115189752069</v>
      </c>
      <c r="D12" s="2">
        <f>Alloc!L18</f>
        <v>409.88526005025244</v>
      </c>
      <c r="E12" s="2">
        <f>Alloc!M18</f>
        <v>421.5660126131691</v>
      </c>
      <c r="F12" s="2">
        <f>Alloc!N18</f>
        <v>311.0718149848151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McGervey</dc:creator>
  <cp:keywords/>
  <dc:description/>
  <cp:lastModifiedBy>ICF Kaiser International, Inc.</cp:lastModifiedBy>
  <cp:lastPrinted>1999-08-27T14:37:47Z</cp:lastPrinted>
  <dcterms:created xsi:type="dcterms:W3CDTF">1999-07-08T18:33:05Z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