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46" windowWidth="11640" windowHeight="4920" tabRatio="494" activeTab="0"/>
  </bookViews>
  <sheets>
    <sheet name="Dec 31 2007 2207" sheetId="1" r:id="rId1"/>
  </sheets>
  <definedNames>
    <definedName name="_xlnm.Print_Area" localSheetId="0">'Dec 31 2007 2207'!$A$1:$I$103</definedName>
    <definedName name="_xlnm.Print_Titles" localSheetId="0">'Dec 31 2007 2207'!$1:$4</definedName>
    <definedName name="Z_3DC2AF2C_A064_4A76_959F_94FCFD02AE8F_.wvu.PrintArea" localSheetId="0" hidden="1">'Dec 31 2007 2207'!$A$1:$I$103</definedName>
    <definedName name="Z_3DC2AF2C_A064_4A76_959F_94FCFD02AE8F_.wvu.PrintTitles" localSheetId="0" hidden="1">'Dec 31 2007 2207'!$1:$4</definedName>
    <definedName name="Z_8C0D86A3_468E_4FBE_96C3_CA5BE5EF20E9_.wvu.PrintArea" localSheetId="0" hidden="1">'Dec 31 2007 2207'!$A$1:$I$103</definedName>
    <definedName name="Z_8C0D86A3_468E_4FBE_96C3_CA5BE5EF20E9_.wvu.PrintTitles" localSheetId="0" hidden="1">'Dec 31 2007 2207'!$1:$4</definedName>
    <definedName name="Z_C3AF071F_0BD2_472C_94CD_40B213C37A36_.wvu.PrintArea" localSheetId="0" hidden="1">'Dec 31 2007 2207'!$A$1:$I$103</definedName>
    <definedName name="Z_C3AF071F_0BD2_472C_94CD_40B213C37A36_.wvu.PrintTitles" localSheetId="0" hidden="1">'Dec 31 2007 2207'!$1:$4</definedName>
    <definedName name="Z_D7009235_8356_476A_9E4F_4950FD3AEF3F_.wvu.PrintArea" localSheetId="0" hidden="1">'Dec 31 2007 2207'!$A$1:$I$103</definedName>
    <definedName name="Z_D7009235_8356_476A_9E4F_4950FD3AEF3F_.wvu.PrintTitles" localSheetId="0" hidden="1">'Dec 31 2007 2207'!$1:$4</definedName>
  </definedNames>
  <calcPr fullCalcOnLoad="1"/>
</workbook>
</file>

<file path=xl/comments1.xml><?xml version="1.0" encoding="utf-8"?>
<comments xmlns="http://schemas.openxmlformats.org/spreadsheetml/2006/main">
  <authors>
    <author>Hoepfer</author>
  </authors>
  <commentList>
    <comment ref="F4" authorId="0">
      <text>
        <r>
          <rPr>
            <sz val="10"/>
            <rFont val="Arial"/>
            <family val="0"/>
          </rPr>
          <t xml:space="preserve">Hoepfer:col f = g all the time
</t>
        </r>
        <r>
          <rPr>
            <sz val="10"/>
            <rFont val="Arial"/>
            <family val="0"/>
          </rPr>
          <t xml:space="preserve">
</t>
        </r>
      </text>
    </comment>
    <comment ref="H4" authorId="0">
      <text>
        <r>
          <rPr>
            <sz val="10"/>
            <rFont val="Arial"/>
            <family val="0"/>
          </rPr>
          <t>Hoepfer:</t>
        </r>
        <r>
          <rPr>
            <sz val="10"/>
            <rFont val="Arial"/>
            <family val="0"/>
          </rPr>
          <t xml:space="preserve">
Use Blue and White Chart for a columns H and I
</t>
        </r>
      </text>
    </comment>
  </commentList>
</comments>
</file>

<file path=xl/sharedStrings.xml><?xml version="1.0" encoding="utf-8"?>
<sst xmlns="http://schemas.openxmlformats.org/spreadsheetml/2006/main" count="175" uniqueCount="173">
  <si>
    <t>-- Security</t>
  </si>
  <si>
    <t>-- Generation</t>
  </si>
  <si>
    <t>-- Expand Network of Employment Centers</t>
  </si>
  <si>
    <t>-- Migration &amp; Refugee Assistance</t>
  </si>
  <si>
    <t>-- Property Claims Tribunal</t>
  </si>
  <si>
    <t>-- Human Rights</t>
  </si>
  <si>
    <t>-- Civic Programs</t>
  </si>
  <si>
    <t>-- Education</t>
  </si>
  <si>
    <t>-- Border Enforcement</t>
  </si>
  <si>
    <t>-- National Security Communications Network</t>
  </si>
  <si>
    <t>-- Witness Protection Program</t>
  </si>
  <si>
    <t>-- Iraqi Communications Systems</t>
  </si>
  <si>
    <t>-- Iraqi Communications Operations</t>
  </si>
  <si>
    <t>-- Roads &amp; Bridges</t>
  </si>
  <si>
    <t>GRAND TOTAL</t>
  </si>
  <si>
    <t>-- Micro-Small-Medium Enterprises</t>
  </si>
  <si>
    <t>-- Democracy Building Activities</t>
  </si>
  <si>
    <t>-- U.S. Institute of Peace (USIP)</t>
  </si>
  <si>
    <t>Law Enforcement</t>
  </si>
  <si>
    <t>National Security</t>
  </si>
  <si>
    <t>Justice, Public Safety Infrastructure, and Civil Society</t>
  </si>
  <si>
    <t>-- Other Technical Investigative Methods</t>
  </si>
  <si>
    <t>-- Penal Facilities</t>
  </si>
  <si>
    <t>-- Reconstruction and Modernization of Detention Facilities</t>
  </si>
  <si>
    <t>-- Facilities Protection, Mine Removal, Fire Service, and Public Safety Facility and Equipment Repairs</t>
  </si>
  <si>
    <t>-- Public Safety Training and Facilities</t>
  </si>
  <si>
    <t>-- Investigations of Crimes Against Humanity</t>
  </si>
  <si>
    <t>-- Judicial Security and Facilities</t>
  </si>
  <si>
    <t>Security &amp; Law Enforcement</t>
  </si>
  <si>
    <t>Electric Sector</t>
  </si>
  <si>
    <t>Category</t>
  </si>
  <si>
    <t>-- Network Infrastructure</t>
  </si>
  <si>
    <t>-- Transmission</t>
  </si>
  <si>
    <t>-- Automated Monitoring and Control System</t>
  </si>
  <si>
    <t>Oil Infrastructure</t>
  </si>
  <si>
    <t>-- Infrastructure</t>
  </si>
  <si>
    <t>-- Emergency Supplies of Refined Petroleum Products</t>
  </si>
  <si>
    <t>Water Resources and Sanitation</t>
  </si>
  <si>
    <t>Public Works Projects</t>
  </si>
  <si>
    <t>-- Potable Water</t>
  </si>
  <si>
    <t>-- Water Conservation</t>
  </si>
  <si>
    <t>-- Sewerage</t>
  </si>
  <si>
    <t>-- Other Solid Waste Management</t>
  </si>
  <si>
    <t>Water Resources Projects</t>
  </si>
  <si>
    <t>-- Pumping Stations and Generators</t>
  </si>
  <si>
    <t>-- Major Irrigation Projects</t>
  </si>
  <si>
    <t>-- Irrigation and Drainage Systems</t>
  </si>
  <si>
    <t>-- Dam Repair, Rehab, and New Construction</t>
  </si>
  <si>
    <t>-- Umm Qasr to Basra Water Pipeline and Treatment Plant</t>
  </si>
  <si>
    <t>Transportation &amp; Telecommunications Projects</t>
  </si>
  <si>
    <t>-- Umm Qasr Port Rehab</t>
  </si>
  <si>
    <t>-- Railroad Rehab and Restoration</t>
  </si>
  <si>
    <t>-- Iraqi Telecom and Postal Corporation</t>
  </si>
  <si>
    <t>Roads, Bridges, and Construction</t>
  </si>
  <si>
    <t>-- Public Buildings Construction and Repair</t>
  </si>
  <si>
    <t>Health Care</t>
  </si>
  <si>
    <t>-- Nationwide Hospital and Clinic Improvements</t>
  </si>
  <si>
    <t>-- Equipment Procurement and Modernization</t>
  </si>
  <si>
    <t>Education, Refugees, Human Rights, Democracy, and Governance</t>
  </si>
  <si>
    <t>-- Banking System Modernizations</t>
  </si>
  <si>
    <t>of which:</t>
  </si>
  <si>
    <t>-- Operations and Personnel</t>
  </si>
  <si>
    <t>-- Equipment</t>
  </si>
  <si>
    <t>Millions of Dollars</t>
  </si>
  <si>
    <t>-- Pediatric Facility in Basra</t>
  </si>
  <si>
    <t>--Rule of Law in Iraq</t>
  </si>
  <si>
    <t>-- USAID</t>
  </si>
  <si>
    <t>-- Iraqi Armed Forces</t>
  </si>
  <si>
    <t>-- IAF Facilities</t>
  </si>
  <si>
    <t>-- IAF Equipment</t>
  </si>
  <si>
    <t>-- Civil Aviation</t>
  </si>
  <si>
    <t>-- Facilities Protection Service</t>
  </si>
  <si>
    <t>-- IAF Training and Operations</t>
  </si>
  <si>
    <t>Administrative Expenses</t>
  </si>
  <si>
    <t>-- Administrative Expenses for U.S. Mission to Iraq</t>
  </si>
  <si>
    <t>Project Codes</t>
  </si>
  <si>
    <t>09500</t>
  </si>
  <si>
    <t>15000</t>
  </si>
  <si>
    <t>25000</t>
  </si>
  <si>
    <t>05000</t>
  </si>
  <si>
    <t>09000</t>
  </si>
  <si>
    <t>06000</t>
  </si>
  <si>
    <t>07000</t>
  </si>
  <si>
    <t>40000</t>
  </si>
  <si>
    <t>41000</t>
  </si>
  <si>
    <t>42000</t>
  </si>
  <si>
    <t>43000</t>
  </si>
  <si>
    <t>45000</t>
  </si>
  <si>
    <t>50000</t>
  </si>
  <si>
    <t>51000</t>
  </si>
  <si>
    <t>60000</t>
  </si>
  <si>
    <t>61000</t>
  </si>
  <si>
    <t>62000</t>
  </si>
  <si>
    <t>63000</t>
  </si>
  <si>
    <t>64000</t>
  </si>
  <si>
    <t>65000</t>
  </si>
  <si>
    <t>66000</t>
  </si>
  <si>
    <t>67000</t>
  </si>
  <si>
    <t>68000</t>
  </si>
  <si>
    <t>70000</t>
  </si>
  <si>
    <t>71000</t>
  </si>
  <si>
    <t>72000</t>
  </si>
  <si>
    <t>74000</t>
  </si>
  <si>
    <t>76000</t>
  </si>
  <si>
    <t>79000</t>
  </si>
  <si>
    <t>81000</t>
  </si>
  <si>
    <t>82000</t>
  </si>
  <si>
    <t>90000</t>
  </si>
  <si>
    <t>91000</t>
  </si>
  <si>
    <t>92000</t>
  </si>
  <si>
    <t>01000</t>
  </si>
  <si>
    <t>03000</t>
  </si>
  <si>
    <t>04000</t>
  </si>
  <si>
    <t>05500</t>
  </si>
  <si>
    <t>08000</t>
  </si>
  <si>
    <t>06300</t>
  </si>
  <si>
    <t>06600</t>
  </si>
  <si>
    <t>06500</t>
  </si>
  <si>
    <t>26000</t>
  </si>
  <si>
    <t>-- Iraq Debt Forgiveness</t>
  </si>
  <si>
    <t>-- Agriculture</t>
  </si>
  <si>
    <t>06700</t>
  </si>
  <si>
    <t>-- Institutional Reforms</t>
  </si>
  <si>
    <t>-- Market-Based Reforms</t>
  </si>
  <si>
    <t>69000</t>
  </si>
  <si>
    <t>-- Governance</t>
  </si>
  <si>
    <t>01500</t>
  </si>
  <si>
    <t>02500</t>
  </si>
  <si>
    <t>03500</t>
  </si>
  <si>
    <t>04500</t>
  </si>
  <si>
    <t>-- Basra Channel Flushing</t>
  </si>
  <si>
    <t>28000</t>
  </si>
  <si>
    <t>Commanders' Humanitarian Relief &amp; Reconstruction</t>
  </si>
  <si>
    <t>01600</t>
  </si>
  <si>
    <t>-- Facilities Repair</t>
  </si>
  <si>
    <t>-- Demining</t>
  </si>
  <si>
    <t>-- Fire Service</t>
  </si>
  <si>
    <t>14000</t>
  </si>
  <si>
    <t>13000</t>
  </si>
  <si>
    <t>-- Facilities</t>
  </si>
  <si>
    <t>--  Vocational Training</t>
  </si>
  <si>
    <t>--  Business Skills Training</t>
  </si>
  <si>
    <t>02001</t>
  </si>
  <si>
    <t>76500</t>
  </si>
  <si>
    <t>-- Police Training and Technical Assistance</t>
  </si>
  <si>
    <t>-- Consolidated Fiber Network</t>
  </si>
  <si>
    <t>-- Iraqi Security Forces Quick Response Program</t>
  </si>
  <si>
    <t>New Changes in Report</t>
  </si>
  <si>
    <t>IRAQ RELIEF AND RECONSTRUCTION FUND (IRRF) - Status of Funds</t>
  </si>
  <si>
    <t>09500a</t>
  </si>
  <si>
    <t>Nonproliferation and Export Control &amp; Border Security</t>
  </si>
  <si>
    <t>08500</t>
  </si>
  <si>
    <t>Focused Stabilization</t>
  </si>
  <si>
    <t>09600</t>
  </si>
  <si>
    <t>06750</t>
  </si>
  <si>
    <t>-- Marla Ruzicka WVF</t>
  </si>
  <si>
    <t>91500</t>
  </si>
  <si>
    <t>-- Pediatric Facility in Basra II</t>
  </si>
  <si>
    <t>06050</t>
  </si>
  <si>
    <r>
      <t xml:space="preserve">-- </t>
    </r>
    <r>
      <rPr>
        <i/>
        <sz val="10"/>
        <rFont val="Arial"/>
        <family val="2"/>
      </rPr>
      <t>Iraqi National Guard</t>
    </r>
  </si>
  <si>
    <t>Post Conflict Reintergration</t>
  </si>
  <si>
    <t>08400</t>
  </si>
  <si>
    <t xml:space="preserve">Apportioned </t>
  </si>
  <si>
    <t>Oct 5, 2007 Allocation</t>
  </si>
  <si>
    <r>
      <t>Note:</t>
    </r>
    <r>
      <rPr>
        <sz val="9"/>
        <color indexed="8"/>
        <rFont val="Arial"/>
        <family val="2"/>
      </rPr>
      <t xml:space="preserve"> Of the $18.449 billion appropriated to IRRF, $402.4 million are “expired funds” that cannot be used for new obligations per U.S. law and financial regulations.  Instead, these funds can only be used for a limited number of activities related to existing IRRF-funded contracts as required by law, such as if there is a reasonable upward adjustment on a claim.</t>
    </r>
  </si>
  <si>
    <t>Private Sector Development</t>
  </si>
  <si>
    <t>Previously Notified Changes in Report</t>
  </si>
  <si>
    <t>Dec 31, 2007 Allocation</t>
  </si>
  <si>
    <t>Actual Obligations 
(as of Dec 31)</t>
  </si>
  <si>
    <t>Actual Outlays 
(as of Dec 31)</t>
  </si>
  <si>
    <t xml:space="preserve"> </t>
  </si>
  <si>
    <t>Actuals Thru 1st Quarter, FY 2008</t>
  </si>
  <si>
    <t>-- Ministerial Capacity Building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</si>
</sst>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"/>
    <numFmt numFmtId="166" formatCode="&quot;$&quot;#,##0.0"/>
    <numFmt numFmtId="167" formatCode="&quot;$&quot;#,##0.000000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#,##0.0"/>
    <numFmt numFmtId="172" formatCode="0.000"/>
    <numFmt numFmtId="173" formatCode="#,##0.000"/>
    <numFmt numFmtId="174" formatCode="#,##0.0000"/>
    <numFmt numFmtId="175" formatCode="#,##0.00000"/>
    <numFmt numFmtId="176" formatCode="0.0000"/>
    <numFmt numFmtId="177" formatCode="0.0%"/>
    <numFmt numFmtId="178" formatCode="0.000%"/>
    <numFmt numFmtId="179" formatCode="0.00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0000_);_(* \(#,##0.00000\);_(* &quot;-&quot;_);_(@_)"/>
    <numFmt numFmtId="190" formatCode="_(* #,##0.0_);_(* \(#,##0.0\);_(* &quot;-&quot;?_);_(@_)"/>
    <numFmt numFmtId="191" formatCode="_(* #,##0.000000_);_(* \(#,##0.000000\);_(* &quot;-&quot;_);_(@_)"/>
    <numFmt numFmtId="192" formatCode="_(* #,##0.0000000_);_(* \(#,##0.0000000\);_(* &quot;-&quot;_);_(@_)"/>
    <numFmt numFmtId="193" formatCode="_(* #,##0.00000000_);_(* \(#,##0.00000000\);_(* &quot;-&quot;_);_(@_)"/>
    <numFmt numFmtId="194" formatCode="_(* #,##0.000000000_);_(* \(#,##0.000000000\);_(* &quot;-&quot;_);_(@_)"/>
    <numFmt numFmtId="195" formatCode="_(* #,##0.000000000_);_(* \(#,##0.000000000\);_(* &quot;-&quot;?????????_);_(@_)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_(* #,##0.000000000_);_(* \(#,##0.000000000\);_(* &quot;-&quot;??_);_(@_)"/>
    <numFmt numFmtId="203" formatCode="_(* #,##0.0000000000_);_(* \(#,##0.0000000000\);_(* &quot;-&quot;??_);_(@_)"/>
    <numFmt numFmtId="204" formatCode="_(* #,##0.00000000000_);_(* \(#,##0.00000000000\);_(* &quot;-&quot;??_);_(@_)"/>
    <numFmt numFmtId="205" formatCode="_(* #,##0.000000000000_);_(* \(#,##0.000000000000\);_(* &quot;-&quot;??_);_(@_)"/>
    <numFmt numFmtId="206" formatCode="_(* #,##0.0000000000000_);_(* \(#,##0.0000000000000\);_(* &quot;-&quot;??_);_(@_)"/>
    <numFmt numFmtId="207" formatCode="_(* #,##0.00000000000000_);_(* \(#,##0.00000000000000\);_(* &quot;-&quot;??_);_(@_)"/>
    <numFmt numFmtId="208" formatCode="_(* #,##0.000000000000000_);_(* \(#,##0.000000000000000\);_(* &quot;-&quot;??_);_(@_)"/>
    <numFmt numFmtId="209" formatCode="_(* #,##0.0000000000000000_);_(* \(#,##0.0000000000000000\);_(* &quot;-&quot;??_);_(@_)"/>
    <numFmt numFmtId="210" formatCode="#,##0.0_);\(#,##0.0\)"/>
    <numFmt numFmtId="211" formatCode="_(* #,##0.00000_);_(* \(#,##0.00000\);_(* &quot;-&quot;?????_);_(@_)"/>
    <numFmt numFmtId="212" formatCode="_(* #,##0.0000000_);_(* \(#,##0.0000000\);_(* &quot;-&quot;???????_);_(@_)"/>
    <numFmt numFmtId="213" formatCode="0.00000"/>
    <numFmt numFmtId="214" formatCode="0.00000000"/>
    <numFmt numFmtId="215" formatCode="0.000000000"/>
    <numFmt numFmtId="216" formatCode="0.0000000000"/>
    <numFmt numFmtId="217" formatCode="#,##0.00000000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33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quotePrefix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 quotePrefix="1">
      <alignment horizontal="left" vertical="top" wrapText="1" indent="2"/>
    </xf>
    <xf numFmtId="0" fontId="4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 quotePrefix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6" fontId="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22" fontId="0" fillId="0" borderId="0" xfId="0" applyNumberForma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10" xfId="0" applyFont="1" applyFill="1" applyBorder="1" applyAlignment="1" quotePrefix="1">
      <alignment horizontal="left" vertical="top" wrapText="1" indent="1"/>
    </xf>
    <xf numFmtId="41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209" fontId="0" fillId="0" borderId="0" xfId="0" applyNumberFormat="1" applyFill="1" applyAlignment="1">
      <alignment/>
    </xf>
    <xf numFmtId="0" fontId="0" fillId="0" borderId="13" xfId="0" applyFont="1" applyFill="1" applyBorder="1" applyAlignment="1">
      <alignment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 quotePrefix="1">
      <alignment horizontal="left" vertical="top" wrapText="1" indent="1"/>
    </xf>
    <xf numFmtId="49" fontId="0" fillId="0" borderId="11" xfId="0" applyNumberFormat="1" applyFont="1" applyFill="1" applyBorder="1" applyAlignment="1" quotePrefix="1">
      <alignment horizontal="center" vertical="top" wrapText="1"/>
    </xf>
    <xf numFmtId="0" fontId="4" fillId="33" borderId="14" xfId="0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 quotePrefix="1">
      <alignment horizontal="left" vertical="top" wrapText="1" indent="1"/>
    </xf>
    <xf numFmtId="49" fontId="0" fillId="0" borderId="16" xfId="0" applyNumberFormat="1" applyFont="1" applyFill="1" applyBorder="1" applyAlignment="1" quotePrefix="1">
      <alignment horizontal="center" vertical="top" wrapText="1"/>
    </xf>
    <xf numFmtId="217" fontId="4" fillId="0" borderId="17" xfId="0" applyNumberFormat="1" applyFont="1" applyFill="1" applyBorder="1" applyAlignment="1">
      <alignment horizontal="center" wrapText="1"/>
    </xf>
    <xf numFmtId="217" fontId="0" fillId="0" borderId="0" xfId="0" applyNumberFormat="1" applyFill="1" applyBorder="1" applyAlignment="1">
      <alignment vertical="top"/>
    </xf>
    <xf numFmtId="217" fontId="0" fillId="0" borderId="0" xfId="0" applyNumberFormat="1" applyFill="1" applyBorder="1" applyAlignment="1">
      <alignment/>
    </xf>
    <xf numFmtId="217" fontId="0" fillId="0" borderId="0" xfId="0" applyNumberFormat="1" applyBorder="1" applyAlignment="1">
      <alignment/>
    </xf>
    <xf numFmtId="217" fontId="0" fillId="0" borderId="0" xfId="0" applyNumberFormat="1" applyFill="1" applyAlignment="1">
      <alignment/>
    </xf>
    <xf numFmtId="217" fontId="4" fillId="0" borderId="17" xfId="0" applyNumberFormat="1" applyFont="1" applyBorder="1" applyAlignment="1">
      <alignment horizontal="center" wrapText="1"/>
    </xf>
    <xf numFmtId="217" fontId="4" fillId="0" borderId="18" xfId="0" applyNumberFormat="1" applyFont="1" applyBorder="1" applyAlignment="1">
      <alignment horizontal="center" wrapText="1"/>
    </xf>
    <xf numFmtId="214" fontId="4" fillId="0" borderId="12" xfId="0" applyNumberFormat="1" applyFont="1" applyFill="1" applyBorder="1" applyAlignment="1">
      <alignment horizontal="center" wrapText="1"/>
    </xf>
    <xf numFmtId="214" fontId="0" fillId="0" borderId="0" xfId="0" applyNumberFormat="1" applyFill="1" applyBorder="1" applyAlignment="1">
      <alignment/>
    </xf>
    <xf numFmtId="214" fontId="0" fillId="0" borderId="0" xfId="0" applyNumberFormat="1" applyFill="1" applyBorder="1" applyAlignment="1">
      <alignment vertical="top"/>
    </xf>
    <xf numFmtId="214" fontId="0" fillId="0" borderId="0" xfId="0" applyNumberFormat="1" applyBorder="1" applyAlignment="1">
      <alignment/>
    </xf>
    <xf numFmtId="170" fontId="4" fillId="33" borderId="19" xfId="0" applyNumberFormat="1" applyFont="1" applyFill="1" applyBorder="1" applyAlignment="1">
      <alignment horizontal="right" vertical="top" wrapText="1"/>
    </xf>
    <xf numFmtId="170" fontId="4" fillId="33" borderId="20" xfId="0" applyNumberFormat="1" applyFont="1" applyFill="1" applyBorder="1" applyAlignment="1">
      <alignment horizontal="right" vertical="top" wrapText="1"/>
    </xf>
    <xf numFmtId="170" fontId="4" fillId="33" borderId="21" xfId="0" applyNumberFormat="1" applyFont="1" applyFill="1" applyBorder="1" applyAlignment="1">
      <alignment horizontal="right" vertical="top" wrapText="1"/>
    </xf>
    <xf numFmtId="170" fontId="0" fillId="0" borderId="22" xfId="0" applyNumberFormat="1" applyFont="1" applyFill="1" applyBorder="1" applyAlignment="1">
      <alignment horizontal="right" vertical="top" wrapText="1"/>
    </xf>
    <xf numFmtId="170" fontId="0" fillId="0" borderId="23" xfId="0" applyNumberFormat="1" applyFont="1" applyFill="1" applyBorder="1" applyAlignment="1">
      <alignment horizontal="right" vertical="top" wrapText="1"/>
    </xf>
    <xf numFmtId="170" fontId="0" fillId="0" borderId="24" xfId="0" applyNumberFormat="1" applyFont="1" applyFill="1" applyBorder="1" applyAlignment="1">
      <alignment horizontal="right" vertical="top" wrapText="1"/>
    </xf>
    <xf numFmtId="170" fontId="3" fillId="34" borderId="22" xfId="0" applyNumberFormat="1" applyFont="1" applyFill="1" applyBorder="1" applyAlignment="1">
      <alignment horizontal="right" vertical="top" wrapText="1"/>
    </xf>
    <xf numFmtId="170" fontId="3" fillId="0" borderId="23" xfId="0" applyNumberFormat="1" applyFont="1" applyFill="1" applyBorder="1" applyAlignment="1">
      <alignment horizontal="right" vertical="top" wrapText="1"/>
    </xf>
    <xf numFmtId="170" fontId="3" fillId="0" borderId="24" xfId="0" applyNumberFormat="1" applyFont="1" applyFill="1" applyBorder="1" applyAlignment="1">
      <alignment horizontal="right" vertical="top" wrapText="1"/>
    </xf>
    <xf numFmtId="170" fontId="3" fillId="34" borderId="23" xfId="0" applyNumberFormat="1" applyFont="1" applyFill="1" applyBorder="1" applyAlignment="1">
      <alignment horizontal="right" vertical="top" wrapText="1"/>
    </xf>
    <xf numFmtId="170" fontId="3" fillId="34" borderId="25" xfId="0" applyNumberFormat="1" applyFont="1" applyFill="1" applyBorder="1" applyAlignment="1">
      <alignment horizontal="right" vertical="top" wrapText="1"/>
    </xf>
    <xf numFmtId="170" fontId="3" fillId="0" borderId="22" xfId="0" applyNumberFormat="1" applyFont="1" applyFill="1" applyBorder="1" applyAlignment="1">
      <alignment horizontal="right" vertical="top" wrapText="1"/>
    </xf>
    <xf numFmtId="170" fontId="3" fillId="0" borderId="26" xfId="0" applyNumberFormat="1" applyFont="1" applyFill="1" applyBorder="1" applyAlignment="1">
      <alignment horizontal="right" vertical="top" wrapText="1"/>
    </xf>
    <xf numFmtId="170" fontId="3" fillId="0" borderId="25" xfId="0" applyNumberFormat="1" applyFont="1" applyFill="1" applyBorder="1" applyAlignment="1">
      <alignment horizontal="right" vertical="top" wrapText="1"/>
    </xf>
    <xf numFmtId="170" fontId="3" fillId="34" borderId="22" xfId="0" applyNumberFormat="1" applyFont="1" applyFill="1" applyBorder="1" applyAlignment="1" quotePrefix="1">
      <alignment horizontal="right" vertical="top" wrapText="1"/>
    </xf>
    <xf numFmtId="170" fontId="3" fillId="0" borderId="23" xfId="0" applyNumberFormat="1" applyFont="1" applyFill="1" applyBorder="1" applyAlignment="1" quotePrefix="1">
      <alignment horizontal="right" vertical="top" wrapText="1"/>
    </xf>
    <xf numFmtId="170" fontId="3" fillId="34" borderId="26" xfId="0" applyNumberFormat="1" applyFont="1" applyFill="1" applyBorder="1" applyAlignment="1" quotePrefix="1">
      <alignment horizontal="right" vertical="top" wrapText="1"/>
    </xf>
    <xf numFmtId="170" fontId="3" fillId="34" borderId="27" xfId="0" applyNumberFormat="1" applyFont="1" applyFill="1" applyBorder="1" applyAlignment="1">
      <alignment horizontal="right" vertical="top" wrapText="1"/>
    </xf>
    <xf numFmtId="170" fontId="3" fillId="0" borderId="28" xfId="0" applyNumberFormat="1" applyFont="1" applyFill="1" applyBorder="1" applyAlignment="1">
      <alignment horizontal="right" vertical="top" wrapText="1"/>
    </xf>
    <xf numFmtId="170" fontId="3" fillId="0" borderId="29" xfId="0" applyNumberFormat="1" applyFont="1" applyFill="1" applyBorder="1" applyAlignment="1">
      <alignment horizontal="right" vertical="top" wrapText="1"/>
    </xf>
    <xf numFmtId="170" fontId="3" fillId="34" borderId="30" xfId="0" applyNumberFormat="1" applyFont="1" applyFill="1" applyBorder="1" applyAlignment="1" quotePrefix="1">
      <alignment horizontal="right" vertical="top" wrapText="1"/>
    </xf>
    <xf numFmtId="170" fontId="3" fillId="34" borderId="31" xfId="0" applyNumberFormat="1" applyFont="1" applyFill="1" applyBorder="1" applyAlignment="1">
      <alignment horizontal="right" vertical="top" wrapText="1"/>
    </xf>
    <xf numFmtId="170" fontId="0" fillId="34" borderId="27" xfId="0" applyNumberFormat="1" applyFont="1" applyFill="1" applyBorder="1" applyAlignment="1">
      <alignment horizontal="right" vertical="top" wrapText="1"/>
    </xf>
    <xf numFmtId="170" fontId="0" fillId="0" borderId="28" xfId="0" applyNumberFormat="1" applyFont="1" applyFill="1" applyBorder="1" applyAlignment="1">
      <alignment horizontal="right" vertical="top" wrapText="1"/>
    </xf>
    <xf numFmtId="170" fontId="0" fillId="0" borderId="29" xfId="0" applyNumberFormat="1" applyFont="1" applyFill="1" applyBorder="1" applyAlignment="1">
      <alignment horizontal="right" vertical="top" wrapText="1"/>
    </xf>
    <xf numFmtId="170" fontId="4" fillId="33" borderId="32" xfId="0" applyNumberFormat="1" applyFont="1" applyFill="1" applyBorder="1" applyAlignment="1">
      <alignment horizontal="right" vertical="top" wrapText="1"/>
    </xf>
    <xf numFmtId="170" fontId="4" fillId="33" borderId="23" xfId="0" applyNumberFormat="1" applyFont="1" applyFill="1" applyBorder="1" applyAlignment="1">
      <alignment horizontal="right" vertical="top" wrapText="1"/>
    </xf>
    <xf numFmtId="170" fontId="4" fillId="33" borderId="33" xfId="0" applyNumberFormat="1" applyFont="1" applyFill="1" applyBorder="1" applyAlignment="1">
      <alignment horizontal="right" vertical="top" wrapText="1"/>
    </xf>
    <xf numFmtId="170" fontId="4" fillId="33" borderId="22" xfId="0" applyNumberFormat="1" applyFont="1" applyFill="1" applyBorder="1" applyAlignment="1">
      <alignment horizontal="right" vertical="top" wrapText="1"/>
    </xf>
    <xf numFmtId="170" fontId="4" fillId="33" borderId="10" xfId="0" applyNumberFormat="1" applyFont="1" applyFill="1" applyBorder="1" applyAlignment="1">
      <alignment horizontal="right" vertical="top" wrapText="1"/>
    </xf>
    <xf numFmtId="170" fontId="3" fillId="34" borderId="34" xfId="0" applyNumberFormat="1" applyFont="1" applyFill="1" applyBorder="1" applyAlignment="1">
      <alignment horizontal="right" vertical="top" wrapText="1"/>
    </xf>
    <xf numFmtId="170" fontId="3" fillId="0" borderId="35" xfId="0" applyNumberFormat="1" applyFont="1" applyFill="1" applyBorder="1" applyAlignment="1">
      <alignment horizontal="right" vertical="top" wrapText="1"/>
    </xf>
    <xf numFmtId="170" fontId="3" fillId="0" borderId="21" xfId="0" applyNumberFormat="1" applyFont="1" applyFill="1" applyBorder="1" applyAlignment="1">
      <alignment horizontal="right" vertical="top" wrapText="1"/>
    </xf>
    <xf numFmtId="170" fontId="3" fillId="34" borderId="35" xfId="0" applyNumberFormat="1" applyFont="1" applyFill="1" applyBorder="1" applyAlignment="1">
      <alignment horizontal="right" vertical="top" wrapText="1"/>
    </xf>
    <xf numFmtId="170" fontId="3" fillId="34" borderId="36" xfId="0" applyNumberFormat="1" applyFont="1" applyFill="1" applyBorder="1" applyAlignment="1">
      <alignment horizontal="right" vertical="top" wrapText="1"/>
    </xf>
    <xf numFmtId="170" fontId="10" fillId="34" borderId="22" xfId="0" applyNumberFormat="1" applyFont="1" applyFill="1" applyBorder="1" applyAlignment="1">
      <alignment horizontal="right" vertical="top" wrapText="1"/>
    </xf>
    <xf numFmtId="170" fontId="10" fillId="0" borderId="23" xfId="0" applyNumberFormat="1" applyFont="1" applyFill="1" applyBorder="1" applyAlignment="1">
      <alignment horizontal="right" vertical="top" wrapText="1"/>
    </xf>
    <xf numFmtId="170" fontId="10" fillId="0" borderId="24" xfId="0" applyNumberFormat="1" applyFont="1" applyFill="1" applyBorder="1" applyAlignment="1">
      <alignment horizontal="right" vertical="top" wrapText="1"/>
    </xf>
    <xf numFmtId="170" fontId="4" fillId="33" borderId="24" xfId="0" applyNumberFormat="1" applyFont="1" applyFill="1" applyBorder="1" applyAlignment="1">
      <alignment horizontal="right" vertical="top" wrapText="1"/>
    </xf>
    <xf numFmtId="170" fontId="4" fillId="33" borderId="25" xfId="0" applyNumberFormat="1" applyFont="1" applyFill="1" applyBorder="1" applyAlignment="1">
      <alignment horizontal="right" vertical="top" wrapText="1"/>
    </xf>
    <xf numFmtId="170" fontId="4" fillId="33" borderId="26" xfId="0" applyNumberFormat="1" applyFont="1" applyFill="1" applyBorder="1" applyAlignment="1">
      <alignment horizontal="right" vertical="top" wrapText="1"/>
    </xf>
    <xf numFmtId="170" fontId="0" fillId="0" borderId="26" xfId="0" applyNumberFormat="1" applyFont="1" applyFill="1" applyBorder="1" applyAlignment="1">
      <alignment horizontal="right" vertical="top" wrapText="1"/>
    </xf>
    <xf numFmtId="170" fontId="10" fillId="35" borderId="23" xfId="0" applyNumberFormat="1" applyFont="1" applyFill="1" applyBorder="1" applyAlignment="1">
      <alignment horizontal="right" vertical="top" wrapText="1"/>
    </xf>
    <xf numFmtId="170" fontId="10" fillId="35" borderId="25" xfId="0" applyNumberFormat="1" applyFont="1" applyFill="1" applyBorder="1" applyAlignment="1">
      <alignment horizontal="right" vertical="top" wrapText="1"/>
    </xf>
    <xf numFmtId="170" fontId="3" fillId="34" borderId="37" xfId="0" applyNumberFormat="1" applyFont="1" applyFill="1" applyBorder="1" applyAlignment="1">
      <alignment horizontal="right" vertical="top" wrapText="1"/>
    </xf>
    <xf numFmtId="170" fontId="4" fillId="33" borderId="37" xfId="42" applyNumberFormat="1" applyFont="1" applyFill="1" applyBorder="1" applyAlignment="1">
      <alignment horizontal="right" vertical="top" wrapText="1" readingOrder="1"/>
    </xf>
    <xf numFmtId="170" fontId="4" fillId="33" borderId="32" xfId="42" applyNumberFormat="1" applyFont="1" applyFill="1" applyBorder="1" applyAlignment="1">
      <alignment horizontal="right" vertical="top" wrapText="1" readingOrder="1"/>
    </xf>
    <xf numFmtId="170" fontId="4" fillId="33" borderId="23" xfId="42" applyNumberFormat="1" applyFont="1" applyFill="1" applyBorder="1" applyAlignment="1">
      <alignment horizontal="right" vertical="top" wrapText="1" readingOrder="1"/>
    </xf>
    <xf numFmtId="170" fontId="4" fillId="33" borderId="24" xfId="42" applyNumberFormat="1" applyFont="1" applyFill="1" applyBorder="1" applyAlignment="1">
      <alignment horizontal="right" vertical="top" wrapText="1" readingOrder="1"/>
    </xf>
    <xf numFmtId="170" fontId="4" fillId="33" borderId="22" xfId="0" applyNumberFormat="1" applyFont="1" applyFill="1" applyBorder="1" applyAlignment="1" quotePrefix="1">
      <alignment horizontal="right" vertical="top" wrapText="1" readingOrder="1"/>
    </xf>
    <xf numFmtId="170" fontId="4" fillId="33" borderId="23" xfId="0" applyNumberFormat="1" applyFont="1" applyFill="1" applyBorder="1" applyAlignment="1" quotePrefix="1">
      <alignment horizontal="right" vertical="top" wrapText="1" readingOrder="1"/>
    </xf>
    <xf numFmtId="170" fontId="4" fillId="33" borderId="24" xfId="0" applyNumberFormat="1" applyFont="1" applyFill="1" applyBorder="1" applyAlignment="1" quotePrefix="1">
      <alignment horizontal="right" vertical="top" wrapText="1" readingOrder="1"/>
    </xf>
    <xf numFmtId="170" fontId="0" fillId="34" borderId="22" xfId="0" applyNumberFormat="1" applyFont="1" applyFill="1" applyBorder="1" applyAlignment="1">
      <alignment horizontal="right" vertical="top" wrapText="1"/>
    </xf>
    <xf numFmtId="170" fontId="0" fillId="34" borderId="23" xfId="0" applyNumberFormat="1" applyFont="1" applyFill="1" applyBorder="1" applyAlignment="1">
      <alignment horizontal="right" vertical="top" wrapText="1"/>
    </xf>
    <xf numFmtId="170" fontId="0" fillId="34" borderId="25" xfId="0" applyNumberFormat="1" applyFont="1" applyFill="1" applyBorder="1" applyAlignment="1">
      <alignment horizontal="right" vertical="top" wrapText="1"/>
    </xf>
    <xf numFmtId="170" fontId="0" fillId="34" borderId="38" xfId="0" applyNumberFormat="1" applyFont="1" applyFill="1" applyBorder="1" applyAlignment="1">
      <alignment horizontal="right" vertical="top" wrapText="1"/>
    </xf>
    <xf numFmtId="170" fontId="0" fillId="0" borderId="39" xfId="0" applyNumberFormat="1" applyFont="1" applyFill="1" applyBorder="1" applyAlignment="1">
      <alignment horizontal="right" vertical="top" wrapText="1"/>
    </xf>
    <xf numFmtId="170" fontId="0" fillId="0" borderId="40" xfId="0" applyNumberFormat="1" applyFont="1" applyFill="1" applyBorder="1" applyAlignment="1">
      <alignment horizontal="right" vertical="top" wrapText="1"/>
    </xf>
    <xf numFmtId="170" fontId="0" fillId="34" borderId="39" xfId="0" applyNumberFormat="1" applyFont="1" applyFill="1" applyBorder="1" applyAlignment="1">
      <alignment horizontal="right" vertical="top" wrapText="1"/>
    </xf>
    <xf numFmtId="170" fontId="0" fillId="34" borderId="41" xfId="0" applyNumberFormat="1" applyFont="1" applyFill="1" applyBorder="1" applyAlignment="1">
      <alignment horizontal="right" vertical="top" wrapText="1"/>
    </xf>
    <xf numFmtId="170" fontId="2" fillId="33" borderId="42" xfId="0" applyNumberFormat="1" applyFont="1" applyFill="1" applyBorder="1" applyAlignment="1">
      <alignment horizontal="right" vertical="top" wrapText="1"/>
    </xf>
    <xf numFmtId="170" fontId="2" fillId="33" borderId="43" xfId="0" applyNumberFormat="1" applyFont="1" applyFill="1" applyBorder="1" applyAlignment="1">
      <alignment horizontal="right" vertical="top" wrapText="1"/>
    </xf>
    <xf numFmtId="217" fontId="4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 indent="1"/>
    </xf>
    <xf numFmtId="0" fontId="11" fillId="0" borderId="0" xfId="0" applyFont="1" applyFill="1" applyAlignment="1" quotePrefix="1">
      <alignment wrapText="1"/>
    </xf>
    <xf numFmtId="0" fontId="0" fillId="0" borderId="0" xfId="0" applyAlignment="1">
      <alignment wrapText="1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pane xSplit="2" ySplit="4" topLeftCell="E1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3" sqref="G3:I3"/>
    </sheetView>
  </sheetViews>
  <sheetFormatPr defaultColWidth="9.140625" defaultRowHeight="12.75"/>
  <cols>
    <col min="1" max="1" width="31.7109375" style="0" customWidth="1"/>
    <col min="2" max="2" width="11.7109375" style="0" customWidth="1"/>
    <col min="3" max="4" width="10.421875" style="43" bestFit="1" customWidth="1"/>
    <col min="5" max="5" width="13.57421875" style="43" bestFit="1" customWidth="1"/>
    <col min="6" max="6" width="10.7109375" style="43" bestFit="1" customWidth="1"/>
    <col min="7" max="7" width="12.140625" style="43" bestFit="1" customWidth="1"/>
    <col min="8" max="8" width="17.8515625" style="50" bestFit="1" customWidth="1"/>
    <col min="9" max="9" width="14.140625" style="50" bestFit="1" customWidth="1"/>
    <col min="10" max="10" width="15.7109375" style="11" customWidth="1"/>
    <col min="11" max="11" width="9.140625" style="11" customWidth="1"/>
    <col min="12" max="12" width="22.421875" style="11" customWidth="1"/>
    <col min="13" max="16384" width="9.140625" style="11" customWidth="1"/>
  </cols>
  <sheetData>
    <row r="1" spans="1:9" ht="16.5" customHeight="1" thickBot="1">
      <c r="A1" s="117" t="s">
        <v>148</v>
      </c>
      <c r="B1" s="118"/>
      <c r="C1" s="118"/>
      <c r="D1" s="118"/>
      <c r="E1" s="118"/>
      <c r="F1" s="118"/>
      <c r="G1" s="118"/>
      <c r="H1" s="118"/>
      <c r="I1" s="119"/>
    </row>
    <row r="2" spans="1:9" ht="16.5" customHeight="1" thickBot="1">
      <c r="A2" s="120" t="s">
        <v>63</v>
      </c>
      <c r="B2" s="121"/>
      <c r="C2" s="121"/>
      <c r="D2" s="121"/>
      <c r="E2" s="121"/>
      <c r="F2" s="121"/>
      <c r="G2" s="121"/>
      <c r="H2" s="121"/>
      <c r="I2" s="122"/>
    </row>
    <row r="3" spans="1:10" ht="44.25" customHeight="1" thickBot="1">
      <c r="A3" s="123"/>
      <c r="B3" s="124"/>
      <c r="C3" s="123"/>
      <c r="D3" s="128"/>
      <c r="E3" s="128"/>
      <c r="F3" s="124"/>
      <c r="G3" s="125" t="s">
        <v>171</v>
      </c>
      <c r="H3" s="126"/>
      <c r="I3" s="127"/>
      <c r="J3" s="11" t="s">
        <v>170</v>
      </c>
    </row>
    <row r="4" spans="1:10" ht="57" customHeight="1" thickBot="1">
      <c r="A4" s="23" t="s">
        <v>30</v>
      </c>
      <c r="B4" s="24" t="s">
        <v>75</v>
      </c>
      <c r="C4" s="45" t="s">
        <v>163</v>
      </c>
      <c r="D4" s="46" t="s">
        <v>166</v>
      </c>
      <c r="E4" s="46" t="s">
        <v>147</v>
      </c>
      <c r="F4" s="45" t="s">
        <v>167</v>
      </c>
      <c r="G4" s="40" t="s">
        <v>162</v>
      </c>
      <c r="H4" s="47" t="s">
        <v>168</v>
      </c>
      <c r="I4" s="47" t="s">
        <v>169</v>
      </c>
      <c r="J4" s="113"/>
    </row>
    <row r="5" spans="1:10" ht="13.5" thickTop="1">
      <c r="A5" s="14" t="s">
        <v>28</v>
      </c>
      <c r="B5" s="14"/>
      <c r="C5" s="51">
        <f>SUM(C6,C10,C22,C23,C24,C25)</f>
        <v>5004.786308000001</v>
      </c>
      <c r="D5" s="52">
        <f>SUM(D6+D10+D25+D22+D23+D24)</f>
        <v>0</v>
      </c>
      <c r="E5" s="52">
        <f>SUM(E6+E10+E25+E22+E23+E24)</f>
        <v>0</v>
      </c>
      <c r="F5" s="53">
        <f>SUM(F6,F10,+F22+F23+F24+F25)</f>
        <v>5004.786308000001</v>
      </c>
      <c r="G5" s="53">
        <f>SUM(G6,G10,+G22+G23+G24+G25)</f>
        <v>5004.786308000001</v>
      </c>
      <c r="H5" s="53">
        <f>SUM(H6,H10,+H22+H23+H24+H25)</f>
        <v>4960.95118301</v>
      </c>
      <c r="I5" s="53">
        <f>SUM(I6,I10,+I22+I23+I24+I25)</f>
        <v>4849.81863113</v>
      </c>
      <c r="J5" s="26"/>
    </row>
    <row r="6" spans="1:10" ht="12.75">
      <c r="A6" s="2" t="s">
        <v>18</v>
      </c>
      <c r="B6" s="2"/>
      <c r="C6" s="54">
        <f>SUM(C7:C9)</f>
        <v>2287.119924</v>
      </c>
      <c r="D6" s="55">
        <f aca="true" t="shared" si="0" ref="D6:I6">SUM(D7:D9)</f>
        <v>0</v>
      </c>
      <c r="E6" s="55">
        <f t="shared" si="0"/>
        <v>0</v>
      </c>
      <c r="F6" s="56">
        <f t="shared" si="0"/>
        <v>2287.119924</v>
      </c>
      <c r="G6" s="67">
        <f>SUM(G7:G9)</f>
        <v>2287.119924</v>
      </c>
      <c r="H6" s="61">
        <f t="shared" si="0"/>
        <v>2270.01658462</v>
      </c>
      <c r="I6" s="61">
        <f t="shared" si="0"/>
        <v>2212.13654628</v>
      </c>
      <c r="J6" s="26"/>
    </row>
    <row r="7" spans="1:10" ht="25.5">
      <c r="A7" s="3" t="s">
        <v>144</v>
      </c>
      <c r="B7" s="8">
        <v>10000</v>
      </c>
      <c r="C7" s="57">
        <f>1808.394899-2-5.449151</f>
        <v>1800.9457479999999</v>
      </c>
      <c r="D7" s="58">
        <v>0</v>
      </c>
      <c r="E7" s="58">
        <v>0</v>
      </c>
      <c r="F7" s="59">
        <f aca="true" t="shared" si="1" ref="F7:G9">C7+SUM(D7:E7)</f>
        <v>1800.9457479999999</v>
      </c>
      <c r="G7" s="67">
        <f t="shared" si="1"/>
        <v>1800.9457479999999</v>
      </c>
      <c r="H7" s="61">
        <v>1794.30973191</v>
      </c>
      <c r="I7" s="61">
        <v>1744.4271566</v>
      </c>
      <c r="J7" s="26"/>
    </row>
    <row r="8" spans="1:10" ht="12.75">
      <c r="A8" s="3" t="s">
        <v>8</v>
      </c>
      <c r="B8" s="8">
        <v>11000</v>
      </c>
      <c r="C8" s="57">
        <f>436.794176-1.676</f>
        <v>435.118176</v>
      </c>
      <c r="D8" s="58">
        <v>0</v>
      </c>
      <c r="E8" s="58">
        <v>0</v>
      </c>
      <c r="F8" s="59">
        <f t="shared" si="1"/>
        <v>435.118176</v>
      </c>
      <c r="G8" s="67">
        <f t="shared" si="1"/>
        <v>435.118176</v>
      </c>
      <c r="H8" s="61">
        <v>426.95462812</v>
      </c>
      <c r="I8" s="61">
        <v>418.97444509</v>
      </c>
      <c r="J8" s="26"/>
    </row>
    <row r="9" spans="1:10" ht="14.25" customHeight="1">
      <c r="A9" s="3" t="s">
        <v>71</v>
      </c>
      <c r="B9" s="8">
        <v>12000</v>
      </c>
      <c r="C9" s="57">
        <f>53-1.944</f>
        <v>51.056</v>
      </c>
      <c r="D9" s="58">
        <v>0</v>
      </c>
      <c r="E9" s="58">
        <v>0</v>
      </c>
      <c r="F9" s="59">
        <f t="shared" si="1"/>
        <v>51.056</v>
      </c>
      <c r="G9" s="67">
        <f>D9+SUM(E9:F9)</f>
        <v>51.056</v>
      </c>
      <c r="H9" s="61">
        <v>48.75222459</v>
      </c>
      <c r="I9" s="61">
        <v>48.73494459</v>
      </c>
      <c r="J9" s="26"/>
    </row>
    <row r="10" spans="1:10" ht="12.75">
      <c r="A10" s="2" t="s">
        <v>19</v>
      </c>
      <c r="B10" s="9"/>
      <c r="C10" s="57">
        <f>SUM(C11+C16+C21)</f>
        <v>2593.916384</v>
      </c>
      <c r="D10" s="58">
        <v>0</v>
      </c>
      <c r="E10" s="55">
        <f>SUM(E11+E16+E21)</f>
        <v>0</v>
      </c>
      <c r="F10" s="56">
        <f>SUM(F11+F16+F21)</f>
        <v>2593.916384</v>
      </c>
      <c r="G10" s="67">
        <f>SUM(G11+G16+G21)</f>
        <v>2593.916384</v>
      </c>
      <c r="H10" s="61">
        <f>H11+H16+H21</f>
        <v>2570.28269277</v>
      </c>
      <c r="I10" s="61">
        <f>I11+I16+I21</f>
        <v>2528.53755717</v>
      </c>
      <c r="J10" s="26"/>
    </row>
    <row r="11" spans="1:10" ht="12.75">
      <c r="A11" s="3" t="s">
        <v>67</v>
      </c>
      <c r="B11" s="8"/>
      <c r="C11" s="57">
        <f aca="true" t="shared" si="2" ref="C11:I11">SUM(C13:C15)</f>
        <v>1756.845384</v>
      </c>
      <c r="D11" s="58">
        <v>0</v>
      </c>
      <c r="E11" s="58">
        <f t="shared" si="2"/>
        <v>0</v>
      </c>
      <c r="F11" s="59">
        <f t="shared" si="2"/>
        <v>1756.845384</v>
      </c>
      <c r="G11" s="67">
        <f>SUM(G13:G15)</f>
        <v>1756.845384</v>
      </c>
      <c r="H11" s="61">
        <f t="shared" si="2"/>
        <v>1743.57887786</v>
      </c>
      <c r="I11" s="61">
        <f t="shared" si="2"/>
        <v>1728.7026894800001</v>
      </c>
      <c r="J11" s="26"/>
    </row>
    <row r="12" spans="1:10" ht="12.75">
      <c r="A12" s="4" t="s">
        <v>60</v>
      </c>
      <c r="B12" s="9"/>
      <c r="C12" s="57"/>
      <c r="D12" s="58">
        <v>0</v>
      </c>
      <c r="E12" s="58"/>
      <c r="F12" s="59"/>
      <c r="G12" s="67"/>
      <c r="H12" s="61"/>
      <c r="I12" s="61"/>
      <c r="J12" s="26"/>
    </row>
    <row r="13" spans="1:10" ht="12.75">
      <c r="A13" s="5" t="s">
        <v>68</v>
      </c>
      <c r="B13" s="8">
        <v>20000</v>
      </c>
      <c r="C13" s="65">
        <f>730.842-2.05</f>
        <v>728.792</v>
      </c>
      <c r="D13" s="58">
        <v>0</v>
      </c>
      <c r="E13" s="66">
        <v>0</v>
      </c>
      <c r="F13" s="59">
        <f aca="true" t="shared" si="3" ref="F13:G15">C13+SUM(D13:E13)</f>
        <v>728.792</v>
      </c>
      <c r="G13" s="67">
        <f t="shared" si="3"/>
        <v>728.792</v>
      </c>
      <c r="H13" s="61">
        <v>726.5009208099999</v>
      </c>
      <c r="I13" s="61">
        <v>716.38674006</v>
      </c>
      <c r="J13" s="26"/>
    </row>
    <row r="14" spans="1:10" ht="12.75">
      <c r="A14" s="5" t="s">
        <v>69</v>
      </c>
      <c r="B14" s="8">
        <v>21000</v>
      </c>
      <c r="C14" s="65">
        <f>628.582-14.199694-5.75</f>
        <v>608.632306</v>
      </c>
      <c r="D14" s="58">
        <v>0</v>
      </c>
      <c r="E14" s="66">
        <v>0</v>
      </c>
      <c r="F14" s="59">
        <f t="shared" si="3"/>
        <v>608.632306</v>
      </c>
      <c r="G14" s="67">
        <f t="shared" si="3"/>
        <v>608.632306</v>
      </c>
      <c r="H14" s="61">
        <v>603.81157193</v>
      </c>
      <c r="I14" s="61">
        <v>600.6690021100001</v>
      </c>
      <c r="J14" s="26"/>
    </row>
    <row r="15" spans="1:10" ht="12.75">
      <c r="A15" s="5" t="s">
        <v>72</v>
      </c>
      <c r="B15" s="8">
        <v>22000</v>
      </c>
      <c r="C15" s="65">
        <f>429.328927+1.6-11.507849</f>
        <v>419.421078</v>
      </c>
      <c r="D15" s="58">
        <v>0</v>
      </c>
      <c r="E15" s="66">
        <v>0</v>
      </c>
      <c r="F15" s="59">
        <f t="shared" si="3"/>
        <v>419.421078</v>
      </c>
      <c r="G15" s="67">
        <f t="shared" si="3"/>
        <v>419.421078</v>
      </c>
      <c r="H15" s="61">
        <v>413.26638511999994</v>
      </c>
      <c r="I15" s="61">
        <v>411.6469473100001</v>
      </c>
      <c r="J15" s="26"/>
    </row>
    <row r="16" spans="1:10" ht="12.75">
      <c r="A16" s="25" t="s">
        <v>159</v>
      </c>
      <c r="B16" s="8"/>
      <c r="C16" s="57">
        <f aca="true" t="shared" si="4" ref="C16:I16">SUM(C18:C20)</f>
        <v>674.071</v>
      </c>
      <c r="D16" s="58">
        <v>0</v>
      </c>
      <c r="E16" s="58">
        <f t="shared" si="4"/>
        <v>0</v>
      </c>
      <c r="F16" s="59">
        <f t="shared" si="4"/>
        <v>674.071</v>
      </c>
      <c r="G16" s="67">
        <f>SUM(G18:G20)</f>
        <v>674.071</v>
      </c>
      <c r="H16" s="61">
        <f t="shared" si="4"/>
        <v>664.89517302</v>
      </c>
      <c r="I16" s="61">
        <f t="shared" si="4"/>
        <v>640.70509137</v>
      </c>
      <c r="J16" s="26"/>
    </row>
    <row r="17" spans="1:10" ht="12.75">
      <c r="A17" s="4" t="s">
        <v>60</v>
      </c>
      <c r="B17" s="8"/>
      <c r="C17" s="57"/>
      <c r="D17" s="58"/>
      <c r="E17" s="58"/>
      <c r="F17" s="59"/>
      <c r="G17" s="67"/>
      <c r="H17" s="61"/>
      <c r="I17" s="61"/>
      <c r="J17" s="26"/>
    </row>
    <row r="18" spans="1:10" ht="12.75">
      <c r="A18" s="5" t="s">
        <v>61</v>
      </c>
      <c r="B18" s="8">
        <v>23000</v>
      </c>
      <c r="C18" s="65">
        <f>224.558-0.032</f>
        <v>224.52599999999998</v>
      </c>
      <c r="D18" s="58">
        <v>0</v>
      </c>
      <c r="E18" s="66">
        <v>0</v>
      </c>
      <c r="F18" s="59">
        <f aca="true" t="shared" si="5" ref="F18:G25">C18+SUM(D18:E18)</f>
        <v>224.52599999999998</v>
      </c>
      <c r="G18" s="67">
        <f t="shared" si="5"/>
        <v>224.52599999999998</v>
      </c>
      <c r="H18" s="61">
        <v>217.25781581</v>
      </c>
      <c r="I18" s="61">
        <v>207.16310467999998</v>
      </c>
      <c r="J18" s="26"/>
    </row>
    <row r="19" spans="1:10" ht="12.75">
      <c r="A19" s="5" t="s">
        <v>62</v>
      </c>
      <c r="B19" s="8">
        <v>24000</v>
      </c>
      <c r="C19" s="65">
        <f>91.6-2.155</f>
        <v>89.445</v>
      </c>
      <c r="D19" s="58">
        <v>0</v>
      </c>
      <c r="E19" s="66">
        <v>0</v>
      </c>
      <c r="F19" s="59">
        <f t="shared" si="5"/>
        <v>89.445</v>
      </c>
      <c r="G19" s="67">
        <f t="shared" si="5"/>
        <v>89.445</v>
      </c>
      <c r="H19" s="60">
        <v>88.28055292</v>
      </c>
      <c r="I19" s="61">
        <v>88.28051736</v>
      </c>
      <c r="J19" s="26"/>
    </row>
    <row r="20" spans="1:11" s="22" customFormat="1" ht="12.75">
      <c r="A20" s="5" t="s">
        <v>139</v>
      </c>
      <c r="B20" s="9">
        <v>27000</v>
      </c>
      <c r="C20" s="57">
        <f>358.5+7-5.4</f>
        <v>360.1</v>
      </c>
      <c r="D20" s="58">
        <v>0</v>
      </c>
      <c r="E20" s="66">
        <v>0</v>
      </c>
      <c r="F20" s="59">
        <f t="shared" si="5"/>
        <v>360.1</v>
      </c>
      <c r="G20" s="67">
        <f t="shared" si="5"/>
        <v>360.1</v>
      </c>
      <c r="H20" s="60">
        <v>359.35680429</v>
      </c>
      <c r="I20" s="61">
        <v>345.26146933000007</v>
      </c>
      <c r="J20" s="26"/>
      <c r="K20" s="11"/>
    </row>
    <row r="21" spans="1:10" ht="25.5">
      <c r="A21" s="3" t="s">
        <v>146</v>
      </c>
      <c r="B21" s="9" t="s">
        <v>118</v>
      </c>
      <c r="C21" s="57">
        <f>170-7</f>
        <v>163</v>
      </c>
      <c r="D21" s="58">
        <v>0</v>
      </c>
      <c r="E21" s="58">
        <v>0</v>
      </c>
      <c r="F21" s="59">
        <f t="shared" si="5"/>
        <v>163</v>
      </c>
      <c r="G21" s="67">
        <f t="shared" si="5"/>
        <v>163</v>
      </c>
      <c r="H21" s="67">
        <v>161.80864189</v>
      </c>
      <c r="I21" s="61">
        <v>159.12977632</v>
      </c>
      <c r="J21" s="26"/>
    </row>
    <row r="22" spans="1:10" ht="25.5">
      <c r="A22" s="2" t="s">
        <v>150</v>
      </c>
      <c r="B22" s="9" t="s">
        <v>153</v>
      </c>
      <c r="C22" s="57">
        <f>3+2.55</f>
        <v>5.55</v>
      </c>
      <c r="D22" s="58">
        <v>0</v>
      </c>
      <c r="E22" s="58">
        <v>0</v>
      </c>
      <c r="F22" s="59">
        <f t="shared" si="5"/>
        <v>5.55</v>
      </c>
      <c r="G22" s="67">
        <f t="shared" si="5"/>
        <v>5.55</v>
      </c>
      <c r="H22" s="67">
        <v>5.549958</v>
      </c>
      <c r="I22" s="61">
        <v>5.38064609</v>
      </c>
      <c r="J22" s="26"/>
    </row>
    <row r="23" spans="1:10" ht="12.75">
      <c r="A23" s="2" t="s">
        <v>152</v>
      </c>
      <c r="B23" s="9" t="s">
        <v>151</v>
      </c>
      <c r="C23" s="57">
        <v>30</v>
      </c>
      <c r="D23" s="58">
        <v>0</v>
      </c>
      <c r="E23" s="58">
        <v>0</v>
      </c>
      <c r="F23" s="59">
        <f>C23+SUM(D23:E23)</f>
        <v>30</v>
      </c>
      <c r="G23" s="67">
        <f>D23+SUM(E23:F23)</f>
        <v>30</v>
      </c>
      <c r="H23" s="67">
        <v>30</v>
      </c>
      <c r="I23" s="61">
        <v>25.1567189</v>
      </c>
      <c r="J23" s="26"/>
    </row>
    <row r="24" spans="1:10" ht="12.75">
      <c r="A24" s="35" t="s">
        <v>160</v>
      </c>
      <c r="B24" s="30" t="s">
        <v>161</v>
      </c>
      <c r="C24" s="68">
        <f>0+2.2</f>
        <v>2.2</v>
      </c>
      <c r="D24" s="58">
        <v>0</v>
      </c>
      <c r="E24" s="69">
        <v>0</v>
      </c>
      <c r="F24" s="70">
        <f>C24+SUM(D24:E24)</f>
        <v>2.2</v>
      </c>
      <c r="G24" s="67">
        <f>D24+SUM(E24:F24)</f>
        <v>2.2</v>
      </c>
      <c r="H24" s="71">
        <v>0</v>
      </c>
      <c r="I24" s="72">
        <v>0</v>
      </c>
      <c r="J24" s="26"/>
    </row>
    <row r="25" spans="1:11" s="22" customFormat="1" ht="26.25" thickBot="1">
      <c r="A25" s="29" t="s">
        <v>132</v>
      </c>
      <c r="B25" s="30" t="s">
        <v>131</v>
      </c>
      <c r="C25" s="73">
        <v>86</v>
      </c>
      <c r="D25" s="58">
        <v>0</v>
      </c>
      <c r="E25" s="74">
        <v>0</v>
      </c>
      <c r="F25" s="75">
        <f t="shared" si="5"/>
        <v>86</v>
      </c>
      <c r="G25" s="67">
        <f t="shared" si="5"/>
        <v>86</v>
      </c>
      <c r="H25" s="71">
        <v>85.10194762</v>
      </c>
      <c r="I25" s="72">
        <v>78.60716269</v>
      </c>
      <c r="J25" s="26"/>
      <c r="K25" s="11"/>
    </row>
    <row r="26" spans="1:10" ht="26.25" thickBot="1">
      <c r="A26" s="33" t="s">
        <v>20</v>
      </c>
      <c r="B26" s="34"/>
      <c r="C26" s="76">
        <f>SUM(C27:C31,C36,C37,C38,C39,C40,C41,C42,C43)</f>
        <v>2305.9929819999998</v>
      </c>
      <c r="D26" s="77">
        <f>SUM(D27:D31,D36,D37,D38,D39,D40,D41,D43)</f>
        <v>0</v>
      </c>
      <c r="E26" s="77">
        <f>SUM(E27:E31,E36,E37,E38,E39,E40,E41,E42,E43)</f>
        <v>0</v>
      </c>
      <c r="F26" s="78">
        <f>SUM(F27:F31,F36,F37,F38,F39,F40,F41,F42,F43)</f>
        <v>2305.9929819999998</v>
      </c>
      <c r="G26" s="79">
        <f>SUM(G27:G31)+SUM(G36:G43)</f>
        <v>2305.9929819999998</v>
      </c>
      <c r="H26" s="79">
        <f>SUM(H27:H31)+SUM(H36:H43)</f>
        <v>2249.6080406700003</v>
      </c>
      <c r="I26" s="80">
        <f>SUM(I27:I31)+SUM(I36:I43)</f>
        <v>2128.8826060100005</v>
      </c>
      <c r="J26" s="26"/>
    </row>
    <row r="27" spans="1:10" ht="25.5">
      <c r="A27" s="31" t="s">
        <v>21</v>
      </c>
      <c r="B27" s="32">
        <v>31000</v>
      </c>
      <c r="C27" s="81">
        <f>5-2.8-1</f>
        <v>1.2000000000000002</v>
      </c>
      <c r="D27" s="82">
        <v>0</v>
      </c>
      <c r="E27" s="82">
        <v>0</v>
      </c>
      <c r="F27" s="83">
        <f aca="true" t="shared" si="6" ref="F27:G30">C27+SUM(D27:E27)</f>
        <v>1.2000000000000002</v>
      </c>
      <c r="G27" s="84">
        <f t="shared" si="6"/>
        <v>1.2000000000000002</v>
      </c>
      <c r="H27" s="84">
        <v>1.19461827</v>
      </c>
      <c r="I27" s="85">
        <v>1.17131356</v>
      </c>
      <c r="J27" s="26"/>
    </row>
    <row r="28" spans="1:10" ht="12.75">
      <c r="A28" s="3" t="s">
        <v>10</v>
      </c>
      <c r="B28" s="8">
        <v>30000</v>
      </c>
      <c r="C28" s="57">
        <f>37-1</f>
        <v>36</v>
      </c>
      <c r="D28" s="58">
        <v>0</v>
      </c>
      <c r="E28" s="58">
        <v>0</v>
      </c>
      <c r="F28" s="59">
        <f t="shared" si="6"/>
        <v>36</v>
      </c>
      <c r="G28" s="84">
        <f t="shared" si="6"/>
        <v>36</v>
      </c>
      <c r="H28" s="60">
        <v>35.999095</v>
      </c>
      <c r="I28" s="61">
        <v>30.703807100000002</v>
      </c>
      <c r="J28" s="26"/>
    </row>
    <row r="29" spans="1:10" ht="12.75">
      <c r="A29" s="3" t="s">
        <v>22</v>
      </c>
      <c r="B29" s="8">
        <v>32000</v>
      </c>
      <c r="C29" s="57">
        <v>87</v>
      </c>
      <c r="D29" s="58">
        <v>0</v>
      </c>
      <c r="E29" s="58">
        <v>0</v>
      </c>
      <c r="F29" s="59">
        <f t="shared" si="6"/>
        <v>87</v>
      </c>
      <c r="G29" s="84">
        <f t="shared" si="6"/>
        <v>87</v>
      </c>
      <c r="H29" s="60">
        <v>87.05799240999998</v>
      </c>
      <c r="I29" s="60">
        <v>69.85409867</v>
      </c>
      <c r="J29" s="26"/>
    </row>
    <row r="30" spans="1:10" ht="38.25">
      <c r="A30" s="3" t="s">
        <v>23</v>
      </c>
      <c r="B30" s="8">
        <v>33000</v>
      </c>
      <c r="C30" s="86">
        <f>165+2+38.6</f>
        <v>205.6</v>
      </c>
      <c r="D30" s="58">
        <v>0</v>
      </c>
      <c r="E30" s="58">
        <v>0</v>
      </c>
      <c r="F30" s="59">
        <f t="shared" si="6"/>
        <v>205.6</v>
      </c>
      <c r="G30" s="84">
        <f t="shared" si="6"/>
        <v>205.6</v>
      </c>
      <c r="H30" s="60">
        <v>168.62596359</v>
      </c>
      <c r="I30" s="60">
        <v>141.94726454</v>
      </c>
      <c r="J30" s="26"/>
    </row>
    <row r="31" spans="1:10" ht="51">
      <c r="A31" s="3" t="s">
        <v>24</v>
      </c>
      <c r="B31" s="8"/>
      <c r="C31" s="86">
        <f aca="true" t="shared" si="7" ref="C31:I31">SUM(C33:C35)</f>
        <v>285.1</v>
      </c>
      <c r="D31" s="58">
        <v>0</v>
      </c>
      <c r="E31" s="63">
        <f t="shared" si="7"/>
        <v>0</v>
      </c>
      <c r="F31" s="64">
        <f t="shared" si="7"/>
        <v>285.1</v>
      </c>
      <c r="G31" s="84">
        <f>SUM(G33:G35)</f>
        <v>285.1</v>
      </c>
      <c r="H31" s="60">
        <f t="shared" si="7"/>
        <v>282.79827365</v>
      </c>
      <c r="I31" s="60">
        <f t="shared" si="7"/>
        <v>275.2413641</v>
      </c>
      <c r="J31" s="26"/>
    </row>
    <row r="32" spans="1:10" ht="12.75">
      <c r="A32" s="4" t="s">
        <v>60</v>
      </c>
      <c r="B32" s="9"/>
      <c r="C32" s="62"/>
      <c r="D32" s="58">
        <v>0</v>
      </c>
      <c r="E32" s="58"/>
      <c r="F32" s="59"/>
      <c r="G32" s="84"/>
      <c r="H32" s="60"/>
      <c r="I32" s="60"/>
      <c r="J32" s="26"/>
    </row>
    <row r="33" spans="1:10" ht="12.75">
      <c r="A33" s="5" t="s">
        <v>134</v>
      </c>
      <c r="B33" s="9" t="s">
        <v>138</v>
      </c>
      <c r="C33" s="57">
        <f>89-2.1</f>
        <v>86.9</v>
      </c>
      <c r="D33" s="58">
        <v>0</v>
      </c>
      <c r="E33" s="58">
        <v>0</v>
      </c>
      <c r="F33" s="59">
        <f aca="true" t="shared" si="8" ref="F33:G52">C33+SUM(D33:E33)</f>
        <v>86.9</v>
      </c>
      <c r="G33" s="84">
        <f t="shared" si="8"/>
        <v>86.9</v>
      </c>
      <c r="H33" s="60">
        <v>84.88497383</v>
      </c>
      <c r="I33" s="60">
        <v>80.83759400999999</v>
      </c>
      <c r="J33" s="26"/>
    </row>
    <row r="34" spans="1:10" ht="12.75">
      <c r="A34" s="5" t="s">
        <v>136</v>
      </c>
      <c r="B34" s="9" t="s">
        <v>137</v>
      </c>
      <c r="C34" s="57">
        <v>115</v>
      </c>
      <c r="D34" s="58">
        <v>0</v>
      </c>
      <c r="E34" s="58">
        <v>0</v>
      </c>
      <c r="F34" s="59">
        <f t="shared" si="8"/>
        <v>115</v>
      </c>
      <c r="G34" s="84">
        <f t="shared" si="8"/>
        <v>115</v>
      </c>
      <c r="H34" s="60">
        <v>114.71329981999999</v>
      </c>
      <c r="I34" s="60">
        <v>111.20377009</v>
      </c>
      <c r="J34" s="26"/>
    </row>
    <row r="35" spans="1:10" ht="12.75">
      <c r="A35" s="5" t="s">
        <v>135</v>
      </c>
      <c r="B35" s="9" t="s">
        <v>76</v>
      </c>
      <c r="C35" s="57">
        <f>70+4+9.2</f>
        <v>83.2</v>
      </c>
      <c r="D35" s="58">
        <v>0</v>
      </c>
      <c r="E35" s="58">
        <v>0</v>
      </c>
      <c r="F35" s="59">
        <f t="shared" si="8"/>
        <v>83.2</v>
      </c>
      <c r="G35" s="84">
        <f t="shared" si="8"/>
        <v>83.2</v>
      </c>
      <c r="H35" s="60">
        <v>83.2</v>
      </c>
      <c r="I35" s="61">
        <v>83.2</v>
      </c>
      <c r="J35" s="26"/>
    </row>
    <row r="36" spans="1:10" ht="25.5">
      <c r="A36" s="3" t="s">
        <v>25</v>
      </c>
      <c r="B36" s="9" t="s">
        <v>77</v>
      </c>
      <c r="C36" s="57">
        <f>219.5-29-4.057</f>
        <v>186.443</v>
      </c>
      <c r="D36" s="58">
        <v>0</v>
      </c>
      <c r="E36" s="58">
        <v>0</v>
      </c>
      <c r="F36" s="59">
        <f t="shared" si="8"/>
        <v>186.443</v>
      </c>
      <c r="G36" s="84">
        <f t="shared" si="8"/>
        <v>186.443</v>
      </c>
      <c r="H36" s="60">
        <v>183.37510688000003</v>
      </c>
      <c r="I36" s="61">
        <v>181.81595804000003</v>
      </c>
      <c r="J36" s="26"/>
    </row>
    <row r="37" spans="1:10" ht="25.5">
      <c r="A37" s="3" t="s">
        <v>9</v>
      </c>
      <c r="B37" s="9" t="s">
        <v>78</v>
      </c>
      <c r="C37" s="57">
        <v>106.5</v>
      </c>
      <c r="D37" s="58">
        <v>0</v>
      </c>
      <c r="E37" s="58">
        <v>0</v>
      </c>
      <c r="F37" s="59">
        <f t="shared" si="8"/>
        <v>106.5</v>
      </c>
      <c r="G37" s="84">
        <f t="shared" si="8"/>
        <v>106.5</v>
      </c>
      <c r="H37" s="60">
        <v>106.49957425999999</v>
      </c>
      <c r="I37" s="61">
        <v>105.512189</v>
      </c>
      <c r="J37" s="26"/>
    </row>
    <row r="38" spans="1:10" ht="12.75">
      <c r="A38" s="3" t="s">
        <v>65</v>
      </c>
      <c r="B38" s="9" t="s">
        <v>117</v>
      </c>
      <c r="C38" s="86">
        <f>56.154+53.6-38.6</f>
        <v>71.154</v>
      </c>
      <c r="D38" s="58">
        <v>0</v>
      </c>
      <c r="E38" s="58">
        <v>0</v>
      </c>
      <c r="F38" s="59">
        <f t="shared" si="8"/>
        <v>71.154</v>
      </c>
      <c r="G38" s="84">
        <f t="shared" si="8"/>
        <v>71.154</v>
      </c>
      <c r="H38" s="60">
        <v>71.14967037999999</v>
      </c>
      <c r="I38" s="61">
        <v>60.05256586</v>
      </c>
      <c r="J38" s="26"/>
    </row>
    <row r="39" spans="1:10" ht="25.5">
      <c r="A39" s="3" t="s">
        <v>26</v>
      </c>
      <c r="B39" s="9" t="s">
        <v>79</v>
      </c>
      <c r="C39" s="57">
        <v>128</v>
      </c>
      <c r="D39" s="58">
        <v>0</v>
      </c>
      <c r="E39" s="58">
        <v>0</v>
      </c>
      <c r="F39" s="59">
        <f t="shared" si="8"/>
        <v>128</v>
      </c>
      <c r="G39" s="84">
        <f t="shared" si="8"/>
        <v>128</v>
      </c>
      <c r="H39" s="60">
        <v>124.06201871</v>
      </c>
      <c r="I39" s="61">
        <v>115.79864055</v>
      </c>
      <c r="J39" s="26"/>
    </row>
    <row r="40" spans="1:10" ht="12.75">
      <c r="A40" s="3" t="s">
        <v>27</v>
      </c>
      <c r="B40" s="9" t="s">
        <v>80</v>
      </c>
      <c r="C40" s="86">
        <f>158.999998-1.8</f>
        <v>157.199998</v>
      </c>
      <c r="D40" s="58">
        <v>0</v>
      </c>
      <c r="E40" s="87">
        <v>0</v>
      </c>
      <c r="F40" s="88">
        <f t="shared" si="8"/>
        <v>157.199998</v>
      </c>
      <c r="G40" s="84">
        <f t="shared" si="8"/>
        <v>157.199998</v>
      </c>
      <c r="H40" s="60">
        <v>153.43256725999998</v>
      </c>
      <c r="I40" s="61">
        <v>136.19998759000003</v>
      </c>
      <c r="J40" s="26"/>
    </row>
    <row r="41" spans="1:10" ht="12.75">
      <c r="A41" s="3" t="s">
        <v>16</v>
      </c>
      <c r="B41" s="9" t="s">
        <v>81</v>
      </c>
      <c r="C41" s="57">
        <f>941.346+1+53+38.5-20-0.25-7.800016-3.95</f>
        <v>1001.8459839999999</v>
      </c>
      <c r="D41" s="58">
        <v>0</v>
      </c>
      <c r="E41" s="58">
        <v>0</v>
      </c>
      <c r="F41" s="59">
        <f t="shared" si="8"/>
        <v>1001.8459839999999</v>
      </c>
      <c r="G41" s="84">
        <f t="shared" si="8"/>
        <v>1001.8459839999999</v>
      </c>
      <c r="H41" s="60">
        <v>995.64200556</v>
      </c>
      <c r="I41" s="61">
        <v>972.1401108000001</v>
      </c>
      <c r="J41" s="26"/>
    </row>
    <row r="42" spans="1:10" ht="12.75">
      <c r="A42" s="3" t="s">
        <v>155</v>
      </c>
      <c r="B42" s="9" t="s">
        <v>158</v>
      </c>
      <c r="C42" s="57">
        <f>24.95+5</f>
        <v>29.95</v>
      </c>
      <c r="D42" s="58">
        <v>0</v>
      </c>
      <c r="E42" s="58">
        <v>0</v>
      </c>
      <c r="F42" s="59">
        <f t="shared" si="8"/>
        <v>29.95</v>
      </c>
      <c r="G42" s="84">
        <f t="shared" si="8"/>
        <v>29.95</v>
      </c>
      <c r="H42" s="60">
        <v>29.95</v>
      </c>
      <c r="I42" s="61">
        <v>28.686130650000003</v>
      </c>
      <c r="J42" s="26"/>
    </row>
    <row r="43" spans="1:10" ht="12.75">
      <c r="A43" s="3" t="s">
        <v>17</v>
      </c>
      <c r="B43" s="9" t="s">
        <v>82</v>
      </c>
      <c r="C43" s="57">
        <v>10</v>
      </c>
      <c r="D43" s="58">
        <v>0</v>
      </c>
      <c r="E43" s="58">
        <v>0</v>
      </c>
      <c r="F43" s="59">
        <f t="shared" si="8"/>
        <v>10</v>
      </c>
      <c r="G43" s="84">
        <f t="shared" si="8"/>
        <v>10</v>
      </c>
      <c r="H43" s="60">
        <v>9.8211547</v>
      </c>
      <c r="I43" s="61">
        <v>9.75917555</v>
      </c>
      <c r="J43" s="26"/>
    </row>
    <row r="44" spans="1:10" ht="12.75">
      <c r="A44" s="1" t="s">
        <v>29</v>
      </c>
      <c r="B44" s="10"/>
      <c r="C44" s="79">
        <f aca="true" t="shared" si="9" ref="C44:I44">SUM(C45:C49)</f>
        <v>4225.091921</v>
      </c>
      <c r="D44" s="77">
        <f t="shared" si="9"/>
        <v>0</v>
      </c>
      <c r="E44" s="77">
        <f t="shared" si="9"/>
        <v>0</v>
      </c>
      <c r="F44" s="89">
        <f t="shared" si="9"/>
        <v>4225.091921</v>
      </c>
      <c r="G44" s="76">
        <f t="shared" si="9"/>
        <v>4225.091921</v>
      </c>
      <c r="H44" s="77">
        <f t="shared" si="9"/>
        <v>4044.03498147</v>
      </c>
      <c r="I44" s="90">
        <f t="shared" si="9"/>
        <v>3675.2544356099993</v>
      </c>
      <c r="J44" s="26"/>
    </row>
    <row r="45" spans="1:10" ht="12.75">
      <c r="A45" s="3" t="s">
        <v>1</v>
      </c>
      <c r="B45" s="9" t="s">
        <v>83</v>
      </c>
      <c r="C45" s="57">
        <f>1597.815697+10+0.4245779+16+71.3+40.5-8.640758+12.617979</f>
        <v>1740.0174959</v>
      </c>
      <c r="D45" s="58">
        <f>10</f>
        <v>10</v>
      </c>
      <c r="E45" s="58">
        <v>0</v>
      </c>
      <c r="F45" s="59">
        <f t="shared" si="8"/>
        <v>1750.0174959</v>
      </c>
      <c r="G45" s="60">
        <v>1750.0174959</v>
      </c>
      <c r="H45" s="60">
        <v>1709.9544128999999</v>
      </c>
      <c r="I45" s="61">
        <v>1527.8689735100002</v>
      </c>
      <c r="J45" s="26"/>
    </row>
    <row r="46" spans="1:10" ht="12.75">
      <c r="A46" s="3" t="s">
        <v>32</v>
      </c>
      <c r="B46" s="9" t="s">
        <v>84</v>
      </c>
      <c r="C46" s="57">
        <f>1259.621989-18-89.8-16-62.3-12.8+42.495-16.197128</f>
        <v>1087.019861</v>
      </c>
      <c r="D46" s="58">
        <v>0</v>
      </c>
      <c r="E46" s="58">
        <v>0</v>
      </c>
      <c r="F46" s="59">
        <f t="shared" si="8"/>
        <v>1087.019861</v>
      </c>
      <c r="G46" s="60">
        <f t="shared" si="8"/>
        <v>1087.019861</v>
      </c>
      <c r="H46" s="60">
        <v>994.4996457299999</v>
      </c>
      <c r="I46" s="61">
        <v>857.1658908699998</v>
      </c>
      <c r="J46" s="26"/>
    </row>
    <row r="47" spans="1:10" ht="12.75">
      <c r="A47" s="3" t="s">
        <v>31</v>
      </c>
      <c r="B47" s="9" t="s">
        <v>85</v>
      </c>
      <c r="C47" s="57">
        <f>1289.379142-9-27.7-23-2.2</f>
        <v>1227.479142</v>
      </c>
      <c r="D47" s="58">
        <f>-10</f>
        <v>-10</v>
      </c>
      <c r="E47" s="58">
        <v>0</v>
      </c>
      <c r="F47" s="59">
        <f>C47+SUM(D47:E47)</f>
        <v>1217.479142</v>
      </c>
      <c r="G47" s="60">
        <v>1217.479142</v>
      </c>
      <c r="H47" s="60">
        <v>1182.39899707</v>
      </c>
      <c r="I47" s="61">
        <v>1133.6357017399998</v>
      </c>
      <c r="J47" s="26"/>
    </row>
    <row r="48" spans="1:10" ht="25.5">
      <c r="A48" s="3" t="s">
        <v>33</v>
      </c>
      <c r="B48" s="9" t="s">
        <v>86</v>
      </c>
      <c r="C48" s="57">
        <v>127</v>
      </c>
      <c r="D48" s="58">
        <v>0</v>
      </c>
      <c r="E48" s="58">
        <v>0</v>
      </c>
      <c r="F48" s="59">
        <f t="shared" si="8"/>
        <v>127</v>
      </c>
      <c r="G48" s="60">
        <f t="shared" si="8"/>
        <v>127</v>
      </c>
      <c r="H48" s="60">
        <v>113.60790029</v>
      </c>
      <c r="I48" s="61">
        <v>113.06607783000001</v>
      </c>
      <c r="J48" s="26"/>
    </row>
    <row r="49" spans="1:10" ht="12.75">
      <c r="A49" s="3" t="s">
        <v>0</v>
      </c>
      <c r="B49" s="9" t="s">
        <v>87</v>
      </c>
      <c r="C49" s="57">
        <f>44-0.4245779</f>
        <v>43.5754221</v>
      </c>
      <c r="D49" s="58">
        <v>0</v>
      </c>
      <c r="E49" s="58">
        <v>0</v>
      </c>
      <c r="F49" s="59">
        <f t="shared" si="8"/>
        <v>43.5754221</v>
      </c>
      <c r="G49" s="60">
        <f t="shared" si="8"/>
        <v>43.5754221</v>
      </c>
      <c r="H49" s="60">
        <v>43.574025479999996</v>
      </c>
      <c r="I49" s="61">
        <v>43.51779165999999</v>
      </c>
      <c r="J49" s="26"/>
    </row>
    <row r="50" spans="1:10" ht="12.75">
      <c r="A50" s="1" t="s">
        <v>34</v>
      </c>
      <c r="B50" s="10"/>
      <c r="C50" s="79">
        <f>SUM(C51:C52)</f>
        <v>1724.699694</v>
      </c>
      <c r="D50" s="77">
        <f aca="true" t="shared" si="10" ref="D50:I50">SUM(D51:D52)</f>
        <v>0</v>
      </c>
      <c r="E50" s="77">
        <f t="shared" si="10"/>
        <v>0</v>
      </c>
      <c r="F50" s="89">
        <f>SUM(F51:F52)</f>
        <v>1724.699694</v>
      </c>
      <c r="G50" s="76">
        <f t="shared" si="10"/>
        <v>1724.699694</v>
      </c>
      <c r="H50" s="77">
        <f t="shared" si="10"/>
        <v>1598.8081658099998</v>
      </c>
      <c r="I50" s="90">
        <f t="shared" si="10"/>
        <v>1550.5004721700002</v>
      </c>
      <c r="J50" s="26"/>
    </row>
    <row r="51" spans="1:10" ht="12.75">
      <c r="A51" s="3" t="s">
        <v>35</v>
      </c>
      <c r="B51" s="9" t="s">
        <v>88</v>
      </c>
      <c r="C51" s="57">
        <f>1697+3.5+12.599694+6.1</f>
        <v>1719.199694</v>
      </c>
      <c r="D51" s="58">
        <v>0</v>
      </c>
      <c r="E51" s="58">
        <v>0</v>
      </c>
      <c r="F51" s="59">
        <f t="shared" si="8"/>
        <v>1719.199694</v>
      </c>
      <c r="G51" s="60">
        <f t="shared" si="8"/>
        <v>1719.199694</v>
      </c>
      <c r="H51" s="60">
        <v>1593.7985130999998</v>
      </c>
      <c r="I51" s="61">
        <v>1545.4908194600002</v>
      </c>
      <c r="J51" s="26"/>
    </row>
    <row r="52" spans="1:10" ht="25.5">
      <c r="A52" s="3" t="s">
        <v>36</v>
      </c>
      <c r="B52" s="9" t="s">
        <v>89</v>
      </c>
      <c r="C52" s="57">
        <f>26-3.5-17</f>
        <v>5.5</v>
      </c>
      <c r="D52" s="58">
        <v>0</v>
      </c>
      <c r="E52" s="58">
        <v>0</v>
      </c>
      <c r="F52" s="59">
        <f t="shared" si="8"/>
        <v>5.5</v>
      </c>
      <c r="G52" s="60">
        <f t="shared" si="8"/>
        <v>5.5</v>
      </c>
      <c r="H52" s="60">
        <v>5.00965271</v>
      </c>
      <c r="I52" s="61">
        <v>5.00965271</v>
      </c>
      <c r="J52" s="26"/>
    </row>
    <row r="53" spans="1:10" ht="12.75">
      <c r="A53" s="6" t="s">
        <v>37</v>
      </c>
      <c r="B53" s="10"/>
      <c r="C53" s="79">
        <f>SUM(C54,C59)</f>
        <v>2121.0831719999996</v>
      </c>
      <c r="D53" s="77">
        <f aca="true" t="shared" si="11" ref="D53:I53">SUM(D54+D59)</f>
        <v>0</v>
      </c>
      <c r="E53" s="77">
        <f t="shared" si="11"/>
        <v>0</v>
      </c>
      <c r="F53" s="89">
        <f t="shared" si="11"/>
        <v>2121.0831719999996</v>
      </c>
      <c r="G53" s="79">
        <f>SUM(G54,G59)</f>
        <v>2121.0831719999996</v>
      </c>
      <c r="H53" s="91">
        <f t="shared" si="11"/>
        <v>1971.3343711799998</v>
      </c>
      <c r="I53" s="90">
        <f t="shared" si="11"/>
        <v>1754.6720335200002</v>
      </c>
      <c r="J53" s="26"/>
    </row>
    <row r="54" spans="1:10" ht="12.75">
      <c r="A54" s="7" t="s">
        <v>38</v>
      </c>
      <c r="B54" s="9"/>
      <c r="C54" s="57">
        <f>SUM(C55:C58)</f>
        <v>1745.5681719999998</v>
      </c>
      <c r="D54" s="58">
        <v>0</v>
      </c>
      <c r="E54" s="55">
        <f>SUM(E55:E58)</f>
        <v>0</v>
      </c>
      <c r="F54" s="56">
        <f>SUM(F55:F58)</f>
        <v>1745.5681719999998</v>
      </c>
      <c r="G54" s="60">
        <f>SUM(G55:G58)</f>
        <v>1745.5681719999998</v>
      </c>
      <c r="H54" s="60">
        <f>SUM(H55:H58)</f>
        <v>1635.80826119</v>
      </c>
      <c r="I54" s="60">
        <f>SUM(I55:I58)</f>
        <v>1495.3322578800003</v>
      </c>
      <c r="J54" s="26"/>
    </row>
    <row r="55" spans="1:10" ht="12.75">
      <c r="A55" s="3" t="s">
        <v>39</v>
      </c>
      <c r="B55" s="9" t="s">
        <v>90</v>
      </c>
      <c r="C55" s="57">
        <f>1482.992323-15.5-21.6+8.6-30.4</f>
        <v>1424.0923229999999</v>
      </c>
      <c r="D55" s="58">
        <v>0</v>
      </c>
      <c r="E55" s="58">
        <v>0</v>
      </c>
      <c r="F55" s="59">
        <f aca="true" t="shared" si="12" ref="F55:G79">C55+SUM(D55:E55)</f>
        <v>1424.0923229999999</v>
      </c>
      <c r="G55" s="60">
        <f t="shared" si="12"/>
        <v>1424.0923229999999</v>
      </c>
      <c r="H55" s="60">
        <v>1347.9780523999998</v>
      </c>
      <c r="I55" s="60">
        <v>1246.1966220400002</v>
      </c>
      <c r="J55" s="26"/>
    </row>
    <row r="56" spans="1:10" ht="12.75">
      <c r="A56" s="3" t="s">
        <v>40</v>
      </c>
      <c r="B56" s="9" t="s">
        <v>91</v>
      </c>
      <c r="C56" s="57">
        <f>31-2.2</f>
        <v>28.8</v>
      </c>
      <c r="D56" s="58">
        <v>0</v>
      </c>
      <c r="E56" s="58">
        <v>0</v>
      </c>
      <c r="F56" s="59">
        <f t="shared" si="12"/>
        <v>28.8</v>
      </c>
      <c r="G56" s="60">
        <f t="shared" si="12"/>
        <v>28.8</v>
      </c>
      <c r="H56" s="60">
        <v>25.835026009999996</v>
      </c>
      <c r="I56" s="60">
        <v>25.57542462</v>
      </c>
      <c r="J56" s="26"/>
    </row>
    <row r="57" spans="1:10" ht="12.75">
      <c r="A57" s="3" t="s">
        <v>41</v>
      </c>
      <c r="B57" s="9" t="s">
        <v>92</v>
      </c>
      <c r="C57" s="57">
        <f>234.675849+36.7+10.4</f>
        <v>281.775849</v>
      </c>
      <c r="D57" s="58">
        <v>0</v>
      </c>
      <c r="E57" s="58">
        <v>0</v>
      </c>
      <c r="F57" s="59">
        <f t="shared" si="12"/>
        <v>281.775849</v>
      </c>
      <c r="G57" s="60">
        <f t="shared" si="12"/>
        <v>281.775849</v>
      </c>
      <c r="H57" s="60">
        <v>259.27541314</v>
      </c>
      <c r="I57" s="60">
        <v>221.32837461000003</v>
      </c>
      <c r="J57" s="26"/>
    </row>
    <row r="58" spans="1:10" ht="25.5">
      <c r="A58" s="3" t="s">
        <v>42</v>
      </c>
      <c r="B58" s="9" t="s">
        <v>93</v>
      </c>
      <c r="C58" s="57">
        <v>10.9</v>
      </c>
      <c r="D58" s="58">
        <v>0</v>
      </c>
      <c r="E58" s="58">
        <v>0</v>
      </c>
      <c r="F58" s="59">
        <f t="shared" si="12"/>
        <v>10.9</v>
      </c>
      <c r="G58" s="60">
        <f t="shared" si="12"/>
        <v>10.9</v>
      </c>
      <c r="H58" s="60">
        <v>2.71976964</v>
      </c>
      <c r="I58" s="60">
        <v>2.2318366099999998</v>
      </c>
      <c r="J58" s="26"/>
    </row>
    <row r="59" spans="1:10" ht="12.75">
      <c r="A59" s="7" t="s">
        <v>43</v>
      </c>
      <c r="B59" s="9"/>
      <c r="C59" s="57">
        <f>SUM(C60:C65)</f>
        <v>375.515</v>
      </c>
      <c r="D59" s="92">
        <f aca="true" t="shared" si="13" ref="D59:I59">SUM(D60:D65)</f>
        <v>0</v>
      </c>
      <c r="E59" s="55">
        <f t="shared" si="13"/>
        <v>0</v>
      </c>
      <c r="F59" s="56">
        <f t="shared" si="13"/>
        <v>375.515</v>
      </c>
      <c r="G59" s="60">
        <f>SUM(G60:G65)</f>
        <v>375.515</v>
      </c>
      <c r="H59" s="60">
        <f t="shared" si="13"/>
        <v>335.52610999</v>
      </c>
      <c r="I59" s="60">
        <f t="shared" si="13"/>
        <v>259.33977564</v>
      </c>
      <c r="J59" s="26"/>
    </row>
    <row r="60" spans="1:10" ht="25.5">
      <c r="A60" s="3" t="s">
        <v>44</v>
      </c>
      <c r="B60" s="9" t="s">
        <v>94</v>
      </c>
      <c r="C60" s="57">
        <f>123.004+56.9+20.4</f>
        <v>200.304</v>
      </c>
      <c r="D60" s="58">
        <v>0</v>
      </c>
      <c r="E60" s="58">
        <v>0</v>
      </c>
      <c r="F60" s="59">
        <f t="shared" si="12"/>
        <v>200.304</v>
      </c>
      <c r="G60" s="60">
        <f t="shared" si="12"/>
        <v>200.304</v>
      </c>
      <c r="H60" s="60">
        <v>166.86693737000002</v>
      </c>
      <c r="I60" s="60">
        <v>141.45529964000002</v>
      </c>
      <c r="J60" s="26"/>
    </row>
    <row r="61" spans="1:10" ht="25.5">
      <c r="A61" s="3" t="s">
        <v>46</v>
      </c>
      <c r="B61" s="9" t="s">
        <v>95</v>
      </c>
      <c r="C61" s="57">
        <f>38.371-30.79-0.2</f>
        <v>7.381000000000003</v>
      </c>
      <c r="D61" s="58">
        <v>0</v>
      </c>
      <c r="E61" s="58">
        <v>0</v>
      </c>
      <c r="F61" s="59">
        <f t="shared" si="12"/>
        <v>7.381000000000003</v>
      </c>
      <c r="G61" s="60">
        <f t="shared" si="12"/>
        <v>7.381000000000003</v>
      </c>
      <c r="H61" s="60">
        <v>26.93466579</v>
      </c>
      <c r="I61" s="61">
        <v>26.62551952</v>
      </c>
      <c r="J61" s="26"/>
    </row>
    <row r="62" spans="1:10" ht="12.75">
      <c r="A62" s="3" t="s">
        <v>45</v>
      </c>
      <c r="B62" s="9" t="s">
        <v>96</v>
      </c>
      <c r="C62" s="57">
        <f>53.423+13-12.1</f>
        <v>54.323</v>
      </c>
      <c r="D62" s="58">
        <v>0</v>
      </c>
      <c r="E62" s="58">
        <v>0</v>
      </c>
      <c r="F62" s="59">
        <f t="shared" si="12"/>
        <v>54.323</v>
      </c>
      <c r="G62" s="60">
        <f t="shared" si="12"/>
        <v>54.323</v>
      </c>
      <c r="H62" s="60">
        <v>53.6090036</v>
      </c>
      <c r="I62" s="61">
        <v>18.527538399999997</v>
      </c>
      <c r="J62" s="26"/>
    </row>
    <row r="63" spans="1:10" ht="25.5">
      <c r="A63" s="3" t="s">
        <v>47</v>
      </c>
      <c r="B63" s="9" t="s">
        <v>97</v>
      </c>
      <c r="C63" s="57">
        <f>61.517+21.09-4</f>
        <v>78.607</v>
      </c>
      <c r="D63" s="58">
        <v>0</v>
      </c>
      <c r="E63" s="58">
        <v>0</v>
      </c>
      <c r="F63" s="59">
        <f t="shared" si="12"/>
        <v>78.607</v>
      </c>
      <c r="G63" s="60">
        <f t="shared" si="12"/>
        <v>78.607</v>
      </c>
      <c r="H63" s="60">
        <v>59.22214623000001</v>
      </c>
      <c r="I63" s="61">
        <v>49.661464869999996</v>
      </c>
      <c r="J63" s="26"/>
    </row>
    <row r="64" spans="1:10" ht="25.5">
      <c r="A64" s="3" t="s">
        <v>48</v>
      </c>
      <c r="B64" s="9" t="s">
        <v>98</v>
      </c>
      <c r="C64" s="57">
        <f>110.7-75.3-0.5</f>
        <v>34.900000000000006</v>
      </c>
      <c r="D64" s="58">
        <v>0</v>
      </c>
      <c r="E64" s="58">
        <v>0</v>
      </c>
      <c r="F64" s="59">
        <f t="shared" si="12"/>
        <v>34.900000000000006</v>
      </c>
      <c r="G64" s="60">
        <f t="shared" si="12"/>
        <v>34.900000000000006</v>
      </c>
      <c r="H64" s="60">
        <v>28.893357</v>
      </c>
      <c r="I64" s="61">
        <v>23.069953209999998</v>
      </c>
      <c r="J64" s="26"/>
    </row>
    <row r="65" spans="1:10" ht="12.75">
      <c r="A65" s="3" t="s">
        <v>130</v>
      </c>
      <c r="B65" s="9" t="s">
        <v>124</v>
      </c>
      <c r="C65" s="62"/>
      <c r="D65" s="58"/>
      <c r="E65" s="58"/>
      <c r="F65" s="59"/>
      <c r="G65" s="62"/>
      <c r="H65" s="93"/>
      <c r="I65" s="94"/>
      <c r="J65" s="26"/>
    </row>
    <row r="66" spans="1:12" ht="25.5">
      <c r="A66" s="1" t="s">
        <v>49</v>
      </c>
      <c r="B66" s="10"/>
      <c r="C66" s="79">
        <f aca="true" t="shared" si="14" ref="C66:I66">SUM(C67:C73)</f>
        <v>459.700075</v>
      </c>
      <c r="D66" s="77">
        <f t="shared" si="14"/>
        <v>0</v>
      </c>
      <c r="E66" s="77">
        <f t="shared" si="14"/>
        <v>0</v>
      </c>
      <c r="F66" s="89">
        <f t="shared" si="14"/>
        <v>459.700075</v>
      </c>
      <c r="G66" s="79">
        <f t="shared" si="14"/>
        <v>459.700075</v>
      </c>
      <c r="H66" s="77">
        <f t="shared" si="14"/>
        <v>450.70267657999995</v>
      </c>
      <c r="I66" s="90">
        <f t="shared" si="14"/>
        <v>396.37570461</v>
      </c>
      <c r="J66" s="27"/>
      <c r="L66" s="28"/>
    </row>
    <row r="67" spans="1:10" ht="12.75">
      <c r="A67" s="3" t="s">
        <v>70</v>
      </c>
      <c r="B67" s="9" t="s">
        <v>99</v>
      </c>
      <c r="C67" s="57">
        <f>113.663296-38-9+13.58</f>
        <v>80.243296</v>
      </c>
      <c r="D67" s="58">
        <v>0</v>
      </c>
      <c r="E67" s="58">
        <v>0</v>
      </c>
      <c r="F67" s="59">
        <f t="shared" si="12"/>
        <v>80.243296</v>
      </c>
      <c r="G67" s="60">
        <v>80.243296</v>
      </c>
      <c r="H67" s="60">
        <v>78.58584732999998</v>
      </c>
      <c r="I67" s="61">
        <v>73.97935408</v>
      </c>
      <c r="J67" s="26"/>
    </row>
    <row r="68" spans="1:10" ht="12.75">
      <c r="A68" s="3" t="s">
        <v>50</v>
      </c>
      <c r="B68" s="9" t="s">
        <v>100</v>
      </c>
      <c r="C68" s="57">
        <f>45-1.62</f>
        <v>43.38</v>
      </c>
      <c r="D68" s="58">
        <v>0</v>
      </c>
      <c r="E68" s="58">
        <v>0</v>
      </c>
      <c r="F68" s="59">
        <f t="shared" si="12"/>
        <v>43.38</v>
      </c>
      <c r="G68" s="60">
        <f t="shared" si="12"/>
        <v>43.38</v>
      </c>
      <c r="H68" s="60">
        <v>42.61539656</v>
      </c>
      <c r="I68" s="61">
        <v>40.80880647</v>
      </c>
      <c r="J68" s="26"/>
    </row>
    <row r="69" spans="1:10" ht="16.5" customHeight="1">
      <c r="A69" s="3" t="s">
        <v>51</v>
      </c>
      <c r="B69" s="9" t="s">
        <v>101</v>
      </c>
      <c r="C69" s="57">
        <f>189.344779+9-1.25</f>
        <v>197.094779</v>
      </c>
      <c r="D69" s="58">
        <v>0</v>
      </c>
      <c r="E69" s="58">
        <v>0</v>
      </c>
      <c r="F69" s="59">
        <f t="shared" si="12"/>
        <v>197.094779</v>
      </c>
      <c r="G69" s="60">
        <v>197.094779</v>
      </c>
      <c r="H69" s="60">
        <v>196.62463680000002</v>
      </c>
      <c r="I69" s="61">
        <v>167.96202075</v>
      </c>
      <c r="J69" s="26"/>
    </row>
    <row r="70" spans="1:10" ht="25.5">
      <c r="A70" s="3" t="s">
        <v>52</v>
      </c>
      <c r="B70" s="9" t="s">
        <v>102</v>
      </c>
      <c r="C70" s="57">
        <f>20+0.8-0.7</f>
        <v>20.1</v>
      </c>
      <c r="D70" s="58">
        <v>0</v>
      </c>
      <c r="E70" s="58">
        <v>0</v>
      </c>
      <c r="F70" s="59">
        <f t="shared" si="12"/>
        <v>20.1</v>
      </c>
      <c r="G70" s="60">
        <f t="shared" si="12"/>
        <v>20.1</v>
      </c>
      <c r="H70" s="60">
        <v>19.95646255</v>
      </c>
      <c r="I70" s="61">
        <v>19.905092720000003</v>
      </c>
      <c r="J70" s="26"/>
    </row>
    <row r="71" spans="1:10" ht="12.75">
      <c r="A71" s="3" t="s">
        <v>11</v>
      </c>
      <c r="B71" s="9" t="s">
        <v>103</v>
      </c>
      <c r="C71" s="57">
        <f>45.5+1.8</f>
        <v>47.3</v>
      </c>
      <c r="D71" s="58">
        <v>0</v>
      </c>
      <c r="E71" s="58">
        <v>0</v>
      </c>
      <c r="F71" s="59">
        <f t="shared" si="12"/>
        <v>47.3</v>
      </c>
      <c r="G71" s="60">
        <f t="shared" si="12"/>
        <v>47.3</v>
      </c>
      <c r="H71" s="60">
        <v>44.39226068000001</v>
      </c>
      <c r="I71" s="61">
        <v>28.30219508</v>
      </c>
      <c r="J71" s="26"/>
    </row>
    <row r="72" spans="1:10" ht="12.75">
      <c r="A72" s="3" t="s">
        <v>145</v>
      </c>
      <c r="B72" s="9" t="s">
        <v>143</v>
      </c>
      <c r="C72" s="57">
        <f>70+1-15-4.418</f>
        <v>51.582</v>
      </c>
      <c r="D72" s="58">
        <v>0</v>
      </c>
      <c r="E72" s="58">
        <v>0</v>
      </c>
      <c r="F72" s="59">
        <f t="shared" si="12"/>
        <v>51.582</v>
      </c>
      <c r="G72" s="60">
        <f t="shared" si="12"/>
        <v>51.582</v>
      </c>
      <c r="H72" s="60">
        <v>48.529999</v>
      </c>
      <c r="I72" s="61">
        <v>47.753111</v>
      </c>
      <c r="J72" s="26"/>
    </row>
    <row r="73" spans="1:10" ht="25.5">
      <c r="A73" s="3" t="s">
        <v>12</v>
      </c>
      <c r="B73" s="9" t="s">
        <v>104</v>
      </c>
      <c r="C73" s="57">
        <f>25-5</f>
        <v>20</v>
      </c>
      <c r="D73" s="58">
        <v>0</v>
      </c>
      <c r="E73" s="58">
        <v>0</v>
      </c>
      <c r="F73" s="59">
        <f t="shared" si="12"/>
        <v>20</v>
      </c>
      <c r="G73" s="60">
        <f t="shared" si="12"/>
        <v>20</v>
      </c>
      <c r="H73" s="60">
        <v>19.99807366</v>
      </c>
      <c r="I73" s="61">
        <v>17.66512451</v>
      </c>
      <c r="J73" s="26"/>
    </row>
    <row r="74" spans="1:10" ht="12" customHeight="1">
      <c r="A74" s="1" t="s">
        <v>53</v>
      </c>
      <c r="B74" s="10"/>
      <c r="C74" s="78">
        <f aca="true" t="shared" si="15" ref="C74:I74">SUM(C75:C76)</f>
        <v>333.60428599999995</v>
      </c>
      <c r="D74" s="77">
        <f t="shared" si="15"/>
        <v>0</v>
      </c>
      <c r="E74" s="77">
        <f t="shared" si="15"/>
        <v>0</v>
      </c>
      <c r="F74" s="89">
        <f t="shared" si="15"/>
        <v>333.60428599999995</v>
      </c>
      <c r="G74" s="78">
        <f>SUM(G75:G76)</f>
        <v>333.60428599999995</v>
      </c>
      <c r="H74" s="77">
        <f t="shared" si="15"/>
        <v>318.43742543999997</v>
      </c>
      <c r="I74" s="90">
        <f t="shared" si="15"/>
        <v>238.51255471</v>
      </c>
      <c r="J74" s="26"/>
    </row>
    <row r="75" spans="1:10" ht="25.5">
      <c r="A75" s="3" t="s">
        <v>54</v>
      </c>
      <c r="B75" s="9" t="s">
        <v>105</v>
      </c>
      <c r="C75" s="57">
        <f>127-2.2</f>
        <v>124.8</v>
      </c>
      <c r="D75" s="58">
        <v>0</v>
      </c>
      <c r="E75" s="58">
        <v>0</v>
      </c>
      <c r="F75" s="59">
        <f t="shared" si="12"/>
        <v>124.8</v>
      </c>
      <c r="G75" s="60">
        <f t="shared" si="12"/>
        <v>124.8</v>
      </c>
      <c r="H75" s="60">
        <v>123.43847889000001</v>
      </c>
      <c r="I75" s="61">
        <v>121.94511762</v>
      </c>
      <c r="J75" s="26"/>
    </row>
    <row r="76" spans="1:10" ht="12.75">
      <c r="A76" s="3" t="s">
        <v>13</v>
      </c>
      <c r="B76" s="9" t="s">
        <v>106</v>
      </c>
      <c r="C76" s="57">
        <f>206.714286+2.2-0.11</f>
        <v>208.80428599999996</v>
      </c>
      <c r="D76" s="58">
        <v>0</v>
      </c>
      <c r="E76" s="58">
        <v>0</v>
      </c>
      <c r="F76" s="59">
        <f t="shared" si="12"/>
        <v>208.80428599999996</v>
      </c>
      <c r="G76" s="60">
        <f t="shared" si="12"/>
        <v>208.80428599999996</v>
      </c>
      <c r="H76" s="60">
        <v>194.99894654999994</v>
      </c>
      <c r="I76" s="61">
        <v>116.56743708999998</v>
      </c>
      <c r="J76" s="26"/>
    </row>
    <row r="77" spans="1:10" ht="12.75">
      <c r="A77" s="1" t="s">
        <v>55</v>
      </c>
      <c r="B77" s="10"/>
      <c r="C77" s="79">
        <f aca="true" t="shared" si="16" ref="C77:I77">SUM(C78:C81)</f>
        <v>822.479149</v>
      </c>
      <c r="D77" s="77">
        <f t="shared" si="16"/>
        <v>0</v>
      </c>
      <c r="E77" s="77">
        <f t="shared" si="16"/>
        <v>0</v>
      </c>
      <c r="F77" s="89">
        <f t="shared" si="16"/>
        <v>822.479149</v>
      </c>
      <c r="G77" s="79">
        <f t="shared" si="16"/>
        <v>822.479149</v>
      </c>
      <c r="H77" s="77">
        <f t="shared" si="16"/>
        <v>775.2667011199999</v>
      </c>
      <c r="I77" s="90">
        <f t="shared" si="16"/>
        <v>710.00224133</v>
      </c>
      <c r="J77" s="26"/>
    </row>
    <row r="78" spans="1:10" ht="25.5">
      <c r="A78" s="3" t="s">
        <v>56</v>
      </c>
      <c r="B78" s="9" t="s">
        <v>107</v>
      </c>
      <c r="C78" s="57">
        <f>439-35+62.3</f>
        <v>466.3</v>
      </c>
      <c r="D78" s="58">
        <v>0</v>
      </c>
      <c r="E78" s="58">
        <v>0</v>
      </c>
      <c r="F78" s="59">
        <f t="shared" si="12"/>
        <v>466.3</v>
      </c>
      <c r="G78" s="60">
        <f t="shared" si="12"/>
        <v>466.3</v>
      </c>
      <c r="H78" s="60">
        <v>431.66644504999994</v>
      </c>
      <c r="I78" s="61">
        <v>399.69943722</v>
      </c>
      <c r="J78" s="26"/>
    </row>
    <row r="79" spans="1:10" ht="25.5">
      <c r="A79" s="3" t="s">
        <v>57</v>
      </c>
      <c r="B79" s="9" t="s">
        <v>109</v>
      </c>
      <c r="C79" s="57">
        <f>297-12+7.3-24.1</f>
        <v>268.2</v>
      </c>
      <c r="D79" s="58">
        <v>0</v>
      </c>
      <c r="E79" s="58">
        <v>0</v>
      </c>
      <c r="F79" s="59">
        <f t="shared" si="12"/>
        <v>268.2</v>
      </c>
      <c r="G79" s="60">
        <f t="shared" si="12"/>
        <v>268.2</v>
      </c>
      <c r="H79" s="60">
        <v>258.32505535999996</v>
      </c>
      <c r="I79" s="61">
        <v>241.3808106</v>
      </c>
      <c r="J79" s="26"/>
    </row>
    <row r="80" spans="1:10" ht="12.75">
      <c r="A80" s="3" t="s">
        <v>64</v>
      </c>
      <c r="B80" s="9" t="s">
        <v>108</v>
      </c>
      <c r="C80" s="57">
        <f>50-3.12</f>
        <v>46.88</v>
      </c>
      <c r="D80" s="58">
        <v>0</v>
      </c>
      <c r="E80" s="58">
        <v>0</v>
      </c>
      <c r="F80" s="59">
        <f>C80+SUM(D80:E80)</f>
        <v>46.88</v>
      </c>
      <c r="G80" s="60">
        <f>D80+SUM(E80:F80)</f>
        <v>46.88</v>
      </c>
      <c r="H80" s="60">
        <v>45.74</v>
      </c>
      <c r="I80" s="61">
        <v>45.309929</v>
      </c>
      <c r="J80" s="26"/>
    </row>
    <row r="81" spans="1:10" ht="12.75">
      <c r="A81" s="3" t="s">
        <v>157</v>
      </c>
      <c r="B81" s="9" t="s">
        <v>156</v>
      </c>
      <c r="C81" s="95">
        <f>0+34.4+3.12+3.579149</f>
        <v>41.099149</v>
      </c>
      <c r="D81" s="58">
        <v>0</v>
      </c>
      <c r="E81" s="58">
        <v>0</v>
      </c>
      <c r="F81" s="59">
        <f>C81+SUM(D81:E81)</f>
        <v>41.099149</v>
      </c>
      <c r="G81" s="60">
        <f>D81+SUM(E81:F81)</f>
        <v>41.099149</v>
      </c>
      <c r="H81" s="60">
        <v>39.53520071</v>
      </c>
      <c r="I81" s="61">
        <v>23.612064510000003</v>
      </c>
      <c r="J81" s="26"/>
    </row>
    <row r="82" spans="1:10" ht="12.75">
      <c r="A82" s="1" t="s">
        <v>165</v>
      </c>
      <c r="B82" s="10"/>
      <c r="C82" s="96">
        <f aca="true" t="shared" si="17" ref="C82:I82">SUM(C83:C90)</f>
        <v>822.98977</v>
      </c>
      <c r="D82" s="97">
        <f t="shared" si="17"/>
        <v>0</v>
      </c>
      <c r="E82" s="98">
        <f t="shared" si="17"/>
        <v>0</v>
      </c>
      <c r="F82" s="99">
        <f t="shared" si="17"/>
        <v>822.98977</v>
      </c>
      <c r="G82" s="96">
        <f t="shared" si="17"/>
        <v>822.98977</v>
      </c>
      <c r="H82" s="98">
        <f t="shared" si="17"/>
        <v>820.5076388</v>
      </c>
      <c r="I82" s="90">
        <f t="shared" si="17"/>
        <v>802.04200734</v>
      </c>
      <c r="J82" s="26"/>
    </row>
    <row r="83" spans="1:10" ht="25.5">
      <c r="A83" s="3" t="s">
        <v>2</v>
      </c>
      <c r="B83" s="9" t="s">
        <v>110</v>
      </c>
      <c r="C83" s="57">
        <v>8</v>
      </c>
      <c r="D83" s="58">
        <v>0</v>
      </c>
      <c r="E83" s="58">
        <v>0</v>
      </c>
      <c r="F83" s="59">
        <f aca="true" t="shared" si="18" ref="F83:G102">C83+SUM(D83:E83)</f>
        <v>8</v>
      </c>
      <c r="G83" s="60">
        <f t="shared" si="18"/>
        <v>8</v>
      </c>
      <c r="H83" s="60">
        <v>8</v>
      </c>
      <c r="I83" s="61">
        <v>8</v>
      </c>
      <c r="J83" s="26"/>
    </row>
    <row r="84" spans="1:10" ht="12.75">
      <c r="A84" s="3" t="s">
        <v>140</v>
      </c>
      <c r="B84" s="9" t="s">
        <v>142</v>
      </c>
      <c r="C84" s="57">
        <f>94-15-3.863885-3.074</f>
        <v>72.062115</v>
      </c>
      <c r="D84" s="58">
        <v>0</v>
      </c>
      <c r="E84" s="58">
        <v>0</v>
      </c>
      <c r="F84" s="59">
        <f t="shared" si="18"/>
        <v>72.062115</v>
      </c>
      <c r="G84" s="60">
        <f t="shared" si="18"/>
        <v>72.062115</v>
      </c>
      <c r="H84" s="60">
        <v>70.017971</v>
      </c>
      <c r="I84" s="61">
        <v>69.5486207</v>
      </c>
      <c r="J84" s="26"/>
    </row>
    <row r="85" spans="1:10" ht="12.75">
      <c r="A85" s="3" t="s">
        <v>141</v>
      </c>
      <c r="B85" s="9" t="s">
        <v>127</v>
      </c>
      <c r="C85" s="57">
        <f>37+3.2-0.25</f>
        <v>39.95</v>
      </c>
      <c r="D85" s="58">
        <v>0</v>
      </c>
      <c r="E85" s="58">
        <v>0</v>
      </c>
      <c r="F85" s="59">
        <f t="shared" si="18"/>
        <v>39.95</v>
      </c>
      <c r="G85" s="60">
        <f t="shared" si="18"/>
        <v>39.95</v>
      </c>
      <c r="H85" s="60">
        <v>39.948194799999996</v>
      </c>
      <c r="I85" s="61">
        <v>39.30729917</v>
      </c>
      <c r="J85" s="26"/>
    </row>
    <row r="86" spans="1:10" ht="25.5">
      <c r="A86" s="3" t="s">
        <v>15</v>
      </c>
      <c r="B86" s="9" t="s">
        <v>111</v>
      </c>
      <c r="C86" s="57">
        <f>44-3.2+0.25</f>
        <v>41.05</v>
      </c>
      <c r="D86" s="58">
        <v>0</v>
      </c>
      <c r="E86" s="58">
        <v>0</v>
      </c>
      <c r="F86" s="59">
        <f t="shared" si="18"/>
        <v>41.05</v>
      </c>
      <c r="G86" s="60">
        <f t="shared" si="18"/>
        <v>41.05</v>
      </c>
      <c r="H86" s="60">
        <v>41.05</v>
      </c>
      <c r="I86" s="61">
        <v>40.847951</v>
      </c>
      <c r="J86" s="26"/>
    </row>
    <row r="87" spans="1:11" s="22" customFormat="1" ht="12.75">
      <c r="A87" s="3" t="s">
        <v>122</v>
      </c>
      <c r="B87" s="9" t="s">
        <v>126</v>
      </c>
      <c r="C87" s="57">
        <f>100-20+5+3.95</f>
        <v>88.95</v>
      </c>
      <c r="D87" s="58">
        <v>0</v>
      </c>
      <c r="E87" s="58">
        <v>0</v>
      </c>
      <c r="F87" s="59">
        <f t="shared" si="18"/>
        <v>88.95</v>
      </c>
      <c r="G87" s="60">
        <f t="shared" si="18"/>
        <v>88.95</v>
      </c>
      <c r="H87" s="60">
        <v>88.949978</v>
      </c>
      <c r="I87" s="61">
        <v>85.14121263</v>
      </c>
      <c r="J87" s="26"/>
      <c r="K87" s="11"/>
    </row>
    <row r="88" spans="1:11" s="22" customFormat="1" ht="12.75">
      <c r="A88" s="3" t="s">
        <v>120</v>
      </c>
      <c r="B88" s="9" t="s">
        <v>133</v>
      </c>
      <c r="C88" s="57">
        <f>100+5+7.800016</f>
        <v>112.800016</v>
      </c>
      <c r="D88" s="58">
        <v>0</v>
      </c>
      <c r="E88" s="58">
        <v>0</v>
      </c>
      <c r="F88" s="59">
        <f t="shared" si="18"/>
        <v>112.800016</v>
      </c>
      <c r="G88" s="60">
        <f t="shared" si="18"/>
        <v>112.800016</v>
      </c>
      <c r="H88" s="60">
        <v>112.799994</v>
      </c>
      <c r="I88" s="61">
        <v>111.047611</v>
      </c>
      <c r="J88" s="26"/>
      <c r="K88" s="11"/>
    </row>
    <row r="89" spans="1:11" s="22" customFormat="1" ht="29.25" customHeight="1">
      <c r="A89" s="3" t="s">
        <v>123</v>
      </c>
      <c r="B89" s="9" t="s">
        <v>128</v>
      </c>
      <c r="C89" s="57">
        <v>107.9</v>
      </c>
      <c r="D89" s="58">
        <v>0</v>
      </c>
      <c r="E89" s="58">
        <v>0</v>
      </c>
      <c r="F89" s="59">
        <f t="shared" si="18"/>
        <v>107.9</v>
      </c>
      <c r="G89" s="60">
        <f t="shared" si="18"/>
        <v>107.9</v>
      </c>
      <c r="H89" s="60">
        <v>107.463862</v>
      </c>
      <c r="I89" s="61">
        <v>95.87167384</v>
      </c>
      <c r="J89" s="26"/>
      <c r="K89" s="11"/>
    </row>
    <row r="90" spans="1:11" s="22" customFormat="1" ht="12.75">
      <c r="A90" s="3" t="s">
        <v>119</v>
      </c>
      <c r="B90" s="9" t="s">
        <v>129</v>
      </c>
      <c r="C90" s="57">
        <v>352.277639</v>
      </c>
      <c r="D90" s="58">
        <v>0</v>
      </c>
      <c r="E90" s="58">
        <v>0</v>
      </c>
      <c r="F90" s="59">
        <f t="shared" si="18"/>
        <v>352.277639</v>
      </c>
      <c r="G90" s="60">
        <f t="shared" si="18"/>
        <v>352.277639</v>
      </c>
      <c r="H90" s="60">
        <v>352.277639</v>
      </c>
      <c r="I90" s="61">
        <v>352.277639</v>
      </c>
      <c r="J90" s="26"/>
      <c r="K90" s="11"/>
    </row>
    <row r="91" spans="1:10" ht="38.25">
      <c r="A91" s="1" t="s">
        <v>58</v>
      </c>
      <c r="B91" s="10"/>
      <c r="C91" s="79">
        <f>SUM(C92:C99)</f>
        <v>424.558758</v>
      </c>
      <c r="D91" s="77">
        <f aca="true" t="shared" si="19" ref="D91:I91">SUM(D92:D99)</f>
        <v>0</v>
      </c>
      <c r="E91" s="77">
        <f t="shared" si="19"/>
        <v>0</v>
      </c>
      <c r="F91" s="89">
        <f t="shared" si="19"/>
        <v>424.558758</v>
      </c>
      <c r="G91" s="79">
        <f>SUM(G92:G99)</f>
        <v>424.558758</v>
      </c>
      <c r="H91" s="77">
        <f t="shared" si="19"/>
        <v>422.96022982000005</v>
      </c>
      <c r="I91" s="90">
        <f t="shared" si="19"/>
        <v>391.91511566</v>
      </c>
      <c r="J91" s="26"/>
    </row>
    <row r="92" spans="1:10" ht="25.5">
      <c r="A92" s="3" t="s">
        <v>3</v>
      </c>
      <c r="B92" s="9" t="s">
        <v>112</v>
      </c>
      <c r="C92" s="57">
        <f>159+27+8.640758+14.418</f>
        <v>209.058758</v>
      </c>
      <c r="D92" s="58">
        <v>0</v>
      </c>
      <c r="E92" s="58">
        <v>0</v>
      </c>
      <c r="F92" s="59">
        <f t="shared" si="18"/>
        <v>209.058758</v>
      </c>
      <c r="G92" s="60">
        <f t="shared" si="18"/>
        <v>209.058758</v>
      </c>
      <c r="H92" s="60">
        <v>208.95497098</v>
      </c>
      <c r="I92" s="61">
        <v>187.45470498000003</v>
      </c>
      <c r="J92" s="26"/>
    </row>
    <row r="93" spans="1:10" ht="12.75">
      <c r="A93" s="3" t="s">
        <v>4</v>
      </c>
      <c r="B93" s="9" t="s">
        <v>113</v>
      </c>
      <c r="C93" s="57">
        <v>10</v>
      </c>
      <c r="D93" s="58">
        <v>0</v>
      </c>
      <c r="E93" s="58">
        <v>0</v>
      </c>
      <c r="F93" s="59">
        <f t="shared" si="18"/>
        <v>10</v>
      </c>
      <c r="G93" s="60">
        <f t="shared" si="18"/>
        <v>10</v>
      </c>
      <c r="H93" s="60">
        <v>10</v>
      </c>
      <c r="I93" s="61">
        <v>10</v>
      </c>
      <c r="J93" s="26"/>
    </row>
    <row r="94" spans="1:11" s="12" customFormat="1" ht="12.75">
      <c r="A94" s="3" t="s">
        <v>125</v>
      </c>
      <c r="B94" s="9" t="s">
        <v>121</v>
      </c>
      <c r="C94" s="57">
        <v>40</v>
      </c>
      <c r="D94" s="58">
        <v>0</v>
      </c>
      <c r="E94" s="58">
        <v>0</v>
      </c>
      <c r="F94" s="59">
        <f t="shared" si="18"/>
        <v>40</v>
      </c>
      <c r="G94" s="60">
        <f t="shared" si="18"/>
        <v>40</v>
      </c>
      <c r="H94" s="60">
        <v>39.99737575</v>
      </c>
      <c r="I94" s="61">
        <v>39.82302575</v>
      </c>
      <c r="J94" s="26"/>
      <c r="K94" s="11"/>
    </row>
    <row r="95" spans="1:11" s="12" customFormat="1" ht="12.75">
      <c r="A95" s="114" t="s">
        <v>172</v>
      </c>
      <c r="B95" s="9" t="s">
        <v>154</v>
      </c>
      <c r="C95" s="57">
        <f>0+20</f>
        <v>20</v>
      </c>
      <c r="D95" s="58">
        <v>0</v>
      </c>
      <c r="E95" s="58">
        <v>0</v>
      </c>
      <c r="F95" s="59">
        <f t="shared" si="18"/>
        <v>20</v>
      </c>
      <c r="G95" s="60">
        <f t="shared" si="18"/>
        <v>20</v>
      </c>
      <c r="H95" s="60">
        <v>19.9979925</v>
      </c>
      <c r="I95" s="61">
        <v>12.215144050000001</v>
      </c>
      <c r="J95" s="26"/>
      <c r="K95" s="11"/>
    </row>
    <row r="96" spans="1:10" ht="25.5">
      <c r="A96" s="3" t="s">
        <v>59</v>
      </c>
      <c r="B96" s="9" t="s">
        <v>114</v>
      </c>
      <c r="C96" s="57">
        <v>30</v>
      </c>
      <c r="D96" s="58">
        <v>0</v>
      </c>
      <c r="E96" s="58">
        <v>0</v>
      </c>
      <c r="F96" s="59">
        <f t="shared" si="18"/>
        <v>30</v>
      </c>
      <c r="G96" s="60">
        <f t="shared" si="18"/>
        <v>30</v>
      </c>
      <c r="H96" s="60">
        <v>29.996931</v>
      </c>
      <c r="I96" s="61">
        <v>29.89722895</v>
      </c>
      <c r="J96" s="26"/>
    </row>
    <row r="97" spans="1:10" ht="12.75">
      <c r="A97" s="3" t="s">
        <v>5</v>
      </c>
      <c r="B97" s="9" t="s">
        <v>149</v>
      </c>
      <c r="C97" s="57">
        <v>15</v>
      </c>
      <c r="D97" s="58">
        <v>0</v>
      </c>
      <c r="E97" s="58">
        <v>0</v>
      </c>
      <c r="F97" s="59">
        <f t="shared" si="18"/>
        <v>15</v>
      </c>
      <c r="G97" s="60">
        <f t="shared" si="18"/>
        <v>15</v>
      </c>
      <c r="H97" s="60">
        <v>14.9</v>
      </c>
      <c r="I97" s="61">
        <v>14.04</v>
      </c>
      <c r="J97" s="26"/>
    </row>
    <row r="98" spans="1:10" ht="12.75">
      <c r="A98" s="3" t="s">
        <v>7</v>
      </c>
      <c r="B98" s="9" t="s">
        <v>115</v>
      </c>
      <c r="C98" s="57">
        <f>99-8.5</f>
        <v>90.5</v>
      </c>
      <c r="D98" s="58">
        <v>0</v>
      </c>
      <c r="E98" s="58">
        <v>0</v>
      </c>
      <c r="F98" s="59">
        <f t="shared" si="18"/>
        <v>90.5</v>
      </c>
      <c r="G98" s="60">
        <f t="shared" si="18"/>
        <v>90.5</v>
      </c>
      <c r="H98" s="60">
        <v>89.11295959</v>
      </c>
      <c r="I98" s="61">
        <v>88.48501193</v>
      </c>
      <c r="J98" s="26"/>
    </row>
    <row r="99" spans="1:10" ht="12.75">
      <c r="A99" s="3" t="s">
        <v>6</v>
      </c>
      <c r="B99" s="9" t="s">
        <v>116</v>
      </c>
      <c r="C99" s="57">
        <v>10</v>
      </c>
      <c r="D99" s="58">
        <v>0</v>
      </c>
      <c r="E99" s="58">
        <v>0</v>
      </c>
      <c r="F99" s="59">
        <f t="shared" si="18"/>
        <v>10</v>
      </c>
      <c r="G99" s="60">
        <f t="shared" si="18"/>
        <v>10</v>
      </c>
      <c r="H99" s="60">
        <v>10</v>
      </c>
      <c r="I99" s="61">
        <v>10</v>
      </c>
      <c r="J99" s="26"/>
    </row>
    <row r="100" spans="1:10" ht="12.75">
      <c r="A100" s="1" t="s">
        <v>73</v>
      </c>
      <c r="B100" s="10"/>
      <c r="C100" s="100">
        <f>SUM(C101:C102)</f>
        <v>213</v>
      </c>
      <c r="D100" s="101">
        <f aca="true" t="shared" si="20" ref="D100:I100">SUM(D101:D102)</f>
        <v>0</v>
      </c>
      <c r="E100" s="101">
        <f t="shared" si="20"/>
        <v>0</v>
      </c>
      <c r="F100" s="102">
        <f t="shared" si="20"/>
        <v>213</v>
      </c>
      <c r="G100" s="100">
        <f>SUM(G101:G102)</f>
        <v>213</v>
      </c>
      <c r="H100" s="77">
        <f t="shared" si="20"/>
        <v>209.95350684</v>
      </c>
      <c r="I100" s="90">
        <f t="shared" si="20"/>
        <v>208.24026426</v>
      </c>
      <c r="J100" s="26"/>
    </row>
    <row r="101" spans="1:10" ht="13.5" thickBot="1">
      <c r="A101" s="3" t="s">
        <v>66</v>
      </c>
      <c r="B101" s="8"/>
      <c r="C101" s="103">
        <f>30-1</f>
        <v>29</v>
      </c>
      <c r="D101" s="55">
        <v>0</v>
      </c>
      <c r="E101" s="55">
        <v>0</v>
      </c>
      <c r="F101" s="56">
        <f t="shared" si="18"/>
        <v>29</v>
      </c>
      <c r="G101" s="109">
        <f t="shared" si="18"/>
        <v>29</v>
      </c>
      <c r="H101" s="104">
        <v>25.95350684</v>
      </c>
      <c r="I101" s="105">
        <v>25.950142560000003</v>
      </c>
      <c r="J101" s="26"/>
    </row>
    <row r="102" spans="1:10" ht="26.25" thickBot="1">
      <c r="A102" s="38" t="s">
        <v>74</v>
      </c>
      <c r="B102" s="39"/>
      <c r="C102" s="106">
        <v>184</v>
      </c>
      <c r="D102" s="107">
        <v>0</v>
      </c>
      <c r="E102" s="107">
        <v>0</v>
      </c>
      <c r="F102" s="108">
        <f t="shared" si="18"/>
        <v>184</v>
      </c>
      <c r="G102" s="109">
        <f t="shared" si="18"/>
        <v>184</v>
      </c>
      <c r="H102" s="109">
        <v>184</v>
      </c>
      <c r="I102" s="110">
        <v>182.2901217</v>
      </c>
      <c r="J102" s="26"/>
    </row>
    <row r="103" spans="1:10" ht="16.5" thickBot="1">
      <c r="A103" s="36" t="s">
        <v>14</v>
      </c>
      <c r="B103" s="37"/>
      <c r="C103" s="111">
        <f>C5+C26+C44+C50+C66+C53+C74+C77+C82+C91+C100</f>
        <v>18457.986115</v>
      </c>
      <c r="D103" s="111"/>
      <c r="E103" s="111"/>
      <c r="F103" s="111">
        <f>F5+F26+F44+F50+F66+F53+F74+F77+F82+F91+F100</f>
        <v>18457.986115</v>
      </c>
      <c r="G103" s="111">
        <f>G5+G26+G44+G50+G66+G53+G74+G77+G82+G91+G100</f>
        <v>18457.986115</v>
      </c>
      <c r="H103" s="112">
        <f>H5+H26+H44+H50+H66+H53+H74+H77+H82+H91+H100</f>
        <v>17822.564920740002</v>
      </c>
      <c r="I103" s="112">
        <f>I5+I26+I44+I50+I66+I53+I74+I77+I82+I91+I100</f>
        <v>16706.216066349996</v>
      </c>
      <c r="J103" s="26"/>
    </row>
    <row r="104" spans="1:9" ht="12.75">
      <c r="A104" s="15"/>
      <c r="B104" s="15"/>
      <c r="C104" s="41"/>
      <c r="D104" s="41"/>
      <c r="E104" s="41"/>
      <c r="F104" s="41"/>
      <c r="G104" s="41"/>
      <c r="H104" s="48"/>
      <c r="I104" s="49"/>
    </row>
    <row r="105" spans="1:9" ht="37.5" customHeight="1">
      <c r="A105" s="115" t="s">
        <v>164</v>
      </c>
      <c r="B105" s="116"/>
      <c r="C105" s="116"/>
      <c r="D105" s="116"/>
      <c r="E105" s="116"/>
      <c r="F105" s="116"/>
      <c r="G105" s="116"/>
      <c r="H105" s="116"/>
      <c r="I105" s="116"/>
    </row>
    <row r="106" spans="1:9" ht="12.75">
      <c r="A106" s="16"/>
      <c r="B106" s="11"/>
      <c r="C106" s="42"/>
      <c r="D106" s="42"/>
      <c r="E106" s="42"/>
      <c r="F106" s="42"/>
      <c r="G106" s="42"/>
      <c r="H106" s="48"/>
      <c r="I106" s="48"/>
    </row>
    <row r="107" spans="1:9" ht="12.75">
      <c r="A107" s="17"/>
      <c r="B107" s="18"/>
      <c r="C107" s="42"/>
      <c r="D107" s="42"/>
      <c r="E107" s="42"/>
      <c r="F107" s="42"/>
      <c r="G107" s="42"/>
      <c r="H107" s="48"/>
      <c r="I107" s="48"/>
    </row>
    <row r="108" spans="1:9" ht="12.75">
      <c r="A108" s="19"/>
      <c r="B108" s="18"/>
      <c r="C108" s="42"/>
      <c r="D108" s="42"/>
      <c r="E108" s="42"/>
      <c r="F108" s="42"/>
      <c r="G108" s="42"/>
      <c r="H108" s="48"/>
      <c r="I108" s="48"/>
    </row>
    <row r="109" spans="1:9" ht="12.75">
      <c r="A109" s="20"/>
      <c r="B109" s="18"/>
      <c r="C109" s="42"/>
      <c r="D109" s="42"/>
      <c r="E109" s="42"/>
      <c r="F109" s="42"/>
      <c r="G109" s="42"/>
      <c r="H109" s="48"/>
      <c r="I109" s="48"/>
    </row>
    <row r="110" spans="1:9" ht="12.75">
      <c r="A110" s="11"/>
      <c r="B110" s="11"/>
      <c r="C110" s="42"/>
      <c r="D110" s="42"/>
      <c r="E110" s="42"/>
      <c r="F110" s="42"/>
      <c r="G110" s="42"/>
      <c r="H110" s="48"/>
      <c r="I110" s="48"/>
    </row>
    <row r="111" spans="1:9" ht="12.75">
      <c r="A111" s="11"/>
      <c r="B111" s="11"/>
      <c r="C111" s="42"/>
      <c r="D111" s="42"/>
      <c r="E111" s="42"/>
      <c r="F111" s="42"/>
      <c r="G111" s="42"/>
      <c r="H111" s="48"/>
      <c r="I111" s="48"/>
    </row>
    <row r="112" spans="1:9" ht="12.75">
      <c r="A112" s="21"/>
      <c r="B112" s="11"/>
      <c r="C112" s="42"/>
      <c r="D112" s="42"/>
      <c r="E112" s="42"/>
      <c r="F112" s="42"/>
      <c r="G112" s="42"/>
      <c r="H112" s="48"/>
      <c r="I112" s="48"/>
    </row>
    <row r="114" spans="1:7" ht="12.75">
      <c r="A114" s="13"/>
      <c r="G114" s="44"/>
    </row>
  </sheetData>
  <sheetProtection/>
  <mergeCells count="6">
    <mergeCell ref="A105:I105"/>
    <mergeCell ref="A1:I1"/>
    <mergeCell ref="A2:I2"/>
    <mergeCell ref="A3:B3"/>
    <mergeCell ref="G3:I3"/>
    <mergeCell ref="C3:F3"/>
  </mergeCells>
  <printOptions horizontalCentered="1"/>
  <pageMargins left="0.1" right="0" top="0.09" bottom="0.44" header="0.23" footer="0.18"/>
  <pageSetup firstPageNumber="9" useFirstPageNumber="1" fitToHeight="15" horizontalDpi="600" verticalDpi="600" orientation="landscape" scale="78" r:id="rId3"/>
  <headerFooter alignWithMargins="0">
    <oddFooter>&amp;C&amp;P</oddFooter>
  </headerFooter>
  <rowBreaks count="2" manualBreakCount="2">
    <brk id="38" max="8" man="1"/>
    <brk id="73" max="10" man="1"/>
  </rowBreaks>
  <ignoredErrors>
    <ignoredError sqref="I16 E1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Management and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KREUTNER_K</dc:creator>
  <cp:keywords/>
  <dc:description/>
  <cp:lastModifiedBy>brooksjc</cp:lastModifiedBy>
  <cp:lastPrinted>2008-01-29T15:04:59Z</cp:lastPrinted>
  <dcterms:created xsi:type="dcterms:W3CDTF">2003-10-22T14:14:50Z</dcterms:created>
  <dcterms:modified xsi:type="dcterms:W3CDTF">2008-02-27T15:52:44Z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