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70" windowWidth="15330" windowHeight="3825" tabRatio="576" firstSheet="1" activeTab="2"/>
  </bookViews>
  <sheets>
    <sheet name="CB_DATA_" sheetId="1" state="veryHidden" r:id="rId1"/>
    <sheet name="User's Guide" sheetId="2" r:id="rId2"/>
    <sheet name="Activity Description" sheetId="3" r:id="rId3"/>
    <sheet name="ERR &amp; Sensitivity Analysis" sheetId="4" r:id="rId4"/>
    <sheet name="ERR Calculation"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ddgrow">#REF!</definedName>
    <definedName name="annwage">#REF!</definedName>
    <definedName name="arch">'[1]Cashflow'!#REF!</definedName>
    <definedName name="arch1">'[1]Cashflow'!#REF!</definedName>
    <definedName name="arch2">'[1]Cashflow'!#REF!</definedName>
    <definedName name="arch3">'[1]Cashflow'!#REF!</definedName>
    <definedName name="arch4">'[1]Cashflow'!#REF!</definedName>
    <definedName name="archcert">'[1]Cashflow'!#REF!</definedName>
    <definedName name="asset_life">#REF!</definedName>
    <definedName name="avgwage">'[2]Key Assumptions'!$G$9</definedName>
    <definedName name="billing_hydro">#REF!</definedName>
    <definedName name="billing_subsea" localSheetId="3">'[10]Assumptions'!#REF!</definedName>
    <definedName name="billing_subsea">#REF!</definedName>
    <definedName name="billing_td" localSheetId="3">'[10]Assumptions'!#REF!</definedName>
    <definedName name="billing_td">#REF!</definedName>
    <definedName name="BUILDINGS__RENOVATIONS___ADDITIONS">#REF!</definedName>
    <definedName name="c_tax">'[8]Assumptions'!$D$129</definedName>
    <definedName name="cablife">'[6]Assumptions'!$H$29</definedName>
    <definedName name="CB_1c5e34d883ac497cbfb6d46c79f4dee7" localSheetId="3" hidden="1">'ERR &amp; Sensitivity Analysis'!$D$33</definedName>
    <definedName name="CB_37810afb5cc4467187221b7c6f1ac565" localSheetId="3" hidden="1">'ERR &amp; Sensitivity Analysis'!$D$29</definedName>
    <definedName name="CB_aa0302047616463da4ce942bcc053c99" localSheetId="3" hidden="1">'ERR &amp; Sensitivity Analysis'!$D$28</definedName>
    <definedName name="CBCR_ee6c501fce1a47429907bfe983b3b0c1" localSheetId="3" hidden="1">'ERR &amp; Sensitivity Analysis'!$C$29</definedName>
    <definedName name="CBWorkbookPriority" localSheetId="2" hidden="1">-1802552942</definedName>
    <definedName name="CBWorkbookPriority" localSheetId="3" hidden="1">-1645099013</definedName>
    <definedName name="CBWorkbookPriority" localSheetId="1" hidden="1">-1554024671</definedName>
    <definedName name="CBWorkbookPriority" hidden="1">-1042042949</definedName>
    <definedName name="CBx_2013a7a0273e4d26ae0776d9f0a8196d" localSheetId="0" hidden="1">"'ERR Calculation'!$A$1"</definedName>
    <definedName name="CBx_74c97fa0955a452387420a5181a9e4dd" localSheetId="0" hidden="1">"'CB_DATA_'!$A$1"</definedName>
    <definedName name="CBx_efb6a8180e6b440197211dfc6d35eb9e" localSheetId="0" hidden="1">"'ERR &amp; Sensitivity Analysis'!$A$1"</definedName>
    <definedName name="CBx_Sheet_Guid" localSheetId="0" hidden="1">"'74c97fa0-955a-4523-8742-0a5181a9e4dd"</definedName>
    <definedName name="CBx_Sheet_Guid" localSheetId="3" hidden="1">"'efb6a818-0e6b-4401-9721-1dfc6d35eb9e"</definedName>
    <definedName name="CBx_Sheet_Guid" localSheetId="4" hidden="1">"'2013a7a0-273e-4d26-ae07-76d9f0a8196d"</definedName>
    <definedName name="CBx_StorageType" localSheetId="0" hidden="1">1</definedName>
    <definedName name="CBx_StorageType" localSheetId="3" hidden="1">1</definedName>
    <definedName name="CBx_StorageType" localSheetId="4" hidden="1">1</definedName>
    <definedName name="CONTINGENCIES">#REF!</definedName>
    <definedName name="Costs">#REF!</definedName>
    <definedName name="Costs2">'[6]Assumptions'!$W$7:$AB$15</definedName>
    <definedName name="CUMMULATIVETOTAL">#REF!</definedName>
    <definedName name="debt">#REF!</definedName>
    <definedName name="debt_cost" localSheetId="3">'[10]Assumptions'!#REF!</definedName>
    <definedName name="debt_cost">#REF!</definedName>
    <definedName name="DEMOLITIONS">#REF!</definedName>
    <definedName name="DEP">#REF!</definedName>
    <definedName name="diesel_price">#REF!</definedName>
    <definedName name="disc">'[4]Assumptions'!#REF!</definedName>
    <definedName name="discount">#REF!</definedName>
    <definedName name="disease_cases">'[4]Assumptions'!#REF!</definedName>
    <definedName name="DPY">'[2]Key Assumptions'!$G$24</definedName>
    <definedName name="ECF">'[3]LU'!$AF$8</definedName>
    <definedName name="ECON">#REF!</definedName>
    <definedName name="eduwageadd">'[4]Morogoro'!$K$31</definedName>
    <definedName name="eduwagenr">'[4]Morogoro'!$K$29</definedName>
    <definedName name="equity" localSheetId="3">'[10]Assumptions'!#REF!</definedName>
    <definedName name="equity">#REF!</definedName>
    <definedName name="ESCALATION">#REF!</definedName>
    <definedName name="ex_rate">#REF!</definedName>
    <definedName name="exch">'[7]Assumptions'!$F$7</definedName>
    <definedName name="exch2">'[9]Basics'!$G$8</definedName>
    <definedName name="gasswitch">'[6]Assumptions'!$H$47</definedName>
    <definedName name="grow">#REF!</definedName>
    <definedName name="hydro_cap">#REF!</definedName>
    <definedName name="hydro_opex">#REF!</definedName>
    <definedName name="income_comm" localSheetId="3">'[10]Assumptions'!#REF!</definedName>
    <definedName name="income_comm">#REF!</definedName>
    <definedName name="income_dom" localSheetId="3">'[10]Assumptions'!#REF!</definedName>
    <definedName name="income_dom">#REF!</definedName>
    <definedName name="income_ind" localSheetId="3">'[10]Assumptions'!#REF!</definedName>
    <definedName name="income_ind">#REF!</definedName>
    <definedName name="income_street" localSheetId="3">'[10]Assumptions'!#REF!</definedName>
    <definedName name="income_street">#REF!</definedName>
    <definedName name="infl">'[2]Key Assumptions'!$G$38</definedName>
    <definedName name="inflation" localSheetId="3">'[10]Assumptions'!#REF!</definedName>
    <definedName name="inflation">#REF!</definedName>
    <definedName name="LCC">'[2]Key Assumptions'!$G$38</definedName>
    <definedName name="Lessgrow">#REF!</definedName>
    <definedName name="LF0913">'[6]Assumptions'!$G$12</definedName>
    <definedName name="LF1423">'[6]Assumptions'!$H$12</definedName>
    <definedName name="LF2433">'[6]Assumptions'!$I$12</definedName>
    <definedName name="LF2434">'[6]Assumptions'!$I$12</definedName>
    <definedName name="list">'[4]Assumptions'!#REF!</definedName>
    <definedName name="loadshed">'[6]Assumptions'!#REF!</definedName>
    <definedName name="LOAN">#REF!</definedName>
    <definedName name="loan_period" localSheetId="3">'[10]Assumptions'!#REF!</definedName>
    <definedName name="loan_period">#REF!</definedName>
    <definedName name="lpb">'[4]Assumptions'!$F$6</definedName>
    <definedName name="LU1">'[3]LU'!$A$3:$V$57</definedName>
    <definedName name="LUsum">'[3]Summary'!$A$6:$S$16</definedName>
    <definedName name="lva">'[2]Key Assumptions'!$G$37</definedName>
    <definedName name="mat_rate">'[8]Assumptions'!$D$125</definedName>
    <definedName name="mat_years">'[8]Assumptions'!$D$127</definedName>
    <definedName name="miniprojrange">#REF!</definedName>
    <definedName name="model_start">#REF!</definedName>
    <definedName name="mvacap">'[6]Assumptions'!$H$31</definedName>
    <definedName name="nmarkup">'[4]Assumptions'!#REF!</definedName>
    <definedName name="omcost">'[4]Assumptions'!$F$9</definedName>
    <definedName name="ops_end">#REF!</definedName>
    <definedName name="ops_start">#REF!</definedName>
    <definedName name="pfactor">'[6]Assumptions'!$H$13</definedName>
    <definedName name="Phasing">#REF!</definedName>
    <definedName name="Phasing2">'[6]Planting'!$F$4:$S$10</definedName>
    <definedName name="pow_importprice">'[6]Assumptions'!$M$8:$O$35</definedName>
    <definedName name="ppatable">'[6]Assumptions'!$L$9:$P$35</definedName>
    <definedName name="Pre_contract_escalation">#REF!</definedName>
    <definedName name="PRELIMINARIES___GENERAL">#REF!</definedName>
    <definedName name="price_comm" localSheetId="3">'[10]Assumptions'!#REF!</definedName>
    <definedName name="price_comm">#REF!</definedName>
    <definedName name="price_dom" localSheetId="3">'[10]Assumptions'!#REF!</definedName>
    <definedName name="price_dom">#REF!</definedName>
    <definedName name="price_ind" localSheetId="3">'[10]Assumptions'!#REF!+'[10]Assumptions'!#REF!</definedName>
    <definedName name="price_ind">#REF!+#REF!</definedName>
    <definedName name="price_street" localSheetId="3">'[10]Assumptions'!#REF!</definedName>
    <definedName name="price_street">#REF!</definedName>
    <definedName name="_xlnm.Print_Area" localSheetId="2">'Activity Description'!$A$1:$D$20</definedName>
    <definedName name="_xlnm.Print_Area" localSheetId="3">'ERR &amp; Sensitivity Analysis'!$A$1:$K$120</definedName>
    <definedName name="_xlnm.Print_Area" localSheetId="4">'ERR Calculation'!$A$1:$X$54</definedName>
    <definedName name="_xlnm.Print_Area" localSheetId="1">'User''s Guide'!$A$1:$D$55</definedName>
    <definedName name="prod">'[5]Key Assumptions'!$H$41</definedName>
    <definedName name="PROFESSIONAL_FEES___DISBURSEMENTS">#REF!</definedName>
    <definedName name="proj_life">#REF!</definedName>
    <definedName name="PROJECT_NAME" localSheetId="2">CONCATENATE('Activity Description'!$C$13," (",'Activity Description'!$C$14,")")</definedName>
    <definedName name="PROJECT_NAME" localSheetId="3">CONCATENATE('[11]User's Guide'!$C$8," (",'[11]User's Guide'!$C$9,")")</definedName>
    <definedName name="PROJECT_NAME">CONCATENATE('User's Guide'!$C$12," (",'User's Guide'!$C$13,")")</definedName>
    <definedName name="project_switch">#REF!</definedName>
    <definedName name="PROVISIONALSUMS">#REF!</definedName>
    <definedName name="real_disc_rate" localSheetId="3">'[10]Assumptions'!#REF!</definedName>
    <definedName name="real_disc_rate">#REF!</definedName>
    <definedName name="req_ret">'[8]Assumptions'!$D$129</definedName>
    <definedName name="residcapex">'[6]Assumptions'!$H$49</definedName>
    <definedName name="selected_cap">#REF!</definedName>
    <definedName name="SITE_WORKS">#REF!</definedName>
    <definedName name="startyear">'[6]Assumptions'!$H$36</definedName>
    <definedName name="STAT">$A$1:$N$401</definedName>
    <definedName name="sub_cap" localSheetId="3">'[10]Assumptions'!#REF!</definedName>
    <definedName name="sub_cap">#REF!</definedName>
    <definedName name="SUM">#REF!</definedName>
    <definedName name="tariff_case">#REF!</definedName>
    <definedName name="tax_dep" localSheetId="3">'[10]Assumptions'!#REF!</definedName>
    <definedName name="tax_dep">#REF!</definedName>
    <definedName name="tax_rate" localSheetId="3">'[10]Assumptions'!#REF!</definedName>
    <definedName name="tax_rate">#REF!</definedName>
    <definedName name="td_cap">#REF!</definedName>
    <definedName name="td_opex">#REF!</definedName>
    <definedName name="TOTAL_CONSTRUCTION_COST">#REF!</definedName>
    <definedName name="TOTAL_ESCALATED_CONSTRUCTION_COST">#REF!</definedName>
    <definedName name="TOTAL_PROJECT_COST">#REF!</definedName>
    <definedName name="unserved">'[6]Assumptions'!$H$35</definedName>
    <definedName name="UWSSA">'[4]Assumptions'!$E$14:$E$16</definedName>
    <definedName name="voll">'[6]Assumptions'!$H$30</definedName>
    <definedName name="Year1">'[7]Assumptions'!$F$5</definedName>
  </definedNames>
  <calcPr fullCalcOnLoad="1"/>
</workbook>
</file>

<file path=xl/sharedStrings.xml><?xml version="1.0" encoding="utf-8"?>
<sst xmlns="http://schemas.openxmlformats.org/spreadsheetml/2006/main" count="109" uniqueCount="96">
  <si>
    <t>ERR Calculation, COSDECs</t>
  </si>
  <si>
    <t>COSTS</t>
  </si>
  <si>
    <t>MCC Construction</t>
  </si>
  <si>
    <t>CAT A: INFORMAL SECTOR</t>
  </si>
  <si>
    <t>CAT B: FORMAL SECTOR - NO TRAINING</t>
  </si>
  <si>
    <t>CAT C: FORMAL SECTOR - LIMITED TRAINING</t>
  </si>
  <si>
    <t>CAT D: FORMAL SECTOR - VTC PASS TRAINING</t>
  </si>
  <si>
    <t>Salaries Average</t>
  </si>
  <si>
    <t>USD</t>
  </si>
  <si>
    <t>Per trainee cost</t>
  </si>
  <si>
    <t>Unemployment income</t>
  </si>
  <si>
    <t>Expected income post-employment</t>
  </si>
  <si>
    <t>Expected income pre-training</t>
  </si>
  <si>
    <t xml:space="preserve">Annual </t>
  </si>
  <si>
    <t>Expected annual income gain</t>
  </si>
  <si>
    <t>NPV</t>
  </si>
  <si>
    <t>NPV of expected income gain, 15 years</t>
  </si>
  <si>
    <t>Increased Number of Trainees</t>
  </si>
  <si>
    <t>Training costs</t>
  </si>
  <si>
    <t>Maintenance</t>
  </si>
  <si>
    <t>Increase in NPV of future incomes</t>
  </si>
  <si>
    <t>TOTAL COSTS</t>
  </si>
  <si>
    <t>NET BENEFITS</t>
  </si>
  <si>
    <t>IRR</t>
  </si>
  <si>
    <t>Adjustment factor for 'unemployment'</t>
  </si>
  <si>
    <t>Admin Costs</t>
  </si>
  <si>
    <t>Cumulative number of trainees</t>
  </si>
  <si>
    <t>Percent change for M&amp;E targets</t>
  </si>
  <si>
    <t xml:space="preserve">Sources/Notes: </t>
  </si>
  <si>
    <r>
      <t>Pre-training income if employed</t>
    </r>
    <r>
      <rPr>
        <vertAlign val="superscript"/>
        <sz val="14"/>
        <rFont val="Arial"/>
        <family val="2"/>
      </rPr>
      <t>1</t>
    </r>
  </si>
  <si>
    <r>
      <t>Post-training income if employed</t>
    </r>
    <r>
      <rPr>
        <vertAlign val="superscript"/>
        <sz val="14"/>
        <rFont val="Arial"/>
        <family val="2"/>
      </rPr>
      <t>2</t>
    </r>
  </si>
  <si>
    <r>
      <t>Unemployment pre-training</t>
    </r>
    <r>
      <rPr>
        <vertAlign val="superscript"/>
        <sz val="14"/>
        <rFont val="Arial"/>
        <family val="2"/>
      </rPr>
      <t>3</t>
    </r>
  </si>
  <si>
    <r>
      <t>Unemployment post-training</t>
    </r>
    <r>
      <rPr>
        <vertAlign val="superscript"/>
        <sz val="14"/>
        <rFont val="Arial"/>
        <family val="2"/>
      </rPr>
      <t>4</t>
    </r>
  </si>
  <si>
    <r>
      <t>1</t>
    </r>
    <r>
      <rPr>
        <sz val="14"/>
        <rFont val="Arial"/>
        <family val="2"/>
      </rPr>
      <t>Informal wage study</t>
    </r>
  </si>
  <si>
    <r>
      <t>2</t>
    </r>
    <r>
      <rPr>
        <sz val="14"/>
        <rFont val="Arial"/>
        <family val="2"/>
      </rPr>
      <t>Average formal and informal sector</t>
    </r>
  </si>
  <si>
    <r>
      <t>3</t>
    </r>
    <r>
      <rPr>
        <sz val="14"/>
        <rFont val="Arial"/>
        <family val="2"/>
      </rPr>
      <t>2000 and 2001 tracer studies</t>
    </r>
  </si>
  <si>
    <r>
      <t>4</t>
    </r>
    <r>
      <rPr>
        <sz val="14"/>
        <rFont val="Arial"/>
        <family val="2"/>
      </rPr>
      <t>2000 and 2001 tracer studies</t>
    </r>
  </si>
  <si>
    <t>Exchange rate (N/$)</t>
  </si>
  <si>
    <t>MILLENNIUM CHALLENGE CORPORATION</t>
  </si>
  <si>
    <t>Namibia: Community Skill Development Centers</t>
  </si>
  <si>
    <t>PROJECT NAME</t>
  </si>
  <si>
    <t>SPREADSHEET VERSION</t>
  </si>
  <si>
    <t>AMOUNT OF MCC FUNDS</t>
  </si>
  <si>
    <t>PROJECT DESCRIPTION</t>
  </si>
  <si>
    <t>BENEFIT STREAMS INCLUDED IN ERR</t>
  </si>
  <si>
    <t>ESTIMATED ERR AND TIMELINE</t>
  </si>
  <si>
    <t>WORKSHEETS IN THIS FILE</t>
  </si>
  <si>
    <t>Activity Description</t>
  </si>
  <si>
    <t>One should read this sheet first, as it offers a summary of the project, a list of components, and states the economic rationale for the project.</t>
  </si>
  <si>
    <t>ERR &amp; Sensitivity Analysis</t>
  </si>
  <si>
    <t>A brief summary of the project's key parameters and ERR calculations.</t>
  </si>
  <si>
    <t>SUMMARY</t>
  </si>
  <si>
    <t>ECONOMIC RATIONALE</t>
  </si>
  <si>
    <t>ERR and Sensitivity analysis</t>
  </si>
  <si>
    <t>Last updated:  8/24/2007</t>
  </si>
  <si>
    <t>NOTES:</t>
  </si>
  <si>
    <t>All summary parameters set to initial values?</t>
  </si>
  <si>
    <t>Parameter type</t>
  </si>
  <si>
    <t>Description of Key Parameters</t>
  </si>
  <si>
    <t>Parameter Values</t>
  </si>
  <si>
    <t>User Input</t>
  </si>
  <si>
    <t>MCC Estimate</t>
  </si>
  <si>
    <t>Plausible range</t>
  </si>
  <si>
    <t>Values used in ERR computation</t>
  </si>
  <si>
    <t>Summary</t>
  </si>
  <si>
    <t>Actual costs as a percentage of estimated costs</t>
  </si>
  <si>
    <t>80% - 120%</t>
  </si>
  <si>
    <t>More Info</t>
  </si>
  <si>
    <t>Actual benefits as a percentage of estimated benefits</t>
  </si>
  <si>
    <t>Specific</t>
  </si>
  <si>
    <t>User's Guide</t>
  </si>
  <si>
    <t>Economic rate of return (ERR):</t>
  </si>
  <si>
    <t xml:space="preserve"> </t>
  </si>
  <si>
    <t>MCC Estimated ERR:</t>
  </si>
  <si>
    <t>N$/Year</t>
  </si>
  <si>
    <t>0.64 - 0.96</t>
  </si>
  <si>
    <t>0.72 - 1.08</t>
  </si>
  <si>
    <t>Education Project</t>
  </si>
  <si>
    <t>$18.1 million total for COSDEC Activity</t>
  </si>
  <si>
    <t>44% over 20 years</t>
  </si>
  <si>
    <t>ERR Calculation</t>
  </si>
  <si>
    <t>Change the "User Input" cells in the table below to see the effect on the compact's Economic Rate of Return (ERR) and net benefits (see chart below).  To reset all values to the default MCC estimates, click the "Reset Parameters" button.  Be sure to reset all summary parameters to their original values ("MCC Estimate" values) before changing specific parameters.</t>
  </si>
  <si>
    <t>Investment memorandum</t>
  </si>
  <si>
    <t>MCC funding under this activity will assist Namibia with constructing and/or renovating Community Skill Development Centers ("COSDECs") aimed at increasing the skill, quality and responsiveness of the Namibian workforce.</t>
  </si>
  <si>
    <r>
      <t xml:space="preserve">COSTS INCLUDED IN ERR </t>
    </r>
    <r>
      <rPr>
        <sz val="14"/>
        <rFont val="Arial"/>
        <family val="2"/>
      </rPr>
      <t>(OTHER THAN COSTS BORNE BY MCC)</t>
    </r>
  </si>
  <si>
    <t>Increased income of COSDEC trainees</t>
  </si>
  <si>
    <t>Details on the annual costs and benefits associated with the project.</t>
  </si>
  <si>
    <t>This Activity supports objectives that are consistent with Namibia's Education and Training Sector Program (ETSIP).  The COSDECs identify community training needs relevant to the particular community and provide skill development that is hands-on and competence-based. This in turn leads to development of a skilled workforce for both the modern industry and small to medium enterprise sectors of the economy. The COSDEC Activity has a projected economic rate of return of 44 percent, with an 80 percent confidence interval of 35-63%.  The main benefit stream of the Activity is increased income of trainees at the Centers, which have been shown to reduce unemployment among trainees and to deliver demand-driven training at relatively low cost.</t>
  </si>
  <si>
    <t>Cumulative investment:</t>
  </si>
  <si>
    <t xml:space="preserve"> The Community Skills and Development Centers (“COSDECs”) Activity will train up to 49,000 low-income individuals who are either unemployed and /or unskilled, consequently increasing the knowledge, skills and competence of the Namibian workforce; and increasing the productivity of agricultural and non-agricultural enterprises in communal areas.  Specifically, MCC funding will support the construction and renovation of approximately nine COSDECs.</t>
  </si>
  <si>
    <t>Costs to system plus foregone incomes</t>
  </si>
  <si>
    <t>LAST UPDATED:6/5/2008</t>
  </si>
  <si>
    <t>LAST UPDATED: 6/5/2008</t>
  </si>
  <si>
    <t>Scaling factor on expected annual income gain</t>
  </si>
  <si>
    <t>Scaling factor for expected annual income gain</t>
  </si>
  <si>
    <t>Community Skill Development Centers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</si>
</sst>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N$&quot;#,##0;\-&quot;N$&quot;#,##0"/>
    <numFmt numFmtId="166" formatCode="0.0"/>
    <numFmt numFmtId="167" formatCode="mmmm\ d\,\ yyyy"/>
    <numFmt numFmtId="168" formatCode="0.0%"/>
  </numFmts>
  <fonts count="47">
    <font>
      <sz val="10"/>
      <name val="Arial"/>
      <family val="0"/>
    </font>
    <font>
      <sz val="12"/>
      <name val="Arial"/>
      <family val="2"/>
    </font>
    <font>
      <b/>
      <sz val="12"/>
      <name val="Arial"/>
      <family val="2"/>
    </font>
    <font>
      <sz val="11"/>
      <name val="Arial"/>
      <family val="2"/>
    </font>
    <font>
      <b/>
      <sz val="10"/>
      <name val="Arial"/>
      <family val="2"/>
    </font>
    <font>
      <u val="single"/>
      <sz val="10"/>
      <color indexed="12"/>
      <name val="Arial"/>
      <family val="2"/>
    </font>
    <font>
      <u val="single"/>
      <sz val="10"/>
      <color indexed="36"/>
      <name val="Arial"/>
      <family val="2"/>
    </font>
    <font>
      <sz val="14"/>
      <name val="Arial"/>
      <family val="2"/>
    </font>
    <font>
      <sz val="24"/>
      <name val="Arial"/>
      <family val="2"/>
    </font>
    <font>
      <sz val="6"/>
      <name val="Times New Roman"/>
      <family val="1"/>
    </font>
    <font>
      <sz val="8"/>
      <name val="Times New Roman"/>
      <family val="1"/>
    </font>
    <font>
      <sz val="10"/>
      <name val="Times New Roman"/>
      <family val="1"/>
    </font>
    <font>
      <sz val="12"/>
      <name val="Times New Roman"/>
      <family val="1"/>
    </font>
    <font>
      <b/>
      <sz val="18"/>
      <name val="Arial"/>
      <family val="2"/>
    </font>
    <font>
      <sz val="16"/>
      <name val="Arial"/>
      <family val="2"/>
    </font>
    <font>
      <b/>
      <sz val="14"/>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8"/>
      <name val="Arial"/>
      <family val="0"/>
    </font>
    <font>
      <vertAlign val="superscript"/>
      <sz val="14"/>
      <name val="Arial"/>
      <family val="2"/>
    </font>
    <font>
      <b/>
      <sz val="16"/>
      <name val="Arial"/>
      <family val="2"/>
    </font>
    <font>
      <u val="single"/>
      <sz val="14"/>
      <color indexed="12"/>
      <name val="Arial"/>
      <family val="2"/>
    </font>
    <font>
      <sz val="8"/>
      <color indexed="17"/>
      <name val="Arial"/>
      <family val="2"/>
    </font>
    <font>
      <sz val="10"/>
      <color indexed="23"/>
      <name val="Arial"/>
      <family val="2"/>
    </font>
    <font>
      <b/>
      <sz val="10"/>
      <color indexed="55"/>
      <name val="Arial"/>
      <family val="2"/>
    </font>
    <font>
      <b/>
      <sz val="10"/>
      <color indexed="9"/>
      <name val="Arial"/>
      <family val="2"/>
    </font>
    <font>
      <b/>
      <sz val="14"/>
      <color indexed="12"/>
      <name val="Arial"/>
      <family val="2"/>
    </font>
    <font>
      <b/>
      <sz val="14"/>
      <color indexed="10"/>
      <name val="Arial"/>
      <family val="2"/>
    </font>
    <font>
      <u val="single"/>
      <sz val="12"/>
      <color indexed="12"/>
      <name val="Arial"/>
      <family val="2"/>
    </font>
    <font>
      <sz val="10"/>
      <color indexed="9"/>
      <name val="Arial"/>
      <family val="2"/>
    </font>
    <font>
      <b/>
      <sz val="16"/>
      <color indexed="10"/>
      <name val="Arial"/>
      <family val="2"/>
    </font>
    <font>
      <b/>
      <sz val="10"/>
      <color indexed="12"/>
      <name val="Arial"/>
      <family val="2"/>
    </font>
    <font>
      <b/>
      <sz val="13"/>
      <name val="Arial"/>
      <family val="2"/>
    </font>
    <font>
      <sz val="17.75"/>
      <name val="Arial"/>
      <family val="0"/>
    </font>
    <font>
      <sz val="11.25"/>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dotted"/>
      <top style="thin"/>
      <bottom style="thin"/>
    </border>
    <border>
      <left style="dotted"/>
      <right style="thin"/>
      <top style="thin"/>
      <bottom style="thin"/>
    </border>
    <border>
      <left style="thin"/>
      <right>
        <color indexed="63"/>
      </right>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dotted"/>
      <right style="dotted"/>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color indexed="63"/>
      </right>
      <top style="thin"/>
      <bottom>
        <color indexed="63"/>
      </bottom>
    </border>
    <border>
      <left>
        <color indexed="63"/>
      </left>
      <right style="double"/>
      <top style="double"/>
      <bottom>
        <color indexed="63"/>
      </bottom>
    </border>
    <border>
      <left>
        <color indexed="63"/>
      </left>
      <right style="double"/>
      <top>
        <color indexed="63"/>
      </top>
      <bottom style="double"/>
    </border>
    <border>
      <left style="double"/>
      <right style="thin"/>
      <top>
        <color indexed="63"/>
      </top>
      <bottom>
        <color indexed="63"/>
      </bottom>
    </border>
    <border>
      <left>
        <color indexed="63"/>
      </left>
      <right style="double"/>
      <top>
        <color indexed="63"/>
      </top>
      <bottom>
        <color indexed="63"/>
      </bottom>
    </border>
    <border>
      <left style="double"/>
      <right style="thin"/>
      <top>
        <color indexed="63"/>
      </top>
      <bottom style="thin"/>
    </border>
    <border>
      <left>
        <color indexed="63"/>
      </left>
      <right style="double"/>
      <top>
        <color indexed="63"/>
      </top>
      <bottom style="thin"/>
    </border>
    <border>
      <left style="double"/>
      <right style="thin"/>
      <top style="thin"/>
      <bottom>
        <color indexed="63"/>
      </bottom>
    </border>
    <border>
      <left style="thin"/>
      <right style="double"/>
      <top style="thin"/>
      <bottom>
        <color indexed="63"/>
      </bottom>
    </border>
    <border>
      <left style="double"/>
      <right style="thin"/>
      <top style="thin"/>
      <bottom style="thin"/>
    </border>
    <border>
      <left style="thin"/>
      <right style="double"/>
      <top style="thin"/>
      <bottom style="thin"/>
    </border>
    <border>
      <left style="double"/>
      <right>
        <color indexed="63"/>
      </right>
      <top>
        <color indexed="63"/>
      </top>
      <bottom>
        <color indexed="63"/>
      </bottom>
    </border>
    <border>
      <left style="double"/>
      <right>
        <color indexed="63"/>
      </right>
      <top style="double"/>
      <bottom>
        <color indexed="63"/>
      </bottom>
    </border>
    <border>
      <left>
        <color indexed="63"/>
      </left>
      <right style="thin">
        <color indexed="9"/>
      </right>
      <top style="thin">
        <color indexed="9"/>
      </top>
      <bottom style="thin">
        <color indexed="9"/>
      </bottom>
    </border>
    <border>
      <left style="thin"/>
      <right style="thin"/>
      <top style="thin"/>
      <bottom style="medium"/>
    </border>
    <border>
      <left style="thin"/>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style="thin"/>
    </border>
    <border>
      <left style="double"/>
      <right style="thin"/>
      <top style="double"/>
      <bottom>
        <color indexed="63"/>
      </bottom>
    </border>
    <border>
      <left style="double"/>
      <right>
        <color indexed="63"/>
      </right>
      <top>
        <color indexed="63"/>
      </top>
      <bottom style="double"/>
    </border>
    <border>
      <left style="double"/>
      <right style="thin"/>
      <top>
        <color indexed="63"/>
      </top>
      <bottom style="double"/>
    </border>
    <border>
      <left style="double"/>
      <right>
        <color indexed="63"/>
      </right>
      <top style="thin"/>
      <bottom style="medium"/>
    </border>
    <border>
      <left>
        <color indexed="63"/>
      </left>
      <right style="double"/>
      <top style="thin"/>
      <bottom style="medium"/>
    </border>
    <border>
      <left style="thin"/>
      <right style="thin"/>
      <top style="thin"/>
      <bottom>
        <color indexed="63"/>
      </bottom>
    </border>
    <border>
      <left style="thin"/>
      <right style="thin"/>
      <top>
        <color indexed="63"/>
      </top>
      <bottom style="medium"/>
    </border>
    <border>
      <left>
        <color indexed="63"/>
      </left>
      <right style="thin"/>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ill="0" applyBorder="0" applyAlignment="0" applyProtection="0"/>
    <xf numFmtId="0" fontId="11" fillId="22" borderId="0" applyNumberFormat="0" applyBorder="0" applyAlignment="0">
      <protection locked="0"/>
    </xf>
    <xf numFmtId="167" fontId="0" fillId="0" borderId="0" applyFill="0" applyBorder="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2" fontId="0" fillId="0" borderId="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7" fillId="0" borderId="3" applyNumberFormat="0" applyFill="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7" borderId="1" applyNumberFormat="0" applyAlignment="0" applyProtection="0"/>
    <xf numFmtId="0" fontId="24" fillId="0" borderId="4" applyNumberFormat="0" applyFill="0" applyAlignment="0" applyProtection="0"/>
    <xf numFmtId="0" fontId="20" fillId="23" borderId="0" applyNumberFormat="0" applyBorder="0" applyAlignment="0" applyProtection="0"/>
    <xf numFmtId="0" fontId="12" fillId="0" borderId="0">
      <alignment vertical="top"/>
      <protection/>
    </xf>
    <xf numFmtId="0" fontId="0" fillId="0" borderId="0" applyFont="0" applyFill="0" applyBorder="0" applyAlignment="0" applyProtection="0"/>
    <xf numFmtId="0" fontId="0" fillId="24" borderId="5" applyNumberFormat="0" applyFont="0" applyAlignment="0" applyProtection="0"/>
    <xf numFmtId="0" fontId="22" fillId="20" borderId="6"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7" applyNumberFormat="0" applyFill="0" applyAlignment="0" applyProtection="0"/>
    <xf numFmtId="0" fontId="26" fillId="0" borderId="0" applyNumberFormat="0" applyFill="0" applyBorder="0" applyAlignment="0" applyProtection="0"/>
  </cellStyleXfs>
  <cellXfs count="168">
    <xf numFmtId="0" fontId="0" fillId="0" borderId="0" xfId="0" applyAlignment="1">
      <alignment/>
    </xf>
    <xf numFmtId="0" fontId="7" fillId="0" borderId="0" xfId="0" applyFont="1" applyAlignment="1">
      <alignment/>
    </xf>
    <xf numFmtId="0" fontId="7" fillId="0" borderId="0" xfId="0" applyFont="1" applyAlignment="1">
      <alignment wrapText="1"/>
    </xf>
    <xf numFmtId="0" fontId="7" fillId="0" borderId="8" xfId="0" applyFont="1" applyBorder="1" applyAlignment="1">
      <alignment wrapText="1"/>
    </xf>
    <xf numFmtId="0" fontId="15" fillId="0" borderId="9" xfId="0" applyFont="1" applyBorder="1" applyAlignment="1">
      <alignment horizontal="center"/>
    </xf>
    <xf numFmtId="0" fontId="7" fillId="0" borderId="10" xfId="0" applyFont="1" applyBorder="1" applyAlignment="1">
      <alignment/>
    </xf>
    <xf numFmtId="0" fontId="7" fillId="0" borderId="0" xfId="0" applyFont="1" applyBorder="1" applyAlignment="1">
      <alignment/>
    </xf>
    <xf numFmtId="0" fontId="7" fillId="0" borderId="11" xfId="0" applyFont="1" applyBorder="1" applyAlignment="1">
      <alignment wrapText="1"/>
    </xf>
    <xf numFmtId="3" fontId="7" fillId="0" borderId="12" xfId="0" applyNumberFormat="1" applyFont="1" applyBorder="1" applyAlignment="1">
      <alignment/>
    </xf>
    <xf numFmtId="168" fontId="7" fillId="0" borderId="12" xfId="0" applyNumberFormat="1" applyFont="1" applyBorder="1" applyAlignment="1">
      <alignment/>
    </xf>
    <xf numFmtId="9" fontId="7" fillId="0" borderId="12" xfId="0" applyNumberFormat="1" applyFont="1" applyBorder="1" applyAlignment="1">
      <alignment/>
    </xf>
    <xf numFmtId="40" fontId="7" fillId="0" borderId="12" xfId="0" applyNumberFormat="1" applyFont="1" applyBorder="1" applyAlignment="1">
      <alignment/>
    </xf>
    <xf numFmtId="0" fontId="7" fillId="0" borderId="13" xfId="0" applyFont="1" applyBorder="1" applyAlignment="1">
      <alignment/>
    </xf>
    <xf numFmtId="0" fontId="7" fillId="0" borderId="14" xfId="0" applyFont="1" applyBorder="1" applyAlignment="1">
      <alignment/>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7" fillId="0" borderId="0" xfId="0" applyFont="1" applyAlignment="1">
      <alignment horizontal="center"/>
    </xf>
    <xf numFmtId="0" fontId="7" fillId="0" borderId="18" xfId="0" applyFont="1" applyBorder="1" applyAlignment="1">
      <alignment wrapText="1"/>
    </xf>
    <xf numFmtId="3" fontId="7" fillId="0" borderId="19" xfId="0" applyNumberFormat="1"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21" xfId="0" applyFont="1" applyBorder="1" applyAlignment="1">
      <alignment/>
    </xf>
    <xf numFmtId="4" fontId="7" fillId="0" borderId="12" xfId="0" applyNumberFormat="1" applyFont="1" applyBorder="1" applyAlignment="1">
      <alignment/>
    </xf>
    <xf numFmtId="1" fontId="7" fillId="0" borderId="12" xfId="0" applyNumberFormat="1" applyFont="1" applyBorder="1" applyAlignment="1">
      <alignment/>
    </xf>
    <xf numFmtId="1" fontId="7" fillId="0" borderId="21" xfId="0" applyNumberFormat="1" applyFont="1" applyBorder="1" applyAlignment="1">
      <alignment/>
    </xf>
    <xf numFmtId="0" fontId="7" fillId="0" borderId="22" xfId="0" applyFont="1" applyBorder="1" applyAlignment="1">
      <alignment wrapText="1"/>
    </xf>
    <xf numFmtId="0" fontId="7" fillId="0" borderId="23" xfId="0" applyFont="1" applyBorder="1" applyAlignment="1">
      <alignment/>
    </xf>
    <xf numFmtId="3" fontId="7" fillId="0" borderId="21" xfId="0" applyNumberFormat="1" applyFont="1" applyBorder="1" applyAlignment="1">
      <alignment/>
    </xf>
    <xf numFmtId="1" fontId="7" fillId="0" borderId="23" xfId="0" applyNumberFormat="1" applyFont="1" applyBorder="1" applyAlignment="1">
      <alignment/>
    </xf>
    <xf numFmtId="1" fontId="7" fillId="0" borderId="24" xfId="0" applyNumberFormat="1" applyFont="1" applyBorder="1" applyAlignment="1">
      <alignment/>
    </xf>
    <xf numFmtId="2" fontId="7" fillId="0" borderId="12" xfId="0" applyNumberFormat="1" applyFont="1" applyBorder="1" applyAlignment="1">
      <alignment/>
    </xf>
    <xf numFmtId="2" fontId="7" fillId="0" borderId="23" xfId="0" applyNumberFormat="1" applyFont="1" applyBorder="1" applyAlignment="1">
      <alignment/>
    </xf>
    <xf numFmtId="0" fontId="0" fillId="0" borderId="0" xfId="74" applyFont="1" applyAlignment="1">
      <alignment horizontal="center" vertical="center" wrapText="1"/>
    </xf>
    <xf numFmtId="4" fontId="7" fillId="0" borderId="21" xfId="0" applyNumberFormat="1" applyFont="1" applyBorder="1" applyAlignment="1">
      <alignment/>
    </xf>
    <xf numFmtId="0" fontId="15" fillId="0" borderId="22" xfId="0" applyFont="1" applyBorder="1" applyAlignment="1">
      <alignment horizontal="center" wrapText="1"/>
    </xf>
    <xf numFmtId="0" fontId="15" fillId="0" borderId="24" xfId="0" applyFont="1" applyBorder="1" applyAlignment="1">
      <alignment horizontal="center"/>
    </xf>
    <xf numFmtId="9" fontId="7" fillId="25" borderId="17" xfId="0" applyNumberFormat="1" applyFont="1" applyFill="1" applyBorder="1" applyAlignment="1">
      <alignment/>
    </xf>
    <xf numFmtId="0" fontId="7" fillId="0" borderId="24" xfId="0" applyFont="1" applyBorder="1" applyAlignment="1">
      <alignment/>
    </xf>
    <xf numFmtId="0" fontId="7" fillId="0" borderId="25" xfId="0" applyFont="1" applyBorder="1" applyAlignment="1">
      <alignment/>
    </xf>
    <xf numFmtId="2" fontId="7" fillId="0" borderId="20" xfId="0" applyNumberFormat="1" applyFont="1" applyBorder="1" applyAlignment="1">
      <alignment/>
    </xf>
    <xf numFmtId="2" fontId="7" fillId="0" borderId="21" xfId="0" applyNumberFormat="1" applyFont="1" applyBorder="1" applyAlignment="1">
      <alignment/>
    </xf>
    <xf numFmtId="0" fontId="0" fillId="0" borderId="0" xfId="74" applyFont="1" applyAlignment="1">
      <alignment vertical="center" wrapText="1"/>
    </xf>
    <xf numFmtId="0" fontId="15" fillId="0" borderId="26" xfId="74" applyFont="1" applyBorder="1" applyAlignment="1">
      <alignment horizontal="left" vertical="center" wrapText="1"/>
    </xf>
    <xf numFmtId="0" fontId="7" fillId="0" borderId="27" xfId="74" applyFont="1" applyBorder="1" applyAlignment="1">
      <alignment horizontal="left" vertical="center" wrapText="1"/>
    </xf>
    <xf numFmtId="0" fontId="15" fillId="0" borderId="28" xfId="74" applyFont="1" applyBorder="1" applyAlignment="1">
      <alignment horizontal="left" vertical="center" wrapText="1"/>
    </xf>
    <xf numFmtId="0" fontId="7" fillId="0" borderId="29" xfId="74" applyFont="1" applyFill="1" applyBorder="1" applyAlignment="1">
      <alignment horizontal="left" vertical="center" wrapText="1"/>
    </xf>
    <xf numFmtId="0" fontId="15" fillId="0" borderId="30" xfId="74" applyFont="1" applyBorder="1" applyAlignment="1">
      <alignment horizontal="left" vertical="center" wrapText="1"/>
    </xf>
    <xf numFmtId="0" fontId="7" fillId="0" borderId="31" xfId="74" applyFont="1" applyBorder="1" applyAlignment="1">
      <alignment horizontal="left" vertical="center" wrapText="1"/>
    </xf>
    <xf numFmtId="0" fontId="7" fillId="0" borderId="29" xfId="74" applyFont="1" applyBorder="1" applyAlignment="1">
      <alignment horizontal="left" vertical="center" wrapText="1"/>
    </xf>
    <xf numFmtId="0" fontId="15" fillId="0" borderId="32" xfId="74" applyFont="1" applyBorder="1" applyAlignment="1">
      <alignment vertical="center" wrapText="1"/>
    </xf>
    <xf numFmtId="0" fontId="7" fillId="0" borderId="33" xfId="74" applyFont="1" applyBorder="1" applyAlignment="1">
      <alignment horizontal="left" vertical="center" wrapText="1"/>
    </xf>
    <xf numFmtId="0" fontId="15" fillId="0" borderId="34" xfId="74" applyFont="1" applyBorder="1" applyAlignment="1">
      <alignment horizontal="left" vertical="center" wrapText="1"/>
    </xf>
    <xf numFmtId="0" fontId="7" fillId="0" borderId="35" xfId="74" applyFont="1" applyFill="1" applyBorder="1" applyAlignment="1">
      <alignment horizontal="left" vertical="center" wrapText="1"/>
    </xf>
    <xf numFmtId="0" fontId="1" fillId="0" borderId="36" xfId="74" applyFont="1" applyBorder="1" applyAlignment="1">
      <alignment horizontal="left" vertical="center" wrapText="1"/>
    </xf>
    <xf numFmtId="0" fontId="1" fillId="0" borderId="29" xfId="74" applyFont="1" applyBorder="1" applyAlignment="1">
      <alignment horizontal="left" vertical="center" wrapText="1"/>
    </xf>
    <xf numFmtId="0" fontId="5" fillId="0" borderId="0" xfId="69" applyBorder="1" applyAlignment="1">
      <alignment vertical="center" wrapText="1"/>
    </xf>
    <xf numFmtId="0" fontId="0" fillId="0" borderId="0" xfId="74" applyFont="1" applyBorder="1" applyAlignment="1">
      <alignment vertical="center" wrapText="1"/>
    </xf>
    <xf numFmtId="0" fontId="7" fillId="0" borderId="0" xfId="74" applyFont="1" applyBorder="1" applyAlignment="1">
      <alignment horizontal="left" vertical="center" wrapText="1"/>
    </xf>
    <xf numFmtId="0" fontId="0" fillId="0" borderId="0" xfId="0" applyFont="1" applyAlignment="1">
      <alignment horizontal="left"/>
    </xf>
    <xf numFmtId="0" fontId="0" fillId="0" borderId="0" xfId="74" applyFont="1" applyAlignment="1">
      <alignment vertical="center"/>
    </xf>
    <xf numFmtId="0" fontId="0" fillId="0" borderId="0" xfId="74" applyFont="1" applyAlignment="1">
      <alignment horizontal="center" vertical="center"/>
    </xf>
    <xf numFmtId="0" fontId="34" fillId="0" borderId="0" xfId="74" applyFont="1" applyAlignment="1">
      <alignment horizontal="right" vertical="center"/>
    </xf>
    <xf numFmtId="0" fontId="0" fillId="0" borderId="37" xfId="74" applyFont="1" applyBorder="1" applyAlignment="1">
      <alignment vertical="center"/>
    </xf>
    <xf numFmtId="0" fontId="0" fillId="0" borderId="7" xfId="74" applyFont="1" applyBorder="1" applyAlignment="1">
      <alignment vertical="center" wrapText="1"/>
    </xf>
    <xf numFmtId="0" fontId="0" fillId="0" borderId="7" xfId="74" applyFont="1" applyBorder="1" applyAlignment="1">
      <alignment vertical="center"/>
    </xf>
    <xf numFmtId="0" fontId="0" fillId="0" borderId="7" xfId="74" applyFont="1" applyBorder="1" applyAlignment="1">
      <alignment horizontal="center" vertical="center"/>
    </xf>
    <xf numFmtId="0" fontId="0" fillId="0" borderId="26" xfId="74" applyFont="1" applyBorder="1" applyAlignment="1">
      <alignment vertical="center"/>
    </xf>
    <xf numFmtId="0" fontId="0" fillId="0" borderId="0" xfId="74" applyAlignment="1">
      <alignment/>
    </xf>
    <xf numFmtId="0" fontId="35" fillId="0" borderId="5" xfId="74" applyFont="1" applyBorder="1" applyAlignment="1">
      <alignment horizontal="center" vertical="center" wrapText="1"/>
    </xf>
    <xf numFmtId="0" fontId="36" fillId="0" borderId="5" xfId="74" applyFont="1" applyFill="1" applyBorder="1" applyAlignment="1">
      <alignment horizontal="center" vertical="center" wrapText="1"/>
    </xf>
    <xf numFmtId="0" fontId="37" fillId="0" borderId="38" xfId="74" applyFont="1" applyFill="1" applyBorder="1" applyAlignment="1">
      <alignment horizontal="center" vertical="center" wrapText="1"/>
    </xf>
    <xf numFmtId="0" fontId="0" fillId="0" borderId="0" xfId="74" applyAlignment="1">
      <alignment wrapText="1"/>
    </xf>
    <xf numFmtId="0" fontId="38" fillId="0" borderId="39" xfId="74" applyFont="1" applyBorder="1" applyAlignment="1">
      <alignment horizontal="center" vertical="center" wrapText="1"/>
    </xf>
    <xf numFmtId="0" fontId="7" fillId="0" borderId="39" xfId="74" applyFont="1" applyBorder="1" applyAlignment="1">
      <alignment horizontal="center" vertical="center" wrapText="1"/>
    </xf>
    <xf numFmtId="0" fontId="7" fillId="0" borderId="10" xfId="74" applyFont="1" applyBorder="1" applyAlignment="1">
      <alignment vertical="center"/>
    </xf>
    <xf numFmtId="0" fontId="7" fillId="0" borderId="40" xfId="74" applyFont="1" applyBorder="1" applyAlignment="1">
      <alignment vertical="center" wrapText="1"/>
    </xf>
    <xf numFmtId="9" fontId="39" fillId="23" borderId="41" xfId="74" applyNumberFormat="1" applyFont="1" applyFill="1" applyBorder="1" applyAlignment="1">
      <alignment horizontal="center" vertical="center" wrapText="1"/>
    </xf>
    <xf numFmtId="9" fontId="7" fillId="0" borderId="42" xfId="74" applyNumberFormat="1" applyFont="1" applyFill="1" applyBorder="1" applyAlignment="1">
      <alignment horizontal="center" vertical="center" wrapText="1"/>
    </xf>
    <xf numFmtId="9" fontId="7" fillId="4" borderId="41" xfId="74" applyNumberFormat="1" applyFont="1" applyFill="1" applyBorder="1" applyAlignment="1">
      <alignment horizontal="center" vertical="center"/>
    </xf>
    <xf numFmtId="0" fontId="7" fillId="0" borderId="13" xfId="0" applyFont="1" applyFill="1" applyBorder="1" applyAlignment="1">
      <alignment wrapText="1"/>
    </xf>
    <xf numFmtId="0" fontId="0" fillId="0" borderId="0" xfId="74" applyFont="1" applyAlignment="1">
      <alignment horizontal="left" vertical="center"/>
    </xf>
    <xf numFmtId="0" fontId="41" fillId="0" borderId="0" xfId="74" applyFont="1" applyAlignment="1">
      <alignment horizontal="left" vertical="center"/>
    </xf>
    <xf numFmtId="0" fontId="7" fillId="0" borderId="10" xfId="0" applyFont="1" applyFill="1" applyBorder="1" applyAlignment="1">
      <alignment wrapText="1"/>
    </xf>
    <xf numFmtId="2" fontId="7" fillId="0" borderId="43" xfId="74" applyNumberFormat="1" applyFont="1" applyFill="1" applyBorder="1" applyAlignment="1">
      <alignment horizontal="center" vertical="center" wrapText="1"/>
    </xf>
    <xf numFmtId="0" fontId="42" fillId="26" borderId="0" xfId="73" applyFont="1" applyFill="1" applyBorder="1" applyAlignment="1">
      <alignment horizontal="center"/>
      <protection/>
    </xf>
    <xf numFmtId="0" fontId="42" fillId="26" borderId="0" xfId="73" applyFont="1" applyFill="1" applyBorder="1" applyAlignment="1">
      <alignment horizontal="center" wrapText="1"/>
      <protection/>
    </xf>
    <xf numFmtId="0" fontId="42" fillId="26" borderId="0" xfId="73" applyFont="1" applyFill="1" applyBorder="1" applyAlignment="1">
      <alignment horizontal="left"/>
      <protection/>
    </xf>
    <xf numFmtId="9" fontId="42" fillId="26" borderId="0" xfId="73" applyNumberFormat="1" applyFont="1" applyFill="1" applyBorder="1" applyAlignment="1">
      <alignment horizontal="left"/>
      <protection/>
    </xf>
    <xf numFmtId="10" fontId="42" fillId="26" borderId="0" xfId="73" applyNumberFormat="1" applyFont="1" applyFill="1" applyBorder="1" applyAlignment="1">
      <alignment horizontal="left"/>
      <protection/>
    </xf>
    <xf numFmtId="0" fontId="7" fillId="0" borderId="0" xfId="74" applyFont="1" applyAlignment="1">
      <alignment vertical="center"/>
    </xf>
    <xf numFmtId="0" fontId="15" fillId="0" borderId="0" xfId="74" applyFont="1" applyAlignment="1">
      <alignment horizontal="left" vertical="center" wrapText="1"/>
    </xf>
    <xf numFmtId="0" fontId="4" fillId="0" borderId="0" xfId="74" applyFont="1" applyAlignment="1">
      <alignment horizontal="right" vertical="center" wrapText="1"/>
    </xf>
    <xf numFmtId="168" fontId="37" fillId="0" borderId="0" xfId="74" applyNumberFormat="1" applyFont="1" applyFill="1" applyBorder="1" applyAlignment="1">
      <alignment horizontal="center" vertical="center"/>
    </xf>
    <xf numFmtId="168" fontId="4" fillId="0" borderId="0" xfId="74" applyNumberFormat="1" applyFont="1" applyBorder="1" applyAlignment="1">
      <alignment horizontal="center" vertical="center"/>
    </xf>
    <xf numFmtId="9" fontId="15" fillId="25" borderId="44" xfId="74" applyNumberFormat="1" applyFont="1" applyFill="1" applyBorder="1" applyAlignment="1">
      <alignment horizontal="center" vertical="center"/>
    </xf>
    <xf numFmtId="9" fontId="15" fillId="0" borderId="44" xfId="74" applyNumberFormat="1" applyFont="1" applyFill="1" applyBorder="1" applyAlignment="1">
      <alignment horizontal="center" vertical="center"/>
    </xf>
    <xf numFmtId="0" fontId="38" fillId="0" borderId="11" xfId="0" applyFont="1" applyBorder="1" applyAlignment="1">
      <alignment wrapText="1"/>
    </xf>
    <xf numFmtId="164" fontId="38" fillId="23" borderId="12" xfId="0" applyNumberFormat="1" applyFont="1" applyFill="1" applyBorder="1" applyAlignment="1">
      <alignment/>
    </xf>
    <xf numFmtId="166" fontId="38" fillId="23" borderId="12" xfId="0" applyNumberFormat="1" applyFont="1" applyFill="1" applyBorder="1" applyAlignment="1">
      <alignment/>
    </xf>
    <xf numFmtId="0" fontId="7" fillId="0" borderId="11" xfId="0" applyFont="1" applyFill="1" applyBorder="1" applyAlignment="1">
      <alignment wrapText="1"/>
    </xf>
    <xf numFmtId="2" fontId="39" fillId="23" borderId="45" xfId="0" applyNumberFormat="1" applyFont="1" applyFill="1" applyBorder="1" applyAlignment="1">
      <alignment horizontal="center" vertical="center" wrapText="1"/>
    </xf>
    <xf numFmtId="4" fontId="7" fillId="0" borderId="42" xfId="0" applyNumberFormat="1" applyFont="1" applyFill="1" applyBorder="1" applyAlignment="1">
      <alignment horizontal="center" vertical="center"/>
    </xf>
    <xf numFmtId="166" fontId="7" fillId="0" borderId="45" xfId="74" applyNumberFormat="1" applyFont="1" applyFill="1" applyBorder="1" applyAlignment="1">
      <alignment horizontal="center" vertical="center" shrinkToFit="1"/>
    </xf>
    <xf numFmtId="2" fontId="39" fillId="23" borderId="43" xfId="0" applyNumberFormat="1" applyFont="1" applyFill="1" applyBorder="1" applyAlignment="1">
      <alignment horizontal="center" vertical="center"/>
    </xf>
    <xf numFmtId="9" fontId="7" fillId="0" borderId="43" xfId="74" applyNumberFormat="1" applyFont="1" applyFill="1" applyBorder="1" applyAlignment="1">
      <alignment horizontal="center" vertical="center" wrapText="1"/>
    </xf>
    <xf numFmtId="2" fontId="7" fillId="4" borderId="45" xfId="74" applyNumberFormat="1" applyFont="1" applyFill="1" applyBorder="1" applyAlignment="1">
      <alignment horizontal="center" vertical="center"/>
    </xf>
    <xf numFmtId="2" fontId="7" fillId="4" borderId="43" xfId="74" applyNumberFormat="1" applyFont="1" applyFill="1" applyBorder="1" applyAlignment="1">
      <alignment horizontal="center" vertical="center"/>
    </xf>
    <xf numFmtId="0" fontId="7" fillId="0" borderId="0" xfId="0" applyFont="1" applyAlignment="1">
      <alignment vertical="top" wrapText="1"/>
    </xf>
    <xf numFmtId="0" fontId="7" fillId="0" borderId="43" xfId="74" applyFont="1" applyFill="1" applyBorder="1" applyAlignment="1">
      <alignment vertical="center"/>
    </xf>
    <xf numFmtId="0" fontId="7" fillId="0" borderId="13" xfId="74" applyFont="1" applyBorder="1" applyAlignment="1">
      <alignment vertical="center" wrapText="1"/>
    </xf>
    <xf numFmtId="9" fontId="39" fillId="23" borderId="43" xfId="74" applyNumberFormat="1" applyFont="1" applyFill="1" applyBorder="1" applyAlignment="1">
      <alignment horizontal="center" vertical="center" wrapText="1"/>
    </xf>
    <xf numFmtId="9" fontId="7" fillId="0" borderId="46" xfId="74" applyNumberFormat="1" applyFont="1" applyFill="1" applyBorder="1" applyAlignment="1">
      <alignment horizontal="center" vertical="center" wrapText="1"/>
    </xf>
    <xf numFmtId="9" fontId="7" fillId="4" borderId="43" xfId="74" applyNumberFormat="1" applyFont="1" applyFill="1" applyBorder="1" applyAlignment="1">
      <alignment horizontal="center" vertical="center"/>
    </xf>
    <xf numFmtId="0" fontId="7" fillId="0" borderId="0" xfId="74" applyFont="1" applyBorder="1" applyAlignment="1">
      <alignment vertical="center" wrapText="1"/>
    </xf>
    <xf numFmtId="0" fontId="33" fillId="0" borderId="29" xfId="69" applyFont="1" applyBorder="1" applyAlignment="1">
      <alignment vertical="center" wrapText="1"/>
    </xf>
    <xf numFmtId="0" fontId="15" fillId="0" borderId="47" xfId="74" applyFont="1" applyBorder="1" applyAlignment="1">
      <alignment horizontal="left" vertical="center" wrapText="1"/>
    </xf>
    <xf numFmtId="0" fontId="14" fillId="0" borderId="0" xfId="74" applyFont="1" applyAlignment="1">
      <alignment horizontal="center" vertical="center" wrapText="1"/>
    </xf>
    <xf numFmtId="0" fontId="1" fillId="0" borderId="48" xfId="74" applyFont="1" applyBorder="1" applyAlignment="1">
      <alignment horizontal="left" vertical="center" wrapText="1"/>
    </xf>
    <xf numFmtId="0" fontId="1" fillId="0" borderId="27" xfId="74" applyFont="1" applyBorder="1" applyAlignment="1">
      <alignment horizontal="left" vertical="center" wrapText="1"/>
    </xf>
    <xf numFmtId="0" fontId="33" fillId="0" borderId="36" xfId="69" applyFont="1" applyBorder="1" applyAlignment="1">
      <alignment horizontal="left" vertical="center" wrapText="1"/>
    </xf>
    <xf numFmtId="0" fontId="33" fillId="0" borderId="29" xfId="69" applyFont="1" applyBorder="1" applyAlignment="1">
      <alignment horizontal="left" vertical="center" wrapText="1"/>
    </xf>
    <xf numFmtId="0" fontId="1" fillId="0" borderId="36" xfId="74" applyFont="1" applyBorder="1" applyAlignment="1">
      <alignment horizontal="left" vertical="center" wrapText="1"/>
    </xf>
    <xf numFmtId="0" fontId="1" fillId="0" borderId="29" xfId="74" applyFont="1" applyBorder="1" applyAlignment="1">
      <alignment horizontal="left" vertical="center" wrapText="1"/>
    </xf>
    <xf numFmtId="0" fontId="15" fillId="0" borderId="36" xfId="74" applyFont="1" applyFill="1" applyBorder="1" applyAlignment="1">
      <alignment horizontal="center" vertical="top" wrapText="1"/>
    </xf>
    <xf numFmtId="0" fontId="15" fillId="0" borderId="29" xfId="74" applyFont="1" applyFill="1" applyBorder="1" applyAlignment="1">
      <alignment horizontal="center" vertical="top" wrapText="1"/>
    </xf>
    <xf numFmtId="0" fontId="33" fillId="0" borderId="36" xfId="69" applyFont="1" applyBorder="1" applyAlignment="1">
      <alignment vertical="center" wrapText="1"/>
    </xf>
    <xf numFmtId="0" fontId="15" fillId="0" borderId="49" xfId="74" applyFont="1" applyBorder="1" applyAlignment="1">
      <alignment horizontal="left" vertical="center" wrapText="1"/>
    </xf>
    <xf numFmtId="0" fontId="32" fillId="0" borderId="0" xfId="74" applyFont="1" applyAlignment="1">
      <alignment horizontal="center" vertical="center" wrapText="1"/>
    </xf>
    <xf numFmtId="0" fontId="15" fillId="0" borderId="50" xfId="74" applyFont="1" applyBorder="1" applyAlignment="1">
      <alignment horizontal="left" vertical="center" wrapText="1"/>
    </xf>
    <xf numFmtId="0" fontId="15" fillId="0" borderId="51" xfId="74" applyFont="1" applyBorder="1" applyAlignment="1">
      <alignment horizontal="left" vertical="center" wrapText="1"/>
    </xf>
    <xf numFmtId="0" fontId="0" fillId="0" borderId="0" xfId="74" applyFont="1" applyAlignment="1">
      <alignment horizontal="right" vertical="center" wrapText="1"/>
    </xf>
    <xf numFmtId="0" fontId="7" fillId="0" borderId="0" xfId="0" applyFont="1" applyAlignment="1">
      <alignment horizontal="left" vertical="top" wrapText="1"/>
    </xf>
    <xf numFmtId="49" fontId="7" fillId="0" borderId="0" xfId="74" applyNumberFormat="1" applyFont="1" applyAlignment="1">
      <alignment horizontal="left" vertical="top" wrapText="1"/>
    </xf>
    <xf numFmtId="0" fontId="7" fillId="0" borderId="0" xfId="74" applyFont="1" applyBorder="1" applyAlignment="1">
      <alignment horizontal="left" vertical="center" wrapText="1"/>
    </xf>
    <xf numFmtId="0" fontId="7" fillId="0" borderId="0" xfId="74" applyNumberFormat="1" applyFont="1" applyBorder="1" applyAlignment="1">
      <alignment horizontal="left" vertical="center" wrapText="1"/>
    </xf>
    <xf numFmtId="0" fontId="40" fillId="0" borderId="10" xfId="69" applyFont="1" applyBorder="1" applyAlignment="1">
      <alignment horizontal="center" vertical="center"/>
    </xf>
    <xf numFmtId="0" fontId="40" fillId="0" borderId="42" xfId="69" applyFont="1" applyBorder="1" applyAlignment="1">
      <alignment horizontal="center" vertical="center"/>
    </xf>
    <xf numFmtId="0" fontId="40" fillId="0" borderId="13" xfId="69" applyFont="1" applyBorder="1" applyAlignment="1">
      <alignment horizontal="center" vertical="center"/>
    </xf>
    <xf numFmtId="0" fontId="40" fillId="0" borderId="46" xfId="69" applyFont="1" applyBorder="1" applyAlignment="1">
      <alignment horizontal="center" vertical="center"/>
    </xf>
    <xf numFmtId="0" fontId="39" fillId="26" borderId="0" xfId="73" applyFont="1" applyFill="1" applyBorder="1" applyAlignment="1">
      <alignment horizontal="center"/>
      <protection/>
    </xf>
    <xf numFmtId="0" fontId="15" fillId="0" borderId="52" xfId="74" applyFont="1" applyBorder="1" applyAlignment="1">
      <alignment horizontal="center" vertical="center"/>
    </xf>
    <xf numFmtId="0" fontId="15" fillId="0" borderId="53" xfId="74" applyFont="1" applyBorder="1" applyAlignment="1">
      <alignment horizontal="center" vertical="center"/>
    </xf>
    <xf numFmtId="0" fontId="15" fillId="0" borderId="15" xfId="74" applyFont="1" applyBorder="1" applyAlignment="1">
      <alignment horizontal="center" vertical="center"/>
    </xf>
    <xf numFmtId="0" fontId="15" fillId="0" borderId="16" xfId="74" applyFont="1" applyBorder="1" applyAlignment="1">
      <alignment horizontal="center" vertical="center"/>
    </xf>
    <xf numFmtId="0" fontId="15" fillId="0" borderId="54" xfId="74" applyFont="1" applyBorder="1" applyAlignment="1">
      <alignment horizontal="center" vertical="center"/>
    </xf>
    <xf numFmtId="0" fontId="15" fillId="0" borderId="52" xfId="74" applyFont="1" applyBorder="1" applyAlignment="1">
      <alignment horizontal="center" vertical="center" wrapText="1"/>
    </xf>
    <xf numFmtId="0" fontId="15" fillId="0" borderId="53" xfId="74" applyFont="1" applyBorder="1" applyAlignment="1">
      <alignment horizontal="center" vertical="center" wrapText="1"/>
    </xf>
    <xf numFmtId="0" fontId="2" fillId="0" borderId="15" xfId="74" applyFont="1" applyBorder="1" applyAlignment="1">
      <alignment horizontal="center" vertical="center"/>
    </xf>
    <xf numFmtId="0" fontId="2" fillId="0" borderId="54" xfId="74" applyFont="1" applyBorder="1" applyAlignment="1">
      <alignment horizontal="center" vertical="center"/>
    </xf>
    <xf numFmtId="0" fontId="0" fillId="26" borderId="36" xfId="74" applyFont="1" applyFill="1" applyBorder="1" applyAlignment="1">
      <alignment horizontal="left" vertical="center" wrapText="1"/>
    </xf>
    <xf numFmtId="0" fontId="0" fillId="26" borderId="0" xfId="74" applyFont="1" applyFill="1" applyBorder="1" applyAlignment="1">
      <alignment horizontal="left" vertical="center" wrapText="1"/>
    </xf>
    <xf numFmtId="0" fontId="0" fillId="26" borderId="29" xfId="74" applyFont="1" applyFill="1" applyBorder="1" applyAlignment="1">
      <alignment horizontal="left" vertical="center" wrapText="1"/>
    </xf>
    <xf numFmtId="0" fontId="0" fillId="26" borderId="48" xfId="74" applyFont="1" applyFill="1" applyBorder="1" applyAlignment="1">
      <alignment horizontal="left" vertical="center" wrapText="1"/>
    </xf>
    <xf numFmtId="0" fontId="0" fillId="26" borderId="55" xfId="74" applyFont="1" applyFill="1" applyBorder="1" applyAlignment="1">
      <alignment horizontal="left" vertical="center" wrapText="1"/>
    </xf>
    <xf numFmtId="0" fontId="0" fillId="26" borderId="27" xfId="74" applyFont="1" applyFill="1" applyBorder="1" applyAlignment="1">
      <alignment horizontal="left" vertical="center" wrapText="1"/>
    </xf>
    <xf numFmtId="0" fontId="15" fillId="0" borderId="0" xfId="74" applyFont="1" applyBorder="1" applyAlignment="1">
      <alignment horizontal="left" vertical="center" wrapText="1"/>
    </xf>
    <xf numFmtId="1" fontId="31" fillId="4" borderId="15" xfId="73" applyFont="1" applyFill="1" applyBorder="1" applyAlignment="1">
      <alignment horizontal="left" wrapText="1"/>
      <protection/>
    </xf>
    <xf numFmtId="1" fontId="7" fillId="4" borderId="16" xfId="73" applyFont="1" applyFill="1" applyBorder="1" applyAlignment="1">
      <alignment horizontal="left" wrapText="1"/>
      <protection/>
    </xf>
    <xf numFmtId="1" fontId="7" fillId="4" borderId="54" xfId="73" applyFont="1" applyFill="1" applyBorder="1" applyAlignment="1">
      <alignment horizontal="left" wrapText="1"/>
      <protection/>
    </xf>
    <xf numFmtId="1" fontId="7" fillId="4" borderId="56" xfId="73" applyFont="1" applyFill="1" applyBorder="1" applyAlignment="1">
      <alignment horizontal="left" wrapText="1"/>
      <protection/>
    </xf>
    <xf numFmtId="1" fontId="7" fillId="4" borderId="25" xfId="73" applyFont="1" applyFill="1" applyBorder="1" applyAlignment="1">
      <alignment horizontal="left" wrapText="1"/>
      <protection/>
    </xf>
    <xf numFmtId="1" fontId="7" fillId="4" borderId="57" xfId="73" applyFont="1" applyFill="1" applyBorder="1" applyAlignment="1">
      <alignment horizontal="left" wrapText="1"/>
      <protection/>
    </xf>
    <xf numFmtId="1" fontId="31" fillId="4" borderId="56" xfId="73" applyFont="1" applyFill="1" applyBorder="1" applyAlignment="1">
      <alignment horizontal="left" wrapText="1"/>
      <protection/>
    </xf>
    <xf numFmtId="0" fontId="0" fillId="0" borderId="0" xfId="74" applyFont="1" applyAlignment="1">
      <alignment horizontal="center" vertical="center" wrapText="1"/>
    </xf>
    <xf numFmtId="0" fontId="7" fillId="0" borderId="13" xfId="0" applyFont="1" applyFill="1" applyBorder="1" applyAlignment="1">
      <alignment vertical="center" wrapText="1"/>
    </xf>
  </cellXfs>
  <cellStyles count="66">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a" xfId="49"/>
    <cellStyle name="Date" xfId="50"/>
    <cellStyle name="Explanatory Text" xfId="51"/>
    <cellStyle name="F2" xfId="52"/>
    <cellStyle name="F3" xfId="53"/>
    <cellStyle name="F4" xfId="54"/>
    <cellStyle name="F5" xfId="55"/>
    <cellStyle name="F6" xfId="56"/>
    <cellStyle name="F7" xfId="57"/>
    <cellStyle name="F8"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Hyperlink_mcc-err-namibia_mkt" xfId="69"/>
    <cellStyle name="Input" xfId="70"/>
    <cellStyle name="Linked Cell" xfId="71"/>
    <cellStyle name="Neutral" xfId="72"/>
    <cellStyle name="Normal_jwwREPMCA ERR Model Tourism Component DRAFT FINAL V3 JB July 2007" xfId="73"/>
    <cellStyle name="Normal_mcc-err-namibia_mkt"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 Undiscounted Annual Net Benefits</a:t>
            </a:r>
          </a:p>
        </c:rich>
      </c:tx>
      <c:layout/>
      <c:spPr>
        <a:noFill/>
        <a:ln>
          <a:noFill/>
        </a:ln>
      </c:spPr>
    </c:title>
    <c:plotArea>
      <c:layout/>
      <c:areaChart>
        <c:grouping val="standard"/>
        <c:varyColors val="0"/>
        <c:ser>
          <c:idx val="0"/>
          <c:order val="0"/>
          <c:tx>
            <c:v>-21,024,491 -58,050,910 -45,072,473 -24,147,958 -22,201,340 7,200,786 10,120,005 13,380,210 17,045,760 20,513,774 24,381,352 24,513,314 25,948,689 27,752,445 27,400,397 31,286,756 35,744,517 40,863,529 46,747,397 53,515,568 76,357,766</c:v>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'ERR Calculation'!$D$28:$W$28</c:f>
              <c:numCach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'ERR Calculation'!$D$38:$W$38</c:f>
              <c:numCache>
                <c:ptCount val="20"/>
                <c:pt idx="0">
                  <c:v>-25623413.72256</c:v>
                </c:pt>
                <c:pt idx="1">
                  <c:v>-18712285.132815745</c:v>
                </c:pt>
                <c:pt idx="2">
                  <c:v>-5716678.877928622</c:v>
                </c:pt>
                <c:pt idx="3">
                  <c:v>7278927.376958504</c:v>
                </c:pt>
                <c:pt idx="4">
                  <c:v>20274533.631845623</c:v>
                </c:pt>
                <c:pt idx="5">
                  <c:v>64978031.27443561</c:v>
                </c:pt>
                <c:pt idx="6">
                  <c:v>64978031.27443561</c:v>
                </c:pt>
                <c:pt idx="7">
                  <c:v>64978031.27443561</c:v>
                </c:pt>
                <c:pt idx="8">
                  <c:v>64978031.27443561</c:v>
                </c:pt>
                <c:pt idx="9">
                  <c:v>64978031.27443561</c:v>
                </c:pt>
                <c:pt idx="10">
                  <c:v>64978031.27443561</c:v>
                </c:pt>
                <c:pt idx="11">
                  <c:v>64978031.27443561</c:v>
                </c:pt>
                <c:pt idx="12">
                  <c:v>64978031.27443561</c:v>
                </c:pt>
                <c:pt idx="13">
                  <c:v>64978031.27443561</c:v>
                </c:pt>
                <c:pt idx="14">
                  <c:v>64978031.27443561</c:v>
                </c:pt>
                <c:pt idx="15">
                  <c:v>64978031.27443561</c:v>
                </c:pt>
                <c:pt idx="16">
                  <c:v>64978031.27443561</c:v>
                </c:pt>
                <c:pt idx="17">
                  <c:v>64978031.27443561</c:v>
                </c:pt>
                <c:pt idx="18">
                  <c:v>64978031.27443561</c:v>
                </c:pt>
                <c:pt idx="19">
                  <c:v>64978031.27443561</c:v>
                </c:pt>
              </c:numCache>
            </c:numRef>
          </c:val>
        </c:ser>
        <c:axId val="67068332"/>
        <c:axId val="66744077"/>
      </c:areaChart>
      <c:catAx>
        <c:axId val="67068332"/>
        <c:scaling>
          <c:orientation val="minMax"/>
        </c:scaling>
        <c:axPos val="b"/>
        <c:title>
          <c:tx>
            <c:rich>
              <a:bodyPr vert="horz" rot="0" anchor="ctr"/>
              <a:lstStyle/>
              <a:p>
                <a:pPr algn="ctr">
                  <a:defRPr/>
                </a:pPr>
                <a:r>
                  <a:rPr lang="en-US" cap="none" sz="13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66744077"/>
        <c:crosses val="autoZero"/>
        <c:auto val="1"/>
        <c:lblOffset val="100"/>
        <c:noMultiLvlLbl val="0"/>
      </c:catAx>
      <c:valAx>
        <c:axId val="66744077"/>
        <c:scaling>
          <c:orientation val="minMax"/>
        </c:scaling>
        <c:axPos val="l"/>
        <c:title>
          <c:tx>
            <c:rich>
              <a:bodyPr vert="horz" rot="-5400000" anchor="ctr"/>
              <a:lstStyle/>
              <a:p>
                <a:pPr algn="ctr">
                  <a:defRPr/>
                </a:pPr>
                <a:r>
                  <a:rPr lang="en-US" cap="none" sz="1300"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67068332"/>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Distribution of ERR Given Uncertainty in Key Parameters
(as of 6/4/2008)</a:t>
            </a:r>
          </a:p>
        </c:rich>
      </c:tx>
      <c:layout>
        <c:manualLayout>
          <c:xMode val="factor"/>
          <c:yMode val="factor"/>
          <c:x val="-0.034"/>
          <c:y val="-0.0025"/>
        </c:manualLayout>
      </c:layout>
      <c:spPr>
        <a:noFill/>
        <a:ln>
          <a:noFill/>
        </a:ln>
      </c:spPr>
    </c:title>
    <c:plotArea>
      <c:layout>
        <c:manualLayout>
          <c:xMode val="edge"/>
          <c:yMode val="edge"/>
          <c:x val="0.02975"/>
          <c:y val="0.09875"/>
          <c:w val="0.96075"/>
          <c:h val="0.8852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0.1976203705645562</c:v>
              </c:pt>
              <c:pt idx="10">
                <c:v>0.3150502322520579</c:v>
              </c:pt>
              <c:pt idx="20">
                <c:v>0.43248009393955966</c:v>
              </c:pt>
              <c:pt idx="30">
                <c:v>0.5499099556270614</c:v>
              </c:pt>
              <c:pt idx="40">
                <c:v>0.6673398173145632</c:v>
              </c:pt>
              <c:pt idx="49">
                <c:v>0.7730266928333147</c:v>
              </c:pt>
            </c:strLit>
          </c:cat>
          <c:val>
            <c:numLit>
              <c:ptCount val="50"/>
              <c:pt idx="0">
                <c:v>3</c:v>
              </c:pt>
              <c:pt idx="1">
                <c:v>8</c:v>
              </c:pt>
              <c:pt idx="2">
                <c:v>11</c:v>
              </c:pt>
              <c:pt idx="3">
                <c:v>17</c:v>
              </c:pt>
              <c:pt idx="4">
                <c:v>14</c:v>
              </c:pt>
              <c:pt idx="5">
                <c:v>36</c:v>
              </c:pt>
              <c:pt idx="6">
                <c:v>39</c:v>
              </c:pt>
              <c:pt idx="7">
                <c:v>77</c:v>
              </c:pt>
              <c:pt idx="8">
                <c:v>74</c:v>
              </c:pt>
              <c:pt idx="9">
                <c:v>125</c:v>
              </c:pt>
              <c:pt idx="10">
                <c:v>133</c:v>
              </c:pt>
              <c:pt idx="11">
                <c:v>158</c:v>
              </c:pt>
              <c:pt idx="12">
                <c:v>165</c:v>
              </c:pt>
              <c:pt idx="13">
                <c:v>217</c:v>
              </c:pt>
              <c:pt idx="14">
                <c:v>248</c:v>
              </c:pt>
              <c:pt idx="15">
                <c:v>271</c:v>
              </c:pt>
              <c:pt idx="16">
                <c:v>303</c:v>
              </c:pt>
              <c:pt idx="17">
                <c:v>309</c:v>
              </c:pt>
              <c:pt idx="18">
                <c:v>361</c:v>
              </c:pt>
              <c:pt idx="19">
                <c:v>397</c:v>
              </c:pt>
              <c:pt idx="20">
                <c:v>413</c:v>
              </c:pt>
              <c:pt idx="21">
                <c:v>434</c:v>
              </c:pt>
              <c:pt idx="22">
                <c:v>414</c:v>
              </c:pt>
              <c:pt idx="23">
                <c:v>480</c:v>
              </c:pt>
              <c:pt idx="24">
                <c:v>421</c:v>
              </c:pt>
              <c:pt idx="25">
                <c:v>414</c:v>
              </c:pt>
              <c:pt idx="26">
                <c:v>433</c:v>
              </c:pt>
              <c:pt idx="27">
                <c:v>416</c:v>
              </c:pt>
              <c:pt idx="28">
                <c:v>348</c:v>
              </c:pt>
              <c:pt idx="29">
                <c:v>366</c:v>
              </c:pt>
              <c:pt idx="30">
                <c:v>323</c:v>
              </c:pt>
              <c:pt idx="31">
                <c:v>310</c:v>
              </c:pt>
              <c:pt idx="32">
                <c:v>317</c:v>
              </c:pt>
              <c:pt idx="33">
                <c:v>291</c:v>
              </c:pt>
              <c:pt idx="34">
                <c:v>255</c:v>
              </c:pt>
              <c:pt idx="35">
                <c:v>239</c:v>
              </c:pt>
              <c:pt idx="36">
                <c:v>187</c:v>
              </c:pt>
              <c:pt idx="37">
                <c:v>179</c:v>
              </c:pt>
              <c:pt idx="38">
                <c:v>142</c:v>
              </c:pt>
              <c:pt idx="39">
                <c:v>146</c:v>
              </c:pt>
              <c:pt idx="40">
                <c:v>86</c:v>
              </c:pt>
              <c:pt idx="41">
                <c:v>87</c:v>
              </c:pt>
              <c:pt idx="42">
                <c:v>76</c:v>
              </c:pt>
              <c:pt idx="43">
                <c:v>63</c:v>
              </c:pt>
              <c:pt idx="44">
                <c:v>44</c:v>
              </c:pt>
              <c:pt idx="45">
                <c:v>32</c:v>
              </c:pt>
              <c:pt idx="46">
                <c:v>30</c:v>
              </c:pt>
              <c:pt idx="47">
                <c:v>21</c:v>
              </c:pt>
              <c:pt idx="48">
                <c:v>19</c:v>
              </c:pt>
              <c:pt idx="49">
                <c:v>13</c:v>
              </c:pt>
            </c:numLit>
          </c:val>
        </c:ser>
        <c:overlap val="100"/>
        <c:gapWidth val="10"/>
        <c:axId val="63825782"/>
        <c:axId val="37561127"/>
      </c:barChart>
      <c:catAx>
        <c:axId val="63825782"/>
        <c:scaling>
          <c:orientation val="minMax"/>
        </c:scaling>
        <c:axPos val="b"/>
        <c:delete val="0"/>
        <c:numFmt formatCode="0.00%" sourceLinked="0"/>
        <c:majorTickMark val="out"/>
        <c:minorTickMark val="none"/>
        <c:tickLblPos val="nextTo"/>
        <c:crossAx val="37561127"/>
        <c:crosses val="autoZero"/>
        <c:auto val="0"/>
        <c:lblOffset val="100"/>
        <c:tickLblSkip val="1"/>
        <c:tickMarkSkip val="5"/>
        <c:noMultiLvlLbl val="0"/>
      </c:catAx>
      <c:valAx>
        <c:axId val="37561127"/>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63825782"/>
        <c:crossesAt val="1"/>
        <c:crossBetween val="between"/>
        <c:dispUnits/>
      </c:valAx>
      <c:spPr>
        <a:solidFill>
          <a:srgbClr val="FFFFFF"/>
        </a:solidFill>
      </c:spPr>
    </c:plotArea>
    <c:plotVisOnly val="1"/>
    <c:dispBlanksAs val="gap"/>
    <c:showDLblsOverMax val="0"/>
  </c:chart>
  <c:spPr>
    <a:solidFill>
      <a:srgbClr val="FFFFFF"/>
    </a:solidFill>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19050</xdr:colOff>
      <xdr:row>12</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editAs="oneCell">
    <xdr:from>
      <xdr:col>0</xdr:col>
      <xdr:colOff>0</xdr:colOff>
      <xdr:row>12</xdr:row>
      <xdr:rowOff>0</xdr:rowOff>
    </xdr:from>
    <xdr:to>
      <xdr:col>0</xdr:col>
      <xdr:colOff>19050</xdr:colOff>
      <xdr:row>12</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editAs="oneCell">
    <xdr:from>
      <xdr:col>0</xdr:col>
      <xdr:colOff>0</xdr:colOff>
      <xdr:row>12</xdr:row>
      <xdr:rowOff>0</xdr:rowOff>
    </xdr:from>
    <xdr:to>
      <xdr:col>0</xdr:col>
      <xdr:colOff>19050</xdr:colOff>
      <xdr:row>12</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xdr:from>
      <xdr:col>0</xdr:col>
      <xdr:colOff>247650</xdr:colOff>
      <xdr:row>37</xdr:row>
      <xdr:rowOff>57150</xdr:rowOff>
    </xdr:from>
    <xdr:to>
      <xdr:col>6</xdr:col>
      <xdr:colOff>790575</xdr:colOff>
      <xdr:row>80</xdr:row>
      <xdr:rowOff>133350</xdr:rowOff>
    </xdr:to>
    <xdr:graphicFrame>
      <xdr:nvGraphicFramePr>
        <xdr:cNvPr id="4" name="Chart 5"/>
        <xdr:cNvGraphicFramePr/>
      </xdr:nvGraphicFramePr>
      <xdr:xfrm>
        <a:off x="247650" y="8829675"/>
        <a:ext cx="10306050" cy="7038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19050</xdr:colOff>
      <xdr:row>0</xdr:row>
      <xdr:rowOff>19050</xdr:rowOff>
    </xdr:to>
    <xdr:pic>
      <xdr:nvPicPr>
        <xdr:cNvPr id="5" name="CB_Block_0"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0</xdr:col>
      <xdr:colOff>266700</xdr:colOff>
      <xdr:row>82</xdr:row>
      <xdr:rowOff>104775</xdr:rowOff>
    </xdr:from>
    <xdr:to>
      <xdr:col>6</xdr:col>
      <xdr:colOff>809625</xdr:colOff>
      <xdr:row>119</xdr:row>
      <xdr:rowOff>114300</xdr:rowOff>
    </xdr:to>
    <xdr:graphicFrame>
      <xdr:nvGraphicFramePr>
        <xdr:cNvPr id="7" name="Chart 10"/>
        <xdr:cNvGraphicFramePr/>
      </xdr:nvGraphicFramePr>
      <xdr:xfrm>
        <a:off x="266700" y="16163925"/>
        <a:ext cx="10306050" cy="6000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xdr:row>
      <xdr:rowOff>0</xdr:rowOff>
    </xdr:from>
    <xdr:to>
      <xdr:col>1</xdr:col>
      <xdr:colOff>9525</xdr:colOff>
      <xdr:row>12</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381000" y="2571750"/>
          <a:ext cx="9525" cy="9525"/>
        </a:xfrm>
        <a:prstGeom prst="rect">
          <a:avLst/>
        </a:prstGeom>
        <a:noFill/>
        <a:ln w="9525" cmpd="sng">
          <a:noFill/>
        </a:ln>
      </xdr:spPr>
    </xdr:pic>
    <xdr:clientData/>
  </xdr:twoCellAnchor>
  <xdr:twoCellAnchor editAs="oneCell">
    <xdr:from>
      <xdr:col>1</xdr:col>
      <xdr:colOff>0</xdr:colOff>
      <xdr:row>12</xdr:row>
      <xdr:rowOff>0</xdr:rowOff>
    </xdr:from>
    <xdr:to>
      <xdr:col>1</xdr:col>
      <xdr:colOff>9525</xdr:colOff>
      <xdr:row>12</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381000" y="2571750"/>
          <a:ext cx="9525" cy="9525"/>
        </a:xfrm>
        <a:prstGeom prst="rect">
          <a:avLst/>
        </a:prstGeom>
        <a:noFill/>
        <a:ln w="9525" cmpd="sng">
          <a:noFill/>
        </a:ln>
      </xdr:spPr>
    </xdr:pic>
    <xdr:clientData/>
  </xdr:twoCellAnchor>
  <xdr:twoCellAnchor editAs="oneCell">
    <xdr:from>
      <xdr:col>1</xdr:col>
      <xdr:colOff>0</xdr:colOff>
      <xdr:row>12</xdr:row>
      <xdr:rowOff>0</xdr:rowOff>
    </xdr:from>
    <xdr:to>
      <xdr:col>1</xdr:col>
      <xdr:colOff>9525</xdr:colOff>
      <xdr:row>12</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381000" y="25717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inda\projects\My%20Documents\Projects\PROJECT%20REPORTS%201999-2000\Ministry%20of%20Health%20and%20Social%20Services\Backup%20of%20FINANCIAL%20REPORT.xlk"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Copy%20of%20mcc-err-tanzania-energydistribution_Tuesday.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mcc-err-tanza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PROJECTS\234171%20CLP%20Gasification\Work\Model\CLP%20model%20-%20Draft%20v5%2023.03.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Summary"/>
      <sheetName val="Change"/>
      <sheetName val="Breakdown"/>
      <sheetName val="Cashflow"/>
      <sheetName val="Graph"/>
      <sheetName val="Progress"/>
      <sheetName val="Notes"/>
      <sheetName val="PS"/>
      <sheetName val="FA"/>
      <sheetName val="CA"/>
      <sheetName val="Prov sum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ser's Guide"/>
      <sheetName val="CB_DATA_"/>
      <sheetName val="Activity Description"/>
      <sheetName val="ERR &amp; Sensitivity Analysis"/>
      <sheetName val="Summary"/>
      <sheetName val="Tanga"/>
      <sheetName val="Dodoma"/>
      <sheetName val="Morogoro"/>
      <sheetName val="Iringa"/>
      <sheetName val="Mwanza"/>
      <sheetName val="Mbeya"/>
      <sheetName val="Assumptions"/>
      <sheetName val="Tariffs"/>
      <sheetName val="WTP"/>
      <sheetName val="Quality improvement"/>
      <sheetName val="Social &amp; environmental"/>
      <sheetName val="notes"/>
      <sheetName val="ERR calc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B_DATA_"/>
    </sheetNames>
    <sheetDataSet>
      <sheetData sheetId="0">
        <row r="8">
          <cell r="C8" t="str">
            <v>Energy Sector Project</v>
          </cell>
        </row>
        <row r="9">
          <cell r="C9" t="str">
            <v>Distribution Systems Rehabilitation and Extension Activity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4">
        <row r="6">
          <cell r="F6">
            <v>20</v>
          </cell>
        </row>
        <row r="9">
          <cell r="F9">
            <v>0.07</v>
          </cell>
        </row>
        <row r="14">
          <cell r="E14" t="str">
            <v>A</v>
          </cell>
        </row>
        <row r="15">
          <cell r="E15" t="str">
            <v>B</v>
          </cell>
        </row>
        <row r="16">
          <cell r="E16" t="str">
            <v>C</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0.006</v>
          </cell>
        </row>
        <row r="11">
          <cell r="L11">
            <v>2009</v>
          </cell>
          <cell r="M11">
            <v>10</v>
          </cell>
          <cell r="N11">
            <v>20</v>
          </cell>
          <cell r="O11">
            <v>80</v>
          </cell>
          <cell r="P11">
            <v>10</v>
          </cell>
          <cell r="W11" t="str">
            <v>fuel $/kWh</v>
          </cell>
          <cell r="X11">
            <v>0.03</v>
          </cell>
          <cell r="Y11">
            <v>0.03</v>
          </cell>
          <cell r="Z11">
            <v>0.04</v>
          </cell>
          <cell r="AA11">
            <v>0</v>
          </cell>
          <cell r="AB11">
            <v>0.09932250000000001</v>
          </cell>
        </row>
        <row r="12">
          <cell r="G12">
            <v>0.56</v>
          </cell>
          <cell r="H12">
            <v>0.58</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2">
        <row r="5">
          <cell r="F5">
            <v>2007</v>
          </cell>
        </row>
        <row r="7">
          <cell r="F7">
            <v>1353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2">
        <row r="125">
          <cell r="D125">
            <v>0.1122</v>
          </cell>
        </row>
        <row r="127">
          <cell r="D127">
            <v>10</v>
          </cell>
        </row>
        <row r="129">
          <cell r="D129">
            <v>0.3366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2">
        <row r="8">
          <cell r="G8">
            <v>1300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B5:C35"/>
  <sheetViews>
    <sheetView showGridLines="0" zoomScale="75" zoomScaleNormal="75" zoomScaleSheetLayoutView="35" workbookViewId="0" topLeftCell="A1">
      <selection activeCell="B6" sqref="B6:C10"/>
    </sheetView>
  </sheetViews>
  <sheetFormatPr defaultColWidth="9.140625" defaultRowHeight="12.75"/>
  <cols>
    <col min="1" max="1" width="5.7109375" style="44" customWidth="1"/>
    <col min="2" max="2" width="51.8515625" style="44" customWidth="1"/>
    <col min="3" max="3" width="117.57421875" style="44" customWidth="1"/>
    <col min="4" max="4" width="5.7109375" style="44" customWidth="1"/>
    <col min="5" max="5" width="23.8515625" style="44" customWidth="1"/>
    <col min="6" max="16384" width="9.140625" style="44" customWidth="1"/>
  </cols>
  <sheetData>
    <row r="5" spans="2:3" ht="20.25">
      <c r="B5" s="119" t="s">
        <v>38</v>
      </c>
      <c r="C5" s="119"/>
    </row>
    <row r="6" spans="2:3" ht="12.75">
      <c r="B6" s="130" t="s">
        <v>39</v>
      </c>
      <c r="C6" s="130"/>
    </row>
    <row r="7" spans="2:3" ht="12.75">
      <c r="B7" s="130"/>
      <c r="C7" s="130"/>
    </row>
    <row r="8" spans="2:3" ht="12.75">
      <c r="B8" s="130"/>
      <c r="C8" s="130"/>
    </row>
    <row r="9" spans="2:3" ht="20.25" customHeight="1">
      <c r="B9" s="130"/>
      <c r="C9" s="130"/>
    </row>
    <row r="10" spans="2:3" ht="12.75">
      <c r="B10" s="130"/>
      <c r="C10" s="130"/>
    </row>
    <row r="11" spans="2:3" ht="13.5" thickBot="1">
      <c r="B11" s="133" t="s">
        <v>91</v>
      </c>
      <c r="C11" s="133"/>
    </row>
    <row r="12" spans="2:3" ht="18.75" thickTop="1">
      <c r="B12" s="118" t="s">
        <v>40</v>
      </c>
      <c r="C12" s="45" t="s">
        <v>77</v>
      </c>
    </row>
    <row r="13" spans="2:3" ht="18.75" thickBot="1">
      <c r="B13" s="129"/>
      <c r="C13" s="46" t="s">
        <v>95</v>
      </c>
    </row>
    <row r="14" spans="2:3" ht="18.75" thickTop="1">
      <c r="B14" s="47" t="s">
        <v>41</v>
      </c>
      <c r="C14" s="48" t="s">
        <v>82</v>
      </c>
    </row>
    <row r="15" spans="2:3" ht="18">
      <c r="B15" s="49" t="s">
        <v>42</v>
      </c>
      <c r="C15" s="50" t="s">
        <v>78</v>
      </c>
    </row>
    <row r="16" spans="2:3" ht="54">
      <c r="B16" s="47" t="s">
        <v>43</v>
      </c>
      <c r="C16" s="51" t="s">
        <v>83</v>
      </c>
    </row>
    <row r="17" spans="2:3" ht="36">
      <c r="B17" s="52" t="s">
        <v>44</v>
      </c>
      <c r="C17" s="53" t="s">
        <v>85</v>
      </c>
    </row>
    <row r="18" spans="2:3" ht="36">
      <c r="B18" s="54" t="s">
        <v>84</v>
      </c>
      <c r="C18" s="55" t="s">
        <v>90</v>
      </c>
    </row>
    <row r="19" spans="2:3" ht="18">
      <c r="B19" s="54" t="s">
        <v>45</v>
      </c>
      <c r="C19" s="55" t="s">
        <v>79</v>
      </c>
    </row>
    <row r="20" spans="2:3" ht="18.75" thickBot="1">
      <c r="B20" s="131" t="s">
        <v>46</v>
      </c>
      <c r="C20" s="132"/>
    </row>
    <row r="21" spans="2:3" ht="18">
      <c r="B21" s="122" t="s">
        <v>47</v>
      </c>
      <c r="C21" s="123"/>
    </row>
    <row r="22" spans="2:3" ht="15">
      <c r="B22" s="124" t="s">
        <v>48</v>
      </c>
      <c r="C22" s="125"/>
    </row>
    <row r="23" spans="2:3" ht="18">
      <c r="B23" s="126"/>
      <c r="C23" s="127"/>
    </row>
    <row r="24" spans="2:3" ht="18">
      <c r="B24" s="128" t="s">
        <v>49</v>
      </c>
      <c r="C24" s="117"/>
    </row>
    <row r="25" spans="2:3" ht="15">
      <c r="B25" s="124" t="s">
        <v>50</v>
      </c>
      <c r="C25" s="125"/>
    </row>
    <row r="26" spans="2:3" ht="15">
      <c r="B26" s="56"/>
      <c r="C26" s="57"/>
    </row>
    <row r="27" spans="2:3" ht="18">
      <c r="B27" s="128" t="s">
        <v>80</v>
      </c>
      <c r="C27" s="117"/>
    </row>
    <row r="28" spans="2:3" ht="21" customHeight="1" thickBot="1">
      <c r="B28" s="120" t="s">
        <v>86</v>
      </c>
      <c r="C28" s="121"/>
    </row>
    <row r="29" ht="12.75" customHeight="1" thickTop="1">
      <c r="C29" s="58"/>
    </row>
    <row r="30" ht="12.75">
      <c r="C30" s="59"/>
    </row>
    <row r="31" ht="12.75" customHeight="1">
      <c r="C31" s="59"/>
    </row>
    <row r="32" ht="15" customHeight="1">
      <c r="C32" s="59"/>
    </row>
    <row r="33" ht="12.75">
      <c r="C33" s="59"/>
    </row>
    <row r="34" ht="12.75" customHeight="1">
      <c r="C34" s="59"/>
    </row>
    <row r="35" ht="12.75" customHeight="1">
      <c r="C35" s="59"/>
    </row>
    <row r="37" ht="12.75" customHeight="1"/>
    <row r="38" ht="15" customHeight="1"/>
    <row r="40" ht="12.75" customHeight="1"/>
    <row r="41" ht="15" customHeight="1"/>
    <row r="43" ht="12.75" customHeight="1"/>
    <row r="44" ht="15" customHeight="1"/>
    <row r="46" ht="12.75" customHeight="1"/>
    <row r="47" ht="15" customHeight="1"/>
    <row r="49" ht="12.75" customHeight="1"/>
    <row r="51" ht="12.75" customHeight="1"/>
    <row r="52" ht="12.75" customHeight="1"/>
  </sheetData>
  <sheetProtection formatCells="0" insertColumns="0" insertRows="0" insertHyperlinks="0" deleteColumns="0" deleteRows="0" sort="0" autoFilter="0" pivotTables="0"/>
  <mergeCells count="12">
    <mergeCell ref="B20:C20"/>
    <mergeCell ref="B11:C11"/>
    <mergeCell ref="B5:C5"/>
    <mergeCell ref="B28:C28"/>
    <mergeCell ref="B21:C21"/>
    <mergeCell ref="B22:C22"/>
    <mergeCell ref="B23:C23"/>
    <mergeCell ref="B27:C27"/>
    <mergeCell ref="B24:C24"/>
    <mergeCell ref="B25:C25"/>
    <mergeCell ref="B12:B13"/>
    <mergeCell ref="B6:C10"/>
  </mergeCells>
  <hyperlinks>
    <hyperlink ref="B27" location="'ERR &amp; Sensitivity Analysis'!A1" display="ERR &amp; Sensitivity Analysis"/>
    <hyperlink ref="B21" location="'Activity Description'!A1" display="Activity Description"/>
    <hyperlink ref="B27:C27" location="'ERR Calculation'!A1" display="ERR Calculation"/>
    <hyperlink ref="B24" location="'ERR &amp; Sensitivity Analysis'!A1" display="ERR &amp; Sensitivity Analysis"/>
  </hyperlink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3.xml><?xml version="1.0" encoding="utf-8"?>
<worksheet xmlns="http://schemas.openxmlformats.org/spreadsheetml/2006/main" xmlns:r="http://schemas.openxmlformats.org/officeDocument/2006/relationships">
  <sheetPr codeName="Sheet2"/>
  <dimension ref="A5:E24"/>
  <sheetViews>
    <sheetView showGridLines="0" tabSelected="1" zoomScale="70" zoomScaleNormal="70" zoomScaleSheetLayoutView="35" workbookViewId="0" topLeftCell="A1">
      <selection activeCell="B6" sqref="B6:C10"/>
    </sheetView>
  </sheetViews>
  <sheetFormatPr defaultColWidth="9.140625" defaultRowHeight="12.75"/>
  <cols>
    <col min="1" max="1" width="5.7109375" style="44" customWidth="1"/>
    <col min="2" max="2" width="30.00390625" style="44" customWidth="1"/>
    <col min="3" max="3" width="117.57421875" style="44" customWidth="1"/>
    <col min="4" max="4" width="5.7109375" style="44" customWidth="1"/>
    <col min="5" max="5" width="23.8515625" style="44" customWidth="1"/>
    <col min="6" max="16384" width="9.140625" style="44" customWidth="1"/>
  </cols>
  <sheetData>
    <row r="5" spans="2:3" ht="20.25">
      <c r="B5" s="119" t="s">
        <v>38</v>
      </c>
      <c r="C5" s="119"/>
    </row>
    <row r="6" spans="2:3" ht="12.75">
      <c r="B6" s="130" t="s">
        <v>39</v>
      </c>
      <c r="C6" s="130"/>
    </row>
    <row r="7" spans="2:3" ht="12.75">
      <c r="B7" s="130"/>
      <c r="C7" s="130"/>
    </row>
    <row r="8" spans="2:3" ht="12.75">
      <c r="B8" s="130"/>
      <c r="C8" s="130"/>
    </row>
    <row r="9" spans="2:3" ht="20.25" customHeight="1">
      <c r="B9" s="130"/>
      <c r="C9" s="130"/>
    </row>
    <row r="10" spans="2:3" ht="12.75">
      <c r="B10" s="130"/>
      <c r="C10" s="130"/>
    </row>
    <row r="11" spans="2:3" ht="12.75">
      <c r="B11" s="133" t="s">
        <v>91</v>
      </c>
      <c r="C11" s="133"/>
    </row>
    <row r="12" spans="1:5" ht="18">
      <c r="A12"/>
      <c r="B12" s="136" t="s">
        <v>51</v>
      </c>
      <c r="C12" s="136"/>
      <c r="D12"/>
      <c r="E12"/>
    </row>
    <row r="13" spans="1:5" ht="18">
      <c r="A13"/>
      <c r="B13" s="60"/>
      <c r="C13" s="60"/>
      <c r="D13"/>
      <c r="E13"/>
    </row>
    <row r="14" spans="1:5" ht="83.25" customHeight="1">
      <c r="A14"/>
      <c r="B14" s="137" t="s">
        <v>89</v>
      </c>
      <c r="C14" s="137"/>
      <c r="D14"/>
      <c r="E14"/>
    </row>
    <row r="15" spans="1:5" ht="12.75" customHeight="1">
      <c r="A15"/>
      <c r="B15" s="116"/>
      <c r="C15" s="116"/>
      <c r="D15"/>
      <c r="E15"/>
    </row>
    <row r="16" spans="1:5" ht="17.25" customHeight="1">
      <c r="A16"/>
      <c r="B16" s="60"/>
      <c r="C16" s="60"/>
      <c r="D16"/>
      <c r="E16"/>
    </row>
    <row r="17" spans="1:5" ht="18">
      <c r="A17"/>
      <c r="B17" s="135" t="s">
        <v>52</v>
      </c>
      <c r="C17" s="135"/>
      <c r="D17"/>
      <c r="E17"/>
    </row>
    <row r="18" ht="12.75"/>
    <row r="19" spans="2:3" s="61" customFormat="1" ht="83.25" customHeight="1">
      <c r="B19" s="134" t="s">
        <v>87</v>
      </c>
      <c r="C19" s="134"/>
    </row>
    <row r="20" spans="2:3" s="61" customFormat="1" ht="15.75" customHeight="1">
      <c r="B20" s="134"/>
      <c r="C20" s="134"/>
    </row>
    <row r="21" spans="2:3" ht="15.75" customHeight="1">
      <c r="B21" s="134"/>
      <c r="C21" s="134"/>
    </row>
    <row r="22" spans="2:3" ht="15.75" customHeight="1">
      <c r="B22" s="134"/>
      <c r="C22" s="134"/>
    </row>
    <row r="23" spans="2:3" ht="12.75" customHeight="1">
      <c r="B23" s="134"/>
      <c r="C23" s="134"/>
    </row>
    <row r="24" spans="2:3" ht="12.75" customHeight="1">
      <c r="B24" s="110"/>
      <c r="C24" s="110"/>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customHeight="1"/>
    <row r="47" ht="12.75" customHeight="1"/>
    <row r="48" ht="12.75"/>
    <row r="49" ht="12.75"/>
    <row r="50" ht="12.75"/>
  </sheetData>
  <sheetProtection formatCells="0" insertColumns="0" insertRows="0" insertHyperlinks="0" deleteColumns="0" deleteRows="0" sort="0" autoFilter="0" pivotTables="0"/>
  <mergeCells count="7">
    <mergeCell ref="B19:C23"/>
    <mergeCell ref="B17:C17"/>
    <mergeCell ref="B11:C11"/>
    <mergeCell ref="B5:C5"/>
    <mergeCell ref="B6:C10"/>
    <mergeCell ref="B12:C12"/>
    <mergeCell ref="B14:C14"/>
  </mergeCell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4.xml><?xml version="1.0" encoding="utf-8"?>
<worksheet xmlns="http://schemas.openxmlformats.org/spreadsheetml/2006/main" xmlns:r="http://schemas.openxmlformats.org/officeDocument/2006/relationships">
  <sheetPr codeName="Sheet19"/>
  <dimension ref="B6:K36"/>
  <sheetViews>
    <sheetView showGridLines="0" zoomScale="65" zoomScaleNormal="65" workbookViewId="0" topLeftCell="A1">
      <selection activeCell="B7" sqref="B7:G11"/>
    </sheetView>
  </sheetViews>
  <sheetFormatPr defaultColWidth="9.140625" defaultRowHeight="12.75"/>
  <cols>
    <col min="1" max="1" width="5.7109375" style="62" customWidth="1"/>
    <col min="2" max="2" width="25.00390625" style="62" customWidth="1"/>
    <col min="3" max="3" width="55.57421875" style="44" customWidth="1"/>
    <col min="4" max="4" width="21.421875" style="62" customWidth="1"/>
    <col min="5" max="5" width="17.140625" style="63" customWidth="1"/>
    <col min="6" max="6" width="21.57421875" style="62" customWidth="1"/>
    <col min="7" max="7" width="18.28125" style="62" customWidth="1"/>
    <col min="8" max="8" width="5.7109375" style="62" customWidth="1"/>
    <col min="9" max="9" width="5.8515625" style="62" customWidth="1"/>
    <col min="10" max="10" width="12.8515625" style="62" bestFit="1" customWidth="1"/>
    <col min="11" max="11" width="5.7109375" style="62" customWidth="1"/>
    <col min="12" max="16384" width="9.140625" style="62" customWidth="1"/>
  </cols>
  <sheetData>
    <row r="1" ht="12.75"/>
    <row r="6" spans="2:7" ht="20.25" customHeight="1">
      <c r="B6" s="119" t="s">
        <v>38</v>
      </c>
      <c r="C6" s="119"/>
      <c r="D6" s="119"/>
      <c r="E6" s="119"/>
      <c r="F6" s="119"/>
      <c r="G6" s="119"/>
    </row>
    <row r="7" spans="2:7" ht="12.75">
      <c r="B7" s="130" t="s">
        <v>39</v>
      </c>
      <c r="C7" s="130"/>
      <c r="D7" s="130"/>
      <c r="E7" s="130"/>
      <c r="F7" s="130"/>
      <c r="G7" s="130"/>
    </row>
    <row r="8" spans="2:7" ht="12.75">
      <c r="B8" s="130"/>
      <c r="C8" s="130"/>
      <c r="D8" s="130"/>
      <c r="E8" s="130"/>
      <c r="F8" s="130"/>
      <c r="G8" s="130"/>
    </row>
    <row r="9" spans="2:7" ht="12.75">
      <c r="B9" s="130"/>
      <c r="C9" s="130"/>
      <c r="D9" s="130"/>
      <c r="E9" s="130"/>
      <c r="F9" s="130"/>
      <c r="G9" s="130"/>
    </row>
    <row r="10" spans="2:7" ht="12.75">
      <c r="B10" s="130"/>
      <c r="C10" s="130"/>
      <c r="D10" s="130"/>
      <c r="E10" s="130"/>
      <c r="F10" s="130"/>
      <c r="G10" s="130"/>
    </row>
    <row r="11" spans="2:7" ht="12.75">
      <c r="B11" s="130"/>
      <c r="C11" s="130"/>
      <c r="D11" s="130"/>
      <c r="E11" s="130"/>
      <c r="F11" s="130"/>
      <c r="G11" s="130"/>
    </row>
    <row r="12" spans="2:7" ht="12.75" customHeight="1">
      <c r="B12" s="133" t="s">
        <v>92</v>
      </c>
      <c r="C12" s="133"/>
      <c r="D12" s="133"/>
      <c r="E12" s="133"/>
      <c r="F12" s="133"/>
      <c r="G12" s="133"/>
    </row>
    <row r="13" ht="12.75"/>
    <row r="14" ht="12.75">
      <c r="F14" s="64"/>
    </row>
    <row r="15" spans="2:7" ht="18" customHeight="1">
      <c r="B15" s="158" t="s">
        <v>53</v>
      </c>
      <c r="C15" s="158"/>
      <c r="D15" s="158"/>
      <c r="E15" s="158"/>
      <c r="F15" s="158"/>
      <c r="G15" s="158" t="s">
        <v>54</v>
      </c>
    </row>
    <row r="16" ht="13.5" thickBot="1"/>
    <row r="17" spans="2:7" ht="13.5" thickTop="1">
      <c r="B17" s="65" t="s">
        <v>55</v>
      </c>
      <c r="C17" s="66"/>
      <c r="D17" s="67"/>
      <c r="E17" s="68"/>
      <c r="F17" s="67"/>
      <c r="G17" s="69"/>
    </row>
    <row r="18" spans="2:7" ht="12.75">
      <c r="B18" s="152" t="s">
        <v>81</v>
      </c>
      <c r="C18" s="153"/>
      <c r="D18" s="153"/>
      <c r="E18" s="153"/>
      <c r="F18" s="153"/>
      <c r="G18" s="154"/>
    </row>
    <row r="19" spans="2:7" ht="12.75">
      <c r="B19" s="152"/>
      <c r="C19" s="153"/>
      <c r="D19" s="153"/>
      <c r="E19" s="153"/>
      <c r="F19" s="153"/>
      <c r="G19" s="154"/>
    </row>
    <row r="20" spans="2:7" ht="13.5" thickBot="1">
      <c r="B20" s="155"/>
      <c r="C20" s="156"/>
      <c r="D20" s="156"/>
      <c r="E20" s="156"/>
      <c r="F20" s="156"/>
      <c r="G20" s="157"/>
    </row>
    <row r="21" ht="13.5" thickTop="1"/>
    <row r="22" spans="2:7" ht="39" customHeight="1">
      <c r="B22" s="70"/>
      <c r="C22" s="71" t="s">
        <v>56</v>
      </c>
      <c r="D22" s="72" t="str">
        <f>IF(D26=E26,IF(D27=E27,"Y","N"),"N")</f>
        <v>Y</v>
      </c>
      <c r="E22" s="73" t="str">
        <f>IF(D28=E28,IF(D29=E29,"Y","N"),"N")</f>
        <v>Y</v>
      </c>
      <c r="F22" s="70"/>
      <c r="G22" s="70"/>
    </row>
    <row r="23" spans="2:7" ht="12.75" customHeight="1">
      <c r="B23" s="70"/>
      <c r="C23" s="74"/>
      <c r="D23" s="70"/>
      <c r="E23" s="70"/>
      <c r="F23" s="70"/>
      <c r="G23" s="70"/>
    </row>
    <row r="24" spans="2:7" ht="18">
      <c r="B24" s="143" t="s">
        <v>57</v>
      </c>
      <c r="C24" s="148" t="s">
        <v>58</v>
      </c>
      <c r="D24" s="145" t="s">
        <v>59</v>
      </c>
      <c r="E24" s="146"/>
      <c r="F24" s="146"/>
      <c r="G24" s="147"/>
    </row>
    <row r="25" spans="2:9" ht="61.5" customHeight="1" thickBot="1">
      <c r="B25" s="144"/>
      <c r="C25" s="149"/>
      <c r="D25" s="75" t="s">
        <v>60</v>
      </c>
      <c r="E25" s="76" t="s">
        <v>61</v>
      </c>
      <c r="F25" s="76" t="s">
        <v>62</v>
      </c>
      <c r="G25" s="76" t="s">
        <v>63</v>
      </c>
      <c r="I25" s="70"/>
    </row>
    <row r="26" spans="2:10" ht="36">
      <c r="B26" s="77" t="s">
        <v>64</v>
      </c>
      <c r="C26" s="78" t="s">
        <v>65</v>
      </c>
      <c r="D26" s="79">
        <v>1</v>
      </c>
      <c r="E26" s="80">
        <v>1</v>
      </c>
      <c r="F26" s="80" t="s">
        <v>66</v>
      </c>
      <c r="G26" s="81">
        <f>D26</f>
        <v>1</v>
      </c>
      <c r="I26" s="150" t="s">
        <v>67</v>
      </c>
      <c r="J26" s="151"/>
    </row>
    <row r="27" spans="2:10" ht="36">
      <c r="B27" s="111" t="s">
        <v>64</v>
      </c>
      <c r="C27" s="112" t="s">
        <v>68</v>
      </c>
      <c r="D27" s="113">
        <v>1</v>
      </c>
      <c r="E27" s="114">
        <v>1</v>
      </c>
      <c r="F27" s="114" t="s">
        <v>66</v>
      </c>
      <c r="G27" s="115">
        <f>D27</f>
        <v>1</v>
      </c>
      <c r="I27" s="138" t="s">
        <v>47</v>
      </c>
      <c r="J27" s="139"/>
    </row>
    <row r="28" spans="2:10" ht="27" customHeight="1">
      <c r="B28" s="85" t="s">
        <v>69</v>
      </c>
      <c r="C28" s="102" t="s">
        <v>24</v>
      </c>
      <c r="D28" s="103">
        <v>0.8</v>
      </c>
      <c r="E28" s="104">
        <v>0.8</v>
      </c>
      <c r="F28" s="105" t="s">
        <v>75</v>
      </c>
      <c r="G28" s="108">
        <f>IF($D$22="Y",D28,E28)</f>
        <v>0.8</v>
      </c>
      <c r="I28" s="140" t="s">
        <v>70</v>
      </c>
      <c r="J28" s="141"/>
    </row>
    <row r="29" spans="2:9" s="83" customFormat="1" ht="44.25" customHeight="1">
      <c r="B29" s="167" t="s">
        <v>69</v>
      </c>
      <c r="C29" s="82" t="s">
        <v>94</v>
      </c>
      <c r="D29" s="106">
        <v>0.9</v>
      </c>
      <c r="E29" s="86">
        <v>0.9</v>
      </c>
      <c r="F29" s="107" t="s">
        <v>76</v>
      </c>
      <c r="G29" s="109">
        <f>IF($D$22="Y",D29,E29)</f>
        <v>0.9</v>
      </c>
      <c r="I29" s="84"/>
    </row>
    <row r="30" spans="2:8" ht="20.25">
      <c r="B30" s="87"/>
      <c r="C30" s="88"/>
      <c r="D30" s="87"/>
      <c r="F30"/>
      <c r="G30"/>
      <c r="H30"/>
    </row>
    <row r="31" spans="2:8" ht="18">
      <c r="B31" s="142">
        <f>IF($D$22="N","NOTE: Current calculations are based on USER INPUT and are not the original MCC estimates.",IF($E$22="N","NOTE: Current calculations are based on USER INPUT and are not the original MCC estimates.",""))</f>
      </c>
      <c r="C31" s="142"/>
      <c r="D31" s="142"/>
      <c r="E31" s="142"/>
      <c r="F31" s="142"/>
      <c r="G31" s="142"/>
      <c r="H31"/>
    </row>
    <row r="32" spans="2:7" ht="20.25">
      <c r="B32" s="89"/>
      <c r="C32" s="89"/>
      <c r="D32" s="90"/>
      <c r="E32" s="89"/>
      <c r="F32" s="91"/>
      <c r="G32" s="89"/>
    </row>
    <row r="33" spans="2:4" ht="18">
      <c r="B33" s="92"/>
      <c r="C33" s="93" t="s">
        <v>71</v>
      </c>
      <c r="D33" s="97">
        <f>'ERR Calculation'!C39</f>
        <v>0.4354637290220828</v>
      </c>
    </row>
    <row r="34" spans="3:11" ht="12.75">
      <c r="C34" s="94"/>
      <c r="D34" s="95">
        <v>0.05</v>
      </c>
      <c r="K34" s="62" t="s">
        <v>72</v>
      </c>
    </row>
    <row r="35" spans="3:4" ht="18">
      <c r="C35" s="93" t="s">
        <v>73</v>
      </c>
      <c r="D35" s="98">
        <v>0.44</v>
      </c>
    </row>
    <row r="36" spans="3:4" ht="12.75">
      <c r="C36" s="94"/>
      <c r="D36" s="96"/>
    </row>
  </sheetData>
  <mergeCells count="12">
    <mergeCell ref="B18:G20"/>
    <mergeCell ref="B6:G6"/>
    <mergeCell ref="B7:G11"/>
    <mergeCell ref="B12:G12"/>
    <mergeCell ref="B15:G15"/>
    <mergeCell ref="I27:J27"/>
    <mergeCell ref="I28:J28"/>
    <mergeCell ref="B31:G31"/>
    <mergeCell ref="B24:B25"/>
    <mergeCell ref="D24:G24"/>
    <mergeCell ref="C24:C25"/>
    <mergeCell ref="I26:J26"/>
  </mergeCells>
  <hyperlinks>
    <hyperlink ref="I27" location="'Activity Description'!A1" display="   Activity Description"/>
    <hyperlink ref="I28" location="'User''s Guide'!A1" display="User's Guide"/>
  </hyperlinks>
  <printOptions horizontalCentered="1"/>
  <pageMargins left="0.25" right="0.25" top="1" bottom="1" header="0.5" footer="0.36"/>
  <pageSetup horizontalDpi="600" verticalDpi="600" orientation="portrait" scale="35" r:id="rId4"/>
  <headerFooter alignWithMargins="0">
    <oddHeader xml:space="preserve">&amp;L&amp;G&amp;R&amp;27&amp;A  &amp;10
  </oddHeader>
    <oddFooter>&amp;R&amp;P</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4"/>
  <dimension ref="B5:W53"/>
  <sheetViews>
    <sheetView showGridLines="0" zoomScale="65" zoomScaleNormal="65" workbookViewId="0" topLeftCell="A1">
      <selection activeCell="B6" sqref="B6:O10"/>
    </sheetView>
  </sheetViews>
  <sheetFormatPr defaultColWidth="9.140625" defaultRowHeight="12.75"/>
  <cols>
    <col min="1" max="1" width="5.7109375" style="1" customWidth="1"/>
    <col min="2" max="2" width="62.7109375" style="2" bestFit="1" customWidth="1"/>
    <col min="3" max="3" width="18.140625" style="1" bestFit="1" customWidth="1"/>
    <col min="4" max="4" width="15.57421875" style="2" bestFit="1" customWidth="1"/>
    <col min="5" max="6" width="16.57421875" style="1" bestFit="1" customWidth="1"/>
    <col min="7" max="7" width="19.140625" style="1" bestFit="1" customWidth="1"/>
    <col min="8" max="23" width="17.28125" style="1" bestFit="1" customWidth="1"/>
    <col min="24" max="16384" width="9.140625" style="1" customWidth="1"/>
  </cols>
  <sheetData>
    <row r="5" spans="2:15" ht="20.25" customHeight="1">
      <c r="B5" s="119" t="s">
        <v>38</v>
      </c>
      <c r="C5" s="119"/>
      <c r="D5" s="119"/>
      <c r="E5" s="119"/>
      <c r="F5" s="119"/>
      <c r="G5" s="119"/>
      <c r="H5" s="119"/>
      <c r="I5" s="119"/>
      <c r="J5" s="119"/>
      <c r="K5" s="119"/>
      <c r="L5" s="119"/>
      <c r="M5" s="119"/>
      <c r="N5" s="119"/>
      <c r="O5" s="119"/>
    </row>
    <row r="6" spans="2:15" ht="18" customHeight="1">
      <c r="B6" s="130" t="s">
        <v>39</v>
      </c>
      <c r="C6" s="130"/>
      <c r="D6" s="130"/>
      <c r="E6" s="130"/>
      <c r="F6" s="130"/>
      <c r="G6" s="130"/>
      <c r="H6" s="130"/>
      <c r="I6" s="130"/>
      <c r="J6" s="130"/>
      <c r="K6" s="130"/>
      <c r="L6" s="130"/>
      <c r="M6" s="130"/>
      <c r="N6" s="130"/>
      <c r="O6" s="130"/>
    </row>
    <row r="7" spans="2:15" ht="18" customHeight="1">
      <c r="B7" s="130"/>
      <c r="C7" s="130"/>
      <c r="D7" s="130"/>
      <c r="E7" s="130"/>
      <c r="F7" s="130"/>
      <c r="G7" s="130"/>
      <c r="H7" s="130"/>
      <c r="I7" s="130"/>
      <c r="J7" s="130"/>
      <c r="K7" s="130"/>
      <c r="L7" s="130"/>
      <c r="M7" s="130"/>
      <c r="N7" s="130"/>
      <c r="O7" s="130"/>
    </row>
    <row r="8" spans="2:15" ht="18" customHeight="1">
      <c r="B8" s="130"/>
      <c r="C8" s="130"/>
      <c r="D8" s="130"/>
      <c r="E8" s="130"/>
      <c r="F8" s="130"/>
      <c r="G8" s="130"/>
      <c r="H8" s="130"/>
      <c r="I8" s="130"/>
      <c r="J8" s="130"/>
      <c r="K8" s="130"/>
      <c r="L8" s="130"/>
      <c r="M8" s="130"/>
      <c r="N8" s="130"/>
      <c r="O8" s="130"/>
    </row>
    <row r="9" spans="2:15" ht="18" customHeight="1">
      <c r="B9" s="130"/>
      <c r="C9" s="130"/>
      <c r="D9" s="130"/>
      <c r="E9" s="130"/>
      <c r="F9" s="130"/>
      <c r="G9" s="130"/>
      <c r="H9" s="130"/>
      <c r="I9" s="130"/>
      <c r="J9" s="130"/>
      <c r="K9" s="130"/>
      <c r="L9" s="130"/>
      <c r="M9" s="130"/>
      <c r="N9" s="130"/>
      <c r="O9" s="130"/>
    </row>
    <row r="10" spans="2:15" ht="18" customHeight="1">
      <c r="B10" s="130"/>
      <c r="C10" s="130"/>
      <c r="D10" s="130"/>
      <c r="E10" s="130"/>
      <c r="F10" s="130"/>
      <c r="G10" s="130"/>
      <c r="H10" s="130"/>
      <c r="I10" s="130"/>
      <c r="J10" s="130"/>
      <c r="K10" s="130"/>
      <c r="L10" s="130"/>
      <c r="M10" s="130"/>
      <c r="N10" s="130"/>
      <c r="O10" s="130"/>
    </row>
    <row r="11" spans="2:15" ht="18">
      <c r="B11" s="166" t="s">
        <v>91</v>
      </c>
      <c r="C11" s="166"/>
      <c r="D11" s="166"/>
      <c r="E11" s="166"/>
      <c r="F11" s="166"/>
      <c r="G11" s="166"/>
      <c r="H11" s="166"/>
      <c r="I11" s="166"/>
      <c r="J11" s="166"/>
      <c r="K11" s="166"/>
      <c r="L11" s="166"/>
      <c r="M11" s="166"/>
      <c r="N11" s="166"/>
      <c r="O11" s="166"/>
    </row>
    <row r="12" spans="2:15" ht="18">
      <c r="B12" s="142">
        <f>IF('ERR &amp; Sensitivity Analysis'!$D$22="N","NOTE: Current calculations are based on USER INPUT and are not the original MCC estimates.",IF('ERR &amp; Sensitivity Analysis'!$E$22="N","NOTE: Current calculations are based on USER INPUT and are not the original MCC estimates.",""))</f>
      </c>
      <c r="C12" s="142"/>
      <c r="D12" s="142"/>
      <c r="E12" s="142"/>
      <c r="F12" s="142"/>
      <c r="G12" s="142"/>
      <c r="H12" s="35"/>
      <c r="I12" s="35"/>
      <c r="J12" s="35"/>
      <c r="K12" s="35"/>
      <c r="L12" s="35"/>
      <c r="M12" s="35"/>
      <c r="N12" s="35"/>
      <c r="O12" s="35"/>
    </row>
    <row r="13" ht="18">
      <c r="B13" s="2" t="s">
        <v>0</v>
      </c>
    </row>
    <row r="14" spans="2:23" ht="18">
      <c r="B14" s="3"/>
      <c r="C14" s="4" t="s">
        <v>13</v>
      </c>
      <c r="D14" s="5"/>
      <c r="E14" s="6"/>
      <c r="F14" s="6"/>
      <c r="G14" s="6"/>
      <c r="H14" s="6"/>
      <c r="I14" s="6"/>
      <c r="J14" s="6"/>
      <c r="K14" s="6"/>
      <c r="L14" s="6"/>
      <c r="M14" s="6"/>
      <c r="N14" s="6"/>
      <c r="O14" s="6"/>
      <c r="P14" s="6"/>
      <c r="Q14" s="6"/>
      <c r="R14" s="6"/>
      <c r="S14" s="6"/>
      <c r="T14" s="6"/>
      <c r="U14" s="6"/>
      <c r="V14" s="6"/>
      <c r="W14" s="6"/>
    </row>
    <row r="15" spans="2:4" ht="18">
      <c r="B15" s="18" t="s">
        <v>37</v>
      </c>
      <c r="C15" s="21">
        <v>7</v>
      </c>
      <c r="D15" s="1"/>
    </row>
    <row r="16" spans="2:4" ht="21">
      <c r="B16" s="7" t="s">
        <v>29</v>
      </c>
      <c r="C16" s="36">
        <v>23101.69</v>
      </c>
      <c r="D16" s="1"/>
    </row>
    <row r="17" spans="2:23" ht="21">
      <c r="B17" s="7" t="s">
        <v>30</v>
      </c>
      <c r="C17" s="30">
        <f>+(C41+C42)/2*C15*1.1</f>
        <v>33073.972932462006</v>
      </c>
      <c r="D17" s="6"/>
      <c r="E17" s="6"/>
      <c r="F17" s="6"/>
      <c r="G17" s="6"/>
      <c r="H17" s="6"/>
      <c r="I17" s="6"/>
      <c r="J17" s="6"/>
      <c r="K17" s="6"/>
      <c r="L17" s="6"/>
      <c r="M17" s="6"/>
      <c r="N17" s="6"/>
      <c r="O17" s="6"/>
      <c r="P17" s="6"/>
      <c r="Q17" s="6"/>
      <c r="R17" s="6"/>
      <c r="S17" s="6"/>
      <c r="T17" s="6"/>
      <c r="U17" s="6"/>
      <c r="V17" s="6"/>
      <c r="W17" s="6"/>
    </row>
    <row r="18" spans="2:23" ht="21">
      <c r="B18" s="7" t="s">
        <v>31</v>
      </c>
      <c r="C18" s="9">
        <f>+C21*89%</f>
        <v>0.7120000000000001</v>
      </c>
      <c r="D18" s="5"/>
      <c r="E18" s="6"/>
      <c r="F18" s="6"/>
      <c r="G18" s="6"/>
      <c r="H18" s="6"/>
      <c r="I18" s="6"/>
      <c r="J18" s="6"/>
      <c r="K18" s="6"/>
      <c r="L18" s="6"/>
      <c r="M18" s="6"/>
      <c r="N18" s="6"/>
      <c r="O18" s="6"/>
      <c r="P18" s="6"/>
      <c r="Q18" s="6"/>
      <c r="R18" s="6"/>
      <c r="S18" s="6"/>
      <c r="T18" s="6"/>
      <c r="U18" s="6"/>
      <c r="V18" s="6"/>
      <c r="W18" s="6"/>
    </row>
    <row r="19" spans="2:23" ht="21">
      <c r="B19" s="7" t="s">
        <v>32</v>
      </c>
      <c r="C19" s="9">
        <v>0.57</v>
      </c>
      <c r="D19" s="5"/>
      <c r="E19" s="6"/>
      <c r="F19" s="6"/>
      <c r="G19" s="6"/>
      <c r="H19" s="6"/>
      <c r="I19" s="6"/>
      <c r="J19" s="6"/>
      <c r="K19" s="6"/>
      <c r="L19" s="6"/>
      <c r="M19" s="6"/>
      <c r="N19" s="6"/>
      <c r="O19" s="6"/>
      <c r="P19" s="6"/>
      <c r="Q19" s="6"/>
      <c r="R19" s="6"/>
      <c r="S19" s="6"/>
      <c r="T19" s="6"/>
      <c r="U19" s="6"/>
      <c r="V19" s="6"/>
      <c r="W19" s="6"/>
    </row>
    <row r="20" spans="2:23" ht="18">
      <c r="B20" s="7" t="s">
        <v>10</v>
      </c>
      <c r="C20" s="8">
        <f>+C16*0.7</f>
        <v>16171.182999999997</v>
      </c>
      <c r="D20" s="5"/>
      <c r="E20" s="6"/>
      <c r="F20" s="6"/>
      <c r="G20" s="6"/>
      <c r="H20" s="6"/>
      <c r="I20" s="6"/>
      <c r="J20" s="6"/>
      <c r="K20" s="6"/>
      <c r="L20" s="6"/>
      <c r="M20" s="6"/>
      <c r="N20" s="6"/>
      <c r="O20" s="6"/>
      <c r="P20" s="6"/>
      <c r="Q20" s="6"/>
      <c r="R20" s="6"/>
      <c r="S20" s="6"/>
      <c r="T20" s="6"/>
      <c r="U20" s="6"/>
      <c r="V20" s="6"/>
      <c r="W20" s="6"/>
    </row>
    <row r="21" spans="2:23" ht="18">
      <c r="B21" s="99" t="s">
        <v>24</v>
      </c>
      <c r="C21" s="100">
        <f>'ERR &amp; Sensitivity Analysis'!G28</f>
        <v>0.8</v>
      </c>
      <c r="D21" s="5"/>
      <c r="E21" s="6"/>
      <c r="F21" s="6"/>
      <c r="G21" s="6"/>
      <c r="H21" s="6"/>
      <c r="I21" s="6"/>
      <c r="J21" s="6"/>
      <c r="K21" s="6"/>
      <c r="L21" s="6"/>
      <c r="M21" s="6"/>
      <c r="N21" s="6"/>
      <c r="O21" s="6"/>
      <c r="P21" s="6"/>
      <c r="Q21" s="6"/>
      <c r="R21" s="6"/>
      <c r="S21" s="6"/>
      <c r="T21" s="6"/>
      <c r="U21" s="6"/>
      <c r="V21" s="6"/>
      <c r="W21" s="6"/>
    </row>
    <row r="22" spans="2:23" ht="18">
      <c r="B22" s="7" t="s">
        <v>11</v>
      </c>
      <c r="C22" s="8">
        <f>+C17*(1-C19)+C20*C19</f>
        <v>23439.382670958665</v>
      </c>
      <c r="D22" s="5"/>
      <c r="E22" s="6"/>
      <c r="F22" s="6"/>
      <c r="G22" s="6"/>
      <c r="H22" s="6"/>
      <c r="I22" s="6"/>
      <c r="J22" s="6"/>
      <c r="K22" s="6"/>
      <c r="L22" s="6"/>
      <c r="M22" s="6"/>
      <c r="N22" s="6"/>
      <c r="O22" s="6"/>
      <c r="P22" s="6"/>
      <c r="Q22" s="6"/>
      <c r="R22" s="6"/>
      <c r="S22" s="6"/>
      <c r="T22" s="6"/>
      <c r="U22" s="6"/>
      <c r="V22" s="6"/>
      <c r="W22" s="6"/>
    </row>
    <row r="23" spans="2:23" ht="18">
      <c r="B23" s="7" t="s">
        <v>12</v>
      </c>
      <c r="C23" s="8">
        <f>+C16*(1-C18)+C18*C20</f>
        <v>18167.169016</v>
      </c>
      <c r="D23" s="5"/>
      <c r="E23" s="6"/>
      <c r="F23" s="6"/>
      <c r="G23" s="6"/>
      <c r="H23" s="6"/>
      <c r="I23" s="6"/>
      <c r="J23" s="6"/>
      <c r="K23" s="6"/>
      <c r="L23" s="6"/>
      <c r="M23" s="6"/>
      <c r="N23" s="6"/>
      <c r="O23" s="6"/>
      <c r="P23" s="6"/>
      <c r="Q23" s="6"/>
      <c r="R23" s="6"/>
      <c r="S23" s="6"/>
      <c r="T23" s="6"/>
      <c r="U23" s="6"/>
      <c r="V23" s="6"/>
      <c r="W23" s="6"/>
    </row>
    <row r="24" spans="2:23" ht="18">
      <c r="B24" s="7" t="s">
        <v>27</v>
      </c>
      <c r="C24" s="10">
        <f>(C22-C23)/C23</f>
        <v>0.2902055708468048</v>
      </c>
      <c r="D24" s="5"/>
      <c r="E24" s="6"/>
      <c r="F24" s="6"/>
      <c r="G24" s="6"/>
      <c r="H24" s="6"/>
      <c r="I24" s="6"/>
      <c r="J24" s="6"/>
      <c r="K24" s="6"/>
      <c r="L24" s="6"/>
      <c r="M24" s="6"/>
      <c r="N24" s="6"/>
      <c r="O24" s="6"/>
      <c r="P24" s="6"/>
      <c r="Q24" s="6"/>
      <c r="R24" s="6"/>
      <c r="S24" s="6"/>
      <c r="T24" s="6"/>
      <c r="U24" s="6"/>
      <c r="V24" s="6"/>
      <c r="W24" s="6"/>
    </row>
    <row r="25" spans="2:23" ht="18">
      <c r="B25" s="7" t="s">
        <v>14</v>
      </c>
      <c r="C25" s="8">
        <f>+(C22-C23)*C26</f>
        <v>4744.992289462799</v>
      </c>
      <c r="D25" s="5"/>
      <c r="E25" s="6"/>
      <c r="F25" s="6"/>
      <c r="G25" s="6"/>
      <c r="H25" s="6"/>
      <c r="I25" s="6"/>
      <c r="J25" s="6"/>
      <c r="K25" s="6"/>
      <c r="L25" s="6"/>
      <c r="M25" s="6"/>
      <c r="N25" s="6"/>
      <c r="O25" s="6"/>
      <c r="P25" s="6"/>
      <c r="Q25" s="6"/>
      <c r="R25" s="6"/>
      <c r="S25" s="6"/>
      <c r="T25" s="6"/>
      <c r="U25" s="6"/>
      <c r="V25" s="6"/>
      <c r="W25" s="6"/>
    </row>
    <row r="26" spans="2:23" ht="21" customHeight="1">
      <c r="B26" s="99" t="s">
        <v>93</v>
      </c>
      <c r="C26" s="101">
        <f>'ERR &amp; Sensitivity Analysis'!G29</f>
        <v>0.9</v>
      </c>
      <c r="D26" s="5"/>
      <c r="E26" s="6"/>
      <c r="F26" s="6"/>
      <c r="G26" s="6"/>
      <c r="H26" s="6"/>
      <c r="I26" s="6"/>
      <c r="J26" s="6"/>
      <c r="K26" s="6"/>
      <c r="L26" s="6"/>
      <c r="M26" s="6"/>
      <c r="N26" s="6"/>
      <c r="O26" s="6"/>
      <c r="P26" s="6"/>
      <c r="Q26" s="6"/>
      <c r="R26" s="6"/>
      <c r="S26" s="6"/>
      <c r="T26" s="6"/>
      <c r="U26" s="6"/>
      <c r="V26" s="6"/>
      <c r="W26" s="6"/>
    </row>
    <row r="27" spans="2:23" ht="27" customHeight="1">
      <c r="B27" s="7" t="s">
        <v>16</v>
      </c>
      <c r="C27" s="11">
        <f>+C45</f>
        <v>34954.8751820588</v>
      </c>
      <c r="D27" s="12"/>
      <c r="E27" s="13"/>
      <c r="F27" s="13"/>
      <c r="G27" s="13"/>
      <c r="H27" s="13"/>
      <c r="I27" s="13"/>
      <c r="J27" s="13"/>
      <c r="K27" s="13"/>
      <c r="L27" s="13"/>
      <c r="M27" s="13"/>
      <c r="N27" s="13"/>
      <c r="O27" s="13"/>
      <c r="P27" s="13"/>
      <c r="Q27" s="13"/>
      <c r="R27" s="13"/>
      <c r="S27" s="13"/>
      <c r="T27" s="13"/>
      <c r="U27" s="13"/>
      <c r="V27" s="13"/>
      <c r="W27" s="13"/>
    </row>
    <row r="28" spans="2:23" s="17" customFormat="1" ht="18">
      <c r="B28" s="14" t="s">
        <v>1</v>
      </c>
      <c r="C28" s="15" t="s">
        <v>74</v>
      </c>
      <c r="D28" s="16">
        <v>1</v>
      </c>
      <c r="E28" s="16">
        <v>2</v>
      </c>
      <c r="F28" s="16">
        <v>3</v>
      </c>
      <c r="G28" s="16">
        <v>4</v>
      </c>
      <c r="H28" s="16">
        <v>5</v>
      </c>
      <c r="I28" s="16">
        <v>6</v>
      </c>
      <c r="J28" s="16">
        <v>7</v>
      </c>
      <c r="K28" s="16">
        <v>8</v>
      </c>
      <c r="L28" s="16">
        <v>9</v>
      </c>
      <c r="M28" s="16">
        <v>10</v>
      </c>
      <c r="N28" s="16">
        <v>11</v>
      </c>
      <c r="O28" s="16">
        <v>12</v>
      </c>
      <c r="P28" s="16">
        <v>13</v>
      </c>
      <c r="Q28" s="16">
        <v>14</v>
      </c>
      <c r="R28" s="16">
        <v>15</v>
      </c>
      <c r="S28" s="16">
        <v>16</v>
      </c>
      <c r="T28" s="16">
        <v>17</v>
      </c>
      <c r="U28" s="16">
        <v>18</v>
      </c>
      <c r="V28" s="16">
        <v>19</v>
      </c>
      <c r="W28" s="4">
        <v>20</v>
      </c>
    </row>
    <row r="29" spans="2:23" ht="18">
      <c r="B29" s="18" t="s">
        <v>2</v>
      </c>
      <c r="C29" s="19">
        <f>112383393.52</f>
        <v>112383393.52</v>
      </c>
      <c r="D29" s="19">
        <f>+C29/5</f>
        <v>22476678.704</v>
      </c>
      <c r="E29" s="19">
        <f>+D29</f>
        <v>22476678.704</v>
      </c>
      <c r="F29" s="19">
        <f>+E29</f>
        <v>22476678.704</v>
      </c>
      <c r="G29" s="19">
        <f>+F29</f>
        <v>22476678.704</v>
      </c>
      <c r="H29" s="19">
        <f>+G29</f>
        <v>22476678.704</v>
      </c>
      <c r="I29" s="20"/>
      <c r="J29" s="20"/>
      <c r="K29" s="20"/>
      <c r="L29" s="20"/>
      <c r="M29" s="20"/>
      <c r="N29" s="20"/>
      <c r="O29" s="20"/>
      <c r="P29" s="20"/>
      <c r="Q29" s="20"/>
      <c r="R29" s="20"/>
      <c r="S29" s="20"/>
      <c r="T29" s="20"/>
      <c r="U29" s="20"/>
      <c r="V29" s="20"/>
      <c r="W29" s="21"/>
    </row>
    <row r="30" spans="2:23" ht="24.75" customHeight="1">
      <c r="B30" s="22" t="s">
        <v>88</v>
      </c>
      <c r="C30" s="23"/>
      <c r="D30" s="8">
        <f>+D29</f>
        <v>22476678.704</v>
      </c>
      <c r="E30" s="8">
        <f>+D30+E29</f>
        <v>44953357.408</v>
      </c>
      <c r="F30" s="8">
        <f>+E30+F29</f>
        <v>67430036.112</v>
      </c>
      <c r="G30" s="8">
        <f>+F30+G29</f>
        <v>89906714.816</v>
      </c>
      <c r="H30" s="8">
        <f>+G30+H29</f>
        <v>112383393.52</v>
      </c>
      <c r="I30" s="8">
        <f>+H30</f>
        <v>112383393.52</v>
      </c>
      <c r="J30" s="8">
        <f>+I30</f>
        <v>112383393.52</v>
      </c>
      <c r="K30" s="8">
        <f>+J30</f>
        <v>112383393.52</v>
      </c>
      <c r="L30" s="8">
        <f aca="true" t="shared" si="0" ref="L30:W30">+K30</f>
        <v>112383393.52</v>
      </c>
      <c r="M30" s="8">
        <f t="shared" si="0"/>
        <v>112383393.52</v>
      </c>
      <c r="N30" s="8">
        <f t="shared" si="0"/>
        <v>112383393.52</v>
      </c>
      <c r="O30" s="8">
        <f t="shared" si="0"/>
        <v>112383393.52</v>
      </c>
      <c r="P30" s="8">
        <f t="shared" si="0"/>
        <v>112383393.52</v>
      </c>
      <c r="Q30" s="8">
        <f t="shared" si="0"/>
        <v>112383393.52</v>
      </c>
      <c r="R30" s="8">
        <f t="shared" si="0"/>
        <v>112383393.52</v>
      </c>
      <c r="S30" s="8">
        <f t="shared" si="0"/>
        <v>112383393.52</v>
      </c>
      <c r="T30" s="8">
        <f t="shared" si="0"/>
        <v>112383393.52</v>
      </c>
      <c r="U30" s="8">
        <f t="shared" si="0"/>
        <v>112383393.52</v>
      </c>
      <c r="V30" s="8">
        <f t="shared" si="0"/>
        <v>112383393.52</v>
      </c>
      <c r="W30" s="30">
        <f t="shared" si="0"/>
        <v>112383393.52</v>
      </c>
    </row>
    <row r="31" spans="2:23" ht="24.75" customHeight="1">
      <c r="B31" s="7" t="s">
        <v>9</v>
      </c>
      <c r="C31" s="25">
        <v>10526.777967375196</v>
      </c>
      <c r="D31" s="8"/>
      <c r="E31" s="8"/>
      <c r="F31" s="8"/>
      <c r="G31" s="8"/>
      <c r="H31" s="8"/>
      <c r="I31" s="8"/>
      <c r="J31" s="8"/>
      <c r="K31" s="8"/>
      <c r="L31" s="8"/>
      <c r="M31" s="8"/>
      <c r="N31" s="8"/>
      <c r="O31" s="8"/>
      <c r="P31" s="8"/>
      <c r="Q31" s="8"/>
      <c r="R31" s="8"/>
      <c r="S31" s="8"/>
      <c r="T31" s="8"/>
      <c r="U31" s="8"/>
      <c r="V31" s="8"/>
      <c r="W31" s="30"/>
    </row>
    <row r="32" spans="2:23" ht="22.5" customHeight="1">
      <c r="B32" s="7" t="s">
        <v>17</v>
      </c>
      <c r="C32" s="23">
        <f>3600*0.8-470+600*0.8</f>
        <v>2890</v>
      </c>
      <c r="D32" s="23">
        <v>0</v>
      </c>
      <c r="E32" s="26">
        <f>+$C$32/5</f>
        <v>578</v>
      </c>
      <c r="F32" s="26">
        <f>+$C$32/5*2</f>
        <v>1156</v>
      </c>
      <c r="G32" s="26">
        <f>+$C$32/5*3</f>
        <v>1734</v>
      </c>
      <c r="H32" s="26">
        <f>+$C$32/5*4</f>
        <v>2312</v>
      </c>
      <c r="I32" s="26">
        <f>+$C$32/5*5</f>
        <v>2890</v>
      </c>
      <c r="J32" s="26">
        <f>+I32</f>
        <v>2890</v>
      </c>
      <c r="K32" s="26">
        <f aca="true" t="shared" si="1" ref="K32:R32">+J32</f>
        <v>2890</v>
      </c>
      <c r="L32" s="26">
        <f t="shared" si="1"/>
        <v>2890</v>
      </c>
      <c r="M32" s="26">
        <f t="shared" si="1"/>
        <v>2890</v>
      </c>
      <c r="N32" s="26">
        <f t="shared" si="1"/>
        <v>2890</v>
      </c>
      <c r="O32" s="26">
        <f t="shared" si="1"/>
        <v>2890</v>
      </c>
      <c r="P32" s="26">
        <f t="shared" si="1"/>
        <v>2890</v>
      </c>
      <c r="Q32" s="26">
        <f t="shared" si="1"/>
        <v>2890</v>
      </c>
      <c r="R32" s="26">
        <f t="shared" si="1"/>
        <v>2890</v>
      </c>
      <c r="S32" s="26">
        <f>+R32</f>
        <v>2890</v>
      </c>
      <c r="T32" s="26">
        <f>+S32</f>
        <v>2890</v>
      </c>
      <c r="U32" s="26">
        <f>+T32</f>
        <v>2890</v>
      </c>
      <c r="V32" s="26">
        <f>+U32</f>
        <v>2890</v>
      </c>
      <c r="W32" s="27">
        <f>+V32</f>
        <v>2890</v>
      </c>
    </row>
    <row r="33" spans="2:23" ht="18">
      <c r="B33" s="7" t="s">
        <v>18</v>
      </c>
      <c r="C33" s="23"/>
      <c r="D33" s="8">
        <f>+D32*$C$31</f>
        <v>0</v>
      </c>
      <c r="E33" s="8">
        <f>+F32*$C$31</f>
        <v>12168955.330285726</v>
      </c>
      <c r="F33" s="8">
        <f>+G32*$C$31</f>
        <v>18253432.99542859</v>
      </c>
      <c r="G33" s="8">
        <f>+H32*$C$31</f>
        <v>24337910.660571452</v>
      </c>
      <c r="H33" s="8">
        <f>+I32*$C$31</f>
        <v>30422388.325714316</v>
      </c>
      <c r="I33" s="8">
        <f>+J32*$C$31</f>
        <v>30422388.325714316</v>
      </c>
      <c r="J33" s="8">
        <f aca="true" t="shared" si="2" ref="J33:W33">+J32*$C$31</f>
        <v>30422388.325714316</v>
      </c>
      <c r="K33" s="8">
        <f t="shared" si="2"/>
        <v>30422388.325714316</v>
      </c>
      <c r="L33" s="8">
        <f t="shared" si="2"/>
        <v>30422388.325714316</v>
      </c>
      <c r="M33" s="8">
        <f t="shared" si="2"/>
        <v>30422388.325714316</v>
      </c>
      <c r="N33" s="8">
        <f t="shared" si="2"/>
        <v>30422388.325714316</v>
      </c>
      <c r="O33" s="8">
        <f t="shared" si="2"/>
        <v>30422388.325714316</v>
      </c>
      <c r="P33" s="8">
        <f t="shared" si="2"/>
        <v>30422388.325714316</v>
      </c>
      <c r="Q33" s="8">
        <f t="shared" si="2"/>
        <v>30422388.325714316</v>
      </c>
      <c r="R33" s="8">
        <f t="shared" si="2"/>
        <v>30422388.325714316</v>
      </c>
      <c r="S33" s="8">
        <f t="shared" si="2"/>
        <v>30422388.325714316</v>
      </c>
      <c r="T33" s="8">
        <f t="shared" si="2"/>
        <v>30422388.325714316</v>
      </c>
      <c r="U33" s="8">
        <f t="shared" si="2"/>
        <v>30422388.325714316</v>
      </c>
      <c r="V33" s="8">
        <f t="shared" si="2"/>
        <v>30422388.325714316</v>
      </c>
      <c r="W33" s="30">
        <f t="shared" si="2"/>
        <v>30422388.325714316</v>
      </c>
    </row>
    <row r="34" spans="2:23" ht="18">
      <c r="B34" s="7" t="s">
        <v>19</v>
      </c>
      <c r="C34" s="10">
        <v>0.05</v>
      </c>
      <c r="D34" s="8">
        <f aca="true" t="shared" si="3" ref="D34:W34">+D30*$C$34</f>
        <v>1123833.9352</v>
      </c>
      <c r="E34" s="8">
        <f t="shared" si="3"/>
        <v>2247667.8704</v>
      </c>
      <c r="F34" s="8">
        <f t="shared" si="3"/>
        <v>3371501.8056000005</v>
      </c>
      <c r="G34" s="8">
        <f t="shared" si="3"/>
        <v>4495335.7408</v>
      </c>
      <c r="H34" s="8">
        <f t="shared" si="3"/>
        <v>5619169.676</v>
      </c>
      <c r="I34" s="8">
        <f t="shared" si="3"/>
        <v>5619169.676</v>
      </c>
      <c r="J34" s="8">
        <f t="shared" si="3"/>
        <v>5619169.676</v>
      </c>
      <c r="K34" s="8">
        <f t="shared" si="3"/>
        <v>5619169.676</v>
      </c>
      <c r="L34" s="8">
        <f t="shared" si="3"/>
        <v>5619169.676</v>
      </c>
      <c r="M34" s="8">
        <f t="shared" si="3"/>
        <v>5619169.676</v>
      </c>
      <c r="N34" s="8">
        <f t="shared" si="3"/>
        <v>5619169.676</v>
      </c>
      <c r="O34" s="8">
        <f t="shared" si="3"/>
        <v>5619169.676</v>
      </c>
      <c r="P34" s="8">
        <f t="shared" si="3"/>
        <v>5619169.676</v>
      </c>
      <c r="Q34" s="8">
        <f t="shared" si="3"/>
        <v>5619169.676</v>
      </c>
      <c r="R34" s="8">
        <f t="shared" si="3"/>
        <v>5619169.676</v>
      </c>
      <c r="S34" s="8">
        <f t="shared" si="3"/>
        <v>5619169.676</v>
      </c>
      <c r="T34" s="8">
        <f t="shared" si="3"/>
        <v>5619169.676</v>
      </c>
      <c r="U34" s="8">
        <f t="shared" si="3"/>
        <v>5619169.676</v>
      </c>
      <c r="V34" s="8">
        <f t="shared" si="3"/>
        <v>5619169.676</v>
      </c>
      <c r="W34" s="30">
        <f t="shared" si="3"/>
        <v>5619169.676</v>
      </c>
    </row>
    <row r="35" spans="2:23" ht="18">
      <c r="B35" s="7" t="s">
        <v>25</v>
      </c>
      <c r="C35" s="10">
        <v>0.09</v>
      </c>
      <c r="D35" s="8">
        <f>+D29*$C$35</f>
        <v>2022901.0833599998</v>
      </c>
      <c r="E35" s="8">
        <f>+E29*$C$35</f>
        <v>2022901.0833599998</v>
      </c>
      <c r="F35" s="8">
        <f>+F29*$C$35</f>
        <v>2022901.0833599998</v>
      </c>
      <c r="G35" s="8">
        <f>+G29*$C$35</f>
        <v>2022901.0833599998</v>
      </c>
      <c r="H35" s="8">
        <f>+H29*$C$35</f>
        <v>2022901.0833599998</v>
      </c>
      <c r="I35" s="8"/>
      <c r="J35" s="8"/>
      <c r="K35" s="8"/>
      <c r="L35" s="8"/>
      <c r="M35" s="8"/>
      <c r="N35" s="8"/>
      <c r="O35" s="8"/>
      <c r="P35" s="8"/>
      <c r="Q35" s="8"/>
      <c r="R35" s="8"/>
      <c r="S35" s="8"/>
      <c r="T35" s="8"/>
      <c r="U35" s="8"/>
      <c r="V35" s="8"/>
      <c r="W35" s="30"/>
    </row>
    <row r="36" spans="2:23" ht="18">
      <c r="B36" s="7" t="s">
        <v>21</v>
      </c>
      <c r="C36" s="23"/>
      <c r="D36" s="8">
        <f>(+D34+D33+D29+D35)*'ERR &amp; Sensitivity Analysis'!$G$26</f>
        <v>25623413.72256</v>
      </c>
      <c r="E36" s="8">
        <f>(+E34+E33+E29+E35)*'ERR &amp; Sensitivity Analysis'!$G$26</f>
        <v>38916202.98804573</v>
      </c>
      <c r="F36" s="8">
        <f>(+F34+F33+F29+F35)*'ERR &amp; Sensitivity Analysis'!$G$26</f>
        <v>46124514.58838859</v>
      </c>
      <c r="G36" s="8">
        <f>(+G34+G33+G29+G35)*'ERR &amp; Sensitivity Analysis'!$G$26</f>
        <v>53332826.188731454</v>
      </c>
      <c r="H36" s="8">
        <f>(+H34+H33+H29+H35)*'ERR &amp; Sensitivity Analysis'!$G$26</f>
        <v>60541137.78907432</v>
      </c>
      <c r="I36" s="8">
        <f>(+I34+I33+I29+I35)*'ERR &amp; Sensitivity Analysis'!$G$26</f>
        <v>36041558.00171432</v>
      </c>
      <c r="J36" s="8">
        <f>(+J34+J33+J29+J35)*'ERR &amp; Sensitivity Analysis'!$G$26</f>
        <v>36041558.00171432</v>
      </c>
      <c r="K36" s="8">
        <f>(+K34+K33+K29+K35)*'ERR &amp; Sensitivity Analysis'!$G$26</f>
        <v>36041558.00171432</v>
      </c>
      <c r="L36" s="8">
        <f>(+L34+L33+L29+L35)*'ERR &amp; Sensitivity Analysis'!$G$26</f>
        <v>36041558.00171432</v>
      </c>
      <c r="M36" s="8">
        <f>(+M34+M33+M29+M35)*'ERR &amp; Sensitivity Analysis'!$G$26</f>
        <v>36041558.00171432</v>
      </c>
      <c r="N36" s="8">
        <f>(+N34+N33+N29+N35)*'ERR &amp; Sensitivity Analysis'!$G$26</f>
        <v>36041558.00171432</v>
      </c>
      <c r="O36" s="8">
        <f>(+O34+O33+O29+O35)*'ERR &amp; Sensitivity Analysis'!$G$26</f>
        <v>36041558.00171432</v>
      </c>
      <c r="P36" s="8">
        <f>(+P34+P33+P29+P35)*'ERR &amp; Sensitivity Analysis'!$G$26</f>
        <v>36041558.00171432</v>
      </c>
      <c r="Q36" s="8">
        <f>(+Q34+Q33+Q29+Q35)*'ERR &amp; Sensitivity Analysis'!$G$26</f>
        <v>36041558.00171432</v>
      </c>
      <c r="R36" s="8">
        <f>(+R34+R33+R29+R35)*'ERR &amp; Sensitivity Analysis'!$G$26</f>
        <v>36041558.00171432</v>
      </c>
      <c r="S36" s="8">
        <f>(+S34+S33+S29+S35)*'ERR &amp; Sensitivity Analysis'!$G$26</f>
        <v>36041558.00171432</v>
      </c>
      <c r="T36" s="8">
        <f>(+T34+T33+T29+T35)*'ERR &amp; Sensitivity Analysis'!$G$26</f>
        <v>36041558.00171432</v>
      </c>
      <c r="U36" s="8">
        <f>(+U34+U33+U29+U35)*'ERR &amp; Sensitivity Analysis'!$G$26</f>
        <v>36041558.00171432</v>
      </c>
      <c r="V36" s="8">
        <f>(+V34+V33+V29+V35)*'ERR &amp; Sensitivity Analysis'!$G$26</f>
        <v>36041558.00171432</v>
      </c>
      <c r="W36" s="8">
        <f>(+W34+W33+W29+W35)*'ERR &amp; Sensitivity Analysis'!$G$26</f>
        <v>36041558.00171432</v>
      </c>
    </row>
    <row r="37" spans="2:23" ht="20.25" customHeight="1">
      <c r="B37" s="7" t="s">
        <v>20</v>
      </c>
      <c r="C37" s="23"/>
      <c r="D37" s="8">
        <f>(+D32*$C$27)*'ERR &amp; Sensitivity Analysis'!$G$27</f>
        <v>0</v>
      </c>
      <c r="E37" s="8">
        <f>(+E32*$C$27)*'ERR &amp; Sensitivity Analysis'!$G$27</f>
        <v>20203917.855229985</v>
      </c>
      <c r="F37" s="8">
        <f>(+F32*$C$27)*'ERR &amp; Sensitivity Analysis'!$G$27</f>
        <v>40407835.71045997</v>
      </c>
      <c r="G37" s="8">
        <f>(+G32*$C$27)*'ERR &amp; Sensitivity Analysis'!$G$27</f>
        <v>60611753.56568996</v>
      </c>
      <c r="H37" s="8">
        <f>(+H32*$C$27)*'ERR &amp; Sensitivity Analysis'!$G$27</f>
        <v>80815671.42091994</v>
      </c>
      <c r="I37" s="8">
        <f>(+I32*$C$27)*'ERR &amp; Sensitivity Analysis'!$G$27</f>
        <v>101019589.27614993</v>
      </c>
      <c r="J37" s="8">
        <f>(+J32*$C$27)*'ERR &amp; Sensitivity Analysis'!$G$27</f>
        <v>101019589.27614993</v>
      </c>
      <c r="K37" s="8">
        <f>(+K32*$C$27)*'ERR &amp; Sensitivity Analysis'!$G$27</f>
        <v>101019589.27614993</v>
      </c>
      <c r="L37" s="8">
        <f>(+L32*$C$27)*'ERR &amp; Sensitivity Analysis'!$G$27</f>
        <v>101019589.27614993</v>
      </c>
      <c r="M37" s="8">
        <f>(+M32*$C$27)*'ERR &amp; Sensitivity Analysis'!$G$27</f>
        <v>101019589.27614993</v>
      </c>
      <c r="N37" s="8">
        <f>(+N32*$C$27)*'ERR &amp; Sensitivity Analysis'!$G$27</f>
        <v>101019589.27614993</v>
      </c>
      <c r="O37" s="8">
        <f>(+O32*$C$27)*'ERR &amp; Sensitivity Analysis'!$G$27</f>
        <v>101019589.27614993</v>
      </c>
      <c r="P37" s="8">
        <f>(+P32*$C$27)*'ERR &amp; Sensitivity Analysis'!$G$27</f>
        <v>101019589.27614993</v>
      </c>
      <c r="Q37" s="8">
        <f>(+Q32*$C$27)*'ERR &amp; Sensitivity Analysis'!$G$27</f>
        <v>101019589.27614993</v>
      </c>
      <c r="R37" s="8">
        <f>(+R32*$C$27)*'ERR &amp; Sensitivity Analysis'!$G$27</f>
        <v>101019589.27614993</v>
      </c>
      <c r="S37" s="8">
        <f>(+S32*$C$27)*'ERR &amp; Sensitivity Analysis'!$G$27</f>
        <v>101019589.27614993</v>
      </c>
      <c r="T37" s="8">
        <f>(+T32*$C$27)*'ERR &amp; Sensitivity Analysis'!$G$27</f>
        <v>101019589.27614993</v>
      </c>
      <c r="U37" s="8">
        <f>(+U32*$C$27)*'ERR &amp; Sensitivity Analysis'!$G$27</f>
        <v>101019589.27614993</v>
      </c>
      <c r="V37" s="8">
        <f>(+V32*$C$27)*'ERR &amp; Sensitivity Analysis'!$G$27</f>
        <v>101019589.27614993</v>
      </c>
      <c r="W37" s="8">
        <f>(+W32*$C$27)*'ERR &amp; Sensitivity Analysis'!$G$27</f>
        <v>101019589.27614993</v>
      </c>
    </row>
    <row r="38" spans="2:23" ht="18">
      <c r="B38" s="7" t="s">
        <v>22</v>
      </c>
      <c r="C38" s="23"/>
      <c r="D38" s="8">
        <f aca="true" t="shared" si="4" ref="D38:W38">+D37-D36</f>
        <v>-25623413.72256</v>
      </c>
      <c r="E38" s="8">
        <f t="shared" si="4"/>
        <v>-18712285.132815745</v>
      </c>
      <c r="F38" s="8">
        <f t="shared" si="4"/>
        <v>-5716678.877928622</v>
      </c>
      <c r="G38" s="8">
        <f t="shared" si="4"/>
        <v>7278927.376958504</v>
      </c>
      <c r="H38" s="8">
        <f t="shared" si="4"/>
        <v>20274533.631845623</v>
      </c>
      <c r="I38" s="8">
        <f t="shared" si="4"/>
        <v>64978031.27443561</v>
      </c>
      <c r="J38" s="8">
        <f t="shared" si="4"/>
        <v>64978031.27443561</v>
      </c>
      <c r="K38" s="8">
        <f t="shared" si="4"/>
        <v>64978031.27443561</v>
      </c>
      <c r="L38" s="8">
        <f t="shared" si="4"/>
        <v>64978031.27443561</v>
      </c>
      <c r="M38" s="8">
        <f t="shared" si="4"/>
        <v>64978031.27443561</v>
      </c>
      <c r="N38" s="8">
        <f t="shared" si="4"/>
        <v>64978031.27443561</v>
      </c>
      <c r="O38" s="8">
        <f t="shared" si="4"/>
        <v>64978031.27443561</v>
      </c>
      <c r="P38" s="8">
        <f t="shared" si="4"/>
        <v>64978031.27443561</v>
      </c>
      <c r="Q38" s="8">
        <f t="shared" si="4"/>
        <v>64978031.27443561</v>
      </c>
      <c r="R38" s="8">
        <f t="shared" si="4"/>
        <v>64978031.27443561</v>
      </c>
      <c r="S38" s="8">
        <f t="shared" si="4"/>
        <v>64978031.27443561</v>
      </c>
      <c r="T38" s="8">
        <f t="shared" si="4"/>
        <v>64978031.27443561</v>
      </c>
      <c r="U38" s="8">
        <f t="shared" si="4"/>
        <v>64978031.27443561</v>
      </c>
      <c r="V38" s="8">
        <f t="shared" si="4"/>
        <v>64978031.27443561</v>
      </c>
      <c r="W38" s="30">
        <f t="shared" si="4"/>
        <v>64978031.27443561</v>
      </c>
    </row>
    <row r="39" spans="2:23" ht="18">
      <c r="B39" s="28" t="s">
        <v>23</v>
      </c>
      <c r="C39" s="39">
        <f>+IRR(D38:R38)</f>
        <v>0.4354637290220828</v>
      </c>
      <c r="D39" s="29"/>
      <c r="E39" s="29"/>
      <c r="F39" s="29"/>
      <c r="G39" s="29"/>
      <c r="H39" s="29"/>
      <c r="I39" s="29"/>
      <c r="J39" s="29"/>
      <c r="K39" s="29"/>
      <c r="L39" s="29"/>
      <c r="M39" s="29"/>
      <c r="N39" s="29"/>
      <c r="O39" s="29"/>
      <c r="P39" s="29"/>
      <c r="Q39" s="29"/>
      <c r="R39" s="29"/>
      <c r="S39" s="29"/>
      <c r="T39" s="29"/>
      <c r="U39" s="29"/>
      <c r="V39" s="29"/>
      <c r="W39" s="40"/>
    </row>
    <row r="40" spans="2:23" ht="18">
      <c r="B40" s="37" t="s">
        <v>7</v>
      </c>
      <c r="C40" s="38" t="s">
        <v>8</v>
      </c>
      <c r="D40" s="41"/>
      <c r="E40" s="41"/>
      <c r="F40" s="41"/>
      <c r="G40" s="41"/>
      <c r="H40" s="41"/>
      <c r="I40" s="41"/>
      <c r="J40" s="41"/>
      <c r="K40" s="41"/>
      <c r="L40" s="41"/>
      <c r="M40" s="41"/>
      <c r="N40" s="41"/>
      <c r="O40" s="41"/>
      <c r="P40" s="41"/>
      <c r="Q40" s="41"/>
      <c r="R40" s="41"/>
      <c r="S40" s="41"/>
      <c r="T40" s="41"/>
      <c r="U40" s="41"/>
      <c r="V40" s="41"/>
      <c r="W40" s="41"/>
    </row>
    <row r="41" spans="2:23" ht="21.75" customHeight="1">
      <c r="B41" s="7" t="s">
        <v>3</v>
      </c>
      <c r="C41" s="42">
        <v>3436.2569280480006</v>
      </c>
      <c r="D41" s="6"/>
      <c r="E41" s="6"/>
      <c r="F41" s="6"/>
      <c r="G41" s="6"/>
      <c r="H41" s="6"/>
      <c r="I41" s="6"/>
      <c r="J41" s="6"/>
      <c r="K41" s="6"/>
      <c r="L41" s="6"/>
      <c r="M41" s="6"/>
      <c r="N41" s="6"/>
      <c r="O41" s="6"/>
      <c r="P41" s="6"/>
      <c r="Q41" s="6"/>
      <c r="R41" s="6"/>
      <c r="S41" s="6"/>
      <c r="T41" s="6"/>
      <c r="U41" s="6"/>
      <c r="V41" s="6"/>
      <c r="W41" s="6"/>
    </row>
    <row r="42" spans="2:23" ht="38.25" customHeight="1">
      <c r="B42" s="7" t="s">
        <v>4</v>
      </c>
      <c r="C42" s="43">
        <v>5154.385392072001</v>
      </c>
      <c r="D42" s="6"/>
      <c r="E42" s="6"/>
      <c r="F42" s="6"/>
      <c r="G42" s="6"/>
      <c r="H42" s="6"/>
      <c r="I42" s="6"/>
      <c r="J42" s="6"/>
      <c r="K42" s="6"/>
      <c r="L42" s="6"/>
      <c r="M42" s="6"/>
      <c r="N42" s="6"/>
      <c r="O42" s="6"/>
      <c r="P42" s="6"/>
      <c r="Q42" s="6"/>
      <c r="R42" s="6"/>
      <c r="S42" s="6"/>
      <c r="T42" s="6"/>
      <c r="U42" s="6"/>
      <c r="V42" s="6"/>
      <c r="W42" s="6"/>
    </row>
    <row r="43" spans="2:23" ht="36">
      <c r="B43" s="7" t="s">
        <v>5</v>
      </c>
      <c r="C43" s="43">
        <v>5834.357103582001</v>
      </c>
      <c r="D43" s="6"/>
      <c r="E43" s="6"/>
      <c r="F43" s="6"/>
      <c r="G43" s="6"/>
      <c r="H43" s="6"/>
      <c r="I43" s="6"/>
      <c r="J43" s="6"/>
      <c r="K43" s="6"/>
      <c r="L43" s="6"/>
      <c r="M43" s="6"/>
      <c r="N43" s="6"/>
      <c r="O43" s="6"/>
      <c r="P43" s="6"/>
      <c r="Q43" s="6"/>
      <c r="R43" s="6"/>
      <c r="S43" s="6"/>
      <c r="T43" s="6"/>
      <c r="U43" s="6"/>
      <c r="V43" s="6"/>
      <c r="W43" s="6"/>
    </row>
    <row r="44" spans="2:23" ht="36">
      <c r="B44" s="7" t="s">
        <v>6</v>
      </c>
      <c r="C44" s="43">
        <v>12915.642452895001</v>
      </c>
      <c r="D44" s="13"/>
      <c r="E44" s="13"/>
      <c r="F44" s="13"/>
      <c r="G44" s="13"/>
      <c r="H44" s="13"/>
      <c r="I44" s="13"/>
      <c r="J44" s="13"/>
      <c r="K44" s="13"/>
      <c r="L44" s="13"/>
      <c r="M44" s="13"/>
      <c r="N44" s="13"/>
      <c r="O44" s="13"/>
      <c r="P44" s="13"/>
      <c r="Q44" s="13"/>
      <c r="R44" s="13"/>
      <c r="S44" s="13"/>
      <c r="T44" s="13"/>
      <c r="U44" s="13"/>
      <c r="V44" s="13"/>
      <c r="W44" s="13"/>
    </row>
    <row r="45" spans="2:23" ht="24" customHeight="1">
      <c r="B45" s="7" t="s">
        <v>15</v>
      </c>
      <c r="C45" s="33">
        <f>+NPV(0.1,E45:R45)</f>
        <v>34954.8751820588</v>
      </c>
      <c r="D45" s="8">
        <f>+$C$25</f>
        <v>4744.992289462799</v>
      </c>
      <c r="E45" s="8">
        <f aca="true" t="shared" si="5" ref="E45:R45">+$C$25</f>
        <v>4744.992289462799</v>
      </c>
      <c r="F45" s="8">
        <f t="shared" si="5"/>
        <v>4744.992289462799</v>
      </c>
      <c r="G45" s="8">
        <f t="shared" si="5"/>
        <v>4744.992289462799</v>
      </c>
      <c r="H45" s="8">
        <f t="shared" si="5"/>
        <v>4744.992289462799</v>
      </c>
      <c r="I45" s="8">
        <f t="shared" si="5"/>
        <v>4744.992289462799</v>
      </c>
      <c r="J45" s="8">
        <f t="shared" si="5"/>
        <v>4744.992289462799</v>
      </c>
      <c r="K45" s="8">
        <f t="shared" si="5"/>
        <v>4744.992289462799</v>
      </c>
      <c r="L45" s="8">
        <f t="shared" si="5"/>
        <v>4744.992289462799</v>
      </c>
      <c r="M45" s="8">
        <f t="shared" si="5"/>
        <v>4744.992289462799</v>
      </c>
      <c r="N45" s="8">
        <f t="shared" si="5"/>
        <v>4744.992289462799</v>
      </c>
      <c r="O45" s="8">
        <f t="shared" si="5"/>
        <v>4744.992289462799</v>
      </c>
      <c r="P45" s="8">
        <f t="shared" si="5"/>
        <v>4744.992289462799</v>
      </c>
      <c r="Q45" s="8">
        <f t="shared" si="5"/>
        <v>4744.992289462799</v>
      </c>
      <c r="R45" s="8">
        <f t="shared" si="5"/>
        <v>4744.992289462799</v>
      </c>
      <c r="S45" s="23"/>
      <c r="T45" s="23"/>
      <c r="U45" s="23"/>
      <c r="V45" s="23"/>
      <c r="W45" s="24"/>
    </row>
    <row r="46" spans="2:23" ht="23.25" customHeight="1">
      <c r="B46" s="28" t="s">
        <v>26</v>
      </c>
      <c r="C46" s="34"/>
      <c r="D46" s="29">
        <f>D32</f>
        <v>0</v>
      </c>
      <c r="E46" s="31">
        <f aca="true" t="shared" si="6" ref="E46:W46">D46+E32</f>
        <v>578</v>
      </c>
      <c r="F46" s="31">
        <f t="shared" si="6"/>
        <v>1734</v>
      </c>
      <c r="G46" s="31">
        <f t="shared" si="6"/>
        <v>3468</v>
      </c>
      <c r="H46" s="31">
        <f t="shared" si="6"/>
        <v>5780</v>
      </c>
      <c r="I46" s="31">
        <f t="shared" si="6"/>
        <v>8670</v>
      </c>
      <c r="J46" s="31">
        <f t="shared" si="6"/>
        <v>11560</v>
      </c>
      <c r="K46" s="31">
        <f t="shared" si="6"/>
        <v>14450</v>
      </c>
      <c r="L46" s="31">
        <f t="shared" si="6"/>
        <v>17340</v>
      </c>
      <c r="M46" s="31">
        <f t="shared" si="6"/>
        <v>20230</v>
      </c>
      <c r="N46" s="31">
        <f t="shared" si="6"/>
        <v>23120</v>
      </c>
      <c r="O46" s="31">
        <f t="shared" si="6"/>
        <v>26010</v>
      </c>
      <c r="P46" s="31">
        <f t="shared" si="6"/>
        <v>28900</v>
      </c>
      <c r="Q46" s="31">
        <f t="shared" si="6"/>
        <v>31790</v>
      </c>
      <c r="R46" s="31">
        <f t="shared" si="6"/>
        <v>34680</v>
      </c>
      <c r="S46" s="31">
        <f t="shared" si="6"/>
        <v>37570</v>
      </c>
      <c r="T46" s="31">
        <f t="shared" si="6"/>
        <v>40460</v>
      </c>
      <c r="U46" s="31">
        <f t="shared" si="6"/>
        <v>43350</v>
      </c>
      <c r="V46" s="31">
        <f t="shared" si="6"/>
        <v>46240</v>
      </c>
      <c r="W46" s="32">
        <f t="shared" si="6"/>
        <v>49130</v>
      </c>
    </row>
    <row r="49" spans="2:6" ht="18">
      <c r="B49" s="162" t="s">
        <v>28</v>
      </c>
      <c r="C49" s="163"/>
      <c r="D49" s="163"/>
      <c r="E49" s="163"/>
      <c r="F49" s="164"/>
    </row>
    <row r="50" spans="2:6" ht="18">
      <c r="B50" s="165" t="s">
        <v>33</v>
      </c>
      <c r="C50" s="163"/>
      <c r="D50" s="163"/>
      <c r="E50" s="163"/>
      <c r="F50" s="164"/>
    </row>
    <row r="51" spans="2:6" ht="18">
      <c r="B51" s="165" t="s">
        <v>34</v>
      </c>
      <c r="C51" s="163"/>
      <c r="D51" s="163"/>
      <c r="E51" s="163"/>
      <c r="F51" s="164"/>
    </row>
    <row r="52" spans="2:6" ht="18">
      <c r="B52" s="165" t="s">
        <v>35</v>
      </c>
      <c r="C52" s="163"/>
      <c r="D52" s="163"/>
      <c r="E52" s="163"/>
      <c r="F52" s="164"/>
    </row>
    <row r="53" spans="2:6" ht="18">
      <c r="B53" s="159" t="s">
        <v>36</v>
      </c>
      <c r="C53" s="160"/>
      <c r="D53" s="160"/>
      <c r="E53" s="160"/>
      <c r="F53" s="161"/>
    </row>
  </sheetData>
  <mergeCells count="9">
    <mergeCell ref="B5:O5"/>
    <mergeCell ref="B6:O10"/>
    <mergeCell ref="B11:O11"/>
    <mergeCell ref="B52:F52"/>
    <mergeCell ref="B12:G12"/>
    <mergeCell ref="B53:F53"/>
    <mergeCell ref="B49:F49"/>
    <mergeCell ref="B50:F50"/>
    <mergeCell ref="B51:F51"/>
  </mergeCells>
  <printOptions horizontalCentered="1"/>
  <pageMargins left="0.25" right="0.25" top="1" bottom="1" header="0.5" footer="0.36"/>
  <pageSetup horizontalDpi="600" verticalDpi="600" orientation="portrait" scale="20" r:id="rId3"/>
  <headerFooter alignWithMargins="0">
    <oddHeader>&amp;L&amp;G&amp;R&amp;27&amp;A</oddHeader>
    <oddFooter>&amp;R&amp;P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benyishaya</cp:lastModifiedBy>
  <cp:lastPrinted>2008-10-30T17:40:10Z</cp:lastPrinted>
  <dcterms:created xsi:type="dcterms:W3CDTF">2007-07-18T10:38:01Z</dcterms:created>
  <dcterms:modified xsi:type="dcterms:W3CDTF">2008-12-22T14:55:54Z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