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firstSheet="5" activeTab="7"/>
  </bookViews>
  <sheets>
    <sheet name="Sch 1- Rate Base " sheetId="1" r:id="rId1"/>
    <sheet name="Sch 1A - Cash Working Capital" sheetId="2" r:id="rId2"/>
    <sheet name="Sch 2 -Rate of Return" sheetId="3" r:id="rId3"/>
    <sheet name="Sch 3 - Expenses" sheetId="4" r:id="rId4"/>
    <sheet name="PP &amp; OSS WorkSheet" sheetId="5" r:id="rId5"/>
    <sheet name="Sch 3A - Taxes" sheetId="6" r:id="rId6"/>
    <sheet name="Sch 3B - Other Items" sheetId="7" r:id="rId7"/>
    <sheet name="Sch 4 - Average System Cost" sheetId="8" r:id="rId8"/>
    <sheet name="Salaries" sheetId="9" r:id="rId9"/>
    <sheet name="Ratios" sheetId="10" r:id="rId10"/>
  </sheets>
  <externalReferences>
    <externalReference r:id="rId13"/>
  </externalReferences>
  <definedNames>
    <definedName name="DIST">'Sch 1- Rate Base '!$Q$1:$Q$3</definedName>
    <definedName name="_xlnm.Print_Area" localSheetId="9">'Ratios'!$A$1:$G$88</definedName>
    <definedName name="_xlnm.Print_Area" localSheetId="8">'Salaries'!$A$1:$D$41</definedName>
    <definedName name="_xlnm.Print_Area" localSheetId="0">'Sch 1- Rate Base '!$A$1:$J$163</definedName>
    <definedName name="_xlnm.Print_Area" localSheetId="2">'Sch 2 -Rate of Return'!$A$1:$H$128</definedName>
    <definedName name="_xlnm.Print_Area" localSheetId="3">'Sch 3 - Expenses'!$A$1:$J$101</definedName>
    <definedName name="_xlnm.Print_Area" localSheetId="5">'Sch 3A - Taxes'!$A$1:$I$33</definedName>
    <definedName name="_xlnm.Print_Area" localSheetId="6">'Sch 3B - Other Items'!$A$1:$J$42</definedName>
    <definedName name="_xlnm.Print_Area" localSheetId="7">'Sch 4 - Average System Cost'!$A$1:$F$45</definedName>
    <definedName name="_xlnm.Print_Titles" localSheetId="9">'Ratios'!$1:$9</definedName>
    <definedName name="_xlnm.Print_Titles" localSheetId="0">'Sch 1- Rate Base '!$1:$14</definedName>
    <definedName name="_xlnm.Print_Titles" localSheetId="2">'Sch 2 -Rate of Return'!$1:$9</definedName>
    <definedName name="_xlnm.Print_Titles" localSheetId="3">'Sch 3 - Expenses'!$1:$13</definedName>
    <definedName name="_xlnm.Print_Titles" localSheetId="5">'Sch 3A - Taxes'!$1:$14</definedName>
    <definedName name="_xlnm.Print_Titles" localSheetId="7">'Sch 4 - Average System Cost'!$1:$9</definedName>
    <definedName name="PROD">'Sch 1- Rate Base '!$R$1:$R$3</definedName>
    <definedName name="PTD">'Sch 1- Rate Base '!$P$1:$P$3</definedName>
    <definedName name="Ratio">'Ratios'!$D$77:$G$87</definedName>
  </definedNames>
  <calcPr fullCalcOnLoad="1"/>
</workbook>
</file>

<file path=xl/comments1.xml><?xml version="1.0" encoding="utf-8"?>
<comments xmlns="http://schemas.openxmlformats.org/spreadsheetml/2006/main">
  <authors>
    <author>Karen Schuh</author>
  </authors>
  <commentList>
    <comment ref="B97" authorId="0">
      <text>
        <r>
          <rPr>
            <b/>
            <sz val="8"/>
            <rFont val="Tahoma"/>
            <family val="0"/>
          </rPr>
          <t>Karen Schuh:</t>
        </r>
        <r>
          <rPr>
            <sz val="8"/>
            <rFont val="Tahoma"/>
            <family val="0"/>
          </rPr>
          <t xml:space="preserve">
27,970,792 of this is WNP3 contract which is production. We should have the option of directly assigning this account.</t>
        </r>
      </text>
    </comment>
  </commentList>
</comments>
</file>

<file path=xl/comments4.xml><?xml version="1.0" encoding="utf-8"?>
<comments xmlns="http://schemas.openxmlformats.org/spreadsheetml/2006/main">
  <authors>
    <author>Karen Schuh</author>
  </authors>
  <commentList>
    <comment ref="B93" authorId="0">
      <text>
        <r>
          <rPr>
            <b/>
            <sz val="8"/>
            <rFont val="Tahoma"/>
            <family val="0"/>
          </rPr>
          <t>Karen Schuh:</t>
        </r>
        <r>
          <rPr>
            <sz val="8"/>
            <rFont val="Tahoma"/>
            <family val="0"/>
          </rPr>
          <t xml:space="preserve">
Why two lines?</t>
        </r>
      </text>
    </comment>
  </commentList>
</comments>
</file>

<file path=xl/sharedStrings.xml><?xml version="1.0" encoding="utf-8"?>
<sst xmlns="http://schemas.openxmlformats.org/spreadsheetml/2006/main" count="1164" uniqueCount="476">
  <si>
    <t>BONNEVILLE POWER ADMINISTRATION</t>
  </si>
  <si>
    <t>DIRECT</t>
  </si>
  <si>
    <t>RESIDENTIAL PURCHASE AND SALES AGREEMENT</t>
  </si>
  <si>
    <t>Proposed 2008 Average System Cost Methodology (ASC) Utility Template</t>
  </si>
  <si>
    <t>PTD</t>
  </si>
  <si>
    <t>DIST</t>
  </si>
  <si>
    <t>PROD</t>
  </si>
  <si>
    <t>UTILITY NAME:</t>
  </si>
  <si>
    <t xml:space="preserve">Avista Utilities </t>
  </si>
  <si>
    <t>End of Year Report Period:</t>
  </si>
  <si>
    <t>ASC Filing Date:</t>
  </si>
  <si>
    <t xml:space="preserve">Schedule 1: Plant Investment / Rate Base </t>
  </si>
  <si>
    <t xml:space="preserve"> Account Description</t>
  </si>
  <si>
    <t>FERC Form 1</t>
  </si>
  <si>
    <t>Functionalization</t>
  </si>
  <si>
    <t>Total</t>
  </si>
  <si>
    <t>Production</t>
  </si>
  <si>
    <t>Transmission</t>
  </si>
  <si>
    <t>Page</t>
  </si>
  <si>
    <t>Account</t>
  </si>
  <si>
    <t>Method</t>
  </si>
  <si>
    <t>Distribution/</t>
  </si>
  <si>
    <t>Number</t>
  </si>
  <si>
    <t>Numbers</t>
  </si>
  <si>
    <t>Default</t>
  </si>
  <si>
    <t>Optional</t>
  </si>
  <si>
    <t>Other</t>
  </si>
  <si>
    <t>Intangible Plant:</t>
  </si>
  <si>
    <t xml:space="preserve">Intangible Plant - Organization  </t>
  </si>
  <si>
    <t>204-207</t>
  </si>
  <si>
    <t xml:space="preserve"> </t>
  </si>
  <si>
    <t xml:space="preserve">Intangible Plant - Franchises and Consents  </t>
  </si>
  <si>
    <t xml:space="preserve">Intangible Plant - Miscellaneous  </t>
  </si>
  <si>
    <t>Total Intangible Plant</t>
  </si>
  <si>
    <t>Production Plant:</t>
  </si>
  <si>
    <t>Steam Production</t>
  </si>
  <si>
    <t>310-316</t>
  </si>
  <si>
    <t xml:space="preserve">Nuclear Production </t>
  </si>
  <si>
    <t>320-325</t>
  </si>
  <si>
    <t xml:space="preserve">Hydraulic Production  </t>
  </si>
  <si>
    <t>330-336</t>
  </si>
  <si>
    <t>Other Production</t>
  </si>
  <si>
    <t>340-346</t>
  </si>
  <si>
    <t>Total Production Plant</t>
  </si>
  <si>
    <t>Transmission Plant: (i)</t>
  </si>
  <si>
    <t xml:space="preserve">Transmission Plant  </t>
  </si>
  <si>
    <t>350-359</t>
  </si>
  <si>
    <t>TRANS</t>
  </si>
  <si>
    <t>Total Transmission Plant</t>
  </si>
  <si>
    <t>Distribution Plant:</t>
  </si>
  <si>
    <t xml:space="preserve">Distribution Plant  </t>
  </si>
  <si>
    <t>360-373</t>
  </si>
  <si>
    <t xml:space="preserve">Total Distribution Plant  </t>
  </si>
  <si>
    <t xml:space="preserve">General Plant:  </t>
  </si>
  <si>
    <t>Land and Land Rights</t>
  </si>
  <si>
    <t>Structures and Improvements</t>
  </si>
  <si>
    <t>Furniture and Equipment</t>
  </si>
  <si>
    <t>LABOR</t>
  </si>
  <si>
    <t>Transportation Equipment</t>
  </si>
  <si>
    <t>TD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</si>
  <si>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</si>
  <si>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</si>
  <si>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</si>
  <si>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</si>
  <si>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</si>
  <si>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</si>
  <si>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 xml:space="preserve">Other Tangible Property </t>
  </si>
  <si>
    <t>Asset Retirement Costs for General Plant</t>
  </si>
  <si>
    <t>204-208</t>
  </si>
  <si>
    <t>Total General Plant</t>
  </si>
  <si>
    <t>Total Electric Plant In-Service</t>
  </si>
  <si>
    <t>(Total Intangible + Total Production + Total Transmission + Total Distribution + Total General)</t>
  </si>
  <si>
    <t>LESS:</t>
  </si>
  <si>
    <t>Depreciation and Amortization Reserve</t>
  </si>
  <si>
    <t>Steam Production Plant</t>
  </si>
  <si>
    <t>Nuclear Production Plant</t>
  </si>
  <si>
    <t xml:space="preserve">Hydraulic Production Plant </t>
  </si>
  <si>
    <t>Other Production Plant</t>
  </si>
  <si>
    <t>Transmission Plant (i)</t>
  </si>
  <si>
    <t>Distribution Plant</t>
  </si>
  <si>
    <t>General Plant</t>
  </si>
  <si>
    <t>GP</t>
  </si>
  <si>
    <t>Amortization of Intangible Plant  - Account 301</t>
  </si>
  <si>
    <t>Amortization of Intangible Plant  - Account 302</t>
  </si>
  <si>
    <t>Amortization of Intangible Plant  - Account 303</t>
  </si>
  <si>
    <t>Mining Plant Depreciation</t>
  </si>
  <si>
    <t>Amortization of Plant Held for Future Use</t>
  </si>
  <si>
    <t xml:space="preserve">Capital Lease - Common Plant </t>
  </si>
  <si>
    <t>Leasehold Improvements</t>
  </si>
  <si>
    <t>200-201</t>
  </si>
  <si>
    <t>In-Service: Depreciation of Common Plant  (a)</t>
  </si>
  <si>
    <t>Amortization of Other Utility Plant (a)</t>
  </si>
  <si>
    <t>Amortization of Acquisition Adjustments</t>
  </si>
  <si>
    <t>Depreciation and Amortization Reserve (Other)</t>
  </si>
  <si>
    <t>Total Depreciation and Amortization Reserve</t>
  </si>
  <si>
    <t>Total Net Plant</t>
  </si>
  <si>
    <t xml:space="preserve"> (Total Electric Plant In-Service) - (Total Depreciation &amp; Amortization)</t>
  </si>
  <si>
    <t>Assets and Other Debits (Comparative Balance Sheet)</t>
  </si>
  <si>
    <t>Cash Working Capital  (f)</t>
  </si>
  <si>
    <t>Calculation: Automatic Input from Sch 1A</t>
  </si>
  <si>
    <t>Utility Plant</t>
  </si>
  <si>
    <t>(Utility Plant) Held For Future Use</t>
  </si>
  <si>
    <t>(Utility Plant) Completed Construction - Not Classified</t>
  </si>
  <si>
    <t>Nuclear Fuel</t>
  </si>
  <si>
    <t>120.1-120.6</t>
  </si>
  <si>
    <t>Construction Work in Progress (CWIP)</t>
  </si>
  <si>
    <t>107 &amp; 120.1</t>
  </si>
  <si>
    <t>Common Plant</t>
  </si>
  <si>
    <t>356 &amp; 356.1</t>
  </si>
  <si>
    <t>Acquisition Adjustments (Electric)</t>
  </si>
  <si>
    <t>Other Property and Investments</t>
  </si>
  <si>
    <t>Investment in Associated Companies</t>
  </si>
  <si>
    <t>110-111</t>
  </si>
  <si>
    <t>Other Investment</t>
  </si>
  <si>
    <t xml:space="preserve">Long-Term Portion of Derivative Assets </t>
  </si>
  <si>
    <t xml:space="preserve">Long-Term Portion of Derivative Assets - Hedges </t>
  </si>
  <si>
    <t>Current and Accrued Assets</t>
  </si>
  <si>
    <t>Fuel Stock</t>
  </si>
  <si>
    <t xml:space="preserve">Fuel Stock Expenses Undistributed </t>
  </si>
  <si>
    <t>Plant Materials and Operating Supplies</t>
  </si>
  <si>
    <t>Merchandise (Major Only)</t>
  </si>
  <si>
    <t>110-112</t>
  </si>
  <si>
    <t>Other Materials and Supplies (Major only)</t>
  </si>
  <si>
    <t>EPA Allowance Inventory</t>
  </si>
  <si>
    <t>EPA Allowances Withheld</t>
  </si>
  <si>
    <t>Stores Expense Undistributed</t>
  </si>
  <si>
    <t xml:space="preserve">Prepayments </t>
  </si>
  <si>
    <t xml:space="preserve">Derivative Instrument Assets </t>
  </si>
  <si>
    <t>Derivative Instrument Assets - Hedges</t>
  </si>
  <si>
    <t>Deferred Debits</t>
  </si>
  <si>
    <t xml:space="preserve">Unamortized Debt Expenses </t>
  </si>
  <si>
    <t>PTDG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</si>
  <si>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</si>
  <si>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</si>
  <si>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</si>
  <si>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Preliminary Survey and Investigation Charges (Electric) </t>
  </si>
  <si>
    <t xml:space="preserve">Preliminary Natural Gas Survey and Investigation Charges </t>
  </si>
  <si>
    <t>Other Preliminary Survey and Investigation Charges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</si>
  <si>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</si>
  <si>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</si>
  <si>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</si>
  <si>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</si>
  <si>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</si>
  <si>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</si>
  <si>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</si>
  <si>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>Total Assets and Other Debits</t>
  </si>
  <si>
    <t xml:space="preserve">Liabilities and Other Credits (Comparative Balance Sheet) </t>
  </si>
  <si>
    <t>CURRENT AND ACCRUED LIABILITIES</t>
  </si>
  <si>
    <t xml:space="preserve">Derivative Instrument Liabilities </t>
  </si>
  <si>
    <t>112-113</t>
  </si>
  <si>
    <t>112-114</t>
  </si>
  <si>
    <t>Derivative Instrument Liabilities - Hedges</t>
  </si>
  <si>
    <t>112-115</t>
  </si>
  <si>
    <t>DEFERRED CREDITS</t>
  </si>
  <si>
    <t>Long-Term Portion of Derivative Instrument Liabilities</t>
  </si>
  <si>
    <t>Long-Term Portion of Derivative Instrument Liabilities - Hedges</t>
  </si>
  <si>
    <t xml:space="preserve">Customer Advances for Construction </t>
  </si>
  <si>
    <t xml:space="preserve">Other Deferred Credits </t>
  </si>
  <si>
    <t xml:space="preserve">Other Regulatory Liabilities </t>
  </si>
  <si>
    <t xml:space="preserve">Accumulated Deferred Investment Tax Credits </t>
  </si>
  <si>
    <t xml:space="preserve">Deferred Gains from Disposition of Utility Plant </t>
  </si>
  <si>
    <t xml:space="preserve">Unamortized Gain on Reacquired Debt </t>
  </si>
  <si>
    <t>Accumulated Deferred Income Taxes-Accel. Amort.</t>
  </si>
  <si>
    <t xml:space="preserve">Accumulated Deferred Income Taxes-Property </t>
  </si>
  <si>
    <t xml:space="preserve">Accumulated Deferred Income Taxes-Other </t>
  </si>
  <si>
    <t>Total Liabilities and Other Credits</t>
  </si>
  <si>
    <t>Total Rate Base</t>
  </si>
  <si>
    <t>(Total Net Plant + Debits - Credits)</t>
  </si>
  <si>
    <t>RESIDENTIAL PURCHASE AND SALE AGREEMENT</t>
  </si>
  <si>
    <t>Proposed 2008 Average System Cost Methodology</t>
  </si>
  <si>
    <t>Schedule 1A: Cash Working Capital  (f)</t>
  </si>
  <si>
    <t>(Automatic Input from Schedule 3- Expenses)</t>
  </si>
  <si>
    <t>Cash Working Capital Calculation:</t>
  </si>
  <si>
    <t>Total Production O&amp;M</t>
  </si>
  <si>
    <t>Total Transmission O&amp;M (i)</t>
  </si>
  <si>
    <t>Total Distribution O&amp;M</t>
  </si>
  <si>
    <t>Total Customer &amp; Sales</t>
  </si>
  <si>
    <t>Total Administrative and General O&amp;M</t>
  </si>
  <si>
    <t xml:space="preserve">   Less Purchased Power, Public Purpose Charge, REP Reversal, Fuel Costs</t>
  </si>
  <si>
    <t xml:space="preserve">Revised Total O&amp;M Expenses </t>
  </si>
  <si>
    <t xml:space="preserve">One-Eighth Revised Total O&amp;M Expenses </t>
  </si>
  <si>
    <t>Allowable Functionalized Cash Working Capital</t>
  </si>
  <si>
    <t>Schedule 2: Capital Structure and Rate of Return (b)</t>
  </si>
  <si>
    <t>Single-Jurisdiction Investor-Owned Utility Return Calculation:</t>
  </si>
  <si>
    <t>Multi-Jurisdiction Investor-Owned Utility Return Calculation:</t>
  </si>
  <si>
    <t>Consumer-Owned Utility Return Calculation:</t>
  </si>
  <si>
    <t>Rate of Return :</t>
  </si>
  <si>
    <t xml:space="preserve">Single-Jurisdiction Investor-Owned Utility Return Calculation </t>
  </si>
  <si>
    <t>Step 1: Weighted Cost of Capital from Most Recent State Commission Rate Order</t>
  </si>
  <si>
    <t xml:space="preserve">    Note: Multi-jurisdictional utilities must begin on Page 2</t>
  </si>
  <si>
    <t xml:space="preserve">            Publicly-owned utilities must begin on Page 4</t>
  </si>
  <si>
    <t>Capitalization Structure</t>
  </si>
  <si>
    <t>Effective Cost</t>
  </si>
  <si>
    <t>Component</t>
  </si>
  <si>
    <t>Amount</t>
  </si>
  <si>
    <t>Percent</t>
  </si>
  <si>
    <t>Embedded</t>
  </si>
  <si>
    <t>Weighted</t>
  </si>
  <si>
    <t>Debt</t>
  </si>
  <si>
    <t>Preferred Equity</t>
  </si>
  <si>
    <t>Common Equity</t>
  </si>
  <si>
    <t>Weighted Cost of Capital</t>
  </si>
  <si>
    <t>Step 2: Gross Up Equity Return for Federal Income Taxes</t>
  </si>
  <si>
    <t>Federal Income Tax Rate   (Currently 35%)</t>
  </si>
  <si>
    <t>Federal Income Tax Factor</t>
  </si>
  <si>
    <t>{(ROR – (Embedded Cost of Debt * (Debt / (Total Capital))} * {(Federal Tax Rate / (1- Federal Tax Rate)}</t>
  </si>
  <si>
    <t>Federal Income Tax Adjusted Weighted Cost of Capital</t>
  </si>
  <si>
    <t>(Weighted Cost of Capital Plus Federal Income Tax Factor)</t>
  </si>
  <si>
    <t>Step 3: Calculate Return on Rate Base</t>
  </si>
  <si>
    <t>Total Rate Base from Schedule 1</t>
  </si>
  <si>
    <t>Federal Income Tax Adjusted Return on Rate Base</t>
  </si>
  <si>
    <t>(Total Rate Base * Federal Income Tax Adjusted Weighted Cost of Capital)</t>
  </si>
  <si>
    <t xml:space="preserve">Multi-Jurisdiction Investor-Owned Utility Return Calculation </t>
  </si>
  <si>
    <t xml:space="preserve">Step 1: </t>
  </si>
  <si>
    <t xml:space="preserve"> Weighted Cost of Capital from Most Recent State Commission Rate Order in Jurisdiction 1</t>
  </si>
  <si>
    <t>Washington</t>
  </si>
  <si>
    <t>Jurisdictional</t>
  </si>
  <si>
    <t xml:space="preserve">Effective Cost - </t>
  </si>
  <si>
    <t>Allocation</t>
  </si>
  <si>
    <t>Weighted  State Allocation</t>
  </si>
  <si>
    <t xml:space="preserve"> Weighted Cost of Capital from Most Recent State Commission Rate Order in Jurisdiction 2</t>
  </si>
  <si>
    <t>Idaho</t>
  </si>
  <si>
    <t xml:space="preserve"> Weighted Cost of Capital from Most Recent State Commission Rate Order in Jurisdiction 3</t>
  </si>
  <si>
    <t>Jurisdiction</t>
  </si>
  <si>
    <t>Rate Base</t>
  </si>
  <si>
    <t>Weighted cost</t>
  </si>
  <si>
    <t>%</t>
  </si>
  <si>
    <t>Weighted Return</t>
  </si>
  <si>
    <t xml:space="preserve">Washington </t>
  </si>
  <si>
    <t xml:space="preserve">Consumer-Owned Utility Return Calculation </t>
  </si>
  <si>
    <t>Step 1: Weighted Cost of Debt</t>
  </si>
  <si>
    <t>Original</t>
  </si>
  <si>
    <t>Year</t>
  </si>
  <si>
    <t>Interest</t>
  </si>
  <si>
    <t xml:space="preserve">Interest </t>
  </si>
  <si>
    <t>Debt Issue</t>
  </si>
  <si>
    <t>Issued</t>
  </si>
  <si>
    <t>Due</t>
  </si>
  <si>
    <t>Rate</t>
  </si>
  <si>
    <t>Expense</t>
  </si>
  <si>
    <t>Weighted Cost of Debt</t>
  </si>
  <si>
    <t>Step 2: Calculate Return on Rate Base</t>
  </si>
  <si>
    <t>Return on Rate Base</t>
  </si>
  <si>
    <t>Schedule 3: Expenses</t>
  </si>
  <si>
    <t>Form 1</t>
  </si>
  <si>
    <t>Power Production Expenses:</t>
  </si>
  <si>
    <t>Steam Power Generation</t>
  </si>
  <si>
    <t>Steam Power - Fuel</t>
  </si>
  <si>
    <t>320-323</t>
  </si>
  <si>
    <t>Steam Power - Operations  (Excluding 501 - Fuel)</t>
  </si>
  <si>
    <t>500-509</t>
  </si>
  <si>
    <t>Steam Power - Maintenance</t>
  </si>
  <si>
    <t>510-515</t>
  </si>
  <si>
    <t>Nuclear Power Generation</t>
  </si>
  <si>
    <t>Nuclear - Fuel</t>
  </si>
  <si>
    <t>Nuclear - Operation ( Excluding 518 -  Fuel)</t>
  </si>
  <si>
    <t>517-525</t>
  </si>
  <si>
    <t>Nuclear - Maintenance</t>
  </si>
  <si>
    <t>528-532</t>
  </si>
  <si>
    <t>Hydraulic Power Generation</t>
  </si>
  <si>
    <t>Hydraulic - Operation</t>
  </si>
  <si>
    <t>535-540</t>
  </si>
  <si>
    <t>Hydraulic - Maintenance</t>
  </si>
  <si>
    <t>541-545</t>
  </si>
  <si>
    <t>Other Power Generation</t>
  </si>
  <si>
    <t>Other Power - Fuel</t>
  </si>
  <si>
    <t>Other Power - Operations (Excluding 547 - Fuel)</t>
  </si>
  <si>
    <t>546-550</t>
  </si>
  <si>
    <t>Other Power - Maintenance</t>
  </si>
  <si>
    <t>551-554</t>
  </si>
  <si>
    <t>Other Power Supply Expenses</t>
  </si>
  <si>
    <t>Purchased Power (Excluding REP Reversal)</t>
  </si>
  <si>
    <t>System Control and Load Dispatching</t>
  </si>
  <si>
    <t>Other Expenses</t>
  </si>
  <si>
    <t>BPA REP Reversal</t>
  </si>
  <si>
    <t>Public Purpose Charges (h)</t>
  </si>
  <si>
    <t>CONS</t>
  </si>
  <si>
    <t>Total Production Expense</t>
  </si>
  <si>
    <t>Transmission Expenses: (i)</t>
  </si>
  <si>
    <t>Transmission of Electricity by Others (Wheeling)</t>
  </si>
  <si>
    <t>565</t>
  </si>
  <si>
    <t>Total Operations less Wheeling</t>
  </si>
  <si>
    <t>560-567</t>
  </si>
  <si>
    <t>Total Maintenance</t>
  </si>
  <si>
    <t>568-573</t>
  </si>
  <si>
    <t>Total Transmission Expense</t>
  </si>
  <si>
    <t>Distribution Expense:</t>
  </si>
  <si>
    <t>Total Operations</t>
  </si>
  <si>
    <t>580-589</t>
  </si>
  <si>
    <t>590-598</t>
  </si>
  <si>
    <t>Total Distribution Expense</t>
  </si>
  <si>
    <t>Customer and Sales Expenses:</t>
  </si>
  <si>
    <t>Total Customer Accounts</t>
  </si>
  <si>
    <t>901-905</t>
  </si>
  <si>
    <t>Customer Service and Information</t>
  </si>
  <si>
    <t>906-907</t>
  </si>
  <si>
    <t>Customer Assistance Expenses (Major only)</t>
  </si>
  <si>
    <t>909-910</t>
  </si>
  <si>
    <t>Total Sales Expense</t>
  </si>
  <si>
    <t>911-917</t>
  </si>
  <si>
    <t>Total Customer and Sales Expenses</t>
  </si>
  <si>
    <t>Administration and General Expense:</t>
  </si>
  <si>
    <t>Operation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</si>
  <si>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</si>
  <si>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</si>
  <si>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</si>
  <si>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</si>
  <si>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</si>
  <si>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Injuries and Damages</t>
  </si>
  <si>
    <t>Employee Pensions &amp; Benefits</t>
  </si>
  <si>
    <t>Franchise Requirements</t>
  </si>
  <si>
    <t>Regulatory Commission Expenses</t>
  </si>
  <si>
    <t>(Less) Duplicate Charges - Credit</t>
  </si>
  <si>
    <t>General Advertising Expenses</t>
  </si>
  <si>
    <t>Miscellaneous General Expenses</t>
  </si>
  <si>
    <t>Rents</t>
  </si>
  <si>
    <t>Transportation Expenses (Non Major)</t>
  </si>
  <si>
    <t>320-324</t>
  </si>
  <si>
    <t>Maintenance</t>
  </si>
  <si>
    <t>Maintenance of General Plant</t>
  </si>
  <si>
    <t>GPM</t>
  </si>
  <si>
    <t>Total Administration and General Expenses</t>
  </si>
  <si>
    <t>Total Operations and Maintenance</t>
  </si>
  <si>
    <t>(Total Expenses: Production + Transmission + Distribution + Customer and Sales +Total Administration and General Expenses)</t>
  </si>
  <si>
    <t>Depreciation and Amortization:</t>
  </si>
  <si>
    <t xml:space="preserve">Hydraulic Production Plant - Conventional </t>
  </si>
  <si>
    <t>Hydraulic Production Plant - Pumped Storage</t>
  </si>
  <si>
    <t>Common Plant - Electric</t>
  </si>
  <si>
    <t>Depreciation Expense for Asset Retirement Costs</t>
  </si>
  <si>
    <t>Amortization of Limited Term Electric Plant</t>
  </si>
  <si>
    <t>Amortization of Plant Acquisition Adjustments  (Electric)</t>
  </si>
  <si>
    <t>Total Depreciation and Amortization</t>
  </si>
  <si>
    <t>Total Operating Expenses</t>
  </si>
  <si>
    <t>(Total O&amp;M + Total Depreciation &amp; Amortization)</t>
  </si>
  <si>
    <t>Purchased Power &amp; Off-System Sales</t>
  </si>
  <si>
    <t>Purchased Power</t>
  </si>
  <si>
    <t>Statistical</t>
  </si>
  <si>
    <t>Classification</t>
  </si>
  <si>
    <t>Settlement Total</t>
  </si>
  <si>
    <t>MWh Purchased</t>
  </si>
  <si>
    <t>RQ</t>
  </si>
  <si>
    <t>326-327</t>
  </si>
  <si>
    <t>LF</t>
  </si>
  <si>
    <t>IF</t>
  </si>
  <si>
    <t>SF</t>
  </si>
  <si>
    <t>LU</t>
  </si>
  <si>
    <t>IU</t>
  </si>
  <si>
    <t>OS</t>
  </si>
  <si>
    <t>EX</t>
  </si>
  <si>
    <t>NA</t>
  </si>
  <si>
    <t>AD</t>
  </si>
  <si>
    <t>TOTAL</t>
  </si>
  <si>
    <t>Sales for Resale</t>
  </si>
  <si>
    <t>310-311</t>
  </si>
  <si>
    <t>Schedule 3A Items: Taxes (Including Income Taxes)</t>
  </si>
  <si>
    <t>Funct.                  Method</t>
  </si>
  <si>
    <t>FEDERAL</t>
  </si>
  <si>
    <t>Income Tax (Included on Schedule 2)</t>
  </si>
  <si>
    <t>Employment Tax</t>
  </si>
  <si>
    <t>Other Federal Taxes</t>
  </si>
  <si>
    <t>TOTAL FEDERAL</t>
  </si>
  <si>
    <t>STATE AND OTHER</t>
  </si>
  <si>
    <t xml:space="preserve">Property </t>
  </si>
  <si>
    <t>Unemployment</t>
  </si>
  <si>
    <t>State Income, B&amp;O, et.</t>
  </si>
  <si>
    <t>Franchise Fees</t>
  </si>
  <si>
    <t>Regulatory Commission</t>
  </si>
  <si>
    <t>City/Municipal</t>
  </si>
  <si>
    <t>TOTAL STATE AND OTHER TAXES</t>
  </si>
  <si>
    <t>TOTAL TAXES</t>
  </si>
  <si>
    <t xml:space="preserve">Schedule 3B Other Included Items </t>
  </si>
  <si>
    <t>Other Included Items:</t>
  </si>
  <si>
    <t>Regulatory Credits</t>
  </si>
  <si>
    <t>Gain from Disposition of Utility Plant</t>
  </si>
  <si>
    <t>411.7</t>
  </si>
  <si>
    <t>Gain from Disposition of Allowances</t>
  </si>
  <si>
    <t>Miscellaneous Nonoperating Income</t>
  </si>
  <si>
    <t>Total Other Included Items</t>
  </si>
  <si>
    <t>Sales for Resale:</t>
  </si>
  <si>
    <t>Total Sales for Resale</t>
  </si>
  <si>
    <t>Other Revenues:</t>
  </si>
  <si>
    <t>Forfeited Discounts</t>
  </si>
  <si>
    <t>Miscellaneous Service Revenues</t>
  </si>
  <si>
    <t>451</t>
  </si>
  <si>
    <t>Sales of Water and Water Power</t>
  </si>
  <si>
    <t>453</t>
  </si>
  <si>
    <t>Rent from Electric Property</t>
  </si>
  <si>
    <t>454</t>
  </si>
  <si>
    <t>Interdepartmental Rents</t>
  </si>
  <si>
    <t>Other Electric Revenues</t>
  </si>
  <si>
    <t>456</t>
  </si>
  <si>
    <t>Revenues from Transmission of Electricity of Others (i)</t>
  </si>
  <si>
    <t>Total Other Revenues</t>
  </si>
  <si>
    <t>(Total Disposition of Plant + Total Sales for Resale + Total Other Revenue)</t>
  </si>
  <si>
    <t>Schedule 4: Average System Cost</t>
  </si>
  <si>
    <t>Distribution/Other</t>
  </si>
  <si>
    <t>(From Schedule 3)</t>
  </si>
  <si>
    <t>(From Schedule 2)</t>
  </si>
  <si>
    <t>State and Other Taxes</t>
  </si>
  <si>
    <t>(From Schedule 3a)</t>
  </si>
  <si>
    <t>(From Schedule 3b)</t>
  </si>
  <si>
    <t>Total Cost</t>
  </si>
  <si>
    <t>(Total Operating Expenses + Return on Rate Base + State and Other Taxes  - Total Other Included Items)</t>
  </si>
  <si>
    <t>Contract System Cost</t>
  </si>
  <si>
    <t xml:space="preserve">Production </t>
  </si>
  <si>
    <t>(Less)  New Large Single Load Costs (d)</t>
  </si>
  <si>
    <t>Total Contract System Cost</t>
  </si>
  <si>
    <t>Contract System Load (MWh)</t>
  </si>
  <si>
    <t>Total Retail Load</t>
  </si>
  <si>
    <t>(Less) New Large Single Load</t>
  </si>
  <si>
    <t>Total Retail Load (Net of NLSL) (d)</t>
  </si>
  <si>
    <t>Distribution Loss (f)</t>
  </si>
  <si>
    <t xml:space="preserve">Total Contract System Load </t>
  </si>
  <si>
    <t>Average System Cost $/MWh</t>
  </si>
  <si>
    <t>Distribution of Salaries and Wages (For Labor Ratio Calculation)</t>
  </si>
  <si>
    <t>Description</t>
  </si>
  <si>
    <t>Electric</t>
  </si>
  <si>
    <t>354-355</t>
  </si>
  <si>
    <t>Distribution</t>
  </si>
  <si>
    <t>Customer Accounts</t>
  </si>
  <si>
    <t>Sales</t>
  </si>
  <si>
    <t>Administrative and General</t>
  </si>
  <si>
    <t>TOTAL Operation</t>
  </si>
  <si>
    <t>TOTAL Maintenance</t>
  </si>
  <si>
    <t>Operation and Maintenance</t>
  </si>
  <si>
    <t>Production (Enter Total of lines 1 and 9)</t>
  </si>
  <si>
    <t>Transmission (Enter Total of lines 2 and 10)</t>
  </si>
  <si>
    <t>Distribution (Enter Total of lines 3 and 11)</t>
  </si>
  <si>
    <t>Customer Accounts (Transcribe from line 4)</t>
  </si>
  <si>
    <t>Customer Service and Information (Transcribe from line 5)</t>
  </si>
  <si>
    <t>Sales (Transcribe from line 6)</t>
  </si>
  <si>
    <t>Administrative and General (Enter Total of lines 7 and 12)</t>
  </si>
  <si>
    <t>TOTAL Operation and Maintenance</t>
  </si>
  <si>
    <t>Ratio Table</t>
  </si>
  <si>
    <t>Labor Ratio Input:</t>
  </si>
  <si>
    <t>Ratio Used</t>
  </si>
  <si>
    <t>Customer Service and Informational</t>
  </si>
  <si>
    <t>Administrative &amp; General</t>
  </si>
  <si>
    <t>Total Labor</t>
  </si>
  <si>
    <t>Labor Ratio</t>
  </si>
  <si>
    <t>General Plant Ratio</t>
  </si>
  <si>
    <t xml:space="preserve">       TOTAL </t>
  </si>
  <si>
    <t>RATIO  (GP)</t>
  </si>
  <si>
    <t>Production, Transmission, Distribution Ratio</t>
  </si>
  <si>
    <t>Transmission Plant</t>
  </si>
  <si>
    <t>PTD Ratio</t>
  </si>
  <si>
    <t>Production, Transmission, Distribution and General Plant Ratio</t>
  </si>
  <si>
    <t xml:space="preserve">    PTD Total</t>
  </si>
  <si>
    <t>Intangible Plant - Organization</t>
  </si>
  <si>
    <t>Intangible Plant - Franchises and Consents</t>
  </si>
  <si>
    <t>Intangible Plant - Miscellaneous</t>
  </si>
  <si>
    <t>General Plant Total</t>
  </si>
  <si>
    <t>PTDG RATIO</t>
  </si>
  <si>
    <t>Transmission and Distribution Plant Ratio</t>
  </si>
  <si>
    <t>TD RATIO</t>
  </si>
  <si>
    <t>Maintenance of General Plant Ratio</t>
  </si>
  <si>
    <t>GPM RATIO</t>
  </si>
  <si>
    <t>SUMMARY RATIO TABLE</t>
  </si>
  <si>
    <t>Conservation Functionalization</t>
  </si>
  <si>
    <t>Direct to Distribution</t>
  </si>
  <si>
    <t>Direct to Production</t>
  </si>
  <si>
    <t>Direct to Transmission</t>
  </si>
  <si>
    <t>Direct Allocation</t>
  </si>
  <si>
    <t>Labor Ratios</t>
  </si>
  <si>
    <t>Production, Transmission, Distribution</t>
  </si>
  <si>
    <t>Production, Transmission, Distribution, General</t>
  </si>
  <si>
    <t>Transmission, Distribution</t>
  </si>
  <si>
    <r>
      <t>(Less)</t>
    </r>
    <r>
      <rPr>
        <sz val="10"/>
        <color indexed="12"/>
        <rFont val="Times New Roman"/>
        <family val="1"/>
      </rPr>
      <t xml:space="preserve"> Long-Term Portion of Derivative Assets 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</si>
  <si>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Assets - Hedges 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</si>
  <si>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</si>
  <si>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 - Hedges</t>
    </r>
  </si>
  <si>
    <r>
      <t>SUMMARY</t>
    </r>
    <r>
      <rPr>
        <sz val="12"/>
        <color indexed="62"/>
        <rFont val="Times New Roman"/>
        <family val="1"/>
      </rPr>
      <t xml:space="preserve"> </t>
    </r>
    <r>
      <rPr>
        <i/>
        <sz val="12"/>
        <color indexed="62"/>
        <rFont val="Times New Roman"/>
        <family val="1"/>
      </rPr>
      <t>(for use by ASC Forecast Model)</t>
    </r>
  </si>
  <si>
    <r>
      <t xml:space="preserve">Multi-Jurisdiction Investor-Owned Utility Return Calculation </t>
    </r>
    <r>
      <rPr>
        <i/>
        <sz val="12"/>
        <color indexed="12"/>
        <rFont val="Times New Roman"/>
        <family val="1"/>
      </rPr>
      <t>(continued)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</si>
  <si>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Regulatory Debits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</si>
  <si>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Loss from Disposition of Utility Plant</t>
    </r>
  </si>
  <si>
    <r>
      <t>(Less)</t>
    </r>
    <r>
      <rPr>
        <sz val="10"/>
        <color indexed="12"/>
        <rFont val="Times New Roman"/>
        <family val="1"/>
      </rPr>
      <t xml:space="preserve"> Loss from Disposition of Allowances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</si>
</sst>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  <numFmt numFmtId="194" formatCode="_(* #,##0.000_);_(* \(#,##0.000\);_(* &quot;-&quot;???_);_(@_)"/>
    <numFmt numFmtId="195" formatCode="&quot;$&quot;#,##0.000_);[Red]\(&quot;$&quot;#,##0.000\)"/>
    <numFmt numFmtId="196" formatCode="&quot;$&quot;#,##0.0_);[Red]\(&quot;$&quot;#,##0.0\)"/>
    <numFmt numFmtId="197" formatCode="0.0000000%"/>
    <numFmt numFmtId="198" formatCode="0.00000000%"/>
    <numFmt numFmtId="199" formatCode="0.000000000000000%"/>
    <numFmt numFmtId="200" formatCode="&quot;$&quot;#,##0.00"/>
    <numFmt numFmtId="201" formatCode="0.000000000%"/>
    <numFmt numFmtId="202" formatCode="0.0000000"/>
    <numFmt numFmtId="203" formatCode="0.00000"/>
    <numFmt numFmtId="204" formatCode="0.0000"/>
  </numFmts>
  <fonts count="78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1"/>
      <color indexed="57"/>
      <name val="Arial"/>
      <family val="2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56"/>
      <name val="Times New Roman"/>
      <family val="1"/>
    </font>
    <font>
      <b/>
      <i/>
      <sz val="10"/>
      <color indexed="12"/>
      <name val="Times New Roman"/>
      <family val="1"/>
    </font>
    <font>
      <sz val="8"/>
      <color indexed="10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i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u val="single"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sz val="8"/>
      <color indexed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56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56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medium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ck">
        <color indexed="62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ck">
        <color indexed="62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ck">
        <color indexed="62"/>
      </right>
      <top style="thin"/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/>
    </border>
    <border>
      <left style="thick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ck">
        <color indexed="62"/>
      </top>
      <bottom>
        <color indexed="63"/>
      </bottom>
    </border>
    <border>
      <left style="medium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/>
      <top style="thin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ck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45">
    <xf numFmtId="0" fontId="0" fillId="0" borderId="0" xfId="0" applyAlignment="1">
      <alignment/>
    </xf>
    <xf numFmtId="0" fontId="23" fillId="0" borderId="0" xfId="60" applyFont="1" applyFill="1" applyBorder="1" applyAlignment="1" applyProtection="1">
      <alignment horizontal="right"/>
      <protection/>
    </xf>
    <xf numFmtId="0" fontId="23" fillId="0" borderId="0" xfId="6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24" fillId="24" borderId="0" xfId="0" applyFont="1" applyFill="1" applyBorder="1" applyAlignment="1" applyProtection="1">
      <alignment/>
      <protection hidden="1"/>
    </xf>
    <xf numFmtId="0" fontId="26" fillId="0" borderId="0" xfId="60" applyFont="1" applyFill="1" applyBorder="1" applyAlignment="1" applyProtection="1">
      <alignment horizontal="right"/>
      <protection/>
    </xf>
    <xf numFmtId="0" fontId="26" fillId="0" borderId="0" xfId="60" applyFont="1" applyFill="1" applyBorder="1" applyAlignment="1" applyProtection="1">
      <alignment horizontal="left"/>
      <protection/>
    </xf>
    <xf numFmtId="0" fontId="25" fillId="0" borderId="10" xfId="60" applyFont="1" applyBorder="1" applyAlignment="1" applyProtection="1">
      <alignment horizontal="center"/>
      <protection/>
    </xf>
    <xf numFmtId="0" fontId="25" fillId="0" borderId="0" xfId="60" applyFont="1" applyBorder="1" applyAlignment="1" applyProtection="1">
      <alignment horizontal="center"/>
      <protection/>
    </xf>
    <xf numFmtId="0" fontId="25" fillId="0" borderId="11" xfId="60" applyFont="1" applyBorder="1" applyAlignment="1" applyProtection="1">
      <alignment horizontal="center"/>
      <protection/>
    </xf>
    <xf numFmtId="0" fontId="27" fillId="0" borderId="0" xfId="60" applyFont="1" applyBorder="1" applyAlignment="1" applyProtection="1">
      <alignment horizontal="right"/>
      <protection/>
    </xf>
    <xf numFmtId="0" fontId="25" fillId="0" borderId="10" xfId="60" applyFont="1" applyBorder="1" applyAlignment="1" applyProtection="1">
      <alignment horizontal="centerContinuous"/>
      <protection/>
    </xf>
    <xf numFmtId="0" fontId="25" fillId="0" borderId="0" xfId="60" applyFont="1" applyBorder="1" applyAlignment="1" applyProtection="1">
      <alignment horizontal="centerContinuous"/>
      <protection/>
    </xf>
    <xf numFmtId="0" fontId="28" fillId="0" borderId="0" xfId="60" applyFont="1" applyFill="1" applyBorder="1" applyAlignment="1" applyProtection="1">
      <alignment horizontal="centerContinuous"/>
      <protection/>
    </xf>
    <xf numFmtId="0" fontId="25" fillId="0" borderId="0" xfId="60" applyFont="1" applyFill="1" applyBorder="1" applyAlignment="1" applyProtection="1">
      <alignment horizontal="centerContinuous"/>
      <protection/>
    </xf>
    <xf numFmtId="38" fontId="29" fillId="0" borderId="0" xfId="60" applyNumberFormat="1" applyFont="1" applyFill="1" applyBorder="1" applyAlignment="1" applyProtection="1">
      <alignment horizontal="centerContinuous"/>
      <protection/>
    </xf>
    <xf numFmtId="38" fontId="28" fillId="0" borderId="0" xfId="60" applyNumberFormat="1" applyFont="1" applyFill="1" applyBorder="1" applyAlignment="1" applyProtection="1">
      <alignment horizontal="centerContinuous"/>
      <protection/>
    </xf>
    <xf numFmtId="38" fontId="28" fillId="0" borderId="0" xfId="60" applyNumberFormat="1" applyFont="1" applyBorder="1" applyAlignment="1">
      <alignment horizontal="centerContinuous"/>
      <protection/>
    </xf>
    <xf numFmtId="38" fontId="25" fillId="0" borderId="11" xfId="60" applyNumberFormat="1" applyFont="1" applyFill="1" applyBorder="1" applyAlignment="1" applyProtection="1">
      <alignment horizontal="centerContinuous"/>
      <protection/>
    </xf>
    <xf numFmtId="0" fontId="30" fillId="0" borderId="10" xfId="60" applyFont="1" applyBorder="1" applyAlignment="1" applyProtection="1">
      <alignment horizontal="center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11" xfId="60" applyFont="1" applyBorder="1" applyAlignment="1" applyProtection="1">
      <alignment horizontal="center"/>
      <protection/>
    </xf>
    <xf numFmtId="0" fontId="30" fillId="0" borderId="12" xfId="60" applyFont="1" applyBorder="1" applyAlignment="1" applyProtection="1">
      <alignment horizontal="center"/>
      <protection/>
    </xf>
    <xf numFmtId="0" fontId="25" fillId="0" borderId="13" xfId="60" applyFont="1" applyFill="1" applyBorder="1" applyAlignment="1" applyProtection="1">
      <alignment horizontal="centerContinuous" vertical="center"/>
      <protection/>
    </xf>
    <xf numFmtId="0" fontId="31" fillId="0" borderId="13" xfId="60" applyFont="1" applyFill="1" applyBorder="1" applyAlignment="1" applyProtection="1">
      <alignment horizontal="centerContinuous" vertical="center"/>
      <protection/>
    </xf>
    <xf numFmtId="0" fontId="25" fillId="0" borderId="14" xfId="60" applyFont="1" applyFill="1" applyBorder="1" applyAlignment="1" applyProtection="1">
      <alignment horizontal="centerContinuous" vertical="center"/>
      <protection/>
    </xf>
    <xf numFmtId="0" fontId="25" fillId="0" borderId="15" xfId="60" applyFont="1" applyFill="1" applyBorder="1" applyAlignment="1" applyProtection="1">
      <alignment horizontal="centerContinuous" vertical="center"/>
      <protection/>
    </xf>
    <xf numFmtId="38" fontId="32" fillId="0" borderId="16" xfId="60" applyNumberFormat="1" applyFont="1" applyBorder="1" applyAlignment="1" applyProtection="1">
      <alignment horizontal="center" vertical="center"/>
      <protection/>
    </xf>
    <xf numFmtId="0" fontId="32" fillId="0" borderId="0" xfId="60" applyFont="1" applyBorder="1" applyAlignment="1" applyProtection="1">
      <alignment horizontal="right"/>
      <protection/>
    </xf>
    <xf numFmtId="38" fontId="32" fillId="0" borderId="17" xfId="60" applyNumberFormat="1" applyFont="1" applyBorder="1" applyAlignment="1" applyProtection="1">
      <alignment horizontal="center" vertical="center"/>
      <protection/>
    </xf>
    <xf numFmtId="0" fontId="25" fillId="0" borderId="18" xfId="60" applyFont="1" applyFill="1" applyBorder="1" applyAlignment="1" applyProtection="1">
      <alignment horizontal="center" vertical="center"/>
      <protection/>
    </xf>
    <xf numFmtId="0" fontId="25" fillId="0" borderId="19" xfId="60" applyFont="1" applyBorder="1" applyAlignment="1" applyProtection="1">
      <alignment horizontal="center" vertical="center"/>
      <protection/>
    </xf>
    <xf numFmtId="0" fontId="25" fillId="0" borderId="19" xfId="60" applyFont="1" applyFill="1" applyBorder="1" applyAlignment="1" applyProtection="1">
      <alignment horizontal="center" vertical="center"/>
      <protection/>
    </xf>
    <xf numFmtId="0" fontId="25" fillId="0" borderId="20" xfId="60" applyFont="1" applyFill="1" applyBorder="1" applyAlignment="1" applyProtection="1">
      <alignment horizontal="centerContinuous" vertical="center"/>
      <protection/>
    </xf>
    <xf numFmtId="0" fontId="25" fillId="0" borderId="21" xfId="60" applyFont="1" applyFill="1" applyBorder="1" applyAlignment="1" applyProtection="1">
      <alignment horizontal="centerContinuous" vertical="center"/>
      <protection/>
    </xf>
    <xf numFmtId="38" fontId="25" fillId="0" borderId="19" xfId="60" applyNumberFormat="1" applyFont="1" applyFill="1" applyBorder="1" applyAlignment="1" applyProtection="1">
      <alignment horizontal="center" vertical="center"/>
      <protection/>
    </xf>
    <xf numFmtId="38" fontId="25" fillId="0" borderId="19" xfId="60" applyNumberFormat="1" applyFont="1" applyBorder="1" applyAlignment="1" applyProtection="1">
      <alignment horizontal="center" vertical="center"/>
      <protection/>
    </xf>
    <xf numFmtId="38" fontId="25" fillId="0" borderId="22" xfId="60" applyNumberFormat="1" applyFont="1" applyBorder="1" applyAlignment="1" applyProtection="1">
      <alignment horizontal="center" vertical="center"/>
      <protection/>
    </xf>
    <xf numFmtId="0" fontId="33" fillId="0" borderId="0" xfId="60" applyFont="1" applyFill="1" applyBorder="1" applyAlignment="1" applyProtection="1">
      <alignment horizontal="right"/>
      <protection/>
    </xf>
    <xf numFmtId="38" fontId="25" fillId="0" borderId="23" xfId="60" applyNumberFormat="1" applyFont="1" applyBorder="1" applyAlignment="1" applyProtection="1">
      <alignment horizontal="center" vertical="center"/>
      <protection/>
    </xf>
    <xf numFmtId="0" fontId="25" fillId="0" borderId="24" xfId="60" applyFont="1" applyBorder="1" applyAlignment="1" applyProtection="1">
      <alignment horizontal="center" vertical="center"/>
      <protection/>
    </xf>
    <xf numFmtId="0" fontId="25" fillId="0" borderId="24" xfId="60" applyFont="1" applyFill="1" applyBorder="1" applyAlignment="1" applyProtection="1">
      <alignment horizontal="center" vertical="center"/>
      <protection/>
    </xf>
    <xf numFmtId="38" fontId="25" fillId="0" borderId="25" xfId="60" applyNumberFormat="1" applyFont="1" applyBorder="1" applyAlignment="1" applyProtection="1">
      <alignment horizontal="center" vertical="center"/>
      <protection/>
    </xf>
    <xf numFmtId="0" fontId="33" fillId="0" borderId="0" xfId="60" applyFont="1" applyFill="1" applyBorder="1" applyAlignment="1" applyProtection="1">
      <alignment horizontal="left"/>
      <protection/>
    </xf>
    <xf numFmtId="38" fontId="25" fillId="0" borderId="26" xfId="60" applyNumberFormat="1" applyFont="1" applyBorder="1" applyAlignment="1" applyProtection="1">
      <alignment horizontal="center" vertical="center"/>
      <protection/>
    </xf>
    <xf numFmtId="0" fontId="25" fillId="0" borderId="27" xfId="60" applyFont="1" applyFill="1" applyBorder="1" applyAlignment="1" applyProtection="1">
      <alignment horizontal="left"/>
      <protection/>
    </xf>
    <xf numFmtId="0" fontId="34" fillId="0" borderId="0" xfId="60" applyFont="1" applyFill="1" applyBorder="1" applyAlignment="1" applyProtection="1">
      <alignment horizontal="left"/>
      <protection/>
    </xf>
    <xf numFmtId="0" fontId="31" fillId="0" borderId="0" xfId="60" applyFont="1" applyBorder="1" applyAlignment="1" applyProtection="1">
      <alignment horizontal="center"/>
      <protection/>
    </xf>
    <xf numFmtId="0" fontId="31" fillId="0" borderId="0" xfId="60" applyFont="1" applyFill="1" applyBorder="1" applyAlignment="1" applyProtection="1">
      <alignment horizontal="center"/>
      <protection/>
    </xf>
    <xf numFmtId="38" fontId="35" fillId="0" borderId="0" xfId="60" applyNumberFormat="1" applyFont="1" applyFill="1" applyBorder="1" applyProtection="1">
      <alignment/>
      <protection/>
    </xf>
    <xf numFmtId="38" fontId="35" fillId="0" borderId="0" xfId="60" applyNumberFormat="1" applyFont="1" applyBorder="1" applyProtection="1">
      <alignment/>
      <protection/>
    </xf>
    <xf numFmtId="38" fontId="35" fillId="0" borderId="28" xfId="60" applyNumberFormat="1" applyFont="1" applyBorder="1" applyProtection="1">
      <alignment/>
      <protection/>
    </xf>
    <xf numFmtId="0" fontId="32" fillId="0" borderId="0" xfId="60" applyFont="1" applyBorder="1" applyAlignment="1" applyProtection="1">
      <alignment horizontal="left"/>
      <protection/>
    </xf>
    <xf numFmtId="0" fontId="31" fillId="0" borderId="27" xfId="0" applyFont="1" applyFill="1" applyBorder="1" applyAlignment="1">
      <alignment horizontal="center"/>
    </xf>
    <xf numFmtId="0" fontId="36" fillId="0" borderId="0" xfId="60" applyFont="1" applyFill="1" applyBorder="1" applyAlignment="1" applyProtection="1">
      <alignment horizontal="left"/>
      <protection/>
    </xf>
    <xf numFmtId="0" fontId="36" fillId="0" borderId="29" xfId="60" applyFont="1" applyFill="1" applyBorder="1" applyAlignment="1" applyProtection="1">
      <alignment horizontal="center"/>
      <protection/>
    </xf>
    <xf numFmtId="0" fontId="36" fillId="0" borderId="30" xfId="60" applyFont="1" applyFill="1" applyBorder="1" applyAlignment="1" applyProtection="1">
      <alignment horizontal="center"/>
      <protection/>
    </xf>
    <xf numFmtId="0" fontId="36" fillId="0" borderId="30" xfId="60" applyFont="1" applyFill="1" applyBorder="1" applyAlignment="1" applyProtection="1">
      <alignment horizontal="center"/>
      <protection locked="0"/>
    </xf>
    <xf numFmtId="166" fontId="36" fillId="22" borderId="30" xfId="42" applyNumberFormat="1" applyFont="1" applyFill="1" applyBorder="1" applyAlignment="1">
      <alignment/>
    </xf>
    <xf numFmtId="166" fontId="36" fillId="22" borderId="31" xfId="42" applyNumberFormat="1" applyFont="1" applyFill="1" applyBorder="1" applyAlignment="1">
      <alignment/>
    </xf>
    <xf numFmtId="164" fontId="32" fillId="0" borderId="0" xfId="60" applyNumberFormat="1" applyFont="1" applyFill="1" applyBorder="1" applyAlignment="1" applyProtection="1">
      <alignment horizontal="right"/>
      <protection/>
    </xf>
    <xf numFmtId="0" fontId="37" fillId="0" borderId="0" xfId="60" applyFont="1" applyBorder="1">
      <alignment/>
      <protection/>
    </xf>
    <xf numFmtId="0" fontId="37" fillId="0" borderId="0" xfId="60" applyFont="1" applyFill="1" applyBorder="1" applyProtection="1">
      <alignment/>
      <protection/>
    </xf>
    <xf numFmtId="166" fontId="37" fillId="0" borderId="0" xfId="60" applyNumberFormat="1" applyFont="1" applyBorder="1">
      <alignment/>
      <protection/>
    </xf>
    <xf numFmtId="166" fontId="37" fillId="0" borderId="0" xfId="60" applyNumberFormat="1" applyFont="1" applyFill="1" applyBorder="1" applyProtection="1">
      <alignment/>
      <protection/>
    </xf>
    <xf numFmtId="0" fontId="38" fillId="0" borderId="27" xfId="60" applyFont="1" applyFill="1" applyBorder="1" applyAlignment="1" applyProtection="1">
      <alignment/>
      <protection/>
    </xf>
    <xf numFmtId="0" fontId="36" fillId="0" borderId="0" xfId="60" applyFont="1" applyFill="1" applyBorder="1" applyProtection="1">
      <alignment/>
      <protection/>
    </xf>
    <xf numFmtId="0" fontId="39" fillId="7" borderId="32" xfId="60" applyFont="1" applyFill="1" applyBorder="1" applyAlignment="1" applyProtection="1">
      <alignment horizontal="center"/>
      <protection/>
    </xf>
    <xf numFmtId="0" fontId="39" fillId="7" borderId="33" xfId="60" applyFont="1" applyFill="1" applyBorder="1" applyAlignment="1" applyProtection="1">
      <alignment horizontal="center"/>
      <protection/>
    </xf>
    <xf numFmtId="0" fontId="39" fillId="7" borderId="34" xfId="60" applyFont="1" applyFill="1" applyBorder="1" applyAlignment="1" applyProtection="1">
      <alignment horizontal="center"/>
      <protection/>
    </xf>
    <xf numFmtId="44" fontId="40" fillId="7" borderId="30" xfId="45" applyFont="1" applyFill="1" applyBorder="1" applyAlignment="1">
      <alignment/>
    </xf>
    <xf numFmtId="44" fontId="40" fillId="7" borderId="31" xfId="45" applyFont="1" applyFill="1" applyBorder="1" applyAlignment="1">
      <alignment/>
    </xf>
    <xf numFmtId="164" fontId="32" fillId="0" borderId="0" xfId="60" applyNumberFormat="1" applyFont="1" applyBorder="1" applyAlignment="1" applyProtection="1">
      <alignment horizontal="right"/>
      <protection/>
    </xf>
    <xf numFmtId="164" fontId="32" fillId="0" borderId="0" xfId="60" applyNumberFormat="1" applyFont="1" applyBorder="1" applyAlignment="1" applyProtection="1">
      <alignment horizontal="left"/>
      <protection/>
    </xf>
    <xf numFmtId="0" fontId="41" fillId="0" borderId="27" xfId="60" applyFont="1" applyFill="1" applyBorder="1" applyAlignment="1" applyProtection="1">
      <alignment/>
      <protection/>
    </xf>
    <xf numFmtId="0" fontId="36" fillId="0" borderId="0" xfId="60" applyFont="1" applyFill="1" applyBorder="1" applyAlignment="1" applyProtection="1">
      <alignment horizontal="center"/>
      <protection/>
    </xf>
    <xf numFmtId="38" fontId="36" fillId="0" borderId="0" xfId="60" applyNumberFormat="1" applyFont="1" applyFill="1" applyBorder="1" applyProtection="1">
      <alignment/>
      <protection/>
    </xf>
    <xf numFmtId="38" fontId="36" fillId="0" borderId="0" xfId="60" applyNumberFormat="1" applyFont="1" applyFill="1" applyBorder="1" applyAlignment="1" applyProtection="1">
      <alignment horizontal="right"/>
      <protection/>
    </xf>
    <xf numFmtId="38" fontId="36" fillId="0" borderId="28" xfId="60" applyNumberFormat="1" applyFont="1" applyFill="1" applyBorder="1" applyProtection="1">
      <alignment/>
      <protection/>
    </xf>
    <xf numFmtId="164" fontId="32" fillId="0" borderId="0" xfId="60" applyNumberFormat="1" applyFont="1" applyFill="1" applyBorder="1" applyAlignment="1" applyProtection="1">
      <alignment horizontal="left"/>
      <protection/>
    </xf>
    <xf numFmtId="0" fontId="37" fillId="0" borderId="0" xfId="6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40" fillId="0" borderId="0" xfId="60" applyFont="1" applyFill="1" applyBorder="1" applyAlignment="1" applyProtection="1">
      <alignment horizontal="left"/>
      <protection/>
    </xf>
    <xf numFmtId="38" fontId="36" fillId="0" borderId="0" xfId="60" applyNumberFormat="1" applyFont="1" applyBorder="1" applyProtection="1">
      <alignment/>
      <protection/>
    </xf>
    <xf numFmtId="38" fontId="36" fillId="0" borderId="28" xfId="60" applyNumberFormat="1" applyFont="1" applyBorder="1" applyProtection="1">
      <alignment/>
      <protection/>
    </xf>
    <xf numFmtId="0" fontId="31" fillId="0" borderId="27" xfId="60" applyFont="1" applyFill="1" applyBorder="1" applyAlignment="1" applyProtection="1">
      <alignment horizontal="center"/>
      <protection/>
    </xf>
    <xf numFmtId="0" fontId="36" fillId="0" borderId="0" xfId="60" applyFont="1" applyFill="1" applyBorder="1" applyAlignment="1" applyProtection="1">
      <alignment horizontal="left"/>
      <protection locked="0"/>
    </xf>
    <xf numFmtId="38" fontId="36" fillId="22" borderId="30" xfId="42" applyNumberFormat="1" applyFont="1" applyFill="1" applyBorder="1" applyAlignment="1" applyProtection="1">
      <alignment/>
      <protection/>
    </xf>
    <xf numFmtId="164" fontId="35" fillId="0" borderId="0" xfId="0" applyNumberFormat="1" applyFont="1" applyBorder="1" applyAlignment="1" applyProtection="1">
      <alignment/>
      <protection/>
    </xf>
    <xf numFmtId="164" fontId="35" fillId="0" borderId="0" xfId="0" applyNumberFormat="1" applyFont="1" applyBorder="1" applyAlignment="1" applyProtection="1">
      <alignment horizontal="left"/>
      <protection/>
    </xf>
    <xf numFmtId="164" fontId="31" fillId="0" borderId="0" xfId="0" applyNumberFormat="1" applyFont="1" applyBorder="1" applyAlignment="1" applyProtection="1">
      <alignment/>
      <protection/>
    </xf>
    <xf numFmtId="38" fontId="36" fillId="0" borderId="0" xfId="0" applyNumberFormat="1" applyFont="1" applyBorder="1" applyAlignment="1">
      <alignment/>
    </xf>
    <xf numFmtId="0" fontId="40" fillId="0" borderId="0" xfId="60" applyFont="1" applyFill="1" applyBorder="1" applyAlignment="1" applyProtection="1">
      <alignment horizontal="center"/>
      <protection/>
    </xf>
    <xf numFmtId="0" fontId="36" fillId="0" borderId="0" xfId="60" applyFont="1" applyFill="1" applyBorder="1">
      <alignment/>
      <protection/>
    </xf>
    <xf numFmtId="0" fontId="36" fillId="0" borderId="0" xfId="60" applyFont="1" applyFill="1" applyBorder="1" applyAlignment="1">
      <alignment horizontal="center"/>
      <protection/>
    </xf>
    <xf numFmtId="38" fontId="36" fillId="0" borderId="0" xfId="60" applyNumberFormat="1" applyFont="1" applyFill="1" applyBorder="1" applyProtection="1">
      <alignment/>
      <protection locked="0"/>
    </xf>
    <xf numFmtId="38" fontId="36" fillId="0" borderId="28" xfId="60" applyNumberFormat="1" applyFont="1" applyFill="1" applyBorder="1" applyProtection="1">
      <alignment/>
      <protection locked="0"/>
    </xf>
    <xf numFmtId="0" fontId="38" fillId="0" borderId="27" xfId="60" applyFont="1" applyFill="1" applyBorder="1" applyAlignment="1" applyProtection="1">
      <alignment horizontal="left"/>
      <protection/>
    </xf>
    <xf numFmtId="0" fontId="42" fillId="0" borderId="27" xfId="60" applyFont="1" applyFill="1" applyBorder="1" applyAlignment="1" applyProtection="1">
      <alignment horizontal="left"/>
      <protection/>
    </xf>
    <xf numFmtId="38" fontId="36" fillId="0" borderId="0" xfId="42" applyNumberFormat="1" applyFont="1" applyFill="1" applyBorder="1" applyAlignment="1" applyProtection="1">
      <alignment/>
      <protection locked="0"/>
    </xf>
    <xf numFmtId="38" fontId="36" fillId="0" borderId="28" xfId="42" applyNumberFormat="1" applyFont="1" applyFill="1" applyBorder="1" applyAlignment="1" applyProtection="1">
      <alignment/>
      <protection locked="0"/>
    </xf>
    <xf numFmtId="0" fontId="36" fillId="0" borderId="0" xfId="60" applyFont="1" applyFill="1" applyBorder="1" applyAlignment="1" applyProtection="1">
      <alignment horizontal="center"/>
      <protection locked="0"/>
    </xf>
    <xf numFmtId="38" fontId="36" fillId="0" borderId="0" xfId="60" applyNumberFormat="1" applyFont="1" applyBorder="1" applyAlignment="1" applyProtection="1">
      <alignment horizontal="right"/>
      <protection/>
    </xf>
    <xf numFmtId="38" fontId="36" fillId="0" borderId="28" xfId="60" applyNumberFormat="1" applyFont="1" applyBorder="1" applyAlignment="1" applyProtection="1">
      <alignment horizontal="right"/>
      <protection/>
    </xf>
    <xf numFmtId="0" fontId="36" fillId="0" borderId="0" xfId="60" applyFont="1" applyFill="1" applyBorder="1" applyProtection="1">
      <alignment/>
      <protection locked="0"/>
    </xf>
    <xf numFmtId="0" fontId="34" fillId="0" borderId="27" xfId="60" applyFont="1" applyFill="1" applyBorder="1" applyProtection="1">
      <alignment/>
      <protection/>
    </xf>
    <xf numFmtId="0" fontId="31" fillId="0" borderId="0" xfId="60" applyFont="1" applyFill="1" applyBorder="1" applyProtection="1">
      <alignment/>
      <protection locked="0"/>
    </xf>
    <xf numFmtId="0" fontId="31" fillId="0" borderId="0" xfId="60" applyFont="1" applyFill="1" applyBorder="1" applyAlignment="1" applyProtection="1">
      <alignment horizontal="center"/>
      <protection locked="0"/>
    </xf>
    <xf numFmtId="38" fontId="36" fillId="0" borderId="0" xfId="42" applyNumberFormat="1" applyFont="1" applyBorder="1" applyAlignment="1">
      <alignment/>
    </xf>
    <xf numFmtId="38" fontId="36" fillId="0" borderId="0" xfId="0" applyNumberFormat="1" applyFont="1" applyBorder="1" applyAlignment="1" applyProtection="1">
      <alignment horizontal="right"/>
      <protection/>
    </xf>
    <xf numFmtId="38" fontId="36" fillId="0" borderId="28" xfId="0" applyNumberFormat="1" applyFont="1" applyBorder="1" applyAlignment="1" applyProtection="1">
      <alignment horizontal="right"/>
      <protection/>
    </xf>
    <xf numFmtId="0" fontId="38" fillId="0" borderId="27" xfId="60" applyFont="1" applyFill="1" applyBorder="1" applyProtection="1">
      <alignment/>
      <protection/>
    </xf>
    <xf numFmtId="0" fontId="31" fillId="0" borderId="0" xfId="60" applyFont="1" applyFill="1" applyBorder="1" applyProtection="1">
      <alignment/>
      <protection/>
    </xf>
    <xf numFmtId="0" fontId="39" fillId="7" borderId="35" xfId="60" applyFont="1" applyFill="1" applyBorder="1" applyAlignment="1" applyProtection="1">
      <alignment horizontal="center"/>
      <protection/>
    </xf>
    <xf numFmtId="0" fontId="39" fillId="7" borderId="36" xfId="60" applyFont="1" applyFill="1" applyBorder="1" applyAlignment="1" applyProtection="1">
      <alignment horizontal="center"/>
      <protection/>
    </xf>
    <xf numFmtId="0" fontId="39" fillId="7" borderId="37" xfId="60" applyFont="1" applyFill="1" applyBorder="1" applyAlignment="1" applyProtection="1">
      <alignment horizontal="center"/>
      <protection/>
    </xf>
    <xf numFmtId="177" fontId="40" fillId="7" borderId="38" xfId="45" applyNumberFormat="1" applyFont="1" applyFill="1" applyBorder="1" applyAlignment="1">
      <alignment/>
    </xf>
    <xf numFmtId="177" fontId="40" fillId="7" borderId="39" xfId="45" applyNumberFormat="1" applyFont="1" applyFill="1" applyBorder="1" applyAlignment="1">
      <alignment/>
    </xf>
    <xf numFmtId="0" fontId="41" fillId="0" borderId="27" xfId="60" applyFont="1" applyFill="1" applyBorder="1" applyProtection="1">
      <alignment/>
      <protection/>
    </xf>
    <xf numFmtId="38" fontId="36" fillId="0" borderId="28" xfId="60" applyNumberFormat="1" applyFont="1" applyFill="1" applyBorder="1" applyAlignment="1" applyProtection="1">
      <alignment horizontal="right"/>
      <protection/>
    </xf>
    <xf numFmtId="0" fontId="39" fillId="7" borderId="40" xfId="60" applyFont="1" applyFill="1" applyBorder="1" applyAlignment="1" applyProtection="1">
      <alignment horizontal="center"/>
      <protection/>
    </xf>
    <xf numFmtId="177" fontId="40" fillId="7" borderId="30" xfId="45" applyNumberFormat="1" applyFont="1" applyFill="1" applyBorder="1" applyAlignment="1">
      <alignment/>
    </xf>
    <xf numFmtId="177" fontId="40" fillId="7" borderId="31" xfId="45" applyNumberFormat="1" applyFont="1" applyFill="1" applyBorder="1" applyAlignment="1">
      <alignment/>
    </xf>
    <xf numFmtId="164" fontId="32" fillId="0" borderId="0" xfId="60" applyNumberFormat="1" applyFont="1" applyBorder="1" applyAlignment="1" applyProtection="1">
      <alignment horizontal="center"/>
      <protection/>
    </xf>
    <xf numFmtId="0" fontId="43" fillId="0" borderId="41" xfId="60" applyFont="1" applyFill="1" applyBorder="1" applyProtection="1">
      <alignment/>
      <protection/>
    </xf>
    <xf numFmtId="0" fontId="31" fillId="0" borderId="3" xfId="60" applyFont="1" applyFill="1" applyBorder="1" applyProtection="1">
      <alignment/>
      <protection/>
    </xf>
    <xf numFmtId="0" fontId="31" fillId="0" borderId="3" xfId="60" applyFont="1" applyFill="1" applyBorder="1" applyAlignment="1" applyProtection="1">
      <alignment horizontal="center"/>
      <protection/>
    </xf>
    <xf numFmtId="0" fontId="36" fillId="0" borderId="3" xfId="60" applyFont="1" applyFill="1" applyBorder="1" applyProtection="1">
      <alignment/>
      <protection/>
    </xf>
    <xf numFmtId="38" fontId="36" fillId="0" borderId="3" xfId="60" applyNumberFormat="1" applyFont="1" applyFill="1" applyBorder="1" applyAlignment="1" applyProtection="1">
      <alignment horizontal="right"/>
      <protection/>
    </xf>
    <xf numFmtId="38" fontId="36" fillId="0" borderId="42" xfId="60" applyNumberFormat="1" applyFont="1" applyFill="1" applyBorder="1" applyAlignment="1" applyProtection="1">
      <alignment horizontal="right"/>
      <protection/>
    </xf>
    <xf numFmtId="0" fontId="34" fillId="0" borderId="27" xfId="60" applyFont="1" applyFill="1" applyBorder="1" applyAlignment="1" applyProtection="1">
      <alignment horizontal="left"/>
      <protection/>
    </xf>
    <xf numFmtId="0" fontId="31" fillId="0" borderId="0" xfId="60" applyFont="1" applyFill="1" applyBorder="1" applyAlignment="1" applyProtection="1">
      <alignment horizontal="left"/>
      <protection/>
    </xf>
    <xf numFmtId="0" fontId="36" fillId="0" borderId="30" xfId="60" applyNumberFormat="1" applyFont="1" applyFill="1" applyBorder="1" applyAlignment="1" applyProtection="1">
      <alignment horizontal="center"/>
      <protection/>
    </xf>
    <xf numFmtId="49" fontId="36" fillId="0" borderId="30" xfId="60" applyNumberFormat="1" applyFont="1" applyFill="1" applyBorder="1" applyAlignment="1" applyProtection="1">
      <alignment horizontal="center"/>
      <protection locked="0"/>
    </xf>
    <xf numFmtId="166" fontId="36" fillId="22" borderId="40" xfId="42" applyNumberFormat="1" applyFont="1" applyFill="1" applyBorder="1" applyAlignment="1">
      <alignment/>
    </xf>
    <xf numFmtId="166" fontId="36" fillId="22" borderId="33" xfId="42" applyNumberFormat="1" applyFont="1" applyFill="1" applyBorder="1" applyAlignment="1">
      <alignment/>
    </xf>
    <xf numFmtId="38" fontId="36" fillId="0" borderId="0" xfId="42" applyNumberFormat="1" applyFont="1" applyBorder="1" applyAlignment="1" applyProtection="1">
      <alignment/>
      <protection locked="0"/>
    </xf>
    <xf numFmtId="38" fontId="36" fillId="0" borderId="0" xfId="0" applyNumberFormat="1" applyFont="1" applyFill="1" applyBorder="1" applyAlignment="1" applyProtection="1">
      <alignment horizontal="right"/>
      <protection/>
    </xf>
    <xf numFmtId="38" fontId="36" fillId="0" borderId="28" xfId="0" applyNumberFormat="1" applyFont="1" applyFill="1" applyBorder="1" applyAlignment="1" applyProtection="1">
      <alignment horizontal="right"/>
      <protection/>
    </xf>
    <xf numFmtId="0" fontId="31" fillId="0" borderId="27" xfId="60" applyFont="1" applyFill="1" applyBorder="1" applyAlignment="1" applyProtection="1">
      <alignment horizontal="left"/>
      <protection/>
    </xf>
    <xf numFmtId="38" fontId="36" fillId="0" borderId="0" xfId="60" applyNumberFormat="1" applyFont="1" applyBorder="1" applyProtection="1">
      <alignment/>
      <protection locked="0"/>
    </xf>
    <xf numFmtId="0" fontId="40" fillId="0" borderId="0" xfId="60" applyFont="1" applyFill="1" applyBorder="1" applyAlignment="1" applyProtection="1">
      <alignment horizontal="left"/>
      <protection locked="0"/>
    </xf>
    <xf numFmtId="0" fontId="43" fillId="0" borderId="27" xfId="60" applyFont="1" applyFill="1" applyBorder="1" applyProtection="1">
      <alignment/>
      <protection/>
    </xf>
    <xf numFmtId="164" fontId="31" fillId="0" borderId="0" xfId="60" applyNumberFormat="1" applyFont="1" applyFill="1" applyBorder="1" applyProtection="1">
      <alignment/>
      <protection/>
    </xf>
    <xf numFmtId="164" fontId="31" fillId="0" borderId="3" xfId="60" applyNumberFormat="1" applyFont="1" applyFill="1" applyBorder="1" applyProtection="1">
      <alignment/>
      <protection/>
    </xf>
    <xf numFmtId="38" fontId="36" fillId="0" borderId="3" xfId="60" applyNumberFormat="1" applyFont="1" applyFill="1" applyBorder="1" applyProtection="1">
      <alignment/>
      <protection/>
    </xf>
    <xf numFmtId="0" fontId="25" fillId="0" borderId="27" xfId="60" applyFont="1" applyFill="1" applyBorder="1" applyProtection="1">
      <alignment/>
      <protection/>
    </xf>
    <xf numFmtId="0" fontId="40" fillId="0" borderId="27" xfId="60" applyFont="1" applyFill="1" applyBorder="1" applyProtection="1">
      <alignment/>
      <protection/>
    </xf>
    <xf numFmtId="0" fontId="25" fillId="0" borderId="27" xfId="60" applyFont="1" applyFill="1" applyBorder="1" applyProtection="1">
      <alignment/>
      <protection locked="0"/>
    </xf>
    <xf numFmtId="0" fontId="40" fillId="0" borderId="0" xfId="60" applyFont="1" applyFill="1" applyBorder="1" applyProtection="1">
      <alignment/>
      <protection locked="0"/>
    </xf>
    <xf numFmtId="166" fontId="36" fillId="22" borderId="43" xfId="42" applyNumberFormat="1" applyFont="1" applyFill="1" applyBorder="1" applyAlignment="1">
      <alignment/>
    </xf>
    <xf numFmtId="166" fontId="36" fillId="22" borderId="44" xfId="42" applyNumberFormat="1" applyFont="1" applyFill="1" applyBorder="1" applyAlignment="1">
      <alignment/>
    </xf>
    <xf numFmtId="38" fontId="36" fillId="0" borderId="0" xfId="42" applyNumberFormat="1" applyFont="1" applyFill="1" applyBorder="1" applyAlignment="1" applyProtection="1">
      <alignment/>
      <protection/>
    </xf>
    <xf numFmtId="166" fontId="36" fillId="0" borderId="0" xfId="42" applyNumberFormat="1" applyFont="1" applyFill="1" applyBorder="1" applyAlignment="1">
      <alignment/>
    </xf>
    <xf numFmtId="166" fontId="36" fillId="0" borderId="28" xfId="42" applyNumberFormat="1" applyFont="1" applyFill="1" applyBorder="1" applyAlignment="1">
      <alignment/>
    </xf>
    <xf numFmtId="0" fontId="25" fillId="0" borderId="27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3" fontId="36" fillId="0" borderId="0" xfId="60" applyNumberFormat="1" applyFont="1" applyFill="1" applyBorder="1" applyAlignment="1" applyProtection="1">
      <alignment horizontal="center"/>
      <protection locked="0"/>
    </xf>
    <xf numFmtId="0" fontId="45" fillId="0" borderId="30" xfId="6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 horizontal="center"/>
    </xf>
    <xf numFmtId="177" fontId="40" fillId="7" borderId="30" xfId="45" applyNumberFormat="1" applyFont="1" applyFill="1" applyBorder="1" applyAlignment="1" applyProtection="1">
      <alignment/>
      <protection/>
    </xf>
    <xf numFmtId="177" fontId="40" fillId="7" borderId="31" xfId="45" applyNumberFormat="1" applyFont="1" applyFill="1" applyBorder="1" applyAlignment="1" applyProtection="1">
      <alignment/>
      <protection/>
    </xf>
    <xf numFmtId="0" fontId="39" fillId="0" borderId="0" xfId="60" applyFont="1" applyFill="1" applyBorder="1" applyAlignment="1" applyProtection="1">
      <alignment horizontal="center"/>
      <protection/>
    </xf>
    <xf numFmtId="38" fontId="40" fillId="0" borderId="0" xfId="60" applyNumberFormat="1" applyFont="1" applyFill="1" applyBorder="1" applyProtection="1">
      <alignment/>
      <protection/>
    </xf>
    <xf numFmtId="38" fontId="40" fillId="0" borderId="28" xfId="60" applyNumberFormat="1" applyFont="1" applyFill="1" applyBorder="1" applyProtection="1">
      <alignment/>
      <protection/>
    </xf>
    <xf numFmtId="0" fontId="25" fillId="0" borderId="27" xfId="60" applyFont="1" applyFill="1" applyBorder="1" applyAlignment="1" applyProtection="1">
      <alignment horizontal="left"/>
      <protection locked="0"/>
    </xf>
    <xf numFmtId="38" fontId="36" fillId="0" borderId="0" xfId="42" applyNumberFormat="1" applyFont="1" applyFill="1" applyBorder="1" applyAlignment="1" applyProtection="1">
      <alignment horizontal="right"/>
      <protection locked="0"/>
    </xf>
    <xf numFmtId="38" fontId="36" fillId="0" borderId="28" xfId="42" applyNumberFormat="1" applyFont="1" applyFill="1" applyBorder="1" applyAlignment="1" applyProtection="1">
      <alignment horizontal="right"/>
      <protection locked="0"/>
    </xf>
    <xf numFmtId="0" fontId="36" fillId="17" borderId="0" xfId="60" applyFont="1" applyFill="1" applyBorder="1" applyProtection="1">
      <alignment/>
      <protection locked="0"/>
    </xf>
    <xf numFmtId="0" fontId="3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8" fontId="36" fillId="0" borderId="0" xfId="42" applyNumberFormat="1" applyFont="1" applyFill="1" applyBorder="1" applyAlignment="1">
      <alignment/>
    </xf>
    <xf numFmtId="38" fontId="36" fillId="0" borderId="28" xfId="42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6" fillId="0" borderId="45" xfId="60" applyFont="1" applyFill="1" applyBorder="1" applyAlignment="1" applyProtection="1">
      <alignment horizontal="center"/>
      <protection/>
    </xf>
    <xf numFmtId="0" fontId="36" fillId="0" borderId="45" xfId="60" applyFont="1" applyFill="1" applyBorder="1" applyAlignment="1" applyProtection="1">
      <alignment horizontal="center"/>
      <protection locked="0"/>
    </xf>
    <xf numFmtId="0" fontId="31" fillId="0" borderId="41" xfId="60" applyFont="1" applyFill="1" applyBorder="1" applyAlignment="1" applyProtection="1">
      <alignment horizontal="center"/>
      <protection/>
    </xf>
    <xf numFmtId="0" fontId="39" fillId="0" borderId="3" xfId="0" applyFont="1" applyFill="1" applyBorder="1" applyAlignment="1">
      <alignment horizontal="center"/>
    </xf>
    <xf numFmtId="0" fontId="39" fillId="0" borderId="3" xfId="60" applyFont="1" applyFill="1" applyBorder="1" applyAlignment="1" applyProtection="1">
      <alignment horizontal="center"/>
      <protection/>
    </xf>
    <xf numFmtId="38" fontId="40" fillId="0" borderId="3" xfId="60" applyNumberFormat="1" applyFont="1" applyFill="1" applyBorder="1" applyProtection="1">
      <alignment/>
      <protection/>
    </xf>
    <xf numFmtId="38" fontId="40" fillId="0" borderId="42" xfId="60" applyNumberFormat="1" applyFont="1" applyFill="1" applyBorder="1" applyProtection="1">
      <alignment/>
      <protection/>
    </xf>
    <xf numFmtId="0" fontId="31" fillId="0" borderId="0" xfId="0" applyFont="1" applyBorder="1" applyAlignment="1">
      <alignment/>
    </xf>
    <xf numFmtId="0" fontId="34" fillId="0" borderId="0" xfId="60" applyFont="1" applyFill="1" applyBorder="1" applyProtection="1">
      <alignment/>
      <protection locked="0"/>
    </xf>
    <xf numFmtId="3" fontId="31" fillId="0" borderId="0" xfId="60" applyNumberFormat="1" applyFont="1" applyFill="1" applyBorder="1" applyAlignment="1" applyProtection="1">
      <alignment horizontal="center"/>
      <protection locked="0"/>
    </xf>
    <xf numFmtId="38" fontId="36" fillId="0" borderId="0" xfId="60" applyNumberFormat="1" applyFont="1" applyFill="1" applyBorder="1">
      <alignment/>
      <protection/>
    </xf>
    <xf numFmtId="38" fontId="36" fillId="0" borderId="3" xfId="42" applyNumberFormat="1" applyFont="1" applyFill="1" applyBorder="1" applyAlignment="1" applyProtection="1">
      <alignment horizontal="right"/>
      <protection/>
    </xf>
    <xf numFmtId="38" fontId="36" fillId="0" borderId="42" xfId="42" applyNumberFormat="1" applyFont="1" applyFill="1" applyBorder="1" applyAlignment="1" applyProtection="1">
      <alignment horizontal="right"/>
      <protection/>
    </xf>
    <xf numFmtId="38" fontId="36" fillId="0" borderId="0" xfId="60" applyNumberFormat="1" applyFont="1" applyBorder="1">
      <alignment/>
      <protection/>
    </xf>
    <xf numFmtId="38" fontId="36" fillId="0" borderId="28" xfId="60" applyNumberFormat="1" applyFont="1" applyBorder="1">
      <alignment/>
      <protection/>
    </xf>
    <xf numFmtId="0" fontId="4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77" fontId="36" fillId="0" borderId="0" xfId="42" applyNumberFormat="1" applyFont="1" applyFill="1" applyBorder="1" applyAlignment="1" applyProtection="1">
      <alignment horizontal="right"/>
      <protection locked="0"/>
    </xf>
    <xf numFmtId="177" fontId="36" fillId="0" borderId="0" xfId="0" applyNumberFormat="1" applyFont="1" applyBorder="1" applyAlignment="1" applyProtection="1">
      <alignment horizontal="right"/>
      <protection/>
    </xf>
    <xf numFmtId="177" fontId="36" fillId="0" borderId="28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44" fillId="0" borderId="27" xfId="60" applyFont="1" applyFill="1" applyBorder="1" applyProtection="1">
      <alignment/>
      <protection/>
    </xf>
    <xf numFmtId="0" fontId="44" fillId="0" borderId="27" xfId="0" applyFont="1" applyFill="1" applyBorder="1" applyAlignment="1">
      <alignment/>
    </xf>
    <xf numFmtId="38" fontId="36" fillId="0" borderId="28" xfId="0" applyNumberFormat="1" applyFont="1" applyBorder="1" applyAlignment="1">
      <alignment/>
    </xf>
    <xf numFmtId="0" fontId="39" fillId="7" borderId="46" xfId="60" applyFont="1" applyFill="1" applyBorder="1" applyAlignment="1" applyProtection="1">
      <alignment horizontal="center"/>
      <protection/>
    </xf>
    <xf numFmtId="0" fontId="39" fillId="7" borderId="47" xfId="60" applyFont="1" applyFill="1" applyBorder="1" applyAlignment="1" applyProtection="1">
      <alignment horizontal="center"/>
      <protection/>
    </xf>
    <xf numFmtId="0" fontId="39" fillId="7" borderId="48" xfId="60" applyFont="1" applyFill="1" applyBorder="1" applyAlignment="1" applyProtection="1">
      <alignment horizontal="center"/>
      <protection/>
    </xf>
    <xf numFmtId="177" fontId="40" fillId="7" borderId="49" xfId="60" applyNumberFormat="1" applyFont="1" applyFill="1" applyBorder="1" applyProtection="1">
      <alignment/>
      <protection/>
    </xf>
    <xf numFmtId="177" fontId="40" fillId="7" borderId="44" xfId="60" applyNumberFormat="1" applyFont="1" applyFill="1" applyBorder="1" applyProtection="1">
      <alignment/>
      <protection/>
    </xf>
    <xf numFmtId="164" fontId="35" fillId="0" borderId="0" xfId="60" applyNumberFormat="1" applyFont="1" applyFill="1" applyBorder="1" applyAlignment="1" applyProtection="1">
      <alignment horizontal="right"/>
      <protection/>
    </xf>
    <xf numFmtId="0" fontId="43" fillId="0" borderId="27" xfId="60" applyFont="1" applyBorder="1" applyProtection="1">
      <alignment/>
      <protection/>
    </xf>
    <xf numFmtId="0" fontId="31" fillId="0" borderId="0" xfId="60" applyFont="1" applyBorder="1" applyProtection="1">
      <alignment/>
      <protection/>
    </xf>
    <xf numFmtId="38" fontId="31" fillId="0" borderId="0" xfId="60" applyNumberFormat="1" applyFont="1" applyFill="1" applyBorder="1" applyProtection="1">
      <alignment/>
      <protection/>
    </xf>
    <xf numFmtId="38" fontId="32" fillId="0" borderId="0" xfId="60" applyNumberFormat="1" applyFont="1" applyBorder="1" applyAlignment="1" applyProtection="1">
      <alignment horizontal="right"/>
      <protection/>
    </xf>
    <xf numFmtId="38" fontId="0" fillId="0" borderId="28" xfId="0" applyNumberFormat="1" applyFont="1" applyFill="1" applyBorder="1" applyAlignment="1">
      <alignment horizontal="right"/>
    </xf>
    <xf numFmtId="0" fontId="43" fillId="0" borderId="41" xfId="60" applyFont="1" applyBorder="1" applyProtection="1">
      <alignment/>
      <protection/>
    </xf>
    <xf numFmtId="0" fontId="31" fillId="0" borderId="3" xfId="60" applyFont="1" applyBorder="1" applyProtection="1">
      <alignment/>
      <protection/>
    </xf>
    <xf numFmtId="0" fontId="31" fillId="0" borderId="3" xfId="60" applyFont="1" applyBorder="1" applyAlignment="1" applyProtection="1">
      <alignment horizontal="center"/>
      <protection/>
    </xf>
    <xf numFmtId="38" fontId="31" fillId="0" borderId="3" xfId="60" applyNumberFormat="1" applyFont="1" applyFill="1" applyBorder="1" applyProtection="1">
      <alignment/>
      <protection/>
    </xf>
    <xf numFmtId="38" fontId="35" fillId="0" borderId="3" xfId="60" applyNumberFormat="1" applyFont="1" applyFill="1" applyBorder="1" applyProtection="1">
      <alignment/>
      <protection/>
    </xf>
    <xf numFmtId="38" fontId="32" fillId="0" borderId="3" xfId="60" applyNumberFormat="1" applyFont="1" applyBorder="1" applyAlignment="1" applyProtection="1">
      <alignment horizontal="right"/>
      <protection/>
    </xf>
    <xf numFmtId="38" fontId="0" fillId="0" borderId="4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47" fillId="0" borderId="0" xfId="60" applyNumberFormat="1" applyFont="1" applyBorder="1" applyProtection="1">
      <alignment/>
      <protection/>
    </xf>
    <xf numFmtId="3" fontId="47" fillId="0" borderId="0" xfId="60" applyNumberFormat="1" applyFont="1" applyFill="1" applyBorder="1" applyProtection="1">
      <alignment/>
      <protection/>
    </xf>
    <xf numFmtId="164" fontId="32" fillId="0" borderId="0" xfId="0" applyNumberFormat="1" applyFont="1" applyFill="1" applyBorder="1" applyAlignment="1" applyProtection="1">
      <alignment horizontal="right"/>
      <protection/>
    </xf>
    <xf numFmtId="9" fontId="32" fillId="0" borderId="0" xfId="65" applyFont="1" applyFill="1" applyBorder="1" applyAlignment="1" applyProtection="1">
      <alignment horizontal="right"/>
      <protection/>
    </xf>
    <xf numFmtId="10" fontId="32" fillId="0" borderId="0" xfId="65" applyNumberFormat="1" applyFont="1" applyFill="1" applyBorder="1" applyAlignment="1" applyProtection="1">
      <alignment horizontal="right"/>
      <protection/>
    </xf>
    <xf numFmtId="0" fontId="35" fillId="0" borderId="0" xfId="60" applyFont="1" applyBorder="1">
      <alignment/>
      <protection/>
    </xf>
    <xf numFmtId="0" fontId="35" fillId="0" borderId="0" xfId="0" applyFont="1" applyBorder="1" applyAlignment="1">
      <alignment/>
    </xf>
    <xf numFmtId="3" fontId="32" fillId="0" borderId="0" xfId="60" applyNumberFormat="1" applyFont="1" applyFill="1" applyBorder="1" applyAlignment="1" applyProtection="1">
      <alignment horizontal="right"/>
      <protection/>
    </xf>
    <xf numFmtId="3" fontId="32" fillId="0" borderId="0" xfId="60" applyNumberFormat="1" applyFont="1" applyFill="1" applyBorder="1" applyAlignment="1" applyProtection="1">
      <alignment horizontal="left"/>
      <protection/>
    </xf>
    <xf numFmtId="0" fontId="32" fillId="0" borderId="0" xfId="60" applyFont="1" applyFill="1" applyBorder="1" applyAlignment="1" applyProtection="1">
      <alignment horizontal="right"/>
      <protection/>
    </xf>
    <xf numFmtId="0" fontId="32" fillId="0" borderId="0" xfId="60" applyFont="1" applyFill="1" applyBorder="1" applyAlignment="1" applyProtection="1">
      <alignment horizontal="left"/>
      <protection/>
    </xf>
    <xf numFmtId="0" fontId="32" fillId="0" borderId="0" xfId="60" applyFont="1" applyFill="1" applyBorder="1" applyAlignment="1" applyProtection="1">
      <alignment horizontal="center"/>
      <protection/>
    </xf>
    <xf numFmtId="0" fontId="35" fillId="0" borderId="0" xfId="60" applyFont="1" applyFill="1" applyBorder="1" applyAlignment="1" applyProtection="1">
      <alignment horizontal="right"/>
      <protection/>
    </xf>
    <xf numFmtId="0" fontId="35" fillId="0" borderId="0" xfId="60" applyFont="1" applyFill="1" applyBorder="1" applyAlignment="1" applyProtection="1">
      <alignment horizontal="left"/>
      <protection/>
    </xf>
    <xf numFmtId="0" fontId="37" fillId="0" borderId="0" xfId="60" applyFont="1" applyFill="1" applyBorder="1" applyAlignment="1">
      <alignment horizontal="right"/>
      <protection/>
    </xf>
    <xf numFmtId="3" fontId="32" fillId="0" borderId="0" xfId="60" applyNumberFormat="1" applyFont="1" applyFill="1" applyBorder="1" applyAlignment="1" applyProtection="1">
      <alignment horizontal="center"/>
      <protection/>
    </xf>
    <xf numFmtId="0" fontId="37" fillId="0" borderId="0" xfId="60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38" fontId="35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22" fillId="0" borderId="50" xfId="0" applyFont="1" applyBorder="1" applyAlignment="1">
      <alignment horizontal="centerContinuous"/>
    </xf>
    <xf numFmtId="0" fontId="22" fillId="0" borderId="51" xfId="0" applyFont="1" applyBorder="1" applyAlignment="1">
      <alignment horizontal="centerContinuous"/>
    </xf>
    <xf numFmtId="0" fontId="22" fillId="0" borderId="52" xfId="0" applyFont="1" applyBorder="1" applyAlignment="1">
      <alignment horizontal="centerContinuous"/>
    </xf>
    <xf numFmtId="0" fontId="25" fillId="0" borderId="27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28" xfId="0" applyFont="1" applyBorder="1" applyAlignment="1">
      <alignment horizontal="centerContinuous"/>
    </xf>
    <xf numFmtId="0" fontId="25" fillId="0" borderId="27" xfId="60" applyFont="1" applyBorder="1" applyAlignment="1" applyProtection="1">
      <alignment horizontal="centerContinuous"/>
      <protection/>
    </xf>
    <xf numFmtId="38" fontId="48" fillId="0" borderId="0" xfId="60" applyNumberFormat="1" applyFont="1" applyFill="1" applyBorder="1" applyAlignment="1" applyProtection="1">
      <alignment horizontal="centerContinuous"/>
      <protection/>
    </xf>
    <xf numFmtId="38" fontId="25" fillId="0" borderId="0" xfId="60" applyNumberFormat="1" applyFont="1" applyFill="1" applyBorder="1" applyAlignment="1" applyProtection="1">
      <alignment horizontal="centerContinuous"/>
      <protection/>
    </xf>
    <xf numFmtId="38" fontId="25" fillId="0" borderId="0" xfId="60" applyNumberFormat="1" applyFont="1" applyBorder="1" applyAlignment="1">
      <alignment horizontal="centerContinuous"/>
      <protection/>
    </xf>
    <xf numFmtId="38" fontId="25" fillId="0" borderId="28" xfId="60" applyNumberFormat="1" applyFont="1" applyFill="1" applyBorder="1" applyAlignment="1" applyProtection="1">
      <alignment horizontal="centerContinuous"/>
      <protection/>
    </xf>
    <xf numFmtId="0" fontId="30" fillId="0" borderId="27" xfId="60" applyFont="1" applyBorder="1" applyAlignment="1" applyProtection="1">
      <alignment horizontal="centerContinuous"/>
      <protection/>
    </xf>
    <xf numFmtId="0" fontId="30" fillId="0" borderId="27" xfId="60" applyFont="1" applyFill="1" applyBorder="1" applyAlignment="1" applyProtection="1">
      <alignment horizontal="centerContinuous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5" fillId="0" borderId="0" xfId="6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8" fontId="25" fillId="0" borderId="17" xfId="60" applyNumberFormat="1" applyFont="1" applyBorder="1" applyAlignment="1" applyProtection="1">
      <alignment horizontal="center" vertical="center"/>
      <protection/>
    </xf>
    <xf numFmtId="0" fontId="25" fillId="0" borderId="27" xfId="60" applyFont="1" applyBorder="1">
      <alignment/>
      <protection/>
    </xf>
    <xf numFmtId="38" fontId="31" fillId="0" borderId="0" xfId="60" applyNumberFormat="1" applyFont="1" applyBorder="1">
      <alignment/>
      <protection/>
    </xf>
    <xf numFmtId="38" fontId="31" fillId="0" borderId="28" xfId="60" applyNumberFormat="1" applyFont="1" applyBorder="1" applyProtection="1">
      <alignment/>
      <protection/>
    </xf>
    <xf numFmtId="0" fontId="36" fillId="0" borderId="27" xfId="60" applyFont="1" applyBorder="1">
      <alignment/>
      <protection/>
    </xf>
    <xf numFmtId="0" fontId="36" fillId="0" borderId="0" xfId="60" applyFont="1" applyBorder="1" applyProtection="1">
      <alignment/>
      <protection/>
    </xf>
    <xf numFmtId="166" fontId="36" fillId="0" borderId="30" xfId="42" applyNumberFormat="1" applyFont="1" applyFill="1" applyBorder="1" applyAlignment="1">
      <alignment/>
    </xf>
    <xf numFmtId="166" fontId="36" fillId="0" borderId="31" xfId="42" applyNumberFormat="1" applyFont="1" applyFill="1" applyBorder="1" applyAlignment="1">
      <alignment/>
    </xf>
    <xf numFmtId="0" fontId="38" fillId="0" borderId="27" xfId="60" applyFont="1" applyBorder="1" applyProtection="1">
      <alignment/>
      <protection/>
    </xf>
    <xf numFmtId="0" fontId="42" fillId="0" borderId="27" xfId="60" applyFont="1" applyBorder="1" applyProtection="1">
      <alignment/>
      <protection/>
    </xf>
    <xf numFmtId="0" fontId="25" fillId="0" borderId="27" xfId="60" applyFont="1" applyBorder="1" applyProtection="1">
      <alignment/>
      <protection/>
    </xf>
    <xf numFmtId="0" fontId="38" fillId="0" borderId="27" xfId="60" applyFont="1" applyFill="1" applyBorder="1">
      <alignment/>
      <protection/>
    </xf>
    <xf numFmtId="0" fontId="44" fillId="0" borderId="27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8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3" xfId="0" applyFont="1" applyBorder="1" applyAlignment="1">
      <alignment/>
    </xf>
    <xf numFmtId="0" fontId="44" fillId="0" borderId="42" xfId="0" applyFont="1" applyBorder="1" applyAlignment="1">
      <alignment/>
    </xf>
    <xf numFmtId="0" fontId="25" fillId="0" borderId="51" xfId="0" applyFont="1" applyBorder="1" applyAlignment="1">
      <alignment horizontal="centerContinuous"/>
    </xf>
    <xf numFmtId="0" fontId="44" fillId="0" borderId="51" xfId="0" applyFont="1" applyBorder="1" applyAlignment="1">
      <alignment horizontal="centerContinuous"/>
    </xf>
    <xf numFmtId="0" fontId="44" fillId="0" borderId="52" xfId="0" applyFont="1" applyBorder="1" applyAlignment="1">
      <alignment horizontal="centerContinuous"/>
    </xf>
    <xf numFmtId="0" fontId="44" fillId="0" borderId="0" xfId="0" applyFont="1" applyBorder="1" applyAlignment="1">
      <alignment horizontal="centerContinuous"/>
    </xf>
    <xf numFmtId="0" fontId="44" fillId="0" borderId="28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Border="1" applyAlignment="1">
      <alignment/>
    </xf>
    <xf numFmtId="0" fontId="30" fillId="0" borderId="53" xfId="60" applyFont="1" applyBorder="1" applyAlignment="1" applyProtection="1">
      <alignment horizontal="centerContinuous"/>
      <protection/>
    </xf>
    <xf numFmtId="0" fontId="0" fillId="0" borderId="12" xfId="0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50" fillId="0" borderId="55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60" applyFont="1" applyBorder="1" applyAlignment="1" applyProtection="1">
      <alignment horizontal="right"/>
      <protection/>
    </xf>
    <xf numFmtId="0" fontId="53" fillId="0" borderId="0" xfId="60" applyFont="1" applyBorder="1" applyAlignment="1" applyProtection="1">
      <alignment/>
      <protection/>
    </xf>
    <xf numFmtId="0" fontId="30" fillId="0" borderId="0" xfId="60" applyFont="1" applyBorder="1" applyAlignment="1" applyProtection="1">
      <alignment/>
      <protection/>
    </xf>
    <xf numFmtId="0" fontId="30" fillId="0" borderId="28" xfId="60" applyFont="1" applyBorder="1" applyAlignment="1" applyProtection="1">
      <alignment/>
      <protection/>
    </xf>
    <xf numFmtId="0" fontId="54" fillId="0" borderId="27" xfId="60" applyFont="1" applyBorder="1" applyAlignment="1" applyProtection="1">
      <alignment horizontal="right"/>
      <protection/>
    </xf>
    <xf numFmtId="169" fontId="55" fillId="0" borderId="0" xfId="60" applyNumberFormat="1" applyFont="1" applyBorder="1" applyAlignment="1" applyProtection="1">
      <alignment/>
      <protection/>
    </xf>
    <xf numFmtId="0" fontId="53" fillId="0" borderId="27" xfId="60" applyFont="1" applyBorder="1" applyAlignment="1" applyProtection="1">
      <alignment horizontal="centerContinuous"/>
      <protection/>
    </xf>
    <xf numFmtId="0" fontId="54" fillId="0" borderId="0" xfId="0" applyFont="1" applyBorder="1" applyAlignment="1">
      <alignment horizontal="right"/>
    </xf>
    <xf numFmtId="9" fontId="55" fillId="0" borderId="0" xfId="65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50" fillId="0" borderId="0" xfId="0" applyFont="1" applyBorder="1" applyAlignment="1">
      <alignment horizontal="centerContinuous"/>
    </xf>
    <xf numFmtId="169" fontId="56" fillId="0" borderId="0" xfId="0" applyNumberFormat="1" applyFont="1" applyBorder="1" applyAlignment="1">
      <alignment horizontal="right"/>
    </xf>
    <xf numFmtId="169" fontId="57" fillId="25" borderId="56" xfId="45" applyNumberFormat="1" applyFont="1" applyFill="1" applyBorder="1" applyAlignment="1">
      <alignment horizontal="right"/>
    </xf>
    <xf numFmtId="44" fontId="0" fillId="0" borderId="0" xfId="45" applyBorder="1" applyAlignment="1">
      <alignment horizontal="right"/>
    </xf>
    <xf numFmtId="44" fontId="0" fillId="0" borderId="28" xfId="45" applyBorder="1" applyAlignment="1">
      <alignment horizontal="right"/>
    </xf>
    <xf numFmtId="0" fontId="48" fillId="0" borderId="27" xfId="60" applyFont="1" applyBorder="1" applyAlignment="1" applyProtection="1">
      <alignment horizontal="centerContinuous"/>
      <protection/>
    </xf>
    <xf numFmtId="0" fontId="44" fillId="0" borderId="28" xfId="0" applyFont="1" applyBorder="1" applyAlignment="1">
      <alignment/>
    </xf>
    <xf numFmtId="0" fontId="25" fillId="4" borderId="57" xfId="0" applyFont="1" applyFill="1" applyBorder="1" applyAlignment="1">
      <alignment horizontal="centerContinuous" vertical="center"/>
    </xf>
    <xf numFmtId="0" fontId="25" fillId="4" borderId="58" xfId="0" applyFont="1" applyFill="1" applyBorder="1" applyAlignment="1">
      <alignment horizontal="centerContinuous"/>
    </xf>
    <xf numFmtId="0" fontId="48" fillId="4" borderId="58" xfId="60" applyFont="1" applyFill="1" applyBorder="1" applyAlignment="1" applyProtection="1">
      <alignment horizontal="centerContinuous"/>
      <protection/>
    </xf>
    <xf numFmtId="0" fontId="44" fillId="4" borderId="58" xfId="60" applyFont="1" applyFill="1" applyBorder="1" applyAlignment="1" applyProtection="1">
      <alignment horizontal="centerContinuous"/>
      <protection/>
    </xf>
    <xf numFmtId="0" fontId="44" fillId="4" borderId="59" xfId="60" applyFont="1" applyFill="1" applyBorder="1" applyAlignment="1" applyProtection="1">
      <alignment horizontal="centerContinuous"/>
      <protection/>
    </xf>
    <xf numFmtId="0" fontId="31" fillId="0" borderId="0" xfId="60" applyFont="1" applyFill="1" applyBorder="1" applyAlignment="1" applyProtection="1">
      <alignment/>
      <protection/>
    </xf>
    <xf numFmtId="0" fontId="36" fillId="0" borderId="0" xfId="60" applyFont="1" applyFill="1" applyBorder="1" applyAlignment="1" applyProtection="1">
      <alignment/>
      <protection/>
    </xf>
    <xf numFmtId="38" fontId="58" fillId="0" borderId="28" xfId="60" applyNumberFormat="1" applyFont="1" applyFill="1" applyBorder="1" applyAlignment="1" applyProtection="1">
      <alignment/>
      <protection/>
    </xf>
    <xf numFmtId="38" fontId="37" fillId="0" borderId="0" xfId="60" applyNumberFormat="1" applyFont="1" applyFill="1" applyBorder="1" applyAlignment="1" applyProtection="1">
      <alignment horizontal="centerContinuous"/>
      <protection/>
    </xf>
    <xf numFmtId="38" fontId="37" fillId="0" borderId="0" xfId="60" applyNumberFormat="1" applyFont="1" applyBorder="1" applyAlignment="1">
      <alignment horizontal="centerContinuous"/>
      <protection/>
    </xf>
    <xf numFmtId="38" fontId="36" fillId="0" borderId="0" xfId="60" applyNumberFormat="1" applyFont="1" applyFill="1" applyBorder="1" applyAlignment="1" applyProtection="1">
      <alignment horizontal="centerContinuous"/>
      <protection/>
    </xf>
    <xf numFmtId="0" fontId="25" fillId="0" borderId="2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8" fillId="0" borderId="0" xfId="60" applyFont="1" applyFill="1" applyBorder="1" applyAlignment="1" applyProtection="1">
      <alignment horizontal="centerContinuous"/>
      <protection/>
    </xf>
    <xf numFmtId="0" fontId="44" fillId="0" borderId="0" xfId="60" applyFont="1" applyFill="1" applyBorder="1" applyAlignment="1" applyProtection="1">
      <alignment horizontal="centerContinuous"/>
      <protection/>
    </xf>
    <xf numFmtId="0" fontId="31" fillId="0" borderId="0" xfId="60" applyFont="1" applyFill="1" applyBorder="1" applyAlignment="1" applyProtection="1">
      <alignment horizontal="centerContinuous"/>
      <protection/>
    </xf>
    <xf numFmtId="0" fontId="36" fillId="0" borderId="0" xfId="60" applyFont="1" applyFill="1" applyBorder="1" applyAlignment="1" applyProtection="1">
      <alignment horizontal="centerContinuous"/>
      <protection/>
    </xf>
    <xf numFmtId="38" fontId="58" fillId="0" borderId="28" xfId="60" applyNumberFormat="1" applyFont="1" applyFill="1" applyBorder="1" applyAlignment="1" applyProtection="1">
      <alignment horizontal="centerContinuous"/>
      <protection/>
    </xf>
    <xf numFmtId="0" fontId="25" fillId="0" borderId="27" xfId="0" applyFont="1" applyBorder="1" applyAlignment="1">
      <alignment/>
    </xf>
    <xf numFmtId="0" fontId="25" fillId="0" borderId="0" xfId="0" applyFont="1" applyBorder="1" applyAlignment="1">
      <alignment/>
    </xf>
    <xf numFmtId="0" fontId="48" fillId="0" borderId="0" xfId="60" applyFont="1" applyBorder="1" applyAlignment="1" applyProtection="1">
      <alignment horizontal="centerContinuous"/>
      <protection/>
    </xf>
    <xf numFmtId="0" fontId="44" fillId="0" borderId="0" xfId="60" applyFont="1" applyBorder="1" applyAlignment="1" applyProtection="1">
      <alignment horizontal="centerContinuous"/>
      <protection/>
    </xf>
    <xf numFmtId="0" fontId="59" fillId="0" borderId="27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 horizontal="center"/>
    </xf>
    <xf numFmtId="0" fontId="25" fillId="0" borderId="61" xfId="60" applyFont="1" applyBorder="1" applyAlignment="1" applyProtection="1">
      <alignment horizontal="center"/>
      <protection/>
    </xf>
    <xf numFmtId="0" fontId="36" fillId="0" borderId="0" xfId="62" applyFont="1" applyBorder="1" applyAlignment="1">
      <alignment horizontal="center"/>
      <protection/>
    </xf>
    <xf numFmtId="0" fontId="25" fillId="0" borderId="62" xfId="0" applyFont="1" applyBorder="1" applyAlignment="1">
      <alignment/>
    </xf>
    <xf numFmtId="0" fontId="25" fillId="0" borderId="63" xfId="0" applyFont="1" applyBorder="1" applyAlignment="1">
      <alignment horizontal="center"/>
    </xf>
    <xf numFmtId="0" fontId="25" fillId="0" borderId="63" xfId="62" applyFont="1" applyBorder="1" applyAlignment="1">
      <alignment horizontal="center"/>
      <protection/>
    </xf>
    <xf numFmtId="0" fontId="25" fillId="0" borderId="64" xfId="62" applyFont="1" applyBorder="1" applyAlignment="1">
      <alignment horizontal="center"/>
      <protection/>
    </xf>
    <xf numFmtId="0" fontId="36" fillId="0" borderId="0" xfId="62" applyFont="1" applyBorder="1" applyAlignment="1" quotePrefix="1">
      <alignment horizontal="center"/>
      <protection/>
    </xf>
    <xf numFmtId="0" fontId="36" fillId="0" borderId="65" xfId="0" applyFont="1" applyBorder="1" applyAlignment="1">
      <alignment/>
    </xf>
    <xf numFmtId="176" fontId="36" fillId="22" borderId="30" xfId="45" applyNumberFormat="1" applyFont="1" applyFill="1" applyBorder="1" applyAlignment="1">
      <alignment horizontal="center"/>
    </xf>
    <xf numFmtId="167" fontId="36" fillId="22" borderId="66" xfId="65" applyNumberFormat="1" applyFont="1" applyFill="1" applyBorder="1" applyAlignment="1">
      <alignment horizontal="center"/>
    </xf>
    <xf numFmtId="10" fontId="36" fillId="22" borderId="66" xfId="65" applyNumberFormat="1" applyFont="1" applyFill="1" applyBorder="1" applyAlignment="1">
      <alignment horizontal="center"/>
    </xf>
    <xf numFmtId="169" fontId="36" fillId="22" borderId="67" xfId="65" applyNumberFormat="1" applyFont="1" applyFill="1" applyBorder="1" applyAlignment="1">
      <alignment horizontal="center"/>
    </xf>
    <xf numFmtId="169" fontId="3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68" xfId="0" applyFont="1" applyBorder="1" applyAlignment="1">
      <alignment/>
    </xf>
    <xf numFmtId="167" fontId="36" fillId="22" borderId="30" xfId="65" applyNumberFormat="1" applyFont="1" applyFill="1" applyBorder="1" applyAlignment="1">
      <alignment horizontal="center"/>
    </xf>
    <xf numFmtId="10" fontId="36" fillId="22" borderId="30" xfId="65" applyNumberFormat="1" applyFont="1" applyFill="1" applyBorder="1" applyAlignment="1">
      <alignment horizontal="center"/>
    </xf>
    <xf numFmtId="169" fontId="36" fillId="22" borderId="69" xfId="65" applyNumberFormat="1" applyFont="1" applyFill="1" applyBorder="1" applyAlignment="1">
      <alignment horizontal="center"/>
    </xf>
    <xf numFmtId="169" fontId="36" fillId="0" borderId="0" xfId="65" applyNumberFormat="1" applyFont="1" applyBorder="1" applyAlignment="1" quotePrefix="1">
      <alignment horizontal="center"/>
    </xf>
    <xf numFmtId="0" fontId="25" fillId="0" borderId="62" xfId="0" applyFont="1" applyFill="1" applyBorder="1" applyAlignment="1">
      <alignment horizontal="center"/>
    </xf>
    <xf numFmtId="176" fontId="40" fillId="7" borderId="63" xfId="45" applyNumberFormat="1" applyFont="1" applyFill="1" applyBorder="1" applyAlignment="1">
      <alignment horizontal="center"/>
    </xf>
    <xf numFmtId="169" fontId="40" fillId="7" borderId="63" xfId="65" applyNumberFormat="1" applyFont="1" applyFill="1" applyBorder="1" applyAlignment="1">
      <alignment horizontal="center"/>
    </xf>
    <xf numFmtId="0" fontId="40" fillId="7" borderId="63" xfId="0" applyFont="1" applyFill="1" applyBorder="1" applyAlignment="1">
      <alignment horizontal="center"/>
    </xf>
    <xf numFmtId="169" fontId="40" fillId="7" borderId="64" xfId="65" applyNumberFormat="1" applyFont="1" applyFill="1" applyBorder="1" applyAlignment="1">
      <alignment horizontal="center"/>
    </xf>
    <xf numFmtId="169" fontId="44" fillId="0" borderId="0" xfId="0" applyNumberFormat="1" applyFont="1" applyBorder="1" applyAlignment="1">
      <alignment/>
    </xf>
    <xf numFmtId="0" fontId="36" fillId="0" borderId="0" xfId="62" applyFont="1" applyFill="1" applyBorder="1">
      <alignment/>
      <protection/>
    </xf>
    <xf numFmtId="189" fontId="44" fillId="0" borderId="0" xfId="0" applyNumberFormat="1" applyFont="1" applyBorder="1" applyAlignment="1">
      <alignment/>
    </xf>
    <xf numFmtId="0" fontId="44" fillId="0" borderId="0" xfId="62" applyFont="1" applyFill="1" applyBorder="1">
      <alignment/>
      <protection/>
    </xf>
    <xf numFmtId="0" fontId="44" fillId="0" borderId="0" xfId="62" applyFont="1" applyBorder="1" applyAlignment="1">
      <alignment horizontal="center"/>
      <protection/>
    </xf>
    <xf numFmtId="9" fontId="25" fillId="0" borderId="0" xfId="62" applyNumberFormat="1" applyFont="1" applyBorder="1" applyAlignment="1">
      <alignment horizontal="center"/>
      <protection/>
    </xf>
    <xf numFmtId="169" fontId="44" fillId="0" borderId="0" xfId="65" applyNumberFormat="1" applyFont="1" applyBorder="1" applyAlignment="1">
      <alignment/>
    </xf>
    <xf numFmtId="169" fontId="60" fillId="7" borderId="56" xfId="65" applyNumberFormat="1" applyFont="1" applyFill="1" applyBorder="1" applyAlignment="1">
      <alignment horizontal="center"/>
    </xf>
    <xf numFmtId="0" fontId="44" fillId="0" borderId="0" xfId="0" applyFont="1" applyBorder="1" applyAlignment="1">
      <alignment wrapText="1"/>
    </xf>
    <xf numFmtId="0" fontId="36" fillId="0" borderId="0" xfId="62" applyFont="1" applyBorder="1" applyAlignment="1" quotePrefix="1">
      <alignment horizontal="center" wrapText="1"/>
      <protection/>
    </xf>
    <xf numFmtId="0" fontId="59" fillId="0" borderId="27" xfId="0" applyFont="1" applyBorder="1" applyAlignment="1">
      <alignment wrapText="1"/>
    </xf>
    <xf numFmtId="0" fontId="59" fillId="0" borderId="0" xfId="0" applyFont="1" applyBorder="1" applyAlignment="1">
      <alignment/>
    </xf>
    <xf numFmtId="169" fontId="60" fillId="7" borderId="56" xfId="65" applyNumberFormat="1" applyFont="1" applyFill="1" applyBorder="1" applyAlignment="1">
      <alignment horizontal="center"/>
    </xf>
    <xf numFmtId="0" fontId="43" fillId="0" borderId="27" xfId="0" applyFont="1" applyBorder="1" applyAlignment="1">
      <alignment/>
    </xf>
    <xf numFmtId="0" fontId="25" fillId="0" borderId="0" xfId="60" applyFont="1" applyFill="1" applyBorder="1" applyAlignment="1" applyProtection="1">
      <alignment horizontal="left"/>
      <protection/>
    </xf>
    <xf numFmtId="0" fontId="44" fillId="0" borderId="0" xfId="60" applyFont="1" applyFill="1" applyBorder="1" applyProtection="1">
      <alignment/>
      <protection locked="0"/>
    </xf>
    <xf numFmtId="0" fontId="44" fillId="0" borderId="0" xfId="60" applyFont="1" applyFill="1" applyBorder="1" applyAlignment="1">
      <alignment horizontal="center"/>
      <protection/>
    </xf>
    <xf numFmtId="38" fontId="31" fillId="0" borderId="28" xfId="60" applyNumberFormat="1" applyFont="1" applyFill="1" applyBorder="1" applyAlignment="1" applyProtection="1">
      <alignment horizontal="right"/>
      <protection/>
    </xf>
    <xf numFmtId="38" fontId="31" fillId="0" borderId="0" xfId="60" applyNumberFormat="1" applyFont="1" applyFill="1" applyBorder="1" applyAlignment="1" applyProtection="1">
      <alignment horizontal="right"/>
      <protection/>
    </xf>
    <xf numFmtId="38" fontId="25" fillId="0" borderId="0" xfId="60" applyNumberFormat="1" applyFont="1" applyFill="1" applyBorder="1" applyAlignment="1" applyProtection="1">
      <alignment horizontal="center"/>
      <protection/>
    </xf>
    <xf numFmtId="38" fontId="25" fillId="0" borderId="0" xfId="60" applyNumberFormat="1" applyFont="1" applyBorder="1" applyAlignment="1" applyProtection="1">
      <alignment horizontal="center"/>
      <protection/>
    </xf>
    <xf numFmtId="38" fontId="25" fillId="0" borderId="28" xfId="60" applyNumberFormat="1" applyFont="1" applyBorder="1" applyAlignment="1" applyProtection="1">
      <alignment horizontal="center"/>
      <protection/>
    </xf>
    <xf numFmtId="38" fontId="25" fillId="0" borderId="70" xfId="60" applyNumberFormat="1" applyFont="1" applyFill="1" applyBorder="1" applyAlignment="1" applyProtection="1">
      <alignment horizontal="center"/>
      <protection/>
    </xf>
    <xf numFmtId="38" fontId="25" fillId="0" borderId="61" xfId="60" applyNumberFormat="1" applyFont="1" applyBorder="1" applyAlignment="1" applyProtection="1">
      <alignment horizontal="center"/>
      <protection/>
    </xf>
    <xf numFmtId="38" fontId="25" fillId="0" borderId="71" xfId="60" applyNumberFormat="1" applyFont="1" applyBorder="1" applyAlignment="1" applyProtection="1">
      <alignment horizontal="center"/>
      <protection/>
    </xf>
    <xf numFmtId="177" fontId="36" fillId="22" borderId="72" xfId="45" applyNumberFormat="1" applyFont="1" applyFill="1" applyBorder="1" applyAlignment="1">
      <alignment/>
    </xf>
    <xf numFmtId="177" fontId="36" fillId="22" borderId="73" xfId="45" applyNumberFormat="1" applyFont="1" applyFill="1" applyBorder="1" applyAlignment="1">
      <alignment/>
    </xf>
    <xf numFmtId="177" fontId="36" fillId="22" borderId="74" xfId="45" applyNumberFormat="1" applyFont="1" applyFill="1" applyBorder="1" applyAlignment="1">
      <alignment/>
    </xf>
    <xf numFmtId="169" fontId="36" fillId="22" borderId="75" xfId="0" applyNumberFormat="1" applyFont="1" applyFill="1" applyBorder="1" applyAlignment="1">
      <alignment/>
    </xf>
    <xf numFmtId="169" fontId="36" fillId="22" borderId="30" xfId="0" applyNumberFormat="1" applyFont="1" applyFill="1" applyBorder="1" applyAlignment="1">
      <alignment/>
    </xf>
    <xf numFmtId="169" fontId="36" fillId="22" borderId="31" xfId="0" applyNumberFormat="1" applyFont="1" applyFill="1" applyBorder="1" applyAlignment="1">
      <alignment/>
    </xf>
    <xf numFmtId="189" fontId="40" fillId="7" borderId="76" xfId="0" applyNumberFormat="1" applyFont="1" applyFill="1" applyBorder="1" applyAlignment="1">
      <alignment/>
    </xf>
    <xf numFmtId="189" fontId="40" fillId="7" borderId="63" xfId="0" applyNumberFormat="1" applyFont="1" applyFill="1" applyBorder="1" applyAlignment="1">
      <alignment/>
    </xf>
    <xf numFmtId="189" fontId="40" fillId="7" borderId="77" xfId="0" applyNumberFormat="1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4" fillId="0" borderId="41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2" fillId="0" borderId="0" xfId="62" applyFont="1" applyBorder="1" applyAlignment="1">
      <alignment horizontal="center"/>
      <protection/>
    </xf>
    <xf numFmtId="38" fontId="48" fillId="0" borderId="28" xfId="60" applyNumberFormat="1" applyFont="1" applyFill="1" applyBorder="1" applyAlignment="1" applyProtection="1">
      <alignment horizontal="centerContinuous"/>
      <protection/>
    </xf>
    <xf numFmtId="0" fontId="62" fillId="0" borderId="78" xfId="62" applyFont="1" applyBorder="1" applyAlignment="1">
      <alignment horizontal="center"/>
      <protection/>
    </xf>
    <xf numFmtId="0" fontId="62" fillId="0" borderId="79" xfId="62" applyFont="1" applyBorder="1" applyAlignment="1">
      <alignment horizontal="centerContinuous"/>
      <protection/>
    </xf>
    <xf numFmtId="0" fontId="62" fillId="0" borderId="80" xfId="0" applyFont="1" applyBorder="1" applyAlignment="1">
      <alignment horizontal="centerContinuous"/>
    </xf>
    <xf numFmtId="0" fontId="62" fillId="0" borderId="24" xfId="62" applyFont="1" applyBorder="1" applyAlignment="1">
      <alignment horizontal="center"/>
      <protection/>
    </xf>
    <xf numFmtId="0" fontId="62" fillId="0" borderId="12" xfId="0" applyFont="1" applyBorder="1" applyAlignment="1">
      <alignment horizontal="centerContinuous"/>
    </xf>
    <xf numFmtId="0" fontId="62" fillId="0" borderId="54" xfId="0" applyFont="1" applyBorder="1" applyAlignment="1">
      <alignment horizontal="centerContinuous"/>
    </xf>
    <xf numFmtId="0" fontId="44" fillId="0" borderId="81" xfId="0" applyFont="1" applyBorder="1" applyAlignment="1">
      <alignment/>
    </xf>
    <xf numFmtId="177" fontId="36" fillId="22" borderId="61" xfId="45" applyNumberFormat="1" applyFont="1" applyFill="1" applyBorder="1" applyAlignment="1">
      <alignment horizontal="center"/>
    </xf>
    <xf numFmtId="167" fontId="36" fillId="22" borderId="61" xfId="65" applyNumberFormat="1" applyFont="1" applyFill="1" applyBorder="1" applyAlignment="1">
      <alignment horizontal="center"/>
    </xf>
    <xf numFmtId="10" fontId="36" fillId="22" borderId="61" xfId="65" applyNumberFormat="1" applyFont="1" applyFill="1" applyBorder="1" applyAlignment="1">
      <alignment horizontal="center"/>
    </xf>
    <xf numFmtId="169" fontId="36" fillId="22" borderId="82" xfId="65" applyNumberFormat="1" applyFont="1" applyFill="1" applyBorder="1" applyAlignment="1">
      <alignment horizontal="center"/>
    </xf>
    <xf numFmtId="10" fontId="36" fillId="22" borderId="13" xfId="65" applyNumberFormat="1" applyFont="1" applyFill="1" applyBorder="1" applyAlignment="1">
      <alignment horizontal="center"/>
    </xf>
    <xf numFmtId="10" fontId="36" fillId="22" borderId="70" xfId="65" applyNumberFormat="1" applyFont="1" applyFill="1" applyBorder="1" applyAlignment="1">
      <alignment horizontal="center"/>
    </xf>
    <xf numFmtId="169" fontId="36" fillId="22" borderId="71" xfId="65" applyNumberFormat="1" applyFont="1" applyFill="1" applyBorder="1" applyAlignment="1">
      <alignment horizontal="center"/>
    </xf>
    <xf numFmtId="0" fontId="44" fillId="0" borderId="83" xfId="0" applyFont="1" applyBorder="1" applyAlignment="1">
      <alignment/>
    </xf>
    <xf numFmtId="177" fontId="36" fillId="22" borderId="30" xfId="45" applyNumberFormat="1" applyFont="1" applyFill="1" applyBorder="1" applyAlignment="1">
      <alignment horizontal="center"/>
    </xf>
    <xf numFmtId="10" fontId="60" fillId="0" borderId="0" xfId="0" applyNumberFormat="1" applyFont="1" applyAlignment="1">
      <alignment/>
    </xf>
    <xf numFmtId="10" fontId="36" fillId="22" borderId="75" xfId="65" applyNumberFormat="1" applyFont="1" applyFill="1" applyBorder="1" applyAlignment="1">
      <alignment horizontal="center"/>
    </xf>
    <xf numFmtId="10" fontId="36" fillId="22" borderId="31" xfId="65" applyNumberFormat="1" applyFont="1" applyFill="1" applyBorder="1" applyAlignment="1">
      <alignment horizontal="center"/>
    </xf>
    <xf numFmtId="0" fontId="25" fillId="0" borderId="84" xfId="0" applyFont="1" applyFill="1" applyBorder="1" applyAlignment="1">
      <alignment horizontal="center"/>
    </xf>
    <xf numFmtId="177" fontId="40" fillId="7" borderId="63" xfId="45" applyNumberFormat="1" applyFont="1" applyFill="1" applyBorder="1" applyAlignment="1">
      <alignment horizontal="right"/>
    </xf>
    <xf numFmtId="10" fontId="40" fillId="7" borderId="63" xfId="0" applyNumberFormat="1" applyFont="1" applyFill="1" applyBorder="1" applyAlignment="1">
      <alignment horizontal="center"/>
    </xf>
    <xf numFmtId="169" fontId="40" fillId="7" borderId="85" xfId="65" applyNumberFormat="1" applyFont="1" applyFill="1" applyBorder="1" applyAlignment="1">
      <alignment horizontal="center"/>
    </xf>
    <xf numFmtId="10" fontId="60" fillId="0" borderId="0" xfId="62" applyNumberFormat="1" applyFont="1" applyBorder="1" applyAlignment="1" quotePrefix="1">
      <alignment horizontal="center"/>
      <protection/>
    </xf>
    <xf numFmtId="10" fontId="36" fillId="7" borderId="76" xfId="65" applyNumberFormat="1" applyFont="1" applyFill="1" applyBorder="1" applyAlignment="1">
      <alignment horizontal="center"/>
    </xf>
    <xf numFmtId="10" fontId="36" fillId="7" borderId="77" xfId="65" applyNumberFormat="1" applyFont="1" applyFill="1" applyBorder="1" applyAlignment="1">
      <alignment horizontal="center"/>
    </xf>
    <xf numFmtId="0" fontId="62" fillId="0" borderId="0" xfId="62" applyFont="1" applyBorder="1" applyAlignment="1" quotePrefix="1">
      <alignment horizontal="center"/>
      <protection/>
    </xf>
    <xf numFmtId="10" fontId="62" fillId="0" borderId="0" xfId="0" applyNumberFormat="1" applyFont="1" applyBorder="1" applyAlignment="1">
      <alignment/>
    </xf>
    <xf numFmtId="0" fontId="62" fillId="0" borderId="28" xfId="0" applyFont="1" applyBorder="1" applyAlignment="1">
      <alignment/>
    </xf>
    <xf numFmtId="0" fontId="25" fillId="0" borderId="86" xfId="0" applyFont="1" applyBorder="1" applyAlignment="1">
      <alignment/>
    </xf>
    <xf numFmtId="0" fontId="25" fillId="0" borderId="87" xfId="0" applyFont="1" applyBorder="1" applyAlignment="1">
      <alignment horizontal="center"/>
    </xf>
    <xf numFmtId="0" fontId="25" fillId="0" borderId="87" xfId="62" applyFont="1" applyBorder="1" applyAlignment="1">
      <alignment horizontal="center"/>
      <protection/>
    </xf>
    <xf numFmtId="0" fontId="25" fillId="0" borderId="88" xfId="62" applyFont="1" applyBorder="1" applyAlignment="1">
      <alignment horizontal="center"/>
      <protection/>
    </xf>
    <xf numFmtId="0" fontId="44" fillId="0" borderId="65" xfId="0" applyFont="1" applyBorder="1" applyAlignment="1">
      <alignment/>
    </xf>
    <xf numFmtId="177" fontId="36" fillId="22" borderId="66" xfId="45" applyNumberFormat="1" applyFont="1" applyFill="1" applyBorder="1" applyAlignment="1">
      <alignment horizontal="right"/>
    </xf>
    <xf numFmtId="0" fontId="44" fillId="0" borderId="68" xfId="0" applyFont="1" applyBorder="1" applyAlignment="1">
      <alignment/>
    </xf>
    <xf numFmtId="177" fontId="36" fillId="22" borderId="30" xfId="45" applyNumberFormat="1" applyFont="1" applyFill="1" applyBorder="1" applyAlignment="1">
      <alignment horizontal="right"/>
    </xf>
    <xf numFmtId="10" fontId="63" fillId="22" borderId="66" xfId="65" applyNumberFormat="1" applyFont="1" applyFill="1" applyBorder="1" applyAlignment="1">
      <alignment horizontal="center"/>
    </xf>
    <xf numFmtId="169" fontId="63" fillId="22" borderId="67" xfId="65" applyNumberFormat="1" applyFont="1" applyFill="1" applyBorder="1" applyAlignment="1">
      <alignment horizontal="center"/>
    </xf>
    <xf numFmtId="10" fontId="63" fillId="22" borderId="13" xfId="65" applyNumberFormat="1" applyFont="1" applyFill="1" applyBorder="1" applyAlignment="1">
      <alignment horizontal="center"/>
    </xf>
    <xf numFmtId="10" fontId="63" fillId="22" borderId="70" xfId="65" applyNumberFormat="1" applyFont="1" applyFill="1" applyBorder="1" applyAlignment="1">
      <alignment horizontal="center"/>
    </xf>
    <xf numFmtId="169" fontId="63" fillId="22" borderId="71" xfId="65" applyNumberFormat="1" applyFont="1" applyFill="1" applyBorder="1" applyAlignment="1">
      <alignment horizontal="center"/>
    </xf>
    <xf numFmtId="10" fontId="63" fillId="22" borderId="30" xfId="65" applyNumberFormat="1" applyFont="1" applyFill="1" applyBorder="1" applyAlignment="1">
      <alignment horizontal="center"/>
    </xf>
    <xf numFmtId="169" fontId="63" fillId="22" borderId="69" xfId="65" applyNumberFormat="1" applyFont="1" applyFill="1" applyBorder="1" applyAlignment="1">
      <alignment horizontal="center"/>
    </xf>
    <xf numFmtId="10" fontId="64" fillId="0" borderId="0" xfId="0" applyNumberFormat="1" applyFont="1" applyAlignment="1">
      <alignment/>
    </xf>
    <xf numFmtId="10" fontId="63" fillId="22" borderId="75" xfId="65" applyNumberFormat="1" applyFont="1" applyFill="1" applyBorder="1" applyAlignment="1">
      <alignment horizontal="center"/>
    </xf>
    <xf numFmtId="169" fontId="63" fillId="22" borderId="31" xfId="65" applyNumberFormat="1" applyFont="1" applyFill="1" applyBorder="1" applyAlignment="1">
      <alignment horizontal="center"/>
    </xf>
    <xf numFmtId="0" fontId="39" fillId="7" borderId="63" xfId="0" applyFont="1" applyFill="1" applyBorder="1" applyAlignment="1">
      <alignment horizontal="center"/>
    </xf>
    <xf numFmtId="169" fontId="39" fillId="7" borderId="64" xfId="65" applyNumberFormat="1" applyFont="1" applyFill="1" applyBorder="1" applyAlignment="1">
      <alignment horizontal="center"/>
    </xf>
    <xf numFmtId="10" fontId="64" fillId="0" borderId="0" xfId="62" applyNumberFormat="1" applyFont="1" applyBorder="1" applyAlignment="1" quotePrefix="1">
      <alignment horizontal="center"/>
      <protection/>
    </xf>
    <xf numFmtId="10" fontId="63" fillId="7" borderId="76" xfId="65" applyNumberFormat="1" applyFont="1" applyFill="1" applyBorder="1" applyAlignment="1">
      <alignment horizontal="center"/>
    </xf>
    <xf numFmtId="10" fontId="63" fillId="7" borderId="77" xfId="65" applyNumberFormat="1" applyFont="1" applyFill="1" applyBorder="1" applyAlignment="1">
      <alignment horizontal="center"/>
    </xf>
    <xf numFmtId="0" fontId="25" fillId="0" borderId="86" xfId="0" applyFont="1" applyFill="1" applyBorder="1" applyAlignment="1">
      <alignment horizontal="center"/>
    </xf>
    <xf numFmtId="0" fontId="25" fillId="0" borderId="87" xfId="0" applyFont="1" applyFill="1" applyBorder="1" applyAlignment="1">
      <alignment horizontal="center"/>
    </xf>
    <xf numFmtId="0" fontId="25" fillId="0" borderId="87" xfId="62" applyFont="1" applyFill="1" applyBorder="1" applyAlignment="1">
      <alignment horizontal="center"/>
      <protection/>
    </xf>
    <xf numFmtId="0" fontId="62" fillId="0" borderId="28" xfId="0" applyFont="1" applyFill="1" applyBorder="1" applyAlignment="1">
      <alignment/>
    </xf>
    <xf numFmtId="0" fontId="25" fillId="0" borderId="65" xfId="0" applyFont="1" applyFill="1" applyBorder="1" applyAlignment="1">
      <alignment/>
    </xf>
    <xf numFmtId="6" fontId="36" fillId="22" borderId="66" xfId="0" applyNumberFormat="1" applyFont="1" applyFill="1" applyBorder="1" applyAlignment="1">
      <alignment/>
    </xf>
    <xf numFmtId="10" fontId="36" fillId="22" borderId="66" xfId="65" applyNumberFormat="1" applyFont="1" applyFill="1" applyBorder="1" applyAlignment="1">
      <alignment/>
    </xf>
    <xf numFmtId="6" fontId="36" fillId="22" borderId="67" xfId="62" applyNumberFormat="1" applyFont="1" applyFill="1" applyBorder="1" applyAlignment="1">
      <alignment horizontal="right"/>
      <protection/>
    </xf>
    <xf numFmtId="10" fontId="36" fillId="0" borderId="89" xfId="65" applyNumberFormat="1" applyFont="1" applyFill="1" applyBorder="1" applyAlignment="1">
      <alignment horizontal="center"/>
    </xf>
    <xf numFmtId="10" fontId="36" fillId="22" borderId="90" xfId="65" applyNumberFormat="1" applyFont="1" applyFill="1" applyBorder="1" applyAlignment="1">
      <alignment horizontal="center"/>
    </xf>
    <xf numFmtId="169" fontId="44" fillId="0" borderId="28" xfId="65" applyNumberFormat="1" applyFont="1" applyFill="1" applyBorder="1" applyAlignment="1">
      <alignment horizontal="center"/>
    </xf>
    <xf numFmtId="0" fontId="25" fillId="0" borderId="68" xfId="0" applyFont="1" applyFill="1" applyBorder="1" applyAlignment="1">
      <alignment/>
    </xf>
    <xf numFmtId="38" fontId="36" fillId="22" borderId="30" xfId="0" applyNumberFormat="1" applyFont="1" applyFill="1" applyBorder="1" applyAlignment="1">
      <alignment/>
    </xf>
    <xf numFmtId="38" fontId="36" fillId="22" borderId="69" xfId="62" applyNumberFormat="1" applyFont="1" applyFill="1" applyBorder="1" applyAlignment="1">
      <alignment horizontal="right"/>
      <protection/>
    </xf>
    <xf numFmtId="10" fontId="60" fillId="0" borderId="0" xfId="0" applyNumberFormat="1" applyFont="1" applyFill="1" applyAlignment="1">
      <alignment/>
    </xf>
    <xf numFmtId="10" fontId="36" fillId="22" borderId="91" xfId="65" applyNumberFormat="1" applyFont="1" applyFill="1" applyBorder="1" applyAlignment="1">
      <alignment horizontal="center"/>
    </xf>
    <xf numFmtId="10" fontId="44" fillId="0" borderId="28" xfId="65" applyNumberFormat="1" applyFont="1" applyFill="1" applyBorder="1" applyAlignment="1">
      <alignment horizontal="center"/>
    </xf>
    <xf numFmtId="6" fontId="40" fillId="7" borderId="63" xfId="0" applyNumberFormat="1" applyFont="1" applyFill="1" applyBorder="1" applyAlignment="1">
      <alignment/>
    </xf>
    <xf numFmtId="0" fontId="40" fillId="7" borderId="63" xfId="0" applyFont="1" applyFill="1" applyBorder="1" applyAlignment="1">
      <alignment/>
    </xf>
    <xf numFmtId="10" fontId="40" fillId="7" borderId="63" xfId="62" applyNumberFormat="1" applyFont="1" applyFill="1" applyBorder="1">
      <alignment/>
      <protection/>
    </xf>
    <xf numFmtId="6" fontId="40" fillId="7" borderId="64" xfId="62" applyNumberFormat="1" applyFont="1" applyFill="1" applyBorder="1" applyAlignment="1">
      <alignment horizontal="right"/>
      <protection/>
    </xf>
    <xf numFmtId="10" fontId="40" fillId="7" borderId="13" xfId="62" applyNumberFormat="1" applyFont="1" applyFill="1" applyBorder="1" applyAlignment="1" quotePrefix="1">
      <alignment horizontal="center"/>
      <protection/>
    </xf>
    <xf numFmtId="10" fontId="40" fillId="7" borderId="92" xfId="65" applyNumberFormat="1" applyFont="1" applyFill="1" applyBorder="1" applyAlignment="1">
      <alignment horizontal="center"/>
    </xf>
    <xf numFmtId="0" fontId="44" fillId="0" borderId="41" xfId="0" applyFont="1" applyFill="1" applyBorder="1" applyAlignment="1">
      <alignment/>
    </xf>
    <xf numFmtId="0" fontId="44" fillId="0" borderId="3" xfId="0" applyFont="1" applyFill="1" applyBorder="1" applyAlignment="1">
      <alignment/>
    </xf>
    <xf numFmtId="0" fontId="44" fillId="0" borderId="3" xfId="62" applyFont="1" applyFill="1" applyBorder="1">
      <alignment/>
      <protection/>
    </xf>
    <xf numFmtId="0" fontId="44" fillId="0" borderId="3" xfId="62" applyFont="1" applyBorder="1" applyAlignment="1">
      <alignment horizontal="center"/>
      <protection/>
    </xf>
    <xf numFmtId="0" fontId="36" fillId="0" borderId="3" xfId="62" applyFont="1" applyBorder="1" applyAlignment="1" quotePrefix="1">
      <alignment horizontal="center"/>
      <protection/>
    </xf>
    <xf numFmtId="189" fontId="44" fillId="0" borderId="3" xfId="0" applyNumberFormat="1" applyFont="1" applyBorder="1" applyAlignment="1">
      <alignment/>
    </xf>
    <xf numFmtId="0" fontId="44" fillId="0" borderId="50" xfId="0" applyFont="1" applyFill="1" applyBorder="1" applyAlignment="1">
      <alignment/>
    </xf>
    <xf numFmtId="0" fontId="44" fillId="0" borderId="51" xfId="0" applyFont="1" applyFill="1" applyBorder="1" applyAlignment="1">
      <alignment/>
    </xf>
    <xf numFmtId="0" fontId="44" fillId="0" borderId="51" xfId="62" applyFont="1" applyFill="1" applyBorder="1">
      <alignment/>
      <protection/>
    </xf>
    <xf numFmtId="0" fontId="44" fillId="0" borderId="51" xfId="62" applyFont="1" applyBorder="1" applyAlignment="1">
      <alignment horizontal="center"/>
      <protection/>
    </xf>
    <xf numFmtId="0" fontId="36" fillId="0" borderId="51" xfId="62" applyFont="1" applyBorder="1" applyAlignment="1" quotePrefix="1">
      <alignment horizontal="center"/>
      <protection/>
    </xf>
    <xf numFmtId="189" fontId="44" fillId="0" borderId="51" xfId="0" applyNumberFormat="1" applyFont="1" applyBorder="1" applyAlignment="1">
      <alignment/>
    </xf>
    <xf numFmtId="0" fontId="44" fillId="0" borderId="52" xfId="0" applyFont="1" applyBorder="1" applyAlignment="1">
      <alignment/>
    </xf>
    <xf numFmtId="169" fontId="40" fillId="7" borderId="13" xfId="65" applyNumberFormat="1" applyFont="1" applyFill="1" applyBorder="1" applyAlignment="1">
      <alignment horizontal="center"/>
    </xf>
    <xf numFmtId="0" fontId="43" fillId="0" borderId="27" xfId="0" applyFont="1" applyBorder="1" applyAlignment="1">
      <alignment horizontal="left"/>
    </xf>
    <xf numFmtId="0" fontId="44" fillId="0" borderId="93" xfId="0" applyFont="1" applyBorder="1" applyAlignment="1">
      <alignment/>
    </xf>
    <xf numFmtId="0" fontId="44" fillId="0" borderId="33" xfId="0" applyFont="1" applyBorder="1" applyAlignment="1">
      <alignment/>
    </xf>
    <xf numFmtId="0" fontId="44" fillId="0" borderId="94" xfId="0" applyFont="1" applyBorder="1" applyAlignment="1">
      <alignment/>
    </xf>
    <xf numFmtId="177" fontId="36" fillId="22" borderId="75" xfId="45" applyNumberFormat="1" applyFont="1" applyFill="1" applyBorder="1" applyAlignment="1">
      <alignment/>
    </xf>
    <xf numFmtId="177" fontId="36" fillId="22" borderId="30" xfId="45" applyNumberFormat="1" applyFont="1" applyFill="1" applyBorder="1" applyAlignment="1">
      <alignment/>
    </xf>
    <xf numFmtId="177" fontId="36" fillId="22" borderId="31" xfId="45" applyNumberFormat="1" applyFont="1" applyFill="1" applyBorder="1" applyAlignment="1">
      <alignment/>
    </xf>
    <xf numFmtId="0" fontId="43" fillId="0" borderId="41" xfId="0" applyFont="1" applyFill="1" applyBorder="1" applyAlignment="1">
      <alignment horizontal="left"/>
    </xf>
    <xf numFmtId="0" fontId="25" fillId="0" borderId="95" xfId="60" applyFont="1" applyBorder="1" applyAlignment="1" applyProtection="1">
      <alignment horizontal="center"/>
      <protection/>
    </xf>
    <xf numFmtId="0" fontId="25" fillId="0" borderId="62" xfId="0" applyFont="1" applyBorder="1" applyAlignment="1">
      <alignment horizontal="center"/>
    </xf>
    <xf numFmtId="0" fontId="25" fillId="0" borderId="96" xfId="62" applyFont="1" applyBorder="1" applyAlignment="1">
      <alignment horizontal="center"/>
      <protection/>
    </xf>
    <xf numFmtId="177" fontId="36" fillId="22" borderId="66" xfId="45" applyNumberFormat="1" applyFont="1" applyFill="1" applyBorder="1" applyAlignment="1">
      <alignment horizontal="center"/>
    </xf>
    <xf numFmtId="1" fontId="36" fillId="22" borderId="66" xfId="65" applyNumberFormat="1" applyFont="1" applyFill="1" applyBorder="1" applyAlignment="1">
      <alignment horizontal="center"/>
    </xf>
    <xf numFmtId="177" fontId="36" fillId="22" borderId="97" xfId="45" applyNumberFormat="1" applyFont="1" applyFill="1" applyBorder="1" applyAlignment="1">
      <alignment horizontal="center"/>
    </xf>
    <xf numFmtId="177" fontId="40" fillId="7" borderId="63" xfId="45" applyNumberFormat="1" applyFont="1" applyFill="1" applyBorder="1" applyAlignment="1">
      <alignment horizontal="center"/>
    </xf>
    <xf numFmtId="1" fontId="40" fillId="7" borderId="63" xfId="65" applyNumberFormat="1" applyFont="1" applyFill="1" applyBorder="1" applyAlignment="1">
      <alignment horizontal="center"/>
    </xf>
    <xf numFmtId="10" fontId="40" fillId="7" borderId="63" xfId="65" applyNumberFormat="1" applyFont="1" applyFill="1" applyBorder="1" applyAlignment="1">
      <alignment horizontal="center"/>
    </xf>
    <xf numFmtId="177" fontId="40" fillId="7" borderId="96" xfId="45" applyNumberFormat="1" applyFont="1" applyFill="1" applyBorder="1" applyAlignment="1">
      <alignment horizontal="center"/>
    </xf>
    <xf numFmtId="177" fontId="36" fillId="22" borderId="98" xfId="45" applyNumberFormat="1" applyFont="1" applyFill="1" applyBorder="1" applyAlignment="1">
      <alignment/>
    </xf>
    <xf numFmtId="177" fontId="36" fillId="22" borderId="99" xfId="45" applyNumberFormat="1" applyFont="1" applyFill="1" applyBorder="1" applyAlignment="1">
      <alignment/>
    </xf>
    <xf numFmtId="9" fontId="36" fillId="22" borderId="75" xfId="65" applyFont="1" applyFill="1" applyBorder="1" applyAlignment="1">
      <alignment/>
    </xf>
    <xf numFmtId="9" fontId="36" fillId="22" borderId="30" xfId="65" applyFont="1" applyFill="1" applyBorder="1" applyAlignment="1">
      <alignment/>
    </xf>
    <xf numFmtId="9" fontId="36" fillId="22" borderId="31" xfId="65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61" fillId="0" borderId="51" xfId="0" applyFont="1" applyBorder="1" applyAlignment="1">
      <alignment horizontal="centerContinuous"/>
    </xf>
    <xf numFmtId="0" fontId="65" fillId="0" borderId="51" xfId="0" applyFont="1" applyBorder="1" applyAlignment="1">
      <alignment horizontal="centerContinuous"/>
    </xf>
    <xf numFmtId="0" fontId="61" fillId="0" borderId="52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65" fillId="0" borderId="0" xfId="0" applyFont="1" applyBorder="1" applyAlignment="1">
      <alignment horizontal="centerContinuous"/>
    </xf>
    <xf numFmtId="0" fontId="28" fillId="0" borderId="28" xfId="0" applyFont="1" applyBorder="1" applyAlignment="1">
      <alignment horizontal="centerContinuous"/>
    </xf>
    <xf numFmtId="0" fontId="28" fillId="0" borderId="0" xfId="60" applyFont="1" applyBorder="1" applyAlignment="1" applyProtection="1">
      <alignment horizontal="centerContinuous"/>
      <protection/>
    </xf>
    <xf numFmtId="38" fontId="66" fillId="0" borderId="0" xfId="60" applyNumberFormat="1" applyFont="1" applyFill="1" applyBorder="1" applyAlignment="1" applyProtection="1">
      <alignment horizontal="centerContinuous"/>
      <protection/>
    </xf>
    <xf numFmtId="0" fontId="25" fillId="0" borderId="27" xfId="60" applyFont="1" applyFill="1" applyBorder="1" applyAlignment="1" applyProtection="1">
      <alignment horizontal="centerContinuous"/>
      <protection/>
    </xf>
    <xf numFmtId="38" fontId="28" fillId="0" borderId="0" xfId="60" applyNumberFormat="1" applyFont="1" applyFill="1" applyBorder="1" applyAlignment="1">
      <alignment horizontal="centerContinuous"/>
      <protection/>
    </xf>
    <xf numFmtId="0" fontId="0" fillId="0" borderId="0" xfId="0" applyFont="1" applyFill="1" applyAlignment="1">
      <alignment/>
    </xf>
    <xf numFmtId="0" fontId="25" fillId="0" borderId="100" xfId="60" applyFont="1" applyFill="1" applyBorder="1" applyAlignment="1" applyProtection="1">
      <alignment horizontal="centerContinuous" vertical="center"/>
      <protection/>
    </xf>
    <xf numFmtId="0" fontId="25" fillId="0" borderId="101" xfId="60" applyFont="1" applyFill="1" applyBorder="1" applyAlignment="1" applyProtection="1">
      <alignment horizontal="centerContinuous" vertical="center"/>
      <protection/>
    </xf>
    <xf numFmtId="0" fontId="25" fillId="0" borderId="102" xfId="60" applyFont="1" applyFill="1" applyBorder="1" applyAlignment="1" applyProtection="1">
      <alignment horizontal="centerContinuous" vertical="center"/>
      <protection/>
    </xf>
    <xf numFmtId="38" fontId="25" fillId="0" borderId="103" xfId="60" applyNumberFormat="1" applyFont="1" applyBorder="1" applyAlignment="1" applyProtection="1">
      <alignment horizontal="center" vertical="center"/>
      <protection/>
    </xf>
    <xf numFmtId="0" fontId="25" fillId="0" borderId="78" xfId="60" applyFont="1" applyBorder="1" applyAlignment="1" applyProtection="1">
      <alignment horizontal="center" vertical="center"/>
      <protection/>
    </xf>
    <xf numFmtId="0" fontId="25" fillId="0" borderId="78" xfId="60" applyFont="1" applyFill="1" applyBorder="1" applyAlignment="1" applyProtection="1">
      <alignment horizontal="center" vertical="center"/>
      <protection/>
    </xf>
    <xf numFmtId="0" fontId="25" fillId="0" borderId="104" xfId="60" applyFont="1" applyFill="1" applyBorder="1" applyAlignment="1" applyProtection="1">
      <alignment horizontal="center" vertical="center"/>
      <protection/>
    </xf>
    <xf numFmtId="0" fontId="25" fillId="0" borderId="105" xfId="60" applyFont="1" applyBorder="1" applyAlignment="1" applyProtection="1">
      <alignment horizontal="center" vertical="center"/>
      <protection/>
    </xf>
    <xf numFmtId="0" fontId="25" fillId="0" borderId="105" xfId="60" applyFont="1" applyFill="1" applyBorder="1" applyAlignment="1" applyProtection="1">
      <alignment horizontal="center" vertical="center"/>
      <protection/>
    </xf>
    <xf numFmtId="0" fontId="25" fillId="0" borderId="106" xfId="60" applyFont="1" applyFill="1" applyBorder="1" applyAlignment="1" applyProtection="1">
      <alignment horizontal="center" vertical="center"/>
      <protection/>
    </xf>
    <xf numFmtId="38" fontId="25" fillId="0" borderId="105" xfId="60" applyNumberFormat="1" applyFont="1" applyBorder="1" applyAlignment="1" applyProtection="1">
      <alignment horizontal="center" vertical="center"/>
      <protection/>
    </xf>
    <xf numFmtId="38" fontId="25" fillId="0" borderId="107" xfId="60" applyNumberFormat="1" applyFont="1" applyBorder="1" applyAlignment="1" applyProtection="1">
      <alignment horizontal="center" vertical="center"/>
      <protection/>
    </xf>
    <xf numFmtId="38" fontId="67" fillId="0" borderId="0" xfId="60" applyNumberFormat="1" applyFont="1" applyBorder="1" applyProtection="1">
      <alignment/>
      <protection/>
    </xf>
    <xf numFmtId="0" fontId="36" fillId="0" borderId="27" xfId="60" applyFont="1" applyBorder="1" applyAlignment="1" applyProtection="1">
      <alignment horizontal="center"/>
      <protection/>
    </xf>
    <xf numFmtId="0" fontId="39" fillId="0" borderId="0" xfId="60" applyFont="1" applyBorder="1" applyAlignment="1" applyProtection="1">
      <alignment horizontal="center"/>
      <protection/>
    </xf>
    <xf numFmtId="0" fontId="36" fillId="0" borderId="0" xfId="60" applyFont="1" applyBorder="1" applyAlignment="1" applyProtection="1">
      <alignment horizontal="center"/>
      <protection/>
    </xf>
    <xf numFmtId="0" fontId="31" fillId="0" borderId="27" xfId="60" applyFont="1" applyBorder="1" applyAlignment="1" applyProtection="1">
      <alignment horizontal="center"/>
      <protection/>
    </xf>
    <xf numFmtId="0" fontId="36" fillId="0" borderId="0" xfId="60" applyFont="1" applyBorder="1" applyAlignment="1" applyProtection="1">
      <alignment horizontal="left"/>
      <protection/>
    </xf>
    <xf numFmtId="0" fontId="36" fillId="0" borderId="30" xfId="60" applyFont="1" applyBorder="1" applyAlignment="1" applyProtection="1">
      <alignment horizontal="center"/>
      <protection/>
    </xf>
    <xf numFmtId="38" fontId="36" fillId="22" borderId="30" xfId="42" applyNumberFormat="1" applyFont="1" applyFill="1" applyBorder="1" applyAlignment="1">
      <alignment/>
    </xf>
    <xf numFmtId="0" fontId="39" fillId="0" borderId="0" xfId="60" applyFont="1" applyBorder="1" applyAlignment="1" applyProtection="1">
      <alignment horizontal="center"/>
      <protection locked="0"/>
    </xf>
    <xf numFmtId="0" fontId="36" fillId="0" borderId="0" xfId="60" applyFont="1" applyBorder="1" applyAlignment="1" applyProtection="1">
      <alignment horizontal="center"/>
      <protection locked="0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 applyProtection="1">
      <alignment horizontal="right"/>
      <protection/>
    </xf>
    <xf numFmtId="3" fontId="36" fillId="0" borderId="28" xfId="0" applyNumberFormat="1" applyFont="1" applyBorder="1" applyAlignment="1" applyProtection="1">
      <alignment horizontal="right"/>
      <protection/>
    </xf>
    <xf numFmtId="0" fontId="36" fillId="0" borderId="0" xfId="60" applyFont="1" applyBorder="1" applyAlignment="1" applyProtection="1">
      <alignment horizontal="left"/>
      <protection locked="0"/>
    </xf>
    <xf numFmtId="0" fontId="36" fillId="0" borderId="0" xfId="60" applyFont="1" applyBorder="1" applyProtection="1">
      <alignment/>
      <protection locked="0"/>
    </xf>
    <xf numFmtId="0" fontId="36" fillId="0" borderId="30" xfId="60" applyFont="1" applyBorder="1" applyAlignment="1" applyProtection="1">
      <alignment horizontal="center"/>
      <protection locked="0"/>
    </xf>
    <xf numFmtId="38" fontId="36" fillId="26" borderId="30" xfId="42" applyNumberFormat="1" applyFont="1" applyFill="1" applyBorder="1" applyAlignment="1">
      <alignment/>
    </xf>
    <xf numFmtId="0" fontId="39" fillId="7" borderId="30" xfId="60" applyFont="1" applyFill="1" applyBorder="1" applyAlignment="1" applyProtection="1">
      <alignment horizontal="center"/>
      <protection/>
    </xf>
    <xf numFmtId="0" fontId="36" fillId="0" borderId="27" xfId="60" applyFont="1" applyFill="1" applyBorder="1">
      <alignment/>
      <protection/>
    </xf>
    <xf numFmtId="0" fontId="25" fillId="0" borderId="27" xfId="60" applyFont="1" applyFill="1" applyBorder="1">
      <alignment/>
      <protection/>
    </xf>
    <xf numFmtId="0" fontId="31" fillId="0" borderId="41" xfId="60" applyFont="1" applyFill="1" applyBorder="1">
      <alignment/>
      <protection/>
    </xf>
    <xf numFmtId="0" fontId="36" fillId="0" borderId="3" xfId="60" applyFont="1" applyFill="1" applyBorder="1" applyProtection="1">
      <alignment/>
      <protection locked="0"/>
    </xf>
    <xf numFmtId="0" fontId="36" fillId="0" borderId="3" xfId="60" applyFont="1" applyFill="1" applyBorder="1" applyAlignment="1">
      <alignment horizontal="center"/>
      <protection/>
    </xf>
    <xf numFmtId="0" fontId="36" fillId="0" borderId="3" xfId="60" applyFont="1" applyFill="1" applyBorder="1" applyAlignment="1" applyProtection="1">
      <alignment horizontal="center"/>
      <protection/>
    </xf>
    <xf numFmtId="38" fontId="36" fillId="0" borderId="3" xfId="60" applyNumberFormat="1" applyFont="1" applyBorder="1">
      <alignment/>
      <protection/>
    </xf>
    <xf numFmtId="38" fontId="36" fillId="0" borderId="42" xfId="60" applyNumberFormat="1" applyFont="1" applyBorder="1">
      <alignment/>
      <protection/>
    </xf>
    <xf numFmtId="0" fontId="31" fillId="0" borderId="27" xfId="60" applyFont="1" applyFill="1" applyBorder="1">
      <alignment/>
      <protection/>
    </xf>
    <xf numFmtId="0" fontId="62" fillId="0" borderId="30" xfId="60" applyFont="1" applyBorder="1" applyAlignment="1" applyProtection="1">
      <alignment horizontal="center"/>
      <protection/>
    </xf>
    <xf numFmtId="0" fontId="40" fillId="0" borderId="27" xfId="60" applyFont="1" applyFill="1" applyBorder="1">
      <alignment/>
      <protection/>
    </xf>
    <xf numFmtId="0" fontId="39" fillId="0" borderId="0" xfId="60" applyFont="1" applyFill="1" applyBorder="1" applyAlignment="1" applyProtection="1">
      <alignment horizontal="center"/>
      <protection locked="0"/>
    </xf>
    <xf numFmtId="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 applyProtection="1">
      <alignment horizontal="right"/>
      <protection/>
    </xf>
    <xf numFmtId="3" fontId="36" fillId="0" borderId="28" xfId="0" applyNumberFormat="1" applyFont="1" applyFill="1" applyBorder="1" applyAlignment="1" applyProtection="1">
      <alignment horizontal="right"/>
      <protection/>
    </xf>
    <xf numFmtId="0" fontId="31" fillId="0" borderId="3" xfId="60" applyFont="1" applyFill="1" applyBorder="1" applyProtection="1">
      <alignment/>
      <protection locked="0"/>
    </xf>
    <xf numFmtId="0" fontId="31" fillId="0" borderId="3" xfId="60" applyFont="1" applyFill="1" applyBorder="1" applyAlignment="1" applyProtection="1">
      <alignment horizontal="center"/>
      <protection locked="0"/>
    </xf>
    <xf numFmtId="3" fontId="36" fillId="0" borderId="3" xfId="60" applyNumberFormat="1" applyFont="1" applyFill="1" applyBorder="1" applyAlignment="1" applyProtection="1">
      <alignment horizontal="right"/>
      <protection/>
    </xf>
    <xf numFmtId="3" fontId="36" fillId="0" borderId="42" xfId="60" applyNumberFormat="1" applyFont="1" applyFill="1" applyBorder="1" applyAlignment="1" applyProtection="1">
      <alignment horizontal="right"/>
      <protection/>
    </xf>
    <xf numFmtId="0" fontId="39" fillId="7" borderId="66" xfId="60" applyFont="1" applyFill="1" applyBorder="1" applyAlignment="1" applyProtection="1">
      <alignment horizontal="center"/>
      <protection/>
    </xf>
    <xf numFmtId="177" fontId="40" fillId="7" borderId="66" xfId="45" applyNumberFormat="1" applyFont="1" applyFill="1" applyBorder="1" applyAlignment="1">
      <alignment/>
    </xf>
    <xf numFmtId="177" fontId="40" fillId="7" borderId="108" xfId="45" applyNumberFormat="1" applyFont="1" applyFill="1" applyBorder="1" applyAlignment="1">
      <alignment/>
    </xf>
    <xf numFmtId="0" fontId="43" fillId="0" borderId="27" xfId="60" applyFont="1" applyFill="1" applyBorder="1" applyAlignment="1" applyProtection="1">
      <alignment horizontal="left" vertical="center"/>
      <protection/>
    </xf>
    <xf numFmtId="0" fontId="43" fillId="0" borderId="0" xfId="6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>
      <alignment horizontal="left" vertical="center"/>
    </xf>
    <xf numFmtId="0" fontId="31" fillId="0" borderId="0" xfId="60" applyFont="1" applyFill="1" applyBorder="1" applyAlignment="1" applyProtection="1">
      <alignment horizontal="left"/>
      <protection locked="0"/>
    </xf>
    <xf numFmtId="3" fontId="36" fillId="0" borderId="0" xfId="60" applyNumberFormat="1" applyFont="1" applyFill="1" applyBorder="1" applyAlignment="1">
      <alignment horizontal="left"/>
      <protection/>
    </xf>
    <xf numFmtId="3" fontId="36" fillId="0" borderId="28" xfId="60" applyNumberFormat="1" applyFont="1" applyFill="1" applyBorder="1" applyAlignment="1">
      <alignment horizontal="left"/>
      <protection/>
    </xf>
    <xf numFmtId="0" fontId="44" fillId="0" borderId="2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3" fontId="36" fillId="0" borderId="0" xfId="0" applyNumberFormat="1" applyFont="1" applyBorder="1" applyAlignment="1">
      <alignment vertical="center"/>
    </xf>
    <xf numFmtId="3" fontId="36" fillId="0" borderId="0" xfId="60" applyNumberFormat="1" applyFont="1" applyBorder="1">
      <alignment/>
      <protection/>
    </xf>
    <xf numFmtId="3" fontId="36" fillId="0" borderId="28" xfId="60" applyNumberFormat="1" applyFont="1" applyBorder="1">
      <alignment/>
      <protection/>
    </xf>
    <xf numFmtId="0" fontId="67" fillId="0" borderId="0" xfId="0" applyFont="1" applyFill="1" applyBorder="1" applyAlignment="1">
      <alignment/>
    </xf>
    <xf numFmtId="166" fontId="37" fillId="0" borderId="0" xfId="42" applyNumberFormat="1" applyFont="1" applyFill="1" applyBorder="1" applyAlignment="1">
      <alignment/>
    </xf>
    <xf numFmtId="3" fontId="36" fillId="0" borderId="109" xfId="60" applyNumberFormat="1" applyFont="1" applyFill="1" applyBorder="1">
      <alignment/>
      <protection/>
    </xf>
    <xf numFmtId="0" fontId="36" fillId="0" borderId="30" xfId="60" applyNumberFormat="1" applyFont="1" applyBorder="1" applyAlignment="1" applyProtection="1">
      <alignment horizontal="center"/>
      <protection/>
    </xf>
    <xf numFmtId="1" fontId="36" fillId="0" borderId="30" xfId="60" applyNumberFormat="1" applyFont="1" applyBorder="1" applyAlignment="1" applyProtection="1">
      <alignment horizontal="center"/>
      <protection/>
    </xf>
    <xf numFmtId="0" fontId="36" fillId="25" borderId="0" xfId="60" applyFont="1" applyFill="1" applyBorder="1" applyAlignment="1" applyProtection="1">
      <alignment horizontal="left"/>
      <protection locked="0"/>
    </xf>
    <xf numFmtId="177" fontId="39" fillId="7" borderId="30" xfId="45" applyNumberFormat="1" applyFont="1" applyFill="1" applyBorder="1" applyAlignment="1" applyProtection="1">
      <alignment horizontal="center"/>
      <protection/>
    </xf>
    <xf numFmtId="0" fontId="41" fillId="0" borderId="27" xfId="60" applyFont="1" applyFill="1" applyBorder="1">
      <alignment/>
      <protection/>
    </xf>
    <xf numFmtId="0" fontId="31" fillId="0" borderId="0" xfId="60" applyFont="1" applyFill="1" applyBorder="1" applyAlignment="1">
      <alignment horizontal="center"/>
      <protection/>
    </xf>
    <xf numFmtId="38" fontId="67" fillId="0" borderId="3" xfId="60" applyNumberFormat="1" applyFont="1" applyFill="1" applyBorder="1" applyAlignment="1" applyProtection="1">
      <alignment horizontal="right"/>
      <protection/>
    </xf>
    <xf numFmtId="38" fontId="31" fillId="0" borderId="3" xfId="60" applyNumberFormat="1" applyFont="1" applyFill="1" applyBorder="1" applyAlignment="1" applyProtection="1">
      <alignment horizontal="right"/>
      <protection/>
    </xf>
    <xf numFmtId="38" fontId="31" fillId="0" borderId="42" xfId="60" applyNumberFormat="1" applyFont="1" applyFill="1" applyBorder="1" applyAlignment="1" applyProtection="1">
      <alignment horizontal="right"/>
      <protection/>
    </xf>
    <xf numFmtId="0" fontId="67" fillId="0" borderId="0" xfId="0" applyFont="1" applyAlignment="1">
      <alignment/>
    </xf>
    <xf numFmtId="0" fontId="25" fillId="0" borderId="27" xfId="60" applyFont="1" applyBorder="1" applyAlignment="1" applyProtection="1">
      <alignment horizontal="center"/>
      <protection/>
    </xf>
    <xf numFmtId="0" fontId="25" fillId="0" borderId="28" xfId="60" applyFont="1" applyBorder="1" applyAlignment="1" applyProtection="1">
      <alignment horizontal="center"/>
      <protection/>
    </xf>
    <xf numFmtId="0" fontId="30" fillId="0" borderId="5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0" fillId="0" borderId="110" xfId="0" applyBorder="1" applyAlignment="1">
      <alignment/>
    </xf>
    <xf numFmtId="0" fontId="0" fillId="0" borderId="27" xfId="0" applyBorder="1" applyAlignment="1">
      <alignment/>
    </xf>
    <xf numFmtId="0" fontId="0" fillId="0" borderId="53" xfId="0" applyBorder="1" applyAlignment="1">
      <alignment/>
    </xf>
    <xf numFmtId="0" fontId="25" fillId="0" borderId="20" xfId="60" applyFont="1" applyBorder="1" applyAlignment="1" applyProtection="1">
      <alignment horizontal="center" vertical="center"/>
      <protection/>
    </xf>
    <xf numFmtId="0" fontId="25" fillId="0" borderId="13" xfId="60" applyFont="1" applyFill="1" applyBorder="1" applyAlignment="1" applyProtection="1">
      <alignment horizontal="center" vertical="center"/>
      <protection/>
    </xf>
    <xf numFmtId="0" fontId="25" fillId="0" borderId="111" xfId="60" applyFont="1" applyFill="1" applyBorder="1" applyAlignment="1" applyProtection="1">
      <alignment horizontal="center" vertical="center"/>
      <protection/>
    </xf>
    <xf numFmtId="0" fontId="36" fillId="0" borderId="61" xfId="61" applyFont="1" applyBorder="1">
      <alignment/>
      <protection/>
    </xf>
    <xf numFmtId="166" fontId="36" fillId="0" borderId="61" xfId="44" applyNumberFormat="1" applyFont="1" applyFill="1" applyBorder="1" applyAlignment="1">
      <alignment/>
    </xf>
    <xf numFmtId="177" fontId="36" fillId="22" borderId="61" xfId="45" applyNumberFormat="1" applyFont="1" applyFill="1" applyBorder="1" applyAlignment="1">
      <alignment/>
    </xf>
    <xf numFmtId="166" fontId="36" fillId="22" borderId="71" xfId="42" applyNumberFormat="1" applyFont="1" applyFill="1" applyBorder="1" applyAlignment="1">
      <alignment/>
    </xf>
    <xf numFmtId="0" fontId="36" fillId="0" borderId="30" xfId="61" applyFont="1" applyBorder="1">
      <alignment/>
      <protection/>
    </xf>
    <xf numFmtId="166" fontId="36" fillId="0" borderId="30" xfId="44" applyNumberFormat="1" applyFont="1" applyFill="1" applyBorder="1" applyAlignment="1">
      <alignment/>
    </xf>
    <xf numFmtId="41" fontId="36" fillId="22" borderId="30" xfId="45" applyNumberFormat="1" applyFont="1" applyFill="1" applyBorder="1" applyAlignment="1">
      <alignment/>
    </xf>
    <xf numFmtId="177" fontId="40" fillId="22" borderId="30" xfId="45" applyNumberFormat="1" applyFont="1" applyFill="1" applyBorder="1" applyAlignment="1" applyProtection="1">
      <alignment horizontal="right"/>
      <protection/>
    </xf>
    <xf numFmtId="166" fontId="40" fillId="22" borderId="31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Border="1" applyAlignment="1">
      <alignment/>
    </xf>
    <xf numFmtId="177" fontId="40" fillId="7" borderId="112" xfId="45" applyNumberFormat="1" applyFont="1" applyFill="1" applyBorder="1" applyAlignment="1" applyProtection="1">
      <alignment horizontal="right"/>
      <protection/>
    </xf>
    <xf numFmtId="166" fontId="40" fillId="7" borderId="113" xfId="42" applyNumberFormat="1" applyFont="1" applyFill="1" applyBorder="1" applyAlignment="1">
      <alignment/>
    </xf>
    <xf numFmtId="0" fontId="30" fillId="0" borderId="27" xfId="60" applyFont="1" applyFill="1" applyBorder="1" applyAlignment="1" applyProtection="1">
      <alignment horizontal="center"/>
      <protection/>
    </xf>
    <xf numFmtId="0" fontId="30" fillId="0" borderId="0" xfId="60" applyFont="1" applyFill="1" applyBorder="1" applyAlignment="1" applyProtection="1">
      <alignment horizontal="center"/>
      <protection/>
    </xf>
    <xf numFmtId="0" fontId="30" fillId="0" borderId="28" xfId="60" applyFont="1" applyFill="1" applyBorder="1" applyAlignment="1" applyProtection="1">
      <alignment horizontal="center"/>
      <protection/>
    </xf>
    <xf numFmtId="0" fontId="30" fillId="0" borderId="12" xfId="60" applyFont="1" applyFill="1" applyBorder="1" applyAlignment="1" applyProtection="1">
      <alignment horizontal="center"/>
      <protection/>
    </xf>
    <xf numFmtId="0" fontId="25" fillId="0" borderId="24" xfId="60" applyFont="1" applyFill="1" applyBorder="1" applyAlignment="1" applyProtection="1">
      <alignment horizontal="centerContinuous" vertical="center"/>
      <protection/>
    </xf>
    <xf numFmtId="38" fontId="31" fillId="0" borderId="17" xfId="60" applyNumberFormat="1" applyFont="1" applyBorder="1" applyAlignment="1" applyProtection="1">
      <alignment horizontal="center" vertical="center"/>
      <protection/>
    </xf>
    <xf numFmtId="0" fontId="36" fillId="0" borderId="27" xfId="0" applyFont="1" applyBorder="1" applyAlignment="1">
      <alignment/>
    </xf>
    <xf numFmtId="0" fontId="25" fillId="0" borderId="27" xfId="60" applyFont="1" applyBorder="1" applyAlignment="1">
      <alignment horizontal="left"/>
      <protection/>
    </xf>
    <xf numFmtId="0" fontId="44" fillId="0" borderId="0" xfId="0" applyFont="1" applyBorder="1" applyAlignment="1">
      <alignment/>
    </xf>
    <xf numFmtId="0" fontId="44" fillId="0" borderId="0" xfId="62" applyFont="1" applyBorder="1" applyAlignment="1" quotePrefix="1">
      <alignment horizontal="center"/>
      <protection/>
    </xf>
    <xf numFmtId="0" fontId="44" fillId="0" borderId="0" xfId="60" applyFont="1" applyFill="1" applyBorder="1" applyAlignment="1" applyProtection="1">
      <alignment horizontal="center"/>
      <protection locked="0"/>
    </xf>
    <xf numFmtId="38" fontId="44" fillId="0" borderId="0" xfId="62" applyNumberFormat="1" applyFont="1" applyBorder="1">
      <alignment/>
      <protection/>
    </xf>
    <xf numFmtId="38" fontId="44" fillId="0" borderId="0" xfId="0" applyNumberFormat="1" applyFont="1" applyBorder="1" applyAlignment="1" applyProtection="1">
      <alignment horizontal="right"/>
      <protection/>
    </xf>
    <xf numFmtId="38" fontId="44" fillId="0" borderId="28" xfId="0" applyNumberFormat="1" applyFont="1" applyBorder="1" applyAlignment="1" applyProtection="1">
      <alignment horizontal="right"/>
      <protection/>
    </xf>
    <xf numFmtId="0" fontId="36" fillId="0" borderId="30" xfId="62" applyFont="1" applyFill="1" applyBorder="1" applyAlignment="1">
      <alignment horizontal="center"/>
      <protection/>
    </xf>
    <xf numFmtId="0" fontId="36" fillId="0" borderId="30" xfId="62" applyFont="1" applyFill="1" applyBorder="1" applyAlignment="1" quotePrefix="1">
      <alignment horizontal="center"/>
      <protection/>
    </xf>
    <xf numFmtId="0" fontId="36" fillId="0" borderId="30" xfId="62" applyFont="1" applyBorder="1" applyAlignment="1">
      <alignment horizontal="center"/>
      <protection/>
    </xf>
    <xf numFmtId="0" fontId="36" fillId="0" borderId="30" xfId="62" applyFont="1" applyBorder="1" applyAlignment="1" quotePrefix="1">
      <alignment horizontal="center"/>
      <protection/>
    </xf>
    <xf numFmtId="0" fontId="25" fillId="0" borderId="27" xfId="62" applyFont="1" applyFill="1" applyBorder="1">
      <alignment/>
      <protection/>
    </xf>
    <xf numFmtId="0" fontId="25" fillId="0" borderId="0" xfId="62" applyFont="1" applyFill="1" applyBorder="1">
      <alignment/>
      <protection/>
    </xf>
    <xf numFmtId="0" fontId="44" fillId="7" borderId="40" xfId="62" applyFont="1" applyFill="1" applyBorder="1" applyAlignment="1">
      <alignment horizontal="center"/>
      <protection/>
    </xf>
    <xf numFmtId="0" fontId="44" fillId="7" borderId="33" xfId="62" applyFont="1" applyFill="1" applyBorder="1" applyAlignment="1" quotePrefix="1">
      <alignment horizontal="center"/>
      <protection/>
    </xf>
    <xf numFmtId="0" fontId="44" fillId="7" borderId="34" xfId="60" applyFont="1" applyFill="1" applyBorder="1" applyAlignment="1" applyProtection="1">
      <alignment horizontal="center"/>
      <protection locked="0"/>
    </xf>
    <xf numFmtId="38" fontId="36" fillId="0" borderId="0" xfId="62" applyNumberFormat="1" applyFont="1" applyFill="1" applyBorder="1">
      <alignment/>
      <protection/>
    </xf>
    <xf numFmtId="38" fontId="36" fillId="0" borderId="28" xfId="62" applyNumberFormat="1" applyFont="1" applyFill="1" applyBorder="1">
      <alignment/>
      <protection/>
    </xf>
    <xf numFmtId="0" fontId="44" fillId="0" borderId="0" xfId="62" applyFont="1" applyFill="1" applyBorder="1" applyAlignment="1">
      <alignment horizontal="center"/>
      <protection/>
    </xf>
    <xf numFmtId="0" fontId="44" fillId="0" borderId="0" xfId="62" applyFont="1" applyFill="1" applyBorder="1" applyAlignment="1" quotePrefix="1">
      <alignment horizontal="center"/>
      <protection/>
    </xf>
    <xf numFmtId="38" fontId="36" fillId="0" borderId="0" xfId="62" applyNumberFormat="1" applyFont="1" applyBorder="1">
      <alignment/>
      <protection/>
    </xf>
    <xf numFmtId="38" fontId="36" fillId="0" borderId="28" xfId="62" applyNumberFormat="1" applyFont="1" applyBorder="1">
      <alignment/>
      <protection/>
    </xf>
    <xf numFmtId="177" fontId="0" fillId="0" borderId="0" xfId="45" applyNumberFormat="1" applyAlignment="1">
      <alignment/>
    </xf>
    <xf numFmtId="6" fontId="36" fillId="0" borderId="0" xfId="62" applyNumberFormat="1" applyFont="1" applyFill="1" applyBorder="1">
      <alignment/>
      <protection/>
    </xf>
    <xf numFmtId="6" fontId="36" fillId="0" borderId="28" xfId="62" applyNumberFormat="1" applyFont="1" applyFill="1" applyBorder="1">
      <alignment/>
      <protection/>
    </xf>
    <xf numFmtId="6" fontId="44" fillId="0" borderId="0" xfId="62" applyNumberFormat="1" applyFont="1" applyFill="1" applyBorder="1">
      <alignment/>
      <protection/>
    </xf>
    <xf numFmtId="6" fontId="44" fillId="0" borderId="28" xfId="62" applyNumberFormat="1" applyFont="1" applyFill="1" applyBorder="1">
      <alignment/>
      <protection/>
    </xf>
    <xf numFmtId="0" fontId="36" fillId="0" borderId="33" xfId="60" applyFont="1" applyFill="1" applyBorder="1" applyAlignment="1" applyProtection="1">
      <alignment horizontal="center"/>
      <protection/>
    </xf>
    <xf numFmtId="0" fontId="36" fillId="0" borderId="34" xfId="60" applyFont="1" applyFill="1" applyBorder="1" applyAlignment="1" applyProtection="1">
      <alignment horizontal="center"/>
      <protection/>
    </xf>
    <xf numFmtId="6" fontId="44" fillId="0" borderId="3" xfId="0" applyNumberFormat="1" applyFont="1" applyBorder="1" applyAlignment="1">
      <alignment/>
    </xf>
    <xf numFmtId="0" fontId="68" fillId="0" borderId="27" xfId="60" applyFont="1" applyBorder="1" applyAlignment="1" applyProtection="1">
      <alignment horizontal="centerContinuous"/>
      <protection/>
    </xf>
    <xf numFmtId="0" fontId="25" fillId="0" borderId="114" xfId="60" applyFont="1" applyFill="1" applyBorder="1" applyAlignment="1" applyProtection="1">
      <alignment horizontal="centerContinuous" vertical="center"/>
      <protection/>
    </xf>
    <xf numFmtId="0" fontId="31" fillId="0" borderId="59" xfId="60" applyFont="1" applyFill="1" applyBorder="1" applyAlignment="1" applyProtection="1">
      <alignment horizontal="centerContinuous" vertical="center"/>
      <protection/>
    </xf>
    <xf numFmtId="38" fontId="32" fillId="0" borderId="78" xfId="60" applyNumberFormat="1" applyFont="1" applyFill="1" applyBorder="1" applyAlignment="1" applyProtection="1">
      <alignment horizontal="center" vertical="center"/>
      <protection/>
    </xf>
    <xf numFmtId="38" fontId="32" fillId="0" borderId="78" xfId="60" applyNumberFormat="1" applyFont="1" applyBorder="1" applyAlignment="1" applyProtection="1">
      <alignment horizontal="center" vertical="center"/>
      <protection/>
    </xf>
    <xf numFmtId="38" fontId="25" fillId="0" borderId="105" xfId="60" applyNumberFormat="1" applyFont="1" applyFill="1" applyBorder="1" applyAlignment="1" applyProtection="1">
      <alignment horizontal="center" vertical="center"/>
      <protection/>
    </xf>
    <xf numFmtId="0" fontId="25" fillId="0" borderId="27" xfId="60" applyFont="1" applyBorder="1" applyAlignment="1" applyProtection="1">
      <alignment horizontal="left"/>
      <protection/>
    </xf>
    <xf numFmtId="0" fontId="31" fillId="0" borderId="0" xfId="60" applyFont="1" applyBorder="1" applyProtection="1">
      <alignment/>
      <protection locked="0"/>
    </xf>
    <xf numFmtId="0" fontId="35" fillId="0" borderId="0" xfId="60" applyFont="1" applyBorder="1" applyAlignment="1">
      <alignment horizontal="center"/>
      <protection/>
    </xf>
    <xf numFmtId="0" fontId="35" fillId="0" borderId="0" xfId="60" applyFont="1" applyBorder="1" applyAlignment="1" applyProtection="1">
      <alignment horizontal="center"/>
      <protection locked="0"/>
    </xf>
    <xf numFmtId="0" fontId="40" fillId="0" borderId="27" xfId="60" applyFont="1" applyBorder="1" applyAlignment="1" applyProtection="1">
      <alignment horizontal="left"/>
      <protection/>
    </xf>
    <xf numFmtId="0" fontId="36" fillId="0" borderId="30" xfId="60" applyFont="1" applyBorder="1" applyAlignment="1">
      <alignment horizontal="center"/>
      <protection/>
    </xf>
    <xf numFmtId="166" fontId="36" fillId="22" borderId="115" xfId="42" applyNumberFormat="1" applyFont="1" applyFill="1" applyBorder="1" applyAlignment="1">
      <alignment/>
    </xf>
    <xf numFmtId="0" fontId="46" fillId="0" borderId="0" xfId="60" applyFont="1" applyBorder="1" applyProtection="1">
      <alignment/>
      <protection locked="0"/>
    </xf>
    <xf numFmtId="0" fontId="46" fillId="0" borderId="0" xfId="60" applyFont="1" applyBorder="1" applyAlignment="1" applyProtection="1">
      <alignment horizontal="left"/>
      <protection locked="0"/>
    </xf>
    <xf numFmtId="166" fontId="36" fillId="22" borderId="116" xfId="42" applyNumberFormat="1" applyFont="1" applyFill="1" applyBorder="1" applyAlignment="1">
      <alignment/>
    </xf>
    <xf numFmtId="0" fontId="44" fillId="0" borderId="0" xfId="60" applyFont="1" applyFill="1" applyBorder="1" applyAlignment="1" applyProtection="1">
      <alignment horizontal="left"/>
      <protection/>
    </xf>
    <xf numFmtId="0" fontId="44" fillId="7" borderId="117" xfId="60" applyFont="1" applyFill="1" applyBorder="1" applyAlignment="1" applyProtection="1">
      <alignment horizontal="center"/>
      <protection/>
    </xf>
    <xf numFmtId="0" fontId="44" fillId="7" borderId="118" xfId="60" applyFont="1" applyFill="1" applyBorder="1" applyAlignment="1" applyProtection="1">
      <alignment horizontal="center"/>
      <protection/>
    </xf>
    <xf numFmtId="0" fontId="44" fillId="7" borderId="34" xfId="60" applyFont="1" applyFill="1" applyBorder="1" applyAlignment="1" applyProtection="1">
      <alignment horizontal="center"/>
      <protection/>
    </xf>
    <xf numFmtId="177" fontId="40" fillId="7" borderId="115" xfId="45" applyNumberFormat="1" applyFont="1" applyFill="1" applyBorder="1" applyAlignment="1">
      <alignment/>
    </xf>
    <xf numFmtId="177" fontId="40" fillId="7" borderId="116" xfId="45" applyNumberFormat="1" applyFont="1" applyFill="1" applyBorder="1" applyAlignment="1">
      <alignment/>
    </xf>
    <xf numFmtId="0" fontId="36" fillId="0" borderId="27" xfId="60" applyFont="1" applyFill="1" applyBorder="1" applyAlignment="1" applyProtection="1">
      <alignment horizontal="left"/>
      <protection/>
    </xf>
    <xf numFmtId="0" fontId="44" fillId="0" borderId="0" xfId="60" applyFont="1" applyFill="1" applyBorder="1" applyAlignment="1" applyProtection="1">
      <alignment horizontal="center"/>
      <protection/>
    </xf>
    <xf numFmtId="38" fontId="44" fillId="0" borderId="0" xfId="60" applyNumberFormat="1" applyFont="1" applyFill="1" applyBorder="1" applyAlignment="1" applyProtection="1">
      <alignment horizontal="right"/>
      <protection/>
    </xf>
    <xf numFmtId="38" fontId="44" fillId="0" borderId="28" xfId="60" applyNumberFormat="1" applyFont="1" applyFill="1" applyBorder="1" applyAlignment="1" applyProtection="1">
      <alignment horizontal="right"/>
      <protection/>
    </xf>
    <xf numFmtId="0" fontId="40" fillId="0" borderId="27" xfId="60" applyFont="1" applyFill="1" applyBorder="1" applyAlignment="1" applyProtection="1">
      <alignment horizontal="left"/>
      <protection/>
    </xf>
    <xf numFmtId="0" fontId="36" fillId="0" borderId="30" xfId="60" applyFont="1" applyFill="1" applyBorder="1" applyAlignment="1">
      <alignment horizontal="center"/>
      <protection/>
    </xf>
    <xf numFmtId="166" fontId="36" fillId="27" borderId="115" xfId="42" applyNumberFormat="1" applyFont="1" applyFill="1" applyBorder="1" applyAlignment="1">
      <alignment/>
    </xf>
    <xf numFmtId="0" fontId="44" fillId="0" borderId="0" xfId="60" applyFont="1" applyFill="1" applyBorder="1" applyProtection="1">
      <alignment/>
      <protection/>
    </xf>
    <xf numFmtId="0" fontId="36" fillId="0" borderId="27" xfId="60" applyFont="1" applyFill="1" applyBorder="1" applyProtection="1">
      <alignment/>
      <protection/>
    </xf>
    <xf numFmtId="0" fontId="36" fillId="0" borderId="27" xfId="60" applyFont="1" applyFill="1" applyBorder="1" applyAlignment="1" applyProtection="1">
      <alignment horizontal="center"/>
      <protection/>
    </xf>
    <xf numFmtId="0" fontId="44" fillId="7" borderId="40" xfId="60" applyFont="1" applyFill="1" applyBorder="1" applyAlignment="1" applyProtection="1">
      <alignment horizontal="center"/>
      <protection/>
    </xf>
    <xf numFmtId="0" fontId="44" fillId="7" borderId="33" xfId="60" applyFont="1" applyFill="1" applyBorder="1" applyAlignment="1" applyProtection="1">
      <alignment horizontal="center"/>
      <protection/>
    </xf>
    <xf numFmtId="0" fontId="44" fillId="7" borderId="119" xfId="60" applyFont="1" applyFill="1" applyBorder="1" applyAlignment="1" applyProtection="1">
      <alignment horizontal="center"/>
      <protection/>
    </xf>
    <xf numFmtId="0" fontId="42" fillId="0" borderId="27" xfId="60" applyFont="1" applyFill="1" applyBorder="1" applyProtection="1">
      <alignment/>
      <protection/>
    </xf>
    <xf numFmtId="177" fontId="40" fillId="7" borderId="120" xfId="45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7" xfId="0" applyFont="1" applyBorder="1" applyAlignment="1">
      <alignment/>
    </xf>
    <xf numFmtId="0" fontId="25" fillId="0" borderId="27" xfId="60" applyFont="1" applyFill="1" applyBorder="1" applyAlignment="1" applyProtection="1">
      <alignment horizontal="center"/>
      <protection/>
    </xf>
    <xf numFmtId="0" fontId="25" fillId="0" borderId="28" xfId="60" applyFont="1" applyFill="1" applyBorder="1" applyAlignment="1" applyProtection="1">
      <alignment horizontal="center"/>
      <protection/>
    </xf>
    <xf numFmtId="0" fontId="30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69" fillId="0" borderId="27" xfId="0" applyFont="1" applyBorder="1" applyAlignment="1">
      <alignment horizontal="centerContinuous"/>
    </xf>
    <xf numFmtId="38" fontId="25" fillId="0" borderId="13" xfId="60" applyNumberFormat="1" applyFont="1" applyFill="1" applyBorder="1" applyAlignment="1" applyProtection="1">
      <alignment horizontal="center" vertical="center"/>
      <protection/>
    </xf>
    <xf numFmtId="38" fontId="25" fillId="0" borderId="13" xfId="60" applyNumberFormat="1" applyFont="1" applyBorder="1" applyAlignment="1" applyProtection="1">
      <alignment horizontal="center" vertical="center"/>
      <protection/>
    </xf>
    <xf numFmtId="38" fontId="25" fillId="0" borderId="111" xfId="60" applyNumberFormat="1" applyFont="1" applyBorder="1" applyAlignment="1" applyProtection="1">
      <alignment horizontal="center" vertical="center"/>
      <protection/>
    </xf>
    <xf numFmtId="0" fontId="35" fillId="0" borderId="0" xfId="60" applyFont="1" applyFill="1" applyBorder="1" applyAlignment="1" applyProtection="1">
      <alignment horizontal="center"/>
      <protection/>
    </xf>
    <xf numFmtId="177" fontId="44" fillId="8" borderId="13" xfId="45" applyNumberFormat="1" applyFont="1" applyFill="1" applyBorder="1" applyAlignment="1" applyProtection="1">
      <alignment horizontal="right"/>
      <protection/>
    </xf>
    <xf numFmtId="177" fontId="44" fillId="8" borderId="111" xfId="45" applyNumberFormat="1" applyFont="1" applyFill="1" applyBorder="1" applyAlignment="1" applyProtection="1">
      <alignment horizontal="right"/>
      <protection/>
    </xf>
    <xf numFmtId="0" fontId="70" fillId="0" borderId="27" xfId="60" applyFont="1" applyBorder="1" applyProtection="1">
      <alignment/>
      <protection/>
    </xf>
    <xf numFmtId="177" fontId="25" fillId="8" borderId="13" xfId="45" applyNumberFormat="1" applyFont="1" applyFill="1" applyBorder="1" applyAlignment="1" applyProtection="1">
      <alignment horizontal="right"/>
      <protection/>
    </xf>
    <xf numFmtId="0" fontId="36" fillId="0" borderId="40" xfId="60" applyFont="1" applyFill="1" applyBorder="1" applyAlignment="1" applyProtection="1">
      <alignment horizontal="center"/>
      <protection/>
    </xf>
    <xf numFmtId="177" fontId="25" fillId="8" borderId="111" xfId="45" applyNumberFormat="1" applyFont="1" applyFill="1" applyBorder="1" applyAlignment="1" applyProtection="1">
      <alignment horizontal="right"/>
      <protection/>
    </xf>
    <xf numFmtId="0" fontId="0" fillId="0" borderId="0" xfId="60" applyFont="1" applyFill="1" applyBorder="1" applyAlignment="1" applyProtection="1">
      <alignment horizontal="center"/>
      <protection/>
    </xf>
    <xf numFmtId="0" fontId="44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25" fillId="8" borderId="121" xfId="60" applyFont="1" applyFill="1" applyBorder="1" applyProtection="1">
      <alignment/>
      <protection/>
    </xf>
    <xf numFmtId="0" fontId="0" fillId="0" borderId="0" xfId="60" applyFont="1" applyBorder="1" applyAlignment="1" applyProtection="1">
      <alignment horizontal="center"/>
      <protection/>
    </xf>
    <xf numFmtId="38" fontId="26" fillId="0" borderId="0" xfId="60" applyNumberFormat="1" applyFont="1" applyBorder="1" applyAlignment="1" applyProtection="1">
      <alignment horizontal="center"/>
      <protection/>
    </xf>
    <xf numFmtId="0" fontId="44" fillId="0" borderId="27" xfId="60" applyFont="1" applyBorder="1" applyProtection="1">
      <alignment/>
      <protection/>
    </xf>
    <xf numFmtId="177" fontId="44" fillId="22" borderId="90" xfId="45" applyNumberFormat="1" applyFont="1" applyFill="1" applyBorder="1" applyAlignment="1" applyProtection="1">
      <alignment horizontal="right"/>
      <protection/>
    </xf>
    <xf numFmtId="38" fontId="26" fillId="0" borderId="28" xfId="60" applyNumberFormat="1" applyFont="1" applyBorder="1" applyAlignment="1" applyProtection="1">
      <alignment horizontal="center"/>
      <protection/>
    </xf>
    <xf numFmtId="38" fontId="32" fillId="0" borderId="0" xfId="60" applyNumberFormat="1" applyFont="1" applyBorder="1" applyAlignment="1" applyProtection="1">
      <alignment horizontal="center"/>
      <protection/>
    </xf>
    <xf numFmtId="177" fontId="44" fillId="22" borderId="91" xfId="45" applyNumberFormat="1" applyFont="1" applyFill="1" applyBorder="1" applyAlignment="1" applyProtection="1">
      <alignment horizontal="right"/>
      <protection/>
    </xf>
    <xf numFmtId="38" fontId="0" fillId="0" borderId="28" xfId="0" applyNumberFormat="1" applyFont="1" applyBorder="1" applyAlignment="1">
      <alignment/>
    </xf>
    <xf numFmtId="38" fontId="32" fillId="0" borderId="0" xfId="60" applyNumberFormat="1" applyFont="1" applyFill="1" applyBorder="1" applyAlignment="1" applyProtection="1">
      <alignment horizontal="center"/>
      <protection/>
    </xf>
    <xf numFmtId="177" fontId="44" fillId="22" borderId="92" xfId="45" applyNumberFormat="1" applyFont="1" applyFill="1" applyBorder="1" applyAlignment="1" applyProtection="1">
      <alignment horizontal="center"/>
      <protection/>
    </xf>
    <xf numFmtId="38" fontId="36" fillId="0" borderId="0" xfId="60" applyNumberFormat="1" applyFont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44" fillId="22" borderId="90" xfId="60" applyNumberFormat="1" applyFont="1" applyFill="1" applyBorder="1" applyAlignment="1" applyProtection="1">
      <alignment horizontal="right"/>
      <protection/>
    </xf>
    <xf numFmtId="38" fontId="0" fillId="0" borderId="0" xfId="60" applyNumberFormat="1" applyFont="1" applyBorder="1" applyAlignment="1" applyProtection="1">
      <alignment horizontal="left"/>
      <protection locked="0"/>
    </xf>
    <xf numFmtId="38" fontId="31" fillId="0" borderId="0" xfId="60" applyNumberFormat="1" applyFont="1" applyBorder="1" applyProtection="1">
      <alignment/>
      <protection locked="0"/>
    </xf>
    <xf numFmtId="38" fontId="44" fillId="22" borderId="91" xfId="60" applyNumberFormat="1" applyFont="1" applyFill="1" applyBorder="1" applyAlignment="1" applyProtection="1">
      <alignment horizontal="right"/>
      <protection/>
    </xf>
    <xf numFmtId="38" fontId="31" fillId="0" borderId="0" xfId="60" applyNumberFormat="1" applyFont="1" applyBorder="1" applyAlignment="1" applyProtection="1">
      <alignment horizontal="center"/>
      <protection locked="0"/>
    </xf>
    <xf numFmtId="38" fontId="44" fillId="22" borderId="92" xfId="60" applyNumberFormat="1" applyFont="1" applyFill="1" applyBorder="1" applyAlignment="1" applyProtection="1">
      <alignment horizontal="right"/>
      <protection/>
    </xf>
    <xf numFmtId="38" fontId="26" fillId="0" borderId="0" xfId="60" applyNumberFormat="1" applyFont="1" applyBorder="1" applyAlignment="1" applyProtection="1">
      <alignment horizontal="left"/>
      <protection/>
    </xf>
    <xf numFmtId="38" fontId="25" fillId="8" borderId="13" xfId="60" applyNumberFormat="1" applyFont="1" applyFill="1" applyBorder="1" applyAlignment="1" applyProtection="1">
      <alignment horizontal="right"/>
      <protection/>
    </xf>
    <xf numFmtId="0" fontId="44" fillId="0" borderId="28" xfId="60" applyFont="1" applyBorder="1" applyAlignment="1">
      <alignment horizontal="center"/>
      <protection/>
    </xf>
    <xf numFmtId="0" fontId="31" fillId="0" borderId="27" xfId="60" applyFont="1" applyBorder="1" applyProtection="1">
      <alignment/>
      <protection/>
    </xf>
    <xf numFmtId="38" fontId="26" fillId="0" borderId="0" xfId="60" applyNumberFormat="1" applyFont="1" applyBorder="1" applyAlignment="1" applyProtection="1">
      <alignment horizontal="right"/>
      <protection/>
    </xf>
    <xf numFmtId="0" fontId="25" fillId="7" borderId="122" xfId="60" applyFont="1" applyFill="1" applyBorder="1" applyAlignment="1" applyProtection="1">
      <alignment horizontal="center"/>
      <protection/>
    </xf>
    <xf numFmtId="0" fontId="22" fillId="8" borderId="121" xfId="60" applyFont="1" applyFill="1" applyBorder="1" applyProtection="1">
      <alignment/>
      <protection/>
    </xf>
    <xf numFmtId="0" fontId="71" fillId="0" borderId="0" xfId="60" applyFont="1" applyBorder="1" applyAlignment="1">
      <alignment horizontal="center"/>
      <protection/>
    </xf>
    <xf numFmtId="0" fontId="71" fillId="0" borderId="0" xfId="60" applyFont="1" applyBorder="1" applyAlignment="1" applyProtection="1">
      <alignment horizontal="center"/>
      <protection/>
    </xf>
    <xf numFmtId="2" fontId="22" fillId="8" borderId="13" xfId="45" applyNumberFormat="1" applyFont="1" applyFill="1" applyBorder="1" applyAlignment="1" applyProtection="1">
      <alignment horizontal="right"/>
      <protection/>
    </xf>
    <xf numFmtId="0" fontId="44" fillId="0" borderId="0" xfId="0" applyFont="1" applyAlignment="1">
      <alignment/>
    </xf>
    <xf numFmtId="0" fontId="25" fillId="7" borderId="123" xfId="60" applyFont="1" applyFill="1" applyBorder="1" applyAlignment="1" applyProtection="1">
      <alignment/>
      <protection/>
    </xf>
    <xf numFmtId="0" fontId="25" fillId="0" borderId="124" xfId="60" applyFont="1" applyFill="1" applyBorder="1" applyAlignment="1" applyProtection="1">
      <alignment/>
      <protection/>
    </xf>
    <xf numFmtId="0" fontId="25" fillId="22" borderId="125" xfId="60" applyFont="1" applyFill="1" applyBorder="1" applyAlignment="1" applyProtection="1">
      <alignment/>
      <protection/>
    </xf>
    <xf numFmtId="14" fontId="25" fillId="7" borderId="126" xfId="60" applyNumberFormat="1" applyFont="1" applyFill="1" applyBorder="1" applyAlignment="1" applyProtection="1">
      <alignment/>
      <protection/>
    </xf>
    <xf numFmtId="0" fontId="25" fillId="22" borderId="127" xfId="60" applyFont="1" applyFill="1" applyBorder="1" applyAlignment="1" applyProtection="1">
      <alignment/>
      <protection/>
    </xf>
    <xf numFmtId="14" fontId="25" fillId="7" borderId="128" xfId="60" applyNumberFormat="1" applyFont="1" applyFill="1" applyBorder="1" applyAlignment="1" applyProtection="1">
      <alignment/>
      <protection/>
    </xf>
    <xf numFmtId="0" fontId="25" fillId="22" borderId="129" xfId="60" applyFont="1" applyFill="1" applyBorder="1" applyAlignment="1" applyProtection="1">
      <alignment/>
      <protection/>
    </xf>
    <xf numFmtId="0" fontId="25" fillId="0" borderId="78" xfId="60" applyFont="1" applyFill="1" applyBorder="1" applyAlignment="1" applyProtection="1">
      <alignment horizontal="centerContinuous"/>
      <protection/>
    </xf>
    <xf numFmtId="0" fontId="25" fillId="0" borderId="19" xfId="60" applyFont="1" applyBorder="1" applyAlignment="1" applyProtection="1">
      <alignment horizontal="center"/>
      <protection/>
    </xf>
    <xf numFmtId="0" fontId="25" fillId="0" borderId="24" xfId="60" applyFont="1" applyBorder="1" applyAlignment="1" applyProtection="1">
      <alignment horizontal="center"/>
      <protection/>
    </xf>
    <xf numFmtId="0" fontId="25" fillId="0" borderId="27" xfId="61" applyFont="1" applyBorder="1">
      <alignment/>
      <protection/>
    </xf>
    <xf numFmtId="0" fontId="25" fillId="0" borderId="0" xfId="61" applyFont="1" applyBorder="1">
      <alignment/>
      <protection/>
    </xf>
    <xf numFmtId="43" fontId="37" fillId="0" borderId="0" xfId="42" applyFont="1" applyFill="1" applyBorder="1" applyAlignment="1">
      <alignment/>
    </xf>
    <xf numFmtId="0" fontId="37" fillId="0" borderId="28" xfId="0" applyFont="1" applyBorder="1" applyAlignment="1">
      <alignment/>
    </xf>
    <xf numFmtId="0" fontId="36" fillId="0" borderId="27" xfId="61" applyFont="1" applyBorder="1">
      <alignment/>
      <protection/>
    </xf>
    <xf numFmtId="0" fontId="36" fillId="0" borderId="0" xfId="61" applyFont="1" applyBorder="1">
      <alignment/>
      <protection/>
    </xf>
    <xf numFmtId="166" fontId="36" fillId="0" borderId="30" xfId="42" applyNumberFormat="1" applyFont="1" applyFill="1" applyBorder="1" applyAlignment="1">
      <alignment horizontal="center"/>
    </xf>
    <xf numFmtId="3" fontId="36" fillId="22" borderId="31" xfId="0" applyNumberFormat="1" applyFont="1" applyFill="1" applyBorder="1" applyAlignment="1">
      <alignment/>
    </xf>
    <xf numFmtId="0" fontId="44" fillId="0" borderId="0" xfId="61" applyFont="1" applyBorder="1">
      <alignment/>
      <protection/>
    </xf>
    <xf numFmtId="38" fontId="36" fillId="7" borderId="40" xfId="60" applyNumberFormat="1" applyFont="1" applyFill="1" applyBorder="1" applyAlignment="1" applyProtection="1">
      <alignment horizontal="right"/>
      <protection/>
    </xf>
    <xf numFmtId="189" fontId="40" fillId="7" borderId="94" xfId="0" applyNumberFormat="1" applyFont="1" applyFill="1" applyBorder="1" applyAlignment="1">
      <alignment/>
    </xf>
    <xf numFmtId="38" fontId="36" fillId="0" borderId="130" xfId="60" applyNumberFormat="1" applyFont="1" applyFill="1" applyBorder="1" applyAlignment="1" applyProtection="1">
      <alignment horizontal="right"/>
      <protection/>
    </xf>
    <xf numFmtId="43" fontId="36" fillId="0" borderId="130" xfId="42" applyFont="1" applyFill="1" applyBorder="1" applyAlignment="1">
      <alignment/>
    </xf>
    <xf numFmtId="0" fontId="37" fillId="0" borderId="41" xfId="0" applyFont="1" applyBorder="1" applyAlignment="1">
      <alignment/>
    </xf>
    <xf numFmtId="0" fontId="37" fillId="0" borderId="3" xfId="0" applyFont="1" applyBorder="1" applyAlignment="1">
      <alignment/>
    </xf>
    <xf numFmtId="43" fontId="67" fillId="0" borderId="3" xfId="42" applyFont="1" applyFill="1" applyBorder="1" applyAlignment="1">
      <alignment/>
    </xf>
    <xf numFmtId="0" fontId="37" fillId="0" borderId="42" xfId="0" applyFont="1" applyBorder="1" applyAlignment="1">
      <alignment/>
    </xf>
    <xf numFmtId="43" fontId="37" fillId="0" borderId="0" xfId="42" applyFont="1" applyAlignment="1">
      <alignment/>
    </xf>
    <xf numFmtId="0" fontId="22" fillId="0" borderId="131" xfId="0" applyFont="1" applyBorder="1" applyAlignment="1">
      <alignment horizontal="centerContinuous"/>
    </xf>
    <xf numFmtId="0" fontId="22" fillId="0" borderId="132" xfId="0" applyFont="1" applyBorder="1" applyAlignment="1">
      <alignment horizontal="centerContinuous"/>
    </xf>
    <xf numFmtId="0" fontId="37" fillId="0" borderId="132" xfId="0" applyFont="1" applyBorder="1" applyAlignment="1">
      <alignment horizontal="centerContinuous"/>
    </xf>
    <xf numFmtId="43" fontId="37" fillId="0" borderId="132" xfId="42" applyFont="1" applyBorder="1" applyAlignment="1">
      <alignment horizontal="centerContinuous"/>
    </xf>
    <xf numFmtId="177" fontId="73" fillId="0" borderId="132" xfId="45" applyNumberFormat="1" applyFont="1" applyBorder="1" applyAlignment="1">
      <alignment horizontal="centerContinuous"/>
    </xf>
    <xf numFmtId="177" fontId="73" fillId="0" borderId="133" xfId="45" applyNumberFormat="1" applyFont="1" applyBorder="1" applyAlignment="1">
      <alignment horizontal="centerContinuous"/>
    </xf>
    <xf numFmtId="0" fontId="73" fillId="0" borderId="0" xfId="59" applyFont="1">
      <alignment/>
      <protection/>
    </xf>
    <xf numFmtId="0" fontId="25" fillId="0" borderId="134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43" fontId="37" fillId="0" borderId="0" xfId="42" applyFont="1" applyBorder="1" applyAlignment="1">
      <alignment horizontal="centerContinuous"/>
    </xf>
    <xf numFmtId="177" fontId="73" fillId="0" borderId="0" xfId="45" applyNumberFormat="1" applyFont="1" applyBorder="1" applyAlignment="1">
      <alignment horizontal="centerContinuous"/>
    </xf>
    <xf numFmtId="177" fontId="73" fillId="0" borderId="135" xfId="45" applyNumberFormat="1" applyFont="1" applyBorder="1" applyAlignment="1">
      <alignment horizontal="centerContinuous"/>
    </xf>
    <xf numFmtId="0" fontId="25" fillId="0" borderId="134" xfId="60" applyFont="1" applyBorder="1" applyAlignment="1" applyProtection="1">
      <alignment horizontal="centerContinuous"/>
      <protection/>
    </xf>
    <xf numFmtId="0" fontId="30" fillId="0" borderId="134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136" xfId="0" applyFont="1" applyBorder="1" applyAlignment="1">
      <alignment horizontal="centerContinuous"/>
    </xf>
    <xf numFmtId="0" fontId="68" fillId="0" borderId="137" xfId="0" applyFont="1" applyBorder="1" applyAlignment="1">
      <alignment horizontal="centerContinuous"/>
    </xf>
    <xf numFmtId="0" fontId="37" fillId="0" borderId="137" xfId="0" applyFont="1" applyBorder="1" applyAlignment="1">
      <alignment horizontal="centerContinuous"/>
    </xf>
    <xf numFmtId="43" fontId="37" fillId="0" borderId="137" xfId="42" applyFont="1" applyBorder="1" applyAlignment="1">
      <alignment horizontal="centerContinuous"/>
    </xf>
    <xf numFmtId="177" fontId="73" fillId="0" borderId="137" xfId="45" applyNumberFormat="1" applyFont="1" applyBorder="1" applyAlignment="1">
      <alignment horizontal="centerContinuous"/>
    </xf>
    <xf numFmtId="177" fontId="73" fillId="0" borderId="138" xfId="45" applyNumberFormat="1" applyFont="1" applyBorder="1" applyAlignment="1">
      <alignment horizontal="centerContinuous"/>
    </xf>
    <xf numFmtId="0" fontId="25" fillId="0" borderId="134" xfId="59" applyFont="1" applyBorder="1">
      <alignment/>
      <protection/>
    </xf>
    <xf numFmtId="0" fontId="44" fillId="0" borderId="0" xfId="59" applyFont="1" applyBorder="1">
      <alignment/>
      <protection/>
    </xf>
    <xf numFmtId="0" fontId="73" fillId="0" borderId="0" xfId="59" applyFont="1" applyBorder="1">
      <alignment/>
      <protection/>
    </xf>
    <xf numFmtId="166" fontId="44" fillId="0" borderId="0" xfId="42" applyNumberFormat="1" applyFont="1" applyFill="1" applyBorder="1" applyAlignment="1">
      <alignment/>
    </xf>
    <xf numFmtId="166" fontId="44" fillId="0" borderId="135" xfId="42" applyNumberFormat="1" applyFont="1" applyFill="1" applyBorder="1" applyAlignment="1">
      <alignment/>
    </xf>
    <xf numFmtId="0" fontId="22" fillId="0" borderId="134" xfId="59" applyFont="1" applyBorder="1">
      <alignment/>
      <protection/>
    </xf>
    <xf numFmtId="0" fontId="44" fillId="0" borderId="139" xfId="59" applyFont="1" applyBorder="1">
      <alignment/>
      <protection/>
    </xf>
    <xf numFmtId="0" fontId="25" fillId="0" borderId="115" xfId="59" applyFont="1" applyBorder="1" applyAlignment="1">
      <alignment horizontal="center" vertical="center"/>
      <protection/>
    </xf>
    <xf numFmtId="177" fontId="25" fillId="0" borderId="115" xfId="45" applyNumberFormat="1" applyFont="1" applyBorder="1" applyAlignment="1">
      <alignment horizontal="center" vertical="center"/>
    </xf>
    <xf numFmtId="177" fontId="25" fillId="0" borderId="116" xfId="45" applyNumberFormat="1" applyFont="1" applyBorder="1" applyAlignment="1">
      <alignment horizontal="center" vertical="center"/>
    </xf>
    <xf numFmtId="0" fontId="44" fillId="0" borderId="115" xfId="59" applyFont="1" applyBorder="1">
      <alignment/>
      <protection/>
    </xf>
    <xf numFmtId="177" fontId="44" fillId="22" borderId="115" xfId="45" applyNumberFormat="1" applyFont="1" applyFill="1" applyBorder="1" applyAlignment="1">
      <alignment/>
    </xf>
    <xf numFmtId="177" fontId="44" fillId="22" borderId="116" xfId="45" applyNumberFormat="1" applyFont="1" applyFill="1" applyBorder="1" applyAlignment="1">
      <alignment/>
    </xf>
    <xf numFmtId="166" fontId="44" fillId="22" borderId="115" xfId="42" applyNumberFormat="1" applyFont="1" applyFill="1" applyBorder="1" applyAlignment="1">
      <alignment/>
    </xf>
    <xf numFmtId="166" fontId="44" fillId="22" borderId="116" xfId="42" applyNumberFormat="1" applyFont="1" applyFill="1" applyBorder="1" applyAlignment="1">
      <alignment/>
    </xf>
    <xf numFmtId="177" fontId="44" fillId="0" borderId="0" xfId="45" applyNumberFormat="1" applyFont="1" applyBorder="1" applyAlignment="1">
      <alignment/>
    </xf>
    <xf numFmtId="177" fontId="44" fillId="0" borderId="135" xfId="45" applyNumberFormat="1" applyFont="1" applyBorder="1" applyAlignment="1">
      <alignment/>
    </xf>
    <xf numFmtId="0" fontId="44" fillId="7" borderId="140" xfId="59" applyFont="1" applyFill="1" applyBorder="1">
      <alignment/>
      <protection/>
    </xf>
    <xf numFmtId="177" fontId="44" fillId="7" borderId="49" xfId="45" applyNumberFormat="1" applyFont="1" applyFill="1" applyBorder="1" applyAlignment="1">
      <alignment/>
    </xf>
    <xf numFmtId="177" fontId="44" fillId="7" borderId="141" xfId="45" applyNumberFormat="1" applyFont="1" applyFill="1" applyBorder="1" applyAlignment="1">
      <alignment/>
    </xf>
    <xf numFmtId="0" fontId="25" fillId="0" borderId="0" xfId="59" applyFont="1" applyBorder="1" applyAlignment="1">
      <alignment horizontal="center"/>
      <protection/>
    </xf>
    <xf numFmtId="9" fontId="25" fillId="7" borderId="49" xfId="65" applyFont="1" applyFill="1" applyBorder="1" applyAlignment="1">
      <alignment/>
    </xf>
    <xf numFmtId="9" fontId="25" fillId="7" borderId="141" xfId="65" applyFont="1" applyFill="1" applyBorder="1" applyAlignment="1">
      <alignment/>
    </xf>
    <xf numFmtId="0" fontId="25" fillId="0" borderId="139" xfId="59" applyFont="1" applyBorder="1">
      <alignment/>
      <protection/>
    </xf>
    <xf numFmtId="0" fontId="44" fillId="7" borderId="115" xfId="59" applyFont="1" applyFill="1" applyBorder="1">
      <alignment/>
      <protection/>
    </xf>
    <xf numFmtId="177" fontId="44" fillId="7" borderId="115" xfId="45" applyNumberFormat="1" applyFont="1" applyFill="1" applyBorder="1" applyAlignment="1">
      <alignment/>
    </xf>
    <xf numFmtId="177" fontId="44" fillId="7" borderId="116" xfId="45" applyNumberFormat="1" applyFont="1" applyFill="1" applyBorder="1" applyAlignment="1">
      <alignment/>
    </xf>
    <xf numFmtId="9" fontId="25" fillId="7" borderId="115" xfId="65" applyFont="1" applyFill="1" applyBorder="1" applyAlignment="1">
      <alignment/>
    </xf>
    <xf numFmtId="9" fontId="25" fillId="7" borderId="116" xfId="65" applyFont="1" applyFill="1" applyBorder="1" applyAlignment="1">
      <alignment/>
    </xf>
    <xf numFmtId="0" fontId="25" fillId="0" borderId="142" xfId="59" applyFont="1" applyBorder="1">
      <alignment/>
      <protection/>
    </xf>
    <xf numFmtId="0" fontId="44" fillId="0" borderId="143" xfId="59" applyFont="1" applyBorder="1">
      <alignment/>
      <protection/>
    </xf>
    <xf numFmtId="0" fontId="44" fillId="0" borderId="144" xfId="59" applyFont="1" applyBorder="1">
      <alignment/>
      <protection/>
    </xf>
    <xf numFmtId="177" fontId="44" fillId="0" borderId="145" xfId="45" applyNumberFormat="1" applyFont="1" applyBorder="1" applyAlignment="1">
      <alignment/>
    </xf>
    <xf numFmtId="177" fontId="44" fillId="0" borderId="146" xfId="45" applyNumberFormat="1" applyFont="1" applyBorder="1" applyAlignment="1">
      <alignment/>
    </xf>
    <xf numFmtId="0" fontId="25" fillId="0" borderId="0" xfId="59" applyFont="1" applyBorder="1">
      <alignment/>
      <protection/>
    </xf>
    <xf numFmtId="0" fontId="44" fillId="7" borderId="147" xfId="59" applyFont="1" applyFill="1" applyBorder="1">
      <alignment/>
      <protection/>
    </xf>
    <xf numFmtId="9" fontId="25" fillId="7" borderId="147" xfId="65" applyFont="1" applyFill="1" applyBorder="1" applyAlignment="1">
      <alignment/>
    </xf>
    <xf numFmtId="9" fontId="25" fillId="7" borderId="148" xfId="65" applyFont="1" applyFill="1" applyBorder="1" applyAlignment="1">
      <alignment/>
    </xf>
    <xf numFmtId="177" fontId="44" fillId="0" borderId="143" xfId="45" applyNumberFormat="1" applyFont="1" applyBorder="1" applyAlignment="1">
      <alignment/>
    </xf>
    <xf numFmtId="177" fontId="44" fillId="0" borderId="149" xfId="45" applyNumberFormat="1" applyFont="1" applyBorder="1" applyAlignment="1">
      <alignment/>
    </xf>
    <xf numFmtId="0" fontId="44" fillId="0" borderId="0" xfId="59" applyFont="1" applyFill="1" applyBorder="1">
      <alignment/>
      <protection/>
    </xf>
    <xf numFmtId="9" fontId="25" fillId="0" borderId="0" xfId="65" applyFont="1" applyFill="1" applyBorder="1" applyAlignment="1">
      <alignment/>
    </xf>
    <xf numFmtId="9" fontId="25" fillId="0" borderId="135" xfId="65" applyFont="1" applyFill="1" applyBorder="1" applyAlignment="1">
      <alignment/>
    </xf>
    <xf numFmtId="177" fontId="44" fillId="0" borderId="0" xfId="45" applyNumberFormat="1" applyFont="1" applyFill="1" applyBorder="1" applyAlignment="1">
      <alignment/>
    </xf>
    <xf numFmtId="177" fontId="44" fillId="0" borderId="135" xfId="45" applyNumberFormat="1" applyFont="1" applyFill="1" applyBorder="1" applyAlignment="1">
      <alignment/>
    </xf>
    <xf numFmtId="10" fontId="25" fillId="7" borderId="150" xfId="65" applyNumberFormat="1" applyFont="1" applyFill="1" applyBorder="1" applyAlignment="1">
      <alignment/>
    </xf>
    <xf numFmtId="10" fontId="25" fillId="7" borderId="151" xfId="65" applyNumberFormat="1" applyFont="1" applyFill="1" applyBorder="1" applyAlignment="1">
      <alignment/>
    </xf>
    <xf numFmtId="10" fontId="25" fillId="7" borderId="152" xfId="65" applyNumberFormat="1" applyFont="1" applyFill="1" applyBorder="1" applyAlignment="1">
      <alignment/>
    </xf>
    <xf numFmtId="10" fontId="25" fillId="7" borderId="153" xfId="65" applyNumberFormat="1" applyFont="1" applyFill="1" applyBorder="1" applyAlignment="1">
      <alignment/>
    </xf>
    <xf numFmtId="10" fontId="25" fillId="7" borderId="115" xfId="65" applyNumberFormat="1" applyFont="1" applyFill="1" applyBorder="1" applyAlignment="1">
      <alignment/>
    </xf>
    <xf numFmtId="10" fontId="25" fillId="7" borderId="116" xfId="65" applyNumberFormat="1" applyFont="1" applyFill="1" applyBorder="1" applyAlignment="1">
      <alignment/>
    </xf>
    <xf numFmtId="10" fontId="25" fillId="7" borderId="154" xfId="65" applyNumberFormat="1" applyFont="1" applyFill="1" applyBorder="1" applyAlignment="1">
      <alignment/>
    </xf>
    <xf numFmtId="10" fontId="25" fillId="7" borderId="155" xfId="65" applyNumberFormat="1" applyFont="1" applyFill="1" applyBorder="1" applyAlignment="1">
      <alignment/>
    </xf>
    <xf numFmtId="10" fontId="25" fillId="7" borderId="156" xfId="65" applyNumberFormat="1" applyFont="1" applyFill="1" applyBorder="1" applyAlignment="1">
      <alignment/>
    </xf>
    <xf numFmtId="0" fontId="74" fillId="0" borderId="0" xfId="59" applyFont="1">
      <alignment/>
      <protection/>
    </xf>
    <xf numFmtId="177" fontId="73" fillId="0" borderId="0" xfId="45" applyNumberFormat="1" applyFont="1" applyAlignment="1">
      <alignment/>
    </xf>
    <xf numFmtId="0" fontId="25" fillId="7" borderId="47" xfId="60" applyFont="1" applyFill="1" applyBorder="1" applyAlignment="1" applyProtection="1">
      <alignment horizontal="center"/>
      <protection/>
    </xf>
    <xf numFmtId="0" fontId="25" fillId="7" borderId="157" xfId="60" applyFont="1" applyFill="1" applyBorder="1" applyAlignment="1" applyProtection="1">
      <alignment horizontal="center"/>
      <protection/>
    </xf>
    <xf numFmtId="14" fontId="25" fillId="7" borderId="158" xfId="60" applyNumberFormat="1" applyFont="1" applyFill="1" applyBorder="1" applyAlignment="1" applyProtection="1">
      <alignment horizontal="center"/>
      <protection/>
    </xf>
    <xf numFmtId="0" fontId="25" fillId="7" borderId="159" xfId="60" applyFont="1" applyFill="1" applyBorder="1" applyAlignment="1" applyProtection="1">
      <alignment horizontal="center"/>
      <protection/>
    </xf>
    <xf numFmtId="0" fontId="25" fillId="0" borderId="0" xfId="60" applyFont="1" applyBorder="1" applyAlignment="1" applyProtection="1">
      <alignment horizontal="center"/>
      <protection/>
    </xf>
    <xf numFmtId="0" fontId="25" fillId="0" borderId="11" xfId="60" applyFont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7" borderId="160" xfId="60" applyFont="1" applyFill="1" applyBorder="1" applyAlignment="1" applyProtection="1">
      <alignment horizontal="center"/>
      <protection/>
    </xf>
    <xf numFmtId="0" fontId="25" fillId="7" borderId="161" xfId="60" applyFont="1" applyFill="1" applyBorder="1" applyAlignment="1" applyProtection="1">
      <alignment horizontal="center"/>
      <protection/>
    </xf>
    <xf numFmtId="0" fontId="25" fillId="7" borderId="162" xfId="60" applyFont="1" applyFill="1" applyBorder="1" applyAlignment="1" applyProtection="1">
      <alignment horizontal="center"/>
      <protection/>
    </xf>
    <xf numFmtId="14" fontId="25" fillId="7" borderId="163" xfId="60" applyNumberFormat="1" applyFont="1" applyFill="1" applyBorder="1" applyAlignment="1" applyProtection="1">
      <alignment horizontal="center"/>
      <protection/>
    </xf>
    <xf numFmtId="0" fontId="22" fillId="0" borderId="164" xfId="0" applyFont="1" applyBorder="1" applyAlignment="1">
      <alignment horizontal="center"/>
    </xf>
    <xf numFmtId="0" fontId="22" fillId="0" borderId="165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5" fillId="0" borderId="167" xfId="60" applyFont="1" applyFill="1" applyBorder="1" applyAlignment="1" applyProtection="1">
      <alignment horizontal="center" vertical="center"/>
      <protection/>
    </xf>
    <xf numFmtId="0" fontId="25" fillId="0" borderId="15" xfId="60" applyFont="1" applyFill="1" applyBorder="1" applyAlignment="1" applyProtection="1">
      <alignment horizontal="center" vertical="center"/>
      <protection/>
    </xf>
    <xf numFmtId="0" fontId="25" fillId="0" borderId="10" xfId="60" applyFont="1" applyFill="1" applyBorder="1" applyAlignment="1" applyProtection="1">
      <alignment horizontal="center" vertical="center"/>
      <protection/>
    </xf>
    <xf numFmtId="0" fontId="25" fillId="0" borderId="18" xfId="60" applyFont="1" applyFill="1" applyBorder="1" applyAlignment="1" applyProtection="1">
      <alignment horizontal="center" vertical="center"/>
      <protection/>
    </xf>
    <xf numFmtId="0" fontId="25" fillId="0" borderId="168" xfId="60" applyFont="1" applyFill="1" applyBorder="1" applyAlignment="1" applyProtection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/>
    </xf>
    <xf numFmtId="38" fontId="25" fillId="0" borderId="78" xfId="60" applyNumberFormat="1" applyFont="1" applyBorder="1" applyAlignment="1" applyProtection="1">
      <alignment horizontal="center" vertical="center"/>
      <protection/>
    </xf>
    <xf numFmtId="38" fontId="25" fillId="0" borderId="19" xfId="60" applyNumberFormat="1" applyFont="1" applyBorder="1" applyAlignment="1" applyProtection="1">
      <alignment horizontal="center" vertical="center"/>
      <protection/>
    </xf>
    <xf numFmtId="38" fontId="25" fillId="0" borderId="24" xfId="60" applyNumberFormat="1" applyFont="1" applyBorder="1" applyAlignment="1" applyProtection="1">
      <alignment horizontal="center" vertical="center"/>
      <protection/>
    </xf>
    <xf numFmtId="38" fontId="25" fillId="0" borderId="78" xfId="60" applyNumberFormat="1" applyFont="1" applyFill="1" applyBorder="1" applyAlignment="1" applyProtection="1">
      <alignment horizontal="center" vertical="center"/>
      <protection/>
    </xf>
    <xf numFmtId="38" fontId="25" fillId="0" borderId="19" xfId="60" applyNumberFormat="1" applyFont="1" applyFill="1" applyBorder="1" applyAlignment="1" applyProtection="1">
      <alignment horizontal="center" vertical="center"/>
      <protection/>
    </xf>
    <xf numFmtId="38" fontId="25" fillId="0" borderId="24" xfId="60" applyNumberFormat="1" applyFont="1" applyFill="1" applyBorder="1" applyAlignment="1" applyProtection="1">
      <alignment horizontal="center" vertical="center"/>
      <protection/>
    </xf>
    <xf numFmtId="0" fontId="25" fillId="0" borderId="10" xfId="60" applyFont="1" applyBorder="1" applyAlignment="1" applyProtection="1">
      <alignment horizontal="center"/>
      <protection/>
    </xf>
    <xf numFmtId="0" fontId="30" fillId="0" borderId="10" xfId="60" applyFont="1" applyBorder="1" applyAlignment="1" applyProtection="1">
      <alignment horizontal="center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11" xfId="60" applyFont="1" applyBorder="1" applyAlignment="1" applyProtection="1">
      <alignment horizontal="center"/>
      <protection/>
    </xf>
    <xf numFmtId="0" fontId="49" fillId="0" borderId="53" xfId="60" applyFont="1" applyBorder="1" applyAlignment="1" applyProtection="1">
      <alignment horizontal="center"/>
      <protection/>
    </xf>
    <xf numFmtId="0" fontId="49" fillId="0" borderId="12" xfId="60" applyFont="1" applyBorder="1" applyAlignment="1" applyProtection="1">
      <alignment horizontal="center"/>
      <protection/>
    </xf>
    <xf numFmtId="0" fontId="49" fillId="0" borderId="54" xfId="60" applyFont="1" applyBorder="1" applyAlignment="1" applyProtection="1">
      <alignment horizontal="center"/>
      <protection/>
    </xf>
    <xf numFmtId="0" fontId="25" fillId="0" borderId="110" xfId="60" applyFont="1" applyFill="1" applyBorder="1" applyAlignment="1" applyProtection="1">
      <alignment horizontal="center" vertical="center"/>
      <protection/>
    </xf>
    <xf numFmtId="0" fontId="25" fillId="0" borderId="53" xfId="60" applyFont="1" applyFill="1" applyBorder="1" applyAlignment="1" applyProtection="1">
      <alignment horizontal="center" vertical="center"/>
      <protection/>
    </xf>
    <xf numFmtId="0" fontId="43" fillId="0" borderId="27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25" fillId="0" borderId="61" xfId="60" applyFont="1" applyBorder="1" applyAlignment="1" applyProtection="1">
      <alignment horizontal="center"/>
      <protection/>
    </xf>
    <xf numFmtId="0" fontId="25" fillId="0" borderId="82" xfId="60" applyFont="1" applyBorder="1" applyAlignment="1" applyProtection="1">
      <alignment horizontal="center"/>
      <protection/>
    </xf>
    <xf numFmtId="0" fontId="25" fillId="0" borderId="61" xfId="0" applyFont="1" applyBorder="1" applyAlignment="1">
      <alignment horizontal="center"/>
    </xf>
    <xf numFmtId="0" fontId="25" fillId="0" borderId="50" xfId="60" applyFont="1" applyFill="1" applyBorder="1" applyAlignment="1" applyProtection="1">
      <alignment horizontal="center" vertical="center"/>
      <protection/>
    </xf>
    <xf numFmtId="0" fontId="25" fillId="0" borderId="102" xfId="60" applyFont="1" applyFill="1" applyBorder="1" applyAlignment="1" applyProtection="1">
      <alignment horizontal="center" vertical="center"/>
      <protection/>
    </xf>
    <xf numFmtId="0" fontId="25" fillId="0" borderId="27" xfId="60" applyFont="1" applyFill="1" applyBorder="1" applyAlignment="1" applyProtection="1">
      <alignment horizontal="center" vertical="center"/>
      <protection/>
    </xf>
    <xf numFmtId="0" fontId="25" fillId="0" borderId="41" xfId="60" applyFont="1" applyFill="1" applyBorder="1" applyAlignment="1" applyProtection="1">
      <alignment horizontal="center" vertical="center"/>
      <protection/>
    </xf>
    <xf numFmtId="0" fontId="25" fillId="0" borderId="104" xfId="60" applyFont="1" applyFill="1" applyBorder="1" applyAlignment="1" applyProtection="1">
      <alignment horizontal="center" vertical="center"/>
      <protection/>
    </xf>
    <xf numFmtId="38" fontId="40" fillId="0" borderId="169" xfId="60" applyNumberFormat="1" applyFont="1" applyFill="1" applyBorder="1" applyAlignment="1" applyProtection="1">
      <alignment horizontal="center" vertical="center"/>
      <protection/>
    </xf>
    <xf numFmtId="38" fontId="40" fillId="0" borderId="19" xfId="60" applyNumberFormat="1" applyFont="1" applyFill="1" applyBorder="1" applyAlignment="1" applyProtection="1">
      <alignment horizontal="center" vertical="center"/>
      <protection/>
    </xf>
    <xf numFmtId="38" fontId="40" fillId="0" borderId="105" xfId="60" applyNumberFormat="1" applyFont="1" applyFill="1" applyBorder="1" applyAlignment="1" applyProtection="1">
      <alignment horizontal="center" vertical="center"/>
      <protection/>
    </xf>
    <xf numFmtId="38" fontId="25" fillId="0" borderId="169" xfId="60" applyNumberFormat="1" applyFont="1" applyBorder="1" applyAlignment="1" applyProtection="1">
      <alignment horizontal="center" vertical="center"/>
      <protection/>
    </xf>
    <xf numFmtId="38" fontId="25" fillId="0" borderId="105" xfId="60" applyNumberFormat="1" applyFont="1" applyBorder="1" applyAlignment="1" applyProtection="1">
      <alignment horizontal="center" vertical="center"/>
      <protection/>
    </xf>
    <xf numFmtId="0" fontId="36" fillId="0" borderId="170" xfId="61" applyFont="1" applyBorder="1" applyAlignment="1">
      <alignment horizontal="center"/>
      <protection/>
    </xf>
    <xf numFmtId="0" fontId="36" fillId="0" borderId="171" xfId="61" applyFont="1" applyBorder="1" applyAlignment="1">
      <alignment horizontal="center"/>
      <protection/>
    </xf>
    <xf numFmtId="0" fontId="25" fillId="26" borderId="14" xfId="0" applyFont="1" applyFill="1" applyBorder="1" applyAlignment="1">
      <alignment horizontal="center" vertical="center"/>
    </xf>
    <xf numFmtId="0" fontId="25" fillId="26" borderId="80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/>
    </xf>
    <xf numFmtId="0" fontId="25" fillId="26" borderId="54" xfId="0" applyFont="1" applyFill="1" applyBorder="1" applyAlignment="1">
      <alignment horizontal="center" vertical="center"/>
    </xf>
    <xf numFmtId="0" fontId="36" fillId="0" borderId="40" xfId="61" applyFont="1" applyBorder="1" applyAlignment="1">
      <alignment horizontal="center"/>
      <protection/>
    </xf>
    <xf numFmtId="0" fontId="36" fillId="0" borderId="34" xfId="61" applyFont="1" applyBorder="1" applyAlignment="1">
      <alignment horizontal="center"/>
      <protection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7" xfId="60" applyFont="1" applyBorder="1" applyAlignment="1" applyProtection="1">
      <alignment horizontal="center"/>
      <protection/>
    </xf>
    <xf numFmtId="0" fontId="25" fillId="0" borderId="28" xfId="60" applyFont="1" applyBorder="1" applyAlignment="1" applyProtection="1">
      <alignment horizontal="center"/>
      <protection/>
    </xf>
    <xf numFmtId="0" fontId="30" fillId="0" borderId="5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25" fillId="0" borderId="78" xfId="60" applyFont="1" applyFill="1" applyBorder="1" applyAlignment="1" applyProtection="1">
      <alignment horizontal="center" vertical="center" wrapText="1"/>
      <protection/>
    </xf>
    <xf numFmtId="0" fontId="25" fillId="0" borderId="19" xfId="60" applyFont="1" applyFill="1" applyBorder="1" applyAlignment="1" applyProtection="1">
      <alignment horizontal="center" vertical="center" wrapText="1"/>
      <protection/>
    </xf>
    <xf numFmtId="0" fontId="25" fillId="0" borderId="24" xfId="60" applyFont="1" applyFill="1" applyBorder="1" applyAlignment="1" applyProtection="1">
      <alignment horizontal="center" vertical="center" wrapText="1"/>
      <protection/>
    </xf>
    <xf numFmtId="0" fontId="30" fillId="0" borderId="27" xfId="60" applyFont="1" applyFill="1" applyBorder="1" applyAlignment="1" applyProtection="1">
      <alignment horizontal="center"/>
      <protection/>
    </xf>
    <xf numFmtId="0" fontId="30" fillId="0" borderId="0" xfId="60" applyFont="1" applyFill="1" applyBorder="1" applyAlignment="1" applyProtection="1">
      <alignment horizontal="center"/>
      <protection/>
    </xf>
    <xf numFmtId="0" fontId="30" fillId="0" borderId="28" xfId="60" applyFont="1" applyFill="1" applyBorder="1" applyAlignment="1" applyProtection="1">
      <alignment horizontal="center"/>
      <protection/>
    </xf>
    <xf numFmtId="0" fontId="30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25" fillId="0" borderId="17" xfId="60" applyFont="1" applyFill="1" applyBorder="1" applyAlignment="1" applyProtection="1">
      <alignment horizontal="center" vertical="center"/>
      <protection/>
    </xf>
    <xf numFmtId="0" fontId="25" fillId="0" borderId="23" xfId="60" applyFont="1" applyFill="1" applyBorder="1" applyAlignment="1" applyProtection="1">
      <alignment horizontal="center" vertical="center"/>
      <protection/>
    </xf>
    <xf numFmtId="0" fontId="25" fillId="0" borderId="26" xfId="60" applyFont="1" applyFill="1" applyBorder="1" applyAlignment="1" applyProtection="1">
      <alignment horizontal="center" vertical="center"/>
      <protection/>
    </xf>
    <xf numFmtId="0" fontId="25" fillId="0" borderId="1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ook1" xfId="59"/>
    <cellStyle name="Normal_Last Approved" xfId="60"/>
    <cellStyle name="Normal_Sheet2" xfId="61"/>
    <cellStyle name="Normal_Sheet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ETemp\Temporary%20Internet%20Files\OLKC74\Revised%20ASC_Template_4_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1- Rate Base "/>
      <sheetName val="Sch 1A - Cash Working Capital"/>
      <sheetName val="Sch 2 -Rate of Return"/>
      <sheetName val="Sch 3 - Expenses"/>
      <sheetName val="PP &amp; OSS WorkSheet"/>
      <sheetName val="Sch 3A - Taxes"/>
      <sheetName val="Sch 3B - Other Items"/>
      <sheetName val="Sch 4 - Average System Cost"/>
      <sheetName val="Salaries"/>
      <sheetName val="Ratios"/>
      <sheetName val="110-111 Bal Sht Assets &amp; Debits"/>
      <sheetName val="112-113 Bal Sht Liablts &amp; Crdts"/>
      <sheetName val="114-117 Statement of Income"/>
      <sheetName val="200 Utly Plnt Dep, Amort, Depl"/>
      <sheetName val="204-207 Elect Plnt-In-Service"/>
      <sheetName val="219 Accum Prov for Depr of E Pl"/>
      <sheetName val="232 Other Reg Assets"/>
      <sheetName val="233 Misc Deferred Debit"/>
      <sheetName val="257 Long-Term Debt"/>
      <sheetName val="262 Taxes"/>
      <sheetName val="269 Other Deferred Credits"/>
      <sheetName val="278 Other Reg Liabilities"/>
      <sheetName val="300-301 Elect Oper Revenues"/>
      <sheetName val="310-311 Sales for Resale"/>
      <sheetName val="320-323 Electric O&amp;M"/>
      <sheetName val="326 Purch power"/>
      <sheetName val="330 Trans Elec to others"/>
      <sheetName val="336 Elec Plnt Depr &amp; Amort"/>
      <sheetName val="354 Labor"/>
    </sheetNames>
    <sheetDataSet>
      <sheetData sheetId="10">
        <row r="21">
          <cell r="F21">
            <v>13903000</v>
          </cell>
        </row>
        <row r="25">
          <cell r="F25">
            <v>31166335</v>
          </cell>
        </row>
        <row r="31">
          <cell r="F31">
            <v>25574531</v>
          </cell>
        </row>
        <row r="32">
          <cell r="F32">
            <v>0</v>
          </cell>
        </row>
        <row r="46">
          <cell r="F46">
            <v>2121931</v>
          </cell>
        </row>
        <row r="47">
          <cell r="F47">
            <v>0</v>
          </cell>
        </row>
        <row r="49">
          <cell r="F49">
            <v>14019070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8">
          <cell r="F58">
            <v>6467948</v>
          </cell>
        </row>
        <row r="64">
          <cell r="F64">
            <v>36402843</v>
          </cell>
        </row>
        <row r="65">
          <cell r="F65">
            <v>25574531</v>
          </cell>
        </row>
        <row r="66">
          <cell r="F66">
            <v>0</v>
          </cell>
        </row>
        <row r="67">
          <cell r="F67">
            <v>0</v>
          </cell>
        </row>
        <row r="70">
          <cell r="F70">
            <v>17931388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323816436</v>
          </cell>
        </row>
        <row r="74">
          <cell r="F74">
            <v>8645616</v>
          </cell>
        </row>
        <row r="76">
          <cell r="F76">
            <v>0</v>
          </cell>
        </row>
        <row r="77">
          <cell r="F77">
            <v>8046</v>
          </cell>
        </row>
        <row r="78">
          <cell r="F78">
            <v>0</v>
          </cell>
        </row>
        <row r="79">
          <cell r="F79">
            <v>31297127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28622766</v>
          </cell>
        </row>
        <row r="83">
          <cell r="F83">
            <v>55602315</v>
          </cell>
        </row>
      </sheetData>
      <sheetData sheetId="11">
        <row r="51">
          <cell r="E51">
            <v>83652834</v>
          </cell>
        </row>
        <row r="52">
          <cell r="E52">
            <v>10174378</v>
          </cell>
        </row>
        <row r="53">
          <cell r="E53">
            <v>5144457</v>
          </cell>
        </row>
        <row r="54">
          <cell r="E54">
            <v>5144457</v>
          </cell>
        </row>
        <row r="57">
          <cell r="E57">
            <v>1087069</v>
          </cell>
        </row>
        <row r="58">
          <cell r="E58">
            <v>472344</v>
          </cell>
        </row>
        <row r="59">
          <cell r="E59">
            <v>0</v>
          </cell>
        </row>
        <row r="60">
          <cell r="E60">
            <v>36280631</v>
          </cell>
        </row>
        <row r="61">
          <cell r="E61">
            <v>18246960</v>
          </cell>
        </row>
        <row r="62">
          <cell r="E62">
            <v>3282969</v>
          </cell>
        </row>
        <row r="63">
          <cell r="E63">
            <v>0</v>
          </cell>
        </row>
        <row r="64">
          <cell r="E64">
            <v>305474214</v>
          </cell>
        </row>
        <row r="65">
          <cell r="E65">
            <v>211989043</v>
          </cell>
        </row>
      </sheetData>
      <sheetData sheetId="12">
        <row r="13">
          <cell r="J13">
            <v>337368</v>
          </cell>
        </row>
        <row r="14">
          <cell r="J14">
            <v>17989452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</sheetData>
      <sheetData sheetId="13">
        <row r="7">
          <cell r="E7">
            <v>0</v>
          </cell>
        </row>
        <row r="11">
          <cell r="E11">
            <v>0</v>
          </cell>
        </row>
        <row r="12">
          <cell r="E12">
            <v>76081096</v>
          </cell>
        </row>
        <row r="13">
          <cell r="E13">
            <v>0</v>
          </cell>
        </row>
      </sheetData>
      <sheetData sheetId="14">
        <row r="4">
          <cell r="E4">
            <v>15259132</v>
          </cell>
        </row>
        <row r="5">
          <cell r="E5">
            <v>4420269</v>
          </cell>
        </row>
        <row r="17">
          <cell r="E17">
            <v>378625101</v>
          </cell>
        </row>
        <row r="26">
          <cell r="E26">
            <v>0</v>
          </cell>
        </row>
        <row r="36">
          <cell r="E36">
            <v>340480980</v>
          </cell>
        </row>
        <row r="46">
          <cell r="E46">
            <v>272688068</v>
          </cell>
        </row>
        <row r="59">
          <cell r="E59">
            <v>383823745</v>
          </cell>
        </row>
        <row r="76">
          <cell r="E76">
            <v>832094240</v>
          </cell>
        </row>
        <row r="78">
          <cell r="E78">
            <v>124681</v>
          </cell>
        </row>
        <row r="79">
          <cell r="E79">
            <v>2042518</v>
          </cell>
        </row>
        <row r="80">
          <cell r="E80">
            <v>136601</v>
          </cell>
        </row>
        <row r="81">
          <cell r="E81">
            <v>8275752</v>
          </cell>
        </row>
        <row r="82">
          <cell r="E82">
            <v>120561</v>
          </cell>
        </row>
        <row r="83">
          <cell r="E83">
            <v>2988365</v>
          </cell>
        </row>
        <row r="84">
          <cell r="E84">
            <v>3039673</v>
          </cell>
        </row>
        <row r="85">
          <cell r="E85">
            <v>19674347</v>
          </cell>
        </row>
        <row r="86">
          <cell r="E86">
            <v>28330864</v>
          </cell>
        </row>
        <row r="87">
          <cell r="E87">
            <v>3973</v>
          </cell>
        </row>
        <row r="89">
          <cell r="E89">
            <v>0</v>
          </cell>
        </row>
        <row r="90">
          <cell r="E90">
            <v>0</v>
          </cell>
        </row>
      </sheetData>
      <sheetData sheetId="15">
        <row r="21">
          <cell r="D21">
            <v>223287652</v>
          </cell>
        </row>
        <row r="22">
          <cell r="D22">
            <v>0</v>
          </cell>
        </row>
        <row r="23">
          <cell r="D23">
            <v>79097867</v>
          </cell>
        </row>
        <row r="25">
          <cell r="D25">
            <v>36139145</v>
          </cell>
        </row>
        <row r="26">
          <cell r="D26">
            <v>136875953</v>
          </cell>
        </row>
        <row r="27">
          <cell r="D27">
            <v>256150345</v>
          </cell>
        </row>
        <row r="28">
          <cell r="D28">
            <v>39680634</v>
          </cell>
        </row>
      </sheetData>
      <sheetData sheetId="22">
        <row r="17">
          <cell r="G17">
            <v>0</v>
          </cell>
        </row>
        <row r="18">
          <cell r="G18">
            <v>447333</v>
          </cell>
        </row>
        <row r="19">
          <cell r="G19">
            <v>230504</v>
          </cell>
        </row>
        <row r="20">
          <cell r="G20">
            <v>2592254</v>
          </cell>
        </row>
        <row r="21">
          <cell r="G21">
            <v>0</v>
          </cell>
        </row>
      </sheetData>
      <sheetData sheetId="23">
        <row r="2">
          <cell r="L2">
            <v>-337</v>
          </cell>
          <cell r="P2">
            <v>-22043</v>
          </cell>
        </row>
        <row r="8">
          <cell r="L8">
            <v>32833</v>
          </cell>
          <cell r="P8">
            <v>3449688</v>
          </cell>
        </row>
        <row r="21">
          <cell r="L21">
            <v>188111</v>
          </cell>
          <cell r="P21">
            <v>9039526</v>
          </cell>
        </row>
        <row r="97">
          <cell r="L97">
            <v>3397421</v>
          </cell>
          <cell r="P97">
            <v>163105424</v>
          </cell>
        </row>
      </sheetData>
      <sheetData sheetId="24">
        <row r="6">
          <cell r="F6">
            <v>25443765</v>
          </cell>
        </row>
        <row r="14">
          <cell r="F14">
            <v>30032827</v>
          </cell>
        </row>
        <row r="21">
          <cell r="F21">
            <v>8150550</v>
          </cell>
        </row>
        <row r="26">
          <cell r="F26">
            <v>0</v>
          </cell>
        </row>
        <row r="34">
          <cell r="F34">
            <v>0</v>
          </cell>
        </row>
        <row r="41">
          <cell r="F41">
            <v>0</v>
          </cell>
        </row>
        <row r="51">
          <cell r="F51">
            <v>10915413</v>
          </cell>
        </row>
        <row r="59">
          <cell r="F59">
            <v>3988076</v>
          </cell>
        </row>
        <row r="64">
          <cell r="F64">
            <v>85535646</v>
          </cell>
        </row>
        <row r="68">
          <cell r="F68">
            <v>88933119</v>
          </cell>
        </row>
        <row r="74">
          <cell r="F74">
            <v>1033178</v>
          </cell>
        </row>
        <row r="77">
          <cell r="F77">
            <v>200083219</v>
          </cell>
        </row>
        <row r="78">
          <cell r="F78">
            <v>638755</v>
          </cell>
        </row>
        <row r="79">
          <cell r="F79">
            <v>87233654</v>
          </cell>
        </row>
        <row r="97">
          <cell r="F97">
            <v>11881367</v>
          </cell>
        </row>
        <row r="100">
          <cell r="F100">
            <v>16796937</v>
          </cell>
        </row>
        <row r="112">
          <cell r="F112">
            <v>2750343</v>
          </cell>
        </row>
        <row r="145">
          <cell r="F145">
            <v>9942254</v>
          </cell>
        </row>
        <row r="156">
          <cell r="F156">
            <v>12626804</v>
          </cell>
        </row>
        <row r="165">
          <cell r="F165">
            <v>13364554</v>
          </cell>
        </row>
        <row r="168">
          <cell r="F168">
            <v>0</v>
          </cell>
        </row>
        <row r="169">
          <cell r="F169">
            <v>11397769</v>
          </cell>
        </row>
        <row r="170">
          <cell r="F170">
            <v>59901</v>
          </cell>
        </row>
        <row r="171">
          <cell r="F171">
            <v>107036</v>
          </cell>
        </row>
        <row r="179">
          <cell r="F179">
            <v>930862</v>
          </cell>
        </row>
        <row r="182">
          <cell r="F182">
            <v>17412679</v>
          </cell>
        </row>
        <row r="183">
          <cell r="F183">
            <v>4217501</v>
          </cell>
        </row>
        <row r="184">
          <cell r="F184">
            <v>28056</v>
          </cell>
        </row>
        <row r="185">
          <cell r="F185">
            <v>9988121</v>
          </cell>
        </row>
        <row r="186">
          <cell r="F186">
            <v>1191391</v>
          </cell>
        </row>
        <row r="187">
          <cell r="F187">
            <v>3769353</v>
          </cell>
        </row>
        <row r="188">
          <cell r="F188">
            <v>1106169</v>
          </cell>
        </row>
        <row r="189">
          <cell r="F189">
            <v>6230</v>
          </cell>
        </row>
        <row r="190">
          <cell r="F190">
            <v>1887178</v>
          </cell>
        </row>
        <row r="191">
          <cell r="F191">
            <v>0</v>
          </cell>
        </row>
        <row r="192">
          <cell r="F192">
            <v>8678</v>
          </cell>
        </row>
        <row r="193">
          <cell r="F193">
            <v>2950213</v>
          </cell>
        </row>
        <row r="194">
          <cell r="F194">
            <v>1068064</v>
          </cell>
        </row>
        <row r="197">
          <cell r="F197">
            <v>5940101</v>
          </cell>
        </row>
      </sheetData>
      <sheetData sheetId="25">
        <row r="18">
          <cell r="L18">
            <v>0</v>
          </cell>
          <cell r="R18">
            <v>3606618</v>
          </cell>
        </row>
        <row r="24">
          <cell r="L24">
            <v>878284</v>
          </cell>
          <cell r="R24">
            <v>26191912</v>
          </cell>
        </row>
        <row r="27">
          <cell r="L27">
            <v>36513</v>
          </cell>
          <cell r="R27">
            <v>1532242</v>
          </cell>
        </row>
        <row r="30">
          <cell r="L30">
            <v>362075</v>
          </cell>
          <cell r="R30">
            <v>12903902</v>
          </cell>
        </row>
        <row r="47">
          <cell r="L47">
            <v>1627926</v>
          </cell>
          <cell r="R47">
            <v>41336441</v>
          </cell>
        </row>
        <row r="51">
          <cell r="R51">
            <v>702316</v>
          </cell>
        </row>
        <row r="53">
          <cell r="L53">
            <v>124</v>
          </cell>
          <cell r="R53">
            <v>6183</v>
          </cell>
        </row>
        <row r="128">
          <cell r="L128">
            <v>2418310</v>
          </cell>
          <cell r="R128">
            <v>113803605</v>
          </cell>
        </row>
      </sheetData>
      <sheetData sheetId="27">
        <row r="3">
          <cell r="J3">
            <v>11388514</v>
          </cell>
        </row>
        <row r="4">
          <cell r="J4">
            <v>0</v>
          </cell>
        </row>
        <row r="5">
          <cell r="J5">
            <v>6208520</v>
          </cell>
        </row>
        <row r="6">
          <cell r="J6">
            <v>0</v>
          </cell>
        </row>
        <row r="7">
          <cell r="J7">
            <v>13075208</v>
          </cell>
        </row>
        <row r="8">
          <cell r="J8">
            <v>9049748</v>
          </cell>
        </row>
        <row r="9">
          <cell r="J9">
            <v>17457435</v>
          </cell>
        </row>
        <row r="10">
          <cell r="J10">
            <v>3166338</v>
          </cell>
        </row>
        <row r="11">
          <cell r="J11">
            <v>5293863</v>
          </cell>
        </row>
      </sheetData>
      <sheetData sheetId="28">
        <row r="4">
          <cell r="G4">
            <v>8032540</v>
          </cell>
        </row>
        <row r="5">
          <cell r="G5">
            <v>1996647</v>
          </cell>
        </row>
        <row r="6">
          <cell r="G6">
            <v>5300368</v>
          </cell>
        </row>
        <row r="7">
          <cell r="G7">
            <v>5329149</v>
          </cell>
        </row>
        <row r="8">
          <cell r="G8">
            <v>300182</v>
          </cell>
        </row>
        <row r="9">
          <cell r="G9">
            <v>428000</v>
          </cell>
        </row>
        <row r="10">
          <cell r="G10">
            <v>11299946</v>
          </cell>
        </row>
        <row r="13">
          <cell r="G13">
            <v>2494282</v>
          </cell>
        </row>
        <row r="14">
          <cell r="G14">
            <v>672562</v>
          </cell>
        </row>
        <row r="15">
          <cell r="G15">
            <v>4558361</v>
          </cell>
        </row>
        <row r="16">
          <cell r="G16">
            <v>0</v>
          </cell>
        </row>
        <row r="19">
          <cell r="G19">
            <v>10526822</v>
          </cell>
        </row>
        <row r="20">
          <cell r="G20">
            <v>2669209</v>
          </cell>
        </row>
        <row r="21">
          <cell r="G21">
            <v>9858729</v>
          </cell>
        </row>
        <row r="22">
          <cell r="G22">
            <v>5329149</v>
          </cell>
        </row>
        <row r="23">
          <cell r="G23">
            <v>300182</v>
          </cell>
        </row>
        <row r="24">
          <cell r="G24">
            <v>428000</v>
          </cell>
        </row>
        <row r="25">
          <cell r="G25">
            <v>11299946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565"/>
  <sheetViews>
    <sheetView zoomScale="75" zoomScaleNormal="75" zoomScaleSheetLayoutView="80" workbookViewId="0" topLeftCell="A112">
      <selection activeCell="L161" sqref="L161"/>
    </sheetView>
  </sheetViews>
  <sheetFormatPr defaultColWidth="9.00390625" defaultRowHeight="15" customHeight="1"/>
  <cols>
    <col min="1" max="1" width="5.375" style="225" customWidth="1"/>
    <col min="2" max="2" width="32.00390625" style="225" customWidth="1"/>
    <col min="3" max="3" width="9.25390625" style="238" customWidth="1"/>
    <col min="4" max="4" width="8.625" style="238" customWidth="1"/>
    <col min="5" max="5" width="10.00390625" style="3" customWidth="1"/>
    <col min="6" max="6" width="8.50390625" style="3" customWidth="1"/>
    <col min="7" max="7" width="16.625" style="239" bestFit="1" customWidth="1"/>
    <col min="8" max="8" width="16.00390625" style="240" bestFit="1" customWidth="1"/>
    <col min="9" max="10" width="16.625" style="240" bestFit="1" customWidth="1"/>
    <col min="11" max="11" width="2.25390625" style="236" customWidth="1"/>
    <col min="12" max="18" width="17.625" style="3" customWidth="1"/>
    <col min="19" max="16384" width="9.00390625" style="3" customWidth="1"/>
  </cols>
  <sheetData>
    <row r="1" spans="1:18" ht="19.5" customHeight="1" thickTop="1">
      <c r="A1" s="870" t="s">
        <v>0</v>
      </c>
      <c r="B1" s="871"/>
      <c r="C1" s="871"/>
      <c r="D1" s="871"/>
      <c r="E1" s="871"/>
      <c r="F1" s="871"/>
      <c r="G1" s="871"/>
      <c r="H1" s="871"/>
      <c r="I1" s="871"/>
      <c r="J1" s="872"/>
      <c r="K1" s="1"/>
      <c r="L1" s="2"/>
      <c r="P1" s="4" t="s">
        <v>1</v>
      </c>
      <c r="Q1" s="4" t="s">
        <v>1</v>
      </c>
      <c r="R1" s="4" t="s">
        <v>1</v>
      </c>
    </row>
    <row r="2" spans="1:18" ht="19.5" customHeight="1">
      <c r="A2" s="863" t="s">
        <v>2</v>
      </c>
      <c r="B2" s="864"/>
      <c r="C2" s="864"/>
      <c r="D2" s="864"/>
      <c r="E2" s="864"/>
      <c r="F2" s="864"/>
      <c r="G2" s="864"/>
      <c r="H2" s="864"/>
      <c r="I2" s="864"/>
      <c r="J2" s="865"/>
      <c r="K2" s="5"/>
      <c r="L2" s="6"/>
      <c r="P2" s="4"/>
      <c r="Q2" s="4"/>
      <c r="R2" s="4"/>
    </row>
    <row r="3" spans="1:18" ht="17.25" customHeight="1">
      <c r="A3" s="885" t="s">
        <v>3</v>
      </c>
      <c r="B3" s="861"/>
      <c r="C3" s="861"/>
      <c r="D3" s="861"/>
      <c r="E3" s="861"/>
      <c r="F3" s="861"/>
      <c r="G3" s="861"/>
      <c r="H3" s="861"/>
      <c r="I3" s="861"/>
      <c r="J3" s="862"/>
      <c r="K3" s="5"/>
      <c r="L3" s="6"/>
      <c r="P3" s="4" t="s">
        <v>4</v>
      </c>
      <c r="Q3" s="4" t="s">
        <v>5</v>
      </c>
      <c r="R3" s="4" t="s">
        <v>6</v>
      </c>
    </row>
    <row r="4" spans="1:18" ht="9" customHeight="1" thickBot="1">
      <c r="A4" s="7"/>
      <c r="B4" s="8"/>
      <c r="C4" s="8"/>
      <c r="D4" s="8"/>
      <c r="E4" s="8"/>
      <c r="F4" s="8"/>
      <c r="G4" s="8"/>
      <c r="H4" s="8"/>
      <c r="I4" s="8"/>
      <c r="J4" s="9"/>
      <c r="K4" s="1"/>
      <c r="L4" s="2"/>
      <c r="P4" s="4"/>
      <c r="Q4" s="4"/>
      <c r="R4" s="4"/>
    </row>
    <row r="5" spans="1:18" ht="15.75" customHeight="1">
      <c r="A5" s="7"/>
      <c r="B5" s="8"/>
      <c r="C5" s="8"/>
      <c r="D5" s="10" t="s">
        <v>7</v>
      </c>
      <c r="E5" s="866" t="s">
        <v>8</v>
      </c>
      <c r="F5" s="867"/>
      <c r="G5" s="868"/>
      <c r="H5" s="8"/>
      <c r="I5" s="8"/>
      <c r="J5" s="9"/>
      <c r="K5" s="1"/>
      <c r="L5" s="2"/>
      <c r="P5" s="4"/>
      <c r="Q5" s="4"/>
      <c r="R5" s="4"/>
    </row>
    <row r="6" spans="1:18" ht="15.75" customHeight="1">
      <c r="A6" s="7"/>
      <c r="B6" s="8"/>
      <c r="C6" s="8"/>
      <c r="D6" s="10" t="s">
        <v>9</v>
      </c>
      <c r="E6" s="869">
        <v>39082</v>
      </c>
      <c r="F6" s="857"/>
      <c r="G6" s="858"/>
      <c r="H6" s="8"/>
      <c r="I6" s="8"/>
      <c r="J6" s="9"/>
      <c r="K6" s="1"/>
      <c r="L6" s="2"/>
      <c r="P6" s="4"/>
      <c r="Q6" s="4"/>
      <c r="R6" s="4"/>
    </row>
    <row r="7" spans="1:18" ht="15.75" customHeight="1" thickBot="1">
      <c r="A7" s="7"/>
      <c r="B7" s="8"/>
      <c r="C7" s="8"/>
      <c r="D7" s="10" t="s">
        <v>10</v>
      </c>
      <c r="E7" s="859">
        <v>39575</v>
      </c>
      <c r="F7" s="860"/>
      <c r="G7" s="746"/>
      <c r="H7" s="8"/>
      <c r="I7" s="8"/>
      <c r="J7" s="9"/>
      <c r="K7" s="1"/>
      <c r="L7" s="2"/>
      <c r="P7" s="4"/>
      <c r="Q7" s="4"/>
      <c r="R7" s="4"/>
    </row>
    <row r="8" spans="1:12" ht="9.75" customHeight="1">
      <c r="A8" s="11"/>
      <c r="B8" s="12"/>
      <c r="C8" s="13"/>
      <c r="D8" s="13"/>
      <c r="E8" s="14"/>
      <c r="F8" s="14"/>
      <c r="G8" s="15"/>
      <c r="H8" s="16"/>
      <c r="I8" s="17"/>
      <c r="J8" s="18"/>
      <c r="K8" s="1"/>
      <c r="L8" s="2"/>
    </row>
    <row r="9" spans="1:12" ht="1.5" customHeight="1">
      <c r="A9" s="11"/>
      <c r="B9" s="12"/>
      <c r="C9" s="13"/>
      <c r="D9" s="13"/>
      <c r="E9" s="14"/>
      <c r="F9" s="14"/>
      <c r="G9" s="15"/>
      <c r="H9" s="16"/>
      <c r="I9" s="17"/>
      <c r="J9" s="18"/>
      <c r="K9" s="1"/>
      <c r="L9" s="2"/>
    </row>
    <row r="10" spans="1:12" ht="15.75" customHeight="1">
      <c r="A10" s="886" t="s">
        <v>11</v>
      </c>
      <c r="B10" s="887"/>
      <c r="C10" s="887"/>
      <c r="D10" s="887"/>
      <c r="E10" s="887"/>
      <c r="F10" s="887"/>
      <c r="G10" s="887"/>
      <c r="H10" s="887"/>
      <c r="I10" s="887"/>
      <c r="J10" s="888"/>
      <c r="K10" s="1"/>
      <c r="L10" s="2"/>
    </row>
    <row r="11" spans="1:12" ht="7.5" customHeight="1" thickBot="1">
      <c r="A11" s="19"/>
      <c r="B11" s="20"/>
      <c r="C11" s="22"/>
      <c r="D11" s="22"/>
      <c r="E11" s="20"/>
      <c r="F11" s="20"/>
      <c r="G11" s="20"/>
      <c r="H11" s="20"/>
      <c r="I11" s="20"/>
      <c r="J11" s="21"/>
      <c r="K11" s="1"/>
      <c r="L11" s="2"/>
    </row>
    <row r="12" spans="1:14" ht="15" customHeight="1" thickBot="1">
      <c r="A12" s="873" t="s">
        <v>12</v>
      </c>
      <c r="B12" s="874"/>
      <c r="C12" s="23" t="s">
        <v>13</v>
      </c>
      <c r="D12" s="24"/>
      <c r="E12" s="25" t="s">
        <v>14</v>
      </c>
      <c r="F12" s="26"/>
      <c r="G12" s="882" t="s">
        <v>15</v>
      </c>
      <c r="H12" s="879" t="s">
        <v>16</v>
      </c>
      <c r="I12" s="879" t="s">
        <v>17</v>
      </c>
      <c r="J12" s="27"/>
      <c r="K12" s="28"/>
      <c r="L12" s="879" t="s">
        <v>16</v>
      </c>
      <c r="M12" s="879" t="s">
        <v>17</v>
      </c>
      <c r="N12" s="29"/>
    </row>
    <row r="13" spans="1:14" ht="15" customHeight="1" thickBot="1">
      <c r="A13" s="875"/>
      <c r="B13" s="876"/>
      <c r="C13" s="31" t="s">
        <v>18</v>
      </c>
      <c r="D13" s="32" t="s">
        <v>19</v>
      </c>
      <c r="E13" s="33" t="s">
        <v>20</v>
      </c>
      <c r="F13" s="34"/>
      <c r="G13" s="883"/>
      <c r="H13" s="880"/>
      <c r="I13" s="880"/>
      <c r="J13" s="37" t="s">
        <v>21</v>
      </c>
      <c r="K13" s="38"/>
      <c r="L13" s="880"/>
      <c r="M13" s="880"/>
      <c r="N13" s="39" t="s">
        <v>21</v>
      </c>
    </row>
    <row r="14" spans="1:14" ht="15" customHeight="1" thickBot="1">
      <c r="A14" s="877"/>
      <c r="B14" s="878"/>
      <c r="C14" s="40" t="s">
        <v>22</v>
      </c>
      <c r="D14" s="41" t="s">
        <v>23</v>
      </c>
      <c r="E14" s="41" t="s">
        <v>24</v>
      </c>
      <c r="F14" s="41" t="s">
        <v>25</v>
      </c>
      <c r="G14" s="884"/>
      <c r="H14" s="881"/>
      <c r="I14" s="881"/>
      <c r="J14" s="42" t="s">
        <v>26</v>
      </c>
      <c r="K14" s="43"/>
      <c r="L14" s="881"/>
      <c r="M14" s="881"/>
      <c r="N14" s="44" t="s">
        <v>26</v>
      </c>
    </row>
    <row r="15" spans="1:12" ht="15" customHeight="1">
      <c r="A15" s="45" t="s">
        <v>27</v>
      </c>
      <c r="B15" s="46"/>
      <c r="C15" s="47"/>
      <c r="D15" s="48"/>
      <c r="E15" s="48"/>
      <c r="F15" s="48"/>
      <c r="G15" s="49"/>
      <c r="H15" s="50"/>
      <c r="I15" s="50"/>
      <c r="J15" s="51"/>
      <c r="K15" s="28"/>
      <c r="L15" s="52"/>
    </row>
    <row r="16" spans="1:20" ht="15" customHeight="1">
      <c r="A16" s="53"/>
      <c r="B16" s="54" t="s">
        <v>28</v>
      </c>
      <c r="C16" s="55" t="s">
        <v>29</v>
      </c>
      <c r="D16" s="56">
        <v>301</v>
      </c>
      <c r="E16" s="57" t="s">
        <v>5</v>
      </c>
      <c r="F16" s="57" t="s">
        <v>30</v>
      </c>
      <c r="G16" s="58"/>
      <c r="H16" s="58">
        <f>VLOOKUP($E16,Ratio,2,FALSE)*$G16</f>
        <v>0</v>
      </c>
      <c r="I16" s="58">
        <f>VLOOKUP($E16,Ratio,3,FALSE)*$G16</f>
        <v>0</v>
      </c>
      <c r="J16" s="59">
        <f>VLOOKUP($E16,Ratio,4,FALSE)*$G16</f>
        <v>0</v>
      </c>
      <c r="K16" s="60"/>
      <c r="O16" s="61"/>
      <c r="P16" s="62"/>
      <c r="Q16" s="62"/>
      <c r="R16" s="62"/>
      <c r="S16" s="62"/>
      <c r="T16" s="62"/>
    </row>
    <row r="17" spans="1:20" ht="15" customHeight="1">
      <c r="A17" s="53"/>
      <c r="B17" s="54" t="s">
        <v>31</v>
      </c>
      <c r="C17" s="55" t="s">
        <v>29</v>
      </c>
      <c r="D17" s="56">
        <v>302</v>
      </c>
      <c r="E17" s="57" t="s">
        <v>1</v>
      </c>
      <c r="F17" s="57" t="s">
        <v>4</v>
      </c>
      <c r="G17" s="58">
        <f>'[1]204-207 Elect Plnt-In-Service'!E4</f>
        <v>15259132</v>
      </c>
      <c r="H17" s="58">
        <f>IF($E17="DIRECT",$L17,VLOOKUP($E17,Ratio,2,FALSE)*$G17)</f>
        <v>14889662</v>
      </c>
      <c r="I17" s="58">
        <f>IF($E17="DIRECT",$M17,VLOOKUP($E17,Ratio,3,FALSE)*$G17)</f>
        <v>369470</v>
      </c>
      <c r="J17" s="59">
        <f>IF($E17="DIRECT",$N17,VLOOKUP($E17,Ratio,4,FALSE)*$G17)</f>
        <v>0</v>
      </c>
      <c r="K17" s="60"/>
      <c r="L17" s="58">
        <v>14889662</v>
      </c>
      <c r="M17" s="58">
        <v>369470</v>
      </c>
      <c r="N17" s="59"/>
      <c r="O17" s="63">
        <f aca="true" t="shared" si="0" ref="O17:O48">SUM(H17:J17)</f>
        <v>15259132</v>
      </c>
      <c r="P17" s="64">
        <f aca="true" t="shared" si="1" ref="P17:P48">O17-G17</f>
        <v>0</v>
      </c>
      <c r="Q17" s="62"/>
      <c r="R17" s="62"/>
      <c r="S17" s="62"/>
      <c r="T17" s="62"/>
    </row>
    <row r="18" spans="1:20" ht="15" customHeight="1">
      <c r="A18" s="53"/>
      <c r="B18" s="54" t="s">
        <v>32</v>
      </c>
      <c r="C18" s="55" t="s">
        <v>29</v>
      </c>
      <c r="D18" s="56">
        <v>303</v>
      </c>
      <c r="E18" s="57" t="s">
        <v>1</v>
      </c>
      <c r="F18" s="57" t="s">
        <v>5</v>
      </c>
      <c r="G18" s="58">
        <f>'[1]204-207 Elect Plnt-In-Service'!E5</f>
        <v>4420269</v>
      </c>
      <c r="H18" s="58">
        <f>IF($E18="DIRECT",$L18,VLOOKUP($E18,Ratio,2,FALSE)*$G18)</f>
        <v>1306314</v>
      </c>
      <c r="I18" s="58">
        <f>IF($E18="DIRECT",$M18,VLOOKUP($E18,Ratio,3,FALSE)*$G18)</f>
        <v>2010845</v>
      </c>
      <c r="J18" s="59">
        <f>IF($E18="DIRECT",$N18,VLOOKUP($E18,Ratio,4,FALSE)*$G18)</f>
        <v>1103110</v>
      </c>
      <c r="K18" s="60"/>
      <c r="L18" s="58">
        <v>1306314</v>
      </c>
      <c r="M18" s="58">
        <v>2010845</v>
      </c>
      <c r="N18" s="59">
        <v>1103110</v>
      </c>
      <c r="O18" s="63">
        <f t="shared" si="0"/>
        <v>4420269</v>
      </c>
      <c r="P18" s="64">
        <f t="shared" si="1"/>
        <v>0</v>
      </c>
      <c r="Q18" s="62"/>
      <c r="R18" s="62"/>
      <c r="S18" s="62"/>
      <c r="T18" s="62"/>
    </row>
    <row r="19" spans="1:20" ht="15" customHeight="1">
      <c r="A19" s="65" t="s">
        <v>33</v>
      </c>
      <c r="B19" s="66"/>
      <c r="C19" s="67"/>
      <c r="D19" s="68"/>
      <c r="E19" s="68"/>
      <c r="F19" s="69"/>
      <c r="G19" s="70">
        <f>SUM(G16:G18)</f>
        <v>19679401</v>
      </c>
      <c r="H19" s="70">
        <f>SUM(H16:H18)</f>
        <v>16195976</v>
      </c>
      <c r="I19" s="70">
        <f>SUM(I16:I18)</f>
        <v>2380315</v>
      </c>
      <c r="J19" s="71">
        <f>SUM(J16:J18)</f>
        <v>1103110</v>
      </c>
      <c r="K19" s="72"/>
      <c r="L19" s="73"/>
      <c r="M19" s="61"/>
      <c r="N19" s="61"/>
      <c r="O19" s="63">
        <f t="shared" si="0"/>
        <v>19679401</v>
      </c>
      <c r="P19" s="64">
        <f t="shared" si="1"/>
        <v>0</v>
      </c>
      <c r="Q19" s="62"/>
      <c r="R19" s="62"/>
      <c r="S19" s="62"/>
      <c r="T19" s="62"/>
    </row>
    <row r="20" spans="1:20" s="81" customFormat="1" ht="7.5" customHeight="1">
      <c r="A20" s="74"/>
      <c r="B20" s="66"/>
      <c r="C20" s="75"/>
      <c r="D20" s="75"/>
      <c r="E20" s="75"/>
      <c r="F20" s="75"/>
      <c r="G20" s="76"/>
      <c r="H20" s="77"/>
      <c r="I20" s="76"/>
      <c r="J20" s="78"/>
      <c r="K20" s="60"/>
      <c r="L20" s="79"/>
      <c r="M20" s="80"/>
      <c r="N20" s="80"/>
      <c r="O20" s="63">
        <f t="shared" si="0"/>
        <v>0</v>
      </c>
      <c r="P20" s="64">
        <f t="shared" si="1"/>
        <v>0</v>
      </c>
      <c r="Q20" s="62"/>
      <c r="R20" s="62"/>
      <c r="S20" s="62"/>
      <c r="T20" s="62"/>
    </row>
    <row r="21" spans="1:16" ht="15" customHeight="1">
      <c r="A21" s="45" t="s">
        <v>34</v>
      </c>
      <c r="B21" s="82"/>
      <c r="C21" s="75"/>
      <c r="D21" s="75"/>
      <c r="E21" s="75"/>
      <c r="F21" s="75"/>
      <c r="G21" s="76"/>
      <c r="H21" s="83"/>
      <c r="I21" s="83"/>
      <c r="J21" s="84"/>
      <c r="K21" s="28"/>
      <c r="L21" s="52"/>
      <c r="O21" s="63">
        <f t="shared" si="0"/>
        <v>0</v>
      </c>
      <c r="P21" s="64">
        <f t="shared" si="1"/>
        <v>0</v>
      </c>
    </row>
    <row r="22" spans="1:16" ht="15" customHeight="1">
      <c r="A22" s="85"/>
      <c r="B22" s="86" t="s">
        <v>35</v>
      </c>
      <c r="C22" s="55" t="s">
        <v>29</v>
      </c>
      <c r="D22" s="56" t="s">
        <v>36</v>
      </c>
      <c r="E22" s="57" t="s">
        <v>6</v>
      </c>
      <c r="F22" s="57"/>
      <c r="G22" s="87">
        <f>'[1]204-207 Elect Plnt-In-Service'!E17</f>
        <v>378625101</v>
      </c>
      <c r="H22" s="58">
        <f>VLOOKUP($E22,Ratio,2,FALSE)*$G22</f>
        <v>378625101</v>
      </c>
      <c r="I22" s="58">
        <f>VLOOKUP($E22,Ratio,3,FALSE)*$G22</f>
        <v>0</v>
      </c>
      <c r="J22" s="59">
        <f>VLOOKUP($E22,Ratio,4,FALSE)*$G22</f>
        <v>0</v>
      </c>
      <c r="K22" s="72"/>
      <c r="L22" s="73"/>
      <c r="M22" s="88"/>
      <c r="N22" s="88"/>
      <c r="O22" s="63">
        <f t="shared" si="0"/>
        <v>378625101</v>
      </c>
      <c r="P22" s="64">
        <f t="shared" si="1"/>
        <v>0</v>
      </c>
    </row>
    <row r="23" spans="1:20" ht="15" customHeight="1">
      <c r="A23" s="85"/>
      <c r="B23" s="86" t="s">
        <v>37</v>
      </c>
      <c r="C23" s="55" t="s">
        <v>29</v>
      </c>
      <c r="D23" s="56" t="s">
        <v>38</v>
      </c>
      <c r="E23" s="57" t="s">
        <v>6</v>
      </c>
      <c r="F23" s="57"/>
      <c r="G23" s="87">
        <f>'[1]204-207 Elect Plnt-In-Service'!E26</f>
        <v>0</v>
      </c>
      <c r="H23" s="58">
        <f>VLOOKUP($E23,Ratio,2,FALSE)*$G23</f>
        <v>0</v>
      </c>
      <c r="I23" s="58">
        <f>VLOOKUP($E23,Ratio,3,FALSE)*$G23</f>
        <v>0</v>
      </c>
      <c r="J23" s="59">
        <f>VLOOKUP($E23,Ratio,4,FALSE)*$G23</f>
        <v>0</v>
      </c>
      <c r="K23" s="72"/>
      <c r="L23" s="73"/>
      <c r="M23" s="89"/>
      <c r="N23" s="90"/>
      <c r="O23" s="63">
        <f t="shared" si="0"/>
        <v>0</v>
      </c>
      <c r="P23" s="64">
        <f t="shared" si="1"/>
        <v>0</v>
      </c>
      <c r="Q23" s="62"/>
      <c r="R23" s="62"/>
      <c r="S23" s="62"/>
      <c r="T23" s="62"/>
    </row>
    <row r="24" spans="1:20" ht="15" customHeight="1">
      <c r="A24" s="85"/>
      <c r="B24" s="86" t="s">
        <v>39</v>
      </c>
      <c r="C24" s="55" t="s">
        <v>29</v>
      </c>
      <c r="D24" s="56" t="s">
        <v>40</v>
      </c>
      <c r="E24" s="57" t="s">
        <v>6</v>
      </c>
      <c r="F24" s="57"/>
      <c r="G24" s="87">
        <f>'[1]204-207 Elect Plnt-In-Service'!E36</f>
        <v>340480980</v>
      </c>
      <c r="H24" s="58">
        <f>VLOOKUP($E24,Ratio,2,FALSE)*$G24</f>
        <v>340480980</v>
      </c>
      <c r="I24" s="58">
        <f>VLOOKUP($E24,Ratio,3,FALSE)*$G24</f>
        <v>0</v>
      </c>
      <c r="J24" s="59">
        <f>VLOOKUP($E24,Ratio,4,FALSE)*$G24</f>
        <v>0</v>
      </c>
      <c r="K24" s="72"/>
      <c r="L24" s="73"/>
      <c r="M24" s="61"/>
      <c r="N24" s="61"/>
      <c r="O24" s="63">
        <f t="shared" si="0"/>
        <v>340480980</v>
      </c>
      <c r="P24" s="64">
        <f t="shared" si="1"/>
        <v>0</v>
      </c>
      <c r="Q24" s="62"/>
      <c r="R24" s="62"/>
      <c r="S24" s="62"/>
      <c r="T24" s="62"/>
    </row>
    <row r="25" spans="1:20" ht="15" customHeight="1">
      <c r="A25" s="85"/>
      <c r="B25" s="86" t="s">
        <v>41</v>
      </c>
      <c r="C25" s="55" t="s">
        <v>29</v>
      </c>
      <c r="D25" s="56" t="s">
        <v>42</v>
      </c>
      <c r="E25" s="57" t="s">
        <v>6</v>
      </c>
      <c r="F25" s="57"/>
      <c r="G25" s="87">
        <f>'[1]204-207 Elect Plnt-In-Service'!E46</f>
        <v>272688068</v>
      </c>
      <c r="H25" s="58">
        <f>VLOOKUP($E25,Ratio,2,FALSE)*$G25</f>
        <v>272688068</v>
      </c>
      <c r="I25" s="58">
        <f>VLOOKUP($E25,Ratio,3,FALSE)*$G25</f>
        <v>0</v>
      </c>
      <c r="J25" s="59">
        <f>VLOOKUP($E25,Ratio,4,FALSE)*$G25</f>
        <v>0</v>
      </c>
      <c r="K25" s="72"/>
      <c r="L25" s="73"/>
      <c r="M25" s="61"/>
      <c r="N25" s="61"/>
      <c r="O25" s="63">
        <f t="shared" si="0"/>
        <v>272688068</v>
      </c>
      <c r="P25" s="64">
        <f t="shared" si="1"/>
        <v>0</v>
      </c>
      <c r="Q25" s="62"/>
      <c r="R25" s="62"/>
      <c r="S25" s="62"/>
      <c r="T25" s="62"/>
    </row>
    <row r="26" spans="1:20" ht="15" customHeight="1">
      <c r="A26" s="65" t="s">
        <v>43</v>
      </c>
      <c r="B26" s="66"/>
      <c r="C26" s="67"/>
      <c r="D26" s="68"/>
      <c r="E26" s="68"/>
      <c r="F26" s="69"/>
      <c r="G26" s="70">
        <f>SUM(G22:G25)</f>
        <v>991794149</v>
      </c>
      <c r="H26" s="70">
        <f>SUM(H22:H25)</f>
        <v>991794149</v>
      </c>
      <c r="I26" s="70">
        <f>SUM(I22:I25)</f>
        <v>0</v>
      </c>
      <c r="J26" s="71">
        <f>SUM(J22:J25)</f>
        <v>0</v>
      </c>
      <c r="K26" s="72"/>
      <c r="L26" s="73"/>
      <c r="M26" s="61"/>
      <c r="N26" s="61"/>
      <c r="O26" s="63">
        <f t="shared" si="0"/>
        <v>991794149</v>
      </c>
      <c r="P26" s="64">
        <f t="shared" si="1"/>
        <v>0</v>
      </c>
      <c r="Q26" s="62"/>
      <c r="R26" s="62"/>
      <c r="S26" s="62"/>
      <c r="T26" s="62"/>
    </row>
    <row r="27" spans="1:16" ht="7.5" customHeight="1">
      <c r="A27" s="74"/>
      <c r="B27" s="66"/>
      <c r="C27" s="75"/>
      <c r="D27" s="75"/>
      <c r="E27" s="75"/>
      <c r="F27" s="75"/>
      <c r="G27" s="91"/>
      <c r="H27" s="83"/>
      <c r="I27" s="83"/>
      <c r="J27" s="84"/>
      <c r="K27" s="72"/>
      <c r="L27" s="73"/>
      <c r="M27" s="61"/>
      <c r="N27" s="61"/>
      <c r="O27" s="63">
        <f t="shared" si="0"/>
        <v>0</v>
      </c>
      <c r="P27" s="64">
        <f t="shared" si="1"/>
        <v>0</v>
      </c>
    </row>
    <row r="28" spans="1:16" ht="15" customHeight="1">
      <c r="A28" s="45" t="s">
        <v>44</v>
      </c>
      <c r="B28" s="54"/>
      <c r="C28" s="75"/>
      <c r="D28" s="75"/>
      <c r="E28" s="92"/>
      <c r="F28" s="92"/>
      <c r="G28" s="76"/>
      <c r="H28" s="83"/>
      <c r="I28" s="83"/>
      <c r="J28" s="84"/>
      <c r="K28" s="72"/>
      <c r="L28" s="73"/>
      <c r="M28" s="61"/>
      <c r="N28" s="61"/>
      <c r="O28" s="63">
        <f t="shared" si="0"/>
        <v>0</v>
      </c>
      <c r="P28" s="64">
        <f t="shared" si="1"/>
        <v>0</v>
      </c>
    </row>
    <row r="29" spans="1:20" ht="15" customHeight="1">
      <c r="A29" s="85"/>
      <c r="B29" s="86" t="s">
        <v>45</v>
      </c>
      <c r="C29" s="55" t="s">
        <v>29</v>
      </c>
      <c r="D29" s="56" t="s">
        <v>46</v>
      </c>
      <c r="E29" s="57" t="s">
        <v>47</v>
      </c>
      <c r="F29" s="57"/>
      <c r="G29" s="87">
        <f>'[1]204-207 Elect Plnt-In-Service'!E59</f>
        <v>383823745</v>
      </c>
      <c r="H29" s="58">
        <f>VLOOKUP($E29,Ratio,2,FALSE)*$G29</f>
        <v>0</v>
      </c>
      <c r="I29" s="58">
        <f>VLOOKUP($E29,Ratio,3,FALSE)*$G29</f>
        <v>383823745</v>
      </c>
      <c r="J29" s="59">
        <f>VLOOKUP($E29,Ratio,4,FALSE)*$G29</f>
        <v>0</v>
      </c>
      <c r="K29" s="72"/>
      <c r="L29" s="73"/>
      <c r="M29" s="61"/>
      <c r="N29" s="61"/>
      <c r="O29" s="63">
        <f t="shared" si="0"/>
        <v>383823745</v>
      </c>
      <c r="P29" s="64">
        <f t="shared" si="1"/>
        <v>0</v>
      </c>
      <c r="Q29" s="62"/>
      <c r="R29" s="62"/>
      <c r="S29" s="62"/>
      <c r="T29" s="62"/>
    </row>
    <row r="30" spans="1:20" ht="15" customHeight="1">
      <c r="A30" s="65" t="s">
        <v>48</v>
      </c>
      <c r="B30" s="93"/>
      <c r="C30" s="67"/>
      <c r="D30" s="68"/>
      <c r="E30" s="68"/>
      <c r="F30" s="69"/>
      <c r="G30" s="70">
        <f>SUM(G29)</f>
        <v>383823745</v>
      </c>
      <c r="H30" s="70">
        <f>SUM(H29)</f>
        <v>0</v>
      </c>
      <c r="I30" s="70">
        <f>SUM(I29)</f>
        <v>383823745</v>
      </c>
      <c r="J30" s="71">
        <f>SUM(J29)</f>
        <v>0</v>
      </c>
      <c r="K30" s="72"/>
      <c r="L30" s="73"/>
      <c r="M30" s="61"/>
      <c r="N30" s="61"/>
      <c r="O30" s="63">
        <f t="shared" si="0"/>
        <v>383823745</v>
      </c>
      <c r="P30" s="64">
        <f t="shared" si="1"/>
        <v>0</v>
      </c>
      <c r="Q30" s="62"/>
      <c r="R30" s="62"/>
      <c r="S30" s="62"/>
      <c r="T30" s="62"/>
    </row>
    <row r="31" spans="1:20" s="81" customFormat="1" ht="7.5" customHeight="1">
      <c r="A31" s="74"/>
      <c r="B31" s="93"/>
      <c r="C31" s="94"/>
      <c r="D31" s="75"/>
      <c r="E31" s="75"/>
      <c r="F31" s="75"/>
      <c r="G31" s="95"/>
      <c r="H31" s="95"/>
      <c r="I31" s="95"/>
      <c r="J31" s="96"/>
      <c r="K31" s="60"/>
      <c r="L31" s="79"/>
      <c r="M31" s="80"/>
      <c r="N31" s="80"/>
      <c r="O31" s="63">
        <f t="shared" si="0"/>
        <v>0</v>
      </c>
      <c r="P31" s="64">
        <f t="shared" si="1"/>
        <v>0</v>
      </c>
      <c r="Q31" s="62"/>
      <c r="R31" s="62"/>
      <c r="S31" s="62"/>
      <c r="T31" s="62"/>
    </row>
    <row r="32" spans="1:16" ht="15" customHeight="1">
      <c r="A32" s="45" t="s">
        <v>49</v>
      </c>
      <c r="B32" s="54"/>
      <c r="C32" s="75"/>
      <c r="D32" s="75"/>
      <c r="E32" s="66"/>
      <c r="F32" s="66"/>
      <c r="G32" s="76"/>
      <c r="H32" s="83"/>
      <c r="I32" s="83"/>
      <c r="J32" s="84"/>
      <c r="K32" s="72"/>
      <c r="L32" s="73"/>
      <c r="M32" s="61"/>
      <c r="N32" s="61"/>
      <c r="O32" s="63">
        <f t="shared" si="0"/>
        <v>0</v>
      </c>
      <c r="P32" s="64">
        <f t="shared" si="1"/>
        <v>0</v>
      </c>
    </row>
    <row r="33" spans="1:20" ht="15" customHeight="1">
      <c r="A33" s="85"/>
      <c r="B33" s="86" t="s">
        <v>50</v>
      </c>
      <c r="C33" s="55" t="s">
        <v>29</v>
      </c>
      <c r="D33" s="56" t="s">
        <v>51</v>
      </c>
      <c r="E33" s="57" t="s">
        <v>5</v>
      </c>
      <c r="F33" s="57"/>
      <c r="G33" s="87">
        <f>'[1]204-207 Elect Plnt-In-Service'!E76</f>
        <v>832094240</v>
      </c>
      <c r="H33" s="58">
        <f>VLOOKUP($E33,Ratio,2,FALSE)*$G33</f>
        <v>0</v>
      </c>
      <c r="I33" s="58">
        <f>VLOOKUP($E33,Ratio,3,FALSE)*$G33</f>
        <v>0</v>
      </c>
      <c r="J33" s="59">
        <f>VLOOKUP($E33,Ratio,4,FALSE)*$G33</f>
        <v>832094240</v>
      </c>
      <c r="K33" s="72"/>
      <c r="L33" s="73"/>
      <c r="M33" s="61"/>
      <c r="N33" s="61"/>
      <c r="O33" s="63">
        <f t="shared" si="0"/>
        <v>832094240</v>
      </c>
      <c r="P33" s="64">
        <f t="shared" si="1"/>
        <v>0</v>
      </c>
      <c r="Q33" s="62"/>
      <c r="R33" s="62"/>
      <c r="S33" s="62"/>
      <c r="T33" s="62"/>
    </row>
    <row r="34" spans="1:20" ht="15" customHeight="1">
      <c r="A34" s="97" t="s">
        <v>52</v>
      </c>
      <c r="B34" s="54"/>
      <c r="C34" s="67"/>
      <c r="D34" s="68"/>
      <c r="E34" s="68"/>
      <c r="F34" s="69"/>
      <c r="G34" s="70">
        <f>SUM(G33)</f>
        <v>832094240</v>
      </c>
      <c r="H34" s="70">
        <f>SUM(H33)</f>
        <v>0</v>
      </c>
      <c r="I34" s="70">
        <f>SUM(I33)</f>
        <v>0</v>
      </c>
      <c r="J34" s="71">
        <f>SUM(J33)</f>
        <v>832094240</v>
      </c>
      <c r="K34" s="72"/>
      <c r="L34" s="73"/>
      <c r="M34" s="61"/>
      <c r="N34" s="61"/>
      <c r="O34" s="63">
        <f t="shared" si="0"/>
        <v>832094240</v>
      </c>
      <c r="P34" s="64">
        <f t="shared" si="1"/>
        <v>0</v>
      </c>
      <c r="Q34" s="62"/>
      <c r="R34" s="62"/>
      <c r="S34" s="62"/>
      <c r="T34" s="62"/>
    </row>
    <row r="35" spans="1:20" s="81" customFormat="1" ht="7.5" customHeight="1">
      <c r="A35" s="98"/>
      <c r="B35" s="54"/>
      <c r="C35" s="75"/>
      <c r="D35" s="75"/>
      <c r="E35" s="75"/>
      <c r="F35" s="75"/>
      <c r="G35" s="99"/>
      <c r="H35" s="99"/>
      <c r="I35" s="99"/>
      <c r="J35" s="100"/>
      <c r="K35" s="60"/>
      <c r="L35" s="79"/>
      <c r="M35" s="80"/>
      <c r="N35" s="80"/>
      <c r="O35" s="63">
        <f t="shared" si="0"/>
        <v>0</v>
      </c>
      <c r="P35" s="64">
        <f t="shared" si="1"/>
        <v>0</v>
      </c>
      <c r="Q35" s="62"/>
      <c r="R35" s="62"/>
      <c r="S35" s="62"/>
      <c r="T35" s="62"/>
    </row>
    <row r="36" spans="1:16" ht="15" customHeight="1">
      <c r="A36" s="45" t="s">
        <v>53</v>
      </c>
      <c r="B36" s="93"/>
      <c r="C36" s="75"/>
      <c r="D36" s="101"/>
      <c r="E36" s="101"/>
      <c r="F36" s="101"/>
      <c r="G36" s="102"/>
      <c r="H36" s="102"/>
      <c r="I36" s="102"/>
      <c r="J36" s="103"/>
      <c r="K36" s="72"/>
      <c r="L36" s="73"/>
      <c r="M36" s="61"/>
      <c r="N36" s="61"/>
      <c r="O36" s="63">
        <f t="shared" si="0"/>
        <v>0</v>
      </c>
      <c r="P36" s="64">
        <f t="shared" si="1"/>
        <v>0</v>
      </c>
    </row>
    <row r="37" spans="1:16" ht="15" customHeight="1">
      <c r="A37" s="85"/>
      <c r="B37" s="104" t="s">
        <v>54</v>
      </c>
      <c r="C37" s="55" t="s">
        <v>29</v>
      </c>
      <c r="D37" s="56">
        <v>389</v>
      </c>
      <c r="E37" s="57" t="s">
        <v>4</v>
      </c>
      <c r="F37" s="57"/>
      <c r="G37" s="87">
        <f>'[1]204-207 Elect Plnt-In-Service'!E78</f>
        <v>124681</v>
      </c>
      <c r="H37" s="58">
        <f aca="true" t="shared" si="2" ref="H37:H46">VLOOKUP($E37,Ratio,2,FALSE)*$G37</f>
        <v>56011.77997215691</v>
      </c>
      <c r="I37" s="58">
        <f aca="true" t="shared" si="3" ref="I37:I46">VLOOKUP($E37,Ratio,3,FALSE)*$G37</f>
        <v>21676.52549140947</v>
      </c>
      <c r="J37" s="59">
        <f aca="true" t="shared" si="4" ref="J37:J46">VLOOKUP($E37,Ratio,4,FALSE)*$G37</f>
        <v>46992.69453643362</v>
      </c>
      <c r="K37" s="72"/>
      <c r="L37" s="73"/>
      <c r="M37" s="61"/>
      <c r="N37" s="61"/>
      <c r="O37" s="63">
        <f t="shared" si="0"/>
        <v>124681</v>
      </c>
      <c r="P37" s="64">
        <f t="shared" si="1"/>
        <v>0</v>
      </c>
    </row>
    <row r="38" spans="1:16" ht="15" customHeight="1">
      <c r="A38" s="85"/>
      <c r="B38" s="104" t="s">
        <v>55</v>
      </c>
      <c r="C38" s="55" t="s">
        <v>29</v>
      </c>
      <c r="D38" s="56">
        <v>390</v>
      </c>
      <c r="E38" s="57" t="s">
        <v>4</v>
      </c>
      <c r="F38" s="57"/>
      <c r="G38" s="87">
        <f>'[1]204-207 Elect Plnt-In-Service'!E79</f>
        <v>2042518</v>
      </c>
      <c r="H38" s="58">
        <f t="shared" si="2"/>
        <v>917582.2202674826</v>
      </c>
      <c r="I38" s="58">
        <f t="shared" si="3"/>
        <v>355103.7727774295</v>
      </c>
      <c r="J38" s="59">
        <f t="shared" si="4"/>
        <v>769832.0069550879</v>
      </c>
      <c r="K38" s="72"/>
      <c r="L38" s="73"/>
      <c r="M38" s="61"/>
      <c r="N38" s="61"/>
      <c r="O38" s="63">
        <f t="shared" si="0"/>
        <v>2042518</v>
      </c>
      <c r="P38" s="64">
        <f t="shared" si="1"/>
        <v>0</v>
      </c>
    </row>
    <row r="39" spans="1:16" ht="15" customHeight="1">
      <c r="A39" s="85"/>
      <c r="B39" s="104" t="s">
        <v>56</v>
      </c>
      <c r="C39" s="55" t="s">
        <v>29</v>
      </c>
      <c r="D39" s="56">
        <v>391</v>
      </c>
      <c r="E39" s="57" t="s">
        <v>57</v>
      </c>
      <c r="F39" s="57"/>
      <c r="G39" s="87">
        <f>'[1]204-207 Elect Plnt-In-Service'!E80</f>
        <v>136601</v>
      </c>
      <c r="H39" s="58">
        <f t="shared" si="2"/>
        <v>52742.08616376294</v>
      </c>
      <c r="I39" s="58">
        <f t="shared" si="3"/>
        <v>15663.099744097108</v>
      </c>
      <c r="J39" s="59">
        <f t="shared" si="4"/>
        <v>68195.81409213996</v>
      </c>
      <c r="K39" s="72"/>
      <c r="L39" s="73"/>
      <c r="M39" s="61"/>
      <c r="N39" s="61"/>
      <c r="O39" s="63">
        <f t="shared" si="0"/>
        <v>136601</v>
      </c>
      <c r="P39" s="64">
        <f t="shared" si="1"/>
        <v>0</v>
      </c>
    </row>
    <row r="40" spans="1:16" ht="15" customHeight="1">
      <c r="A40" s="85"/>
      <c r="B40" s="104" t="s">
        <v>58</v>
      </c>
      <c r="C40" s="55" t="s">
        <v>29</v>
      </c>
      <c r="D40" s="56">
        <v>392</v>
      </c>
      <c r="E40" s="57" t="s">
        <v>59</v>
      </c>
      <c r="F40" s="57"/>
      <c r="G40" s="87">
        <f>'[1]204-207 Elect Plnt-In-Service'!E81</f>
        <v>8275752</v>
      </c>
      <c r="H40" s="58">
        <f t="shared" si="2"/>
        <v>0</v>
      </c>
      <c r="I40" s="58">
        <f t="shared" si="3"/>
        <v>2612372.0222225683</v>
      </c>
      <c r="J40" s="59">
        <f t="shared" si="4"/>
        <v>5663379.977777433</v>
      </c>
      <c r="K40" s="72"/>
      <c r="L40" s="73"/>
      <c r="M40" s="61"/>
      <c r="N40" s="61"/>
      <c r="O40" s="63">
        <f t="shared" si="0"/>
        <v>8275752.000000001</v>
      </c>
      <c r="P40" s="64">
        <f t="shared" si="1"/>
        <v>0</v>
      </c>
    </row>
    <row r="41" spans="1:16" ht="15" customHeight="1">
      <c r="A41" s="85"/>
      <c r="B41" s="104" t="s">
        <v>60</v>
      </c>
      <c r="C41" s="55" t="s">
        <v>29</v>
      </c>
      <c r="D41" s="56">
        <v>393</v>
      </c>
      <c r="E41" s="57" t="s">
        <v>4</v>
      </c>
      <c r="F41" s="57"/>
      <c r="G41" s="87">
        <f>'[1]204-207 Elect Plnt-In-Service'!E82</f>
        <v>120561</v>
      </c>
      <c r="H41" s="58">
        <f t="shared" si="2"/>
        <v>54160.90827971551</v>
      </c>
      <c r="I41" s="58">
        <f t="shared" si="3"/>
        <v>20960.239248721275</v>
      </c>
      <c r="J41" s="59">
        <f t="shared" si="4"/>
        <v>45439.852471563216</v>
      </c>
      <c r="K41" s="72"/>
      <c r="L41" s="73"/>
      <c r="M41" s="61"/>
      <c r="N41" s="61"/>
      <c r="O41" s="63">
        <f t="shared" si="0"/>
        <v>120561</v>
      </c>
      <c r="P41" s="64">
        <f t="shared" si="1"/>
        <v>0</v>
      </c>
    </row>
    <row r="42" spans="1:16" ht="15" customHeight="1">
      <c r="A42" s="85"/>
      <c r="B42" s="104" t="s">
        <v>61</v>
      </c>
      <c r="C42" s="55" t="s">
        <v>29</v>
      </c>
      <c r="D42" s="56">
        <v>394</v>
      </c>
      <c r="E42" s="57" t="s">
        <v>4</v>
      </c>
      <c r="F42" s="57"/>
      <c r="G42" s="87">
        <f>'[1]204-207 Elect Plnt-In-Service'!E83</f>
        <v>2988365</v>
      </c>
      <c r="H42" s="58">
        <f t="shared" si="2"/>
        <v>1342495.1905783133</v>
      </c>
      <c r="I42" s="58">
        <f t="shared" si="3"/>
        <v>519544.8392308039</v>
      </c>
      <c r="J42" s="59">
        <f t="shared" si="4"/>
        <v>1126324.9701908827</v>
      </c>
      <c r="K42" s="72"/>
      <c r="L42" s="73"/>
      <c r="M42" s="61"/>
      <c r="N42" s="61"/>
      <c r="O42" s="63">
        <f t="shared" si="0"/>
        <v>2988365</v>
      </c>
      <c r="P42" s="64">
        <f t="shared" si="1"/>
        <v>0</v>
      </c>
    </row>
    <row r="43" spans="1:16" ht="15" customHeight="1">
      <c r="A43" s="85"/>
      <c r="B43" s="104" t="s">
        <v>62</v>
      </c>
      <c r="C43" s="55" t="s">
        <v>29</v>
      </c>
      <c r="D43" s="56">
        <v>395</v>
      </c>
      <c r="E43" s="57" t="s">
        <v>4</v>
      </c>
      <c r="F43" s="57"/>
      <c r="G43" s="87">
        <f>'[1]204-207 Elect Plnt-In-Service'!E84</f>
        <v>3039673</v>
      </c>
      <c r="H43" s="58">
        <f t="shared" si="2"/>
        <v>1365544.8325190376</v>
      </c>
      <c r="I43" s="58">
        <f t="shared" si="3"/>
        <v>528465.03693465</v>
      </c>
      <c r="J43" s="59">
        <f t="shared" si="4"/>
        <v>1145663.1305463125</v>
      </c>
      <c r="K43" s="72"/>
      <c r="L43" s="73"/>
      <c r="M43" s="61"/>
      <c r="N43" s="61"/>
      <c r="O43" s="63">
        <f t="shared" si="0"/>
        <v>3039673</v>
      </c>
      <c r="P43" s="64">
        <f t="shared" si="1"/>
        <v>0</v>
      </c>
    </row>
    <row r="44" spans="1:16" ht="15" customHeight="1">
      <c r="A44" s="85"/>
      <c r="B44" s="104" t="s">
        <v>63</v>
      </c>
      <c r="C44" s="55" t="s">
        <v>29</v>
      </c>
      <c r="D44" s="56">
        <v>396</v>
      </c>
      <c r="E44" s="57" t="s">
        <v>59</v>
      </c>
      <c r="F44" s="57"/>
      <c r="G44" s="87">
        <f>'[1]204-207 Elect Plnt-In-Service'!E85</f>
        <v>19674347</v>
      </c>
      <c r="H44" s="58">
        <f t="shared" si="2"/>
        <v>0</v>
      </c>
      <c r="I44" s="58">
        <f t="shared" si="3"/>
        <v>6210518.833611557</v>
      </c>
      <c r="J44" s="59">
        <f t="shared" si="4"/>
        <v>13463828.166388443</v>
      </c>
      <c r="K44" s="72"/>
      <c r="L44" s="73"/>
      <c r="M44" s="61"/>
      <c r="N44" s="61"/>
      <c r="O44" s="63">
        <f t="shared" si="0"/>
        <v>19674347</v>
      </c>
      <c r="P44" s="64">
        <f t="shared" si="1"/>
        <v>0</v>
      </c>
    </row>
    <row r="45" spans="1:16" ht="15" customHeight="1">
      <c r="A45" s="85"/>
      <c r="B45" s="104" t="s">
        <v>64</v>
      </c>
      <c r="C45" s="55" t="s">
        <v>29</v>
      </c>
      <c r="D45" s="56">
        <v>397</v>
      </c>
      <c r="E45" s="57" t="s">
        <v>4</v>
      </c>
      <c r="F45" s="57"/>
      <c r="G45" s="87">
        <f>'[1]204-207 Elect Plnt-In-Service'!E86</f>
        <v>28330864</v>
      </c>
      <c r="H45" s="58">
        <f t="shared" si="2"/>
        <v>12727377.233011456</v>
      </c>
      <c r="I45" s="58">
        <f t="shared" si="3"/>
        <v>4925487.409385992</v>
      </c>
      <c r="J45" s="59">
        <f t="shared" si="4"/>
        <v>10677999.357602553</v>
      </c>
      <c r="K45" s="72"/>
      <c r="L45" s="73"/>
      <c r="M45" s="61"/>
      <c r="N45" s="61"/>
      <c r="O45" s="63">
        <f t="shared" si="0"/>
        <v>28330864</v>
      </c>
      <c r="P45" s="64">
        <f t="shared" si="1"/>
        <v>0</v>
      </c>
    </row>
    <row r="46" spans="1:16" ht="15" customHeight="1">
      <c r="A46" s="85"/>
      <c r="B46" s="104" t="s">
        <v>65</v>
      </c>
      <c r="C46" s="55" t="s">
        <v>29</v>
      </c>
      <c r="D46" s="56">
        <v>398</v>
      </c>
      <c r="E46" s="57" t="s">
        <v>4</v>
      </c>
      <c r="F46" s="57"/>
      <c r="G46" s="87">
        <f>'[1]204-207 Elect Plnt-In-Service'!E87</f>
        <v>3973</v>
      </c>
      <c r="H46" s="58">
        <f t="shared" si="2"/>
        <v>1784.8333092402163</v>
      </c>
      <c r="I46" s="58">
        <f t="shared" si="3"/>
        <v>690.7294277184961</v>
      </c>
      <c r="J46" s="59">
        <f t="shared" si="4"/>
        <v>1497.4372630412875</v>
      </c>
      <c r="K46" s="72"/>
      <c r="L46" s="73"/>
      <c r="M46" s="61"/>
      <c r="N46" s="61"/>
      <c r="O46" s="63">
        <f t="shared" si="0"/>
        <v>3973</v>
      </c>
      <c r="P46" s="64">
        <f t="shared" si="1"/>
        <v>0</v>
      </c>
    </row>
    <row r="47" spans="1:16" ht="15" customHeight="1">
      <c r="A47" s="85"/>
      <c r="B47" s="104" t="s">
        <v>66</v>
      </c>
      <c r="C47" s="55" t="s">
        <v>29</v>
      </c>
      <c r="D47" s="56">
        <v>399</v>
      </c>
      <c r="E47" s="57" t="s">
        <v>1</v>
      </c>
      <c r="F47" s="57" t="s">
        <v>4</v>
      </c>
      <c r="G47" s="87">
        <f>'[1]204-207 Elect Plnt-In-Service'!E89</f>
        <v>0</v>
      </c>
      <c r="H47" s="58">
        <f>IF($E47="DIRECT",$L47,VLOOKUP($E47,Ratio,2,FALSE)*$G47)</f>
        <v>0</v>
      </c>
      <c r="I47" s="58">
        <f>IF($E47="DIRECT",$M47,VLOOKUP($E47,Ratio,3,FALSE)*$G47)</f>
        <v>0</v>
      </c>
      <c r="J47" s="59">
        <f>IF($E47="DIRECT",$N47,VLOOKUP($E47,Ratio,4,FALSE)*$G47)</f>
        <v>0</v>
      </c>
      <c r="K47" s="72"/>
      <c r="L47" s="58"/>
      <c r="M47" s="58"/>
      <c r="N47" s="59"/>
      <c r="O47" s="63">
        <f t="shared" si="0"/>
        <v>0</v>
      </c>
      <c r="P47" s="64">
        <f t="shared" si="1"/>
        <v>0</v>
      </c>
    </row>
    <row r="48" spans="1:16" ht="15" customHeight="1">
      <c r="A48" s="85"/>
      <c r="B48" s="104" t="s">
        <v>67</v>
      </c>
      <c r="C48" s="55" t="s">
        <v>68</v>
      </c>
      <c r="D48" s="56">
        <v>399.1</v>
      </c>
      <c r="E48" s="57" t="s">
        <v>4</v>
      </c>
      <c r="F48" s="57"/>
      <c r="G48" s="87">
        <f>'[1]204-207 Elect Plnt-In-Service'!E90</f>
        <v>0</v>
      </c>
      <c r="H48" s="58">
        <f>VLOOKUP($E48,Ratio,2,FALSE)*$G48</f>
        <v>0</v>
      </c>
      <c r="I48" s="58">
        <f>VLOOKUP($E48,Ratio,3,FALSE)*$G48</f>
        <v>0</v>
      </c>
      <c r="J48" s="59">
        <f>VLOOKUP($E48,Ratio,4,FALSE)*$G48</f>
        <v>0</v>
      </c>
      <c r="K48" s="72"/>
      <c r="L48"/>
      <c r="M48"/>
      <c r="N48"/>
      <c r="O48" s="63">
        <f t="shared" si="0"/>
        <v>0</v>
      </c>
      <c r="P48" s="64">
        <f t="shared" si="1"/>
        <v>0</v>
      </c>
    </row>
    <row r="49" spans="1:16" ht="7.5" customHeight="1">
      <c r="A49" s="105"/>
      <c r="B49" s="106"/>
      <c r="C49" s="48"/>
      <c r="D49" s="107"/>
      <c r="E49" s="107"/>
      <c r="F49" s="107"/>
      <c r="G49" s="108"/>
      <c r="H49" s="109"/>
      <c r="I49" s="109"/>
      <c r="J49" s="110"/>
      <c r="K49" s="72"/>
      <c r="L49" s="73"/>
      <c r="M49" s="61"/>
      <c r="N49" s="61"/>
      <c r="O49" s="63">
        <f aca="true" t="shared" si="5" ref="O49:O80">SUM(H49:J49)</f>
        <v>0</v>
      </c>
      <c r="P49" s="64">
        <f aca="true" t="shared" si="6" ref="P49:P80">O49-G49</f>
        <v>0</v>
      </c>
    </row>
    <row r="50" spans="1:16" ht="15" customHeight="1">
      <c r="A50" s="111" t="s">
        <v>69</v>
      </c>
      <c r="B50" s="112"/>
      <c r="C50" s="113"/>
      <c r="D50" s="114"/>
      <c r="E50" s="114"/>
      <c r="F50" s="115"/>
      <c r="G50" s="116">
        <f>SUM(G37:G49)</f>
        <v>64737335</v>
      </c>
      <c r="H50" s="116">
        <f>SUM(H37:H49)</f>
        <v>16517699.084101167</v>
      </c>
      <c r="I50" s="116">
        <f>SUM(I37:I49)</f>
        <v>15210482.508074947</v>
      </c>
      <c r="J50" s="117">
        <f>SUM(J37:J49)</f>
        <v>33009153.40782389</v>
      </c>
      <c r="K50" s="72"/>
      <c r="L50" s="73"/>
      <c r="M50" s="61"/>
      <c r="N50" s="61"/>
      <c r="O50" s="63">
        <f t="shared" si="5"/>
        <v>64737335</v>
      </c>
      <c r="P50" s="64">
        <f t="shared" si="6"/>
        <v>0</v>
      </c>
    </row>
    <row r="51" spans="1:16" ht="7.5" customHeight="1">
      <c r="A51" s="118"/>
      <c r="B51" s="112"/>
      <c r="C51" s="48"/>
      <c r="D51" s="48"/>
      <c r="E51" s="48"/>
      <c r="F51" s="48"/>
      <c r="G51" s="77"/>
      <c r="H51" s="77"/>
      <c r="I51" s="77"/>
      <c r="J51" s="119"/>
      <c r="K51" s="72"/>
      <c r="L51" s="73"/>
      <c r="M51" s="61"/>
      <c r="N51" s="61"/>
      <c r="O51" s="63">
        <f t="shared" si="5"/>
        <v>0</v>
      </c>
      <c r="P51" s="64">
        <f t="shared" si="6"/>
        <v>0</v>
      </c>
    </row>
    <row r="52" spans="1:16" ht="15" customHeight="1">
      <c r="A52" s="97" t="s">
        <v>70</v>
      </c>
      <c r="B52" s="112"/>
      <c r="C52" s="120"/>
      <c r="D52" s="68"/>
      <c r="E52" s="68"/>
      <c r="F52" s="69"/>
      <c r="G52" s="121">
        <f>G19+G26+G30+G34+G50</f>
        <v>2292128870</v>
      </c>
      <c r="H52" s="121">
        <f>H19+H26+H30+H34+H50</f>
        <v>1024507824.0841012</v>
      </c>
      <c r="I52" s="121">
        <f>I19+I26+I30+I34+I50</f>
        <v>401414542.50807494</v>
      </c>
      <c r="J52" s="122">
        <f>J19+J26+J30+J34+J50</f>
        <v>866206503.4078239</v>
      </c>
      <c r="K52" s="72"/>
      <c r="L52" s="123"/>
      <c r="M52" s="61"/>
      <c r="N52" s="61"/>
      <c r="O52" s="63">
        <f t="shared" si="5"/>
        <v>2292128870</v>
      </c>
      <c r="P52" s="64">
        <f t="shared" si="6"/>
        <v>0</v>
      </c>
    </row>
    <row r="53" spans="1:16" s="81" customFormat="1" ht="15" customHeight="1" thickBot="1">
      <c r="A53" s="124" t="s">
        <v>71</v>
      </c>
      <c r="B53" s="125"/>
      <c r="C53" s="126"/>
      <c r="D53" s="126"/>
      <c r="E53" s="127"/>
      <c r="F53" s="127"/>
      <c r="G53" s="128"/>
      <c r="H53" s="128"/>
      <c r="I53" s="128"/>
      <c r="J53" s="129"/>
      <c r="K53" s="60"/>
      <c r="L53" s="79"/>
      <c r="M53" s="80"/>
      <c r="N53" s="80"/>
      <c r="O53" s="63">
        <f t="shared" si="5"/>
        <v>0</v>
      </c>
      <c r="P53" s="64">
        <f t="shared" si="6"/>
        <v>0</v>
      </c>
    </row>
    <row r="54" spans="1:16" ht="15" customHeight="1" thickTop="1">
      <c r="A54" s="130"/>
      <c r="B54" s="131"/>
      <c r="C54" s="48"/>
      <c r="D54" s="48"/>
      <c r="E54" s="48"/>
      <c r="F54" s="48"/>
      <c r="G54" s="102"/>
      <c r="H54" s="102"/>
      <c r="I54" s="102"/>
      <c r="J54" s="103"/>
      <c r="K54" s="72"/>
      <c r="L54" s="73"/>
      <c r="M54" s="61"/>
      <c r="N54" s="61"/>
      <c r="O54" s="63">
        <f t="shared" si="5"/>
        <v>0</v>
      </c>
      <c r="P54" s="64">
        <f t="shared" si="6"/>
        <v>0</v>
      </c>
    </row>
    <row r="55" spans="1:16" ht="15" customHeight="1">
      <c r="A55" s="45" t="s">
        <v>72</v>
      </c>
      <c r="B55" s="131"/>
      <c r="C55" s="48"/>
      <c r="D55" s="48"/>
      <c r="E55" s="48"/>
      <c r="F55" s="48"/>
      <c r="G55" s="83"/>
      <c r="H55" s="83"/>
      <c r="I55" s="83"/>
      <c r="J55" s="84"/>
      <c r="K55" s="72"/>
      <c r="L55" s="73"/>
      <c r="M55" s="61"/>
      <c r="N55" s="61"/>
      <c r="O55" s="63">
        <f t="shared" si="5"/>
        <v>0</v>
      </c>
      <c r="P55" s="64">
        <f t="shared" si="6"/>
        <v>0</v>
      </c>
    </row>
    <row r="56" spans="1:16" ht="15" customHeight="1">
      <c r="A56" s="45" t="s">
        <v>73</v>
      </c>
      <c r="B56" s="131"/>
      <c r="C56" s="48"/>
      <c r="D56" s="48"/>
      <c r="E56" s="48"/>
      <c r="F56" s="48"/>
      <c r="G56" s="83"/>
      <c r="H56" s="83"/>
      <c r="I56" s="83"/>
      <c r="J56" s="84"/>
      <c r="K56" s="72"/>
      <c r="L56" s="73"/>
      <c r="M56" s="61"/>
      <c r="N56" s="61"/>
      <c r="O56" s="63">
        <f t="shared" si="5"/>
        <v>0</v>
      </c>
      <c r="P56" s="64">
        <f t="shared" si="6"/>
        <v>0</v>
      </c>
    </row>
    <row r="57" spans="1:16" ht="15" customHeight="1">
      <c r="A57" s="85"/>
      <c r="B57" s="86" t="s">
        <v>74</v>
      </c>
      <c r="C57" s="56">
        <v>219</v>
      </c>
      <c r="D57" s="132">
        <v>108</v>
      </c>
      <c r="E57" s="57" t="str">
        <f>E22</f>
        <v>PROD</v>
      </c>
      <c r="F57" s="57"/>
      <c r="G57" s="87">
        <f>'[1]219 Accum Prov for Depr of E Pl'!D21</f>
        <v>223287652</v>
      </c>
      <c r="H57" s="58">
        <f aca="true" t="shared" si="7" ref="H57:H64">VLOOKUP($E57,Ratio,2,FALSE)*$G57</f>
        <v>223287652</v>
      </c>
      <c r="I57" s="58">
        <f aca="true" t="shared" si="8" ref="I57:I64">VLOOKUP($E57,Ratio,3,FALSE)*$G57</f>
        <v>0</v>
      </c>
      <c r="J57" s="59">
        <f aca="true" t="shared" si="9" ref="J57:J64">VLOOKUP($E57,Ratio,4,FALSE)*$G57</f>
        <v>0</v>
      </c>
      <c r="K57" s="72"/>
      <c r="L57" s="73"/>
      <c r="M57" s="61"/>
      <c r="N57" s="61"/>
      <c r="O57" s="63">
        <f t="shared" si="5"/>
        <v>223287652</v>
      </c>
      <c r="P57" s="64">
        <f t="shared" si="6"/>
        <v>0</v>
      </c>
    </row>
    <row r="58" spans="1:16" ht="15" customHeight="1">
      <c r="A58" s="85"/>
      <c r="B58" s="86" t="s">
        <v>75</v>
      </c>
      <c r="C58" s="56">
        <v>219</v>
      </c>
      <c r="D58" s="132">
        <v>108</v>
      </c>
      <c r="E58" s="57" t="str">
        <f>E23</f>
        <v>PROD</v>
      </c>
      <c r="F58" s="57"/>
      <c r="G58" s="87">
        <f>'[1]219 Accum Prov for Depr of E Pl'!D22</f>
        <v>0</v>
      </c>
      <c r="H58" s="58">
        <f t="shared" si="7"/>
        <v>0</v>
      </c>
      <c r="I58" s="58">
        <f t="shared" si="8"/>
        <v>0</v>
      </c>
      <c r="J58" s="59">
        <f t="shared" si="9"/>
        <v>0</v>
      </c>
      <c r="K58" s="72"/>
      <c r="L58" s="73"/>
      <c r="M58" s="61"/>
      <c r="N58" s="61"/>
      <c r="O58" s="63">
        <f t="shared" si="5"/>
        <v>0</v>
      </c>
      <c r="P58" s="64">
        <f t="shared" si="6"/>
        <v>0</v>
      </c>
    </row>
    <row r="59" spans="1:16" ht="15" customHeight="1">
      <c r="A59" s="85"/>
      <c r="B59" s="86" t="s">
        <v>76</v>
      </c>
      <c r="C59" s="56">
        <v>219</v>
      </c>
      <c r="D59" s="56">
        <v>108</v>
      </c>
      <c r="E59" s="57" t="str">
        <f>E24</f>
        <v>PROD</v>
      </c>
      <c r="F59" s="57"/>
      <c r="G59" s="87">
        <f>'[1]219 Accum Prov for Depr of E Pl'!D23</f>
        <v>79097867</v>
      </c>
      <c r="H59" s="58">
        <f t="shared" si="7"/>
        <v>79097867</v>
      </c>
      <c r="I59" s="58">
        <f t="shared" si="8"/>
        <v>0</v>
      </c>
      <c r="J59" s="59">
        <f t="shared" si="9"/>
        <v>0</v>
      </c>
      <c r="K59" s="72"/>
      <c r="L59" s="73"/>
      <c r="M59" s="61"/>
      <c r="N59" s="61"/>
      <c r="O59" s="63">
        <f t="shared" si="5"/>
        <v>79097867</v>
      </c>
      <c r="P59" s="64">
        <f t="shared" si="6"/>
        <v>0</v>
      </c>
    </row>
    <row r="60" spans="1:16" ht="15" customHeight="1">
      <c r="A60" s="85"/>
      <c r="B60" s="86" t="s">
        <v>77</v>
      </c>
      <c r="C60" s="56">
        <v>219</v>
      </c>
      <c r="D60" s="132">
        <v>108</v>
      </c>
      <c r="E60" s="57" t="str">
        <f>E25</f>
        <v>PROD</v>
      </c>
      <c r="F60" s="57"/>
      <c r="G60" s="87">
        <f>'[1]219 Accum Prov for Depr of E Pl'!D25</f>
        <v>36139145</v>
      </c>
      <c r="H60" s="58">
        <f t="shared" si="7"/>
        <v>36139145</v>
      </c>
      <c r="I60" s="58">
        <f t="shared" si="8"/>
        <v>0</v>
      </c>
      <c r="J60" s="59">
        <f t="shared" si="9"/>
        <v>0</v>
      </c>
      <c r="K60" s="72"/>
      <c r="L60" s="73"/>
      <c r="M60" s="61"/>
      <c r="N60" s="61"/>
      <c r="O60" s="63">
        <f t="shared" si="5"/>
        <v>36139145</v>
      </c>
      <c r="P60" s="64">
        <f t="shared" si="6"/>
        <v>0</v>
      </c>
    </row>
    <row r="61" spans="1:16" ht="15" customHeight="1">
      <c r="A61" s="85"/>
      <c r="B61" s="86" t="s">
        <v>78</v>
      </c>
      <c r="C61" s="56">
        <v>219</v>
      </c>
      <c r="D61" s="132">
        <v>108</v>
      </c>
      <c r="E61" s="57" t="str">
        <f>E29</f>
        <v>TRANS</v>
      </c>
      <c r="F61" s="57"/>
      <c r="G61" s="87">
        <f>'[1]219 Accum Prov for Depr of E Pl'!D26</f>
        <v>136875953</v>
      </c>
      <c r="H61" s="58">
        <f t="shared" si="7"/>
        <v>0</v>
      </c>
      <c r="I61" s="58">
        <f t="shared" si="8"/>
        <v>136875953</v>
      </c>
      <c r="J61" s="59">
        <f t="shared" si="9"/>
        <v>0</v>
      </c>
      <c r="K61" s="72"/>
      <c r="L61" s="73"/>
      <c r="M61" s="61"/>
      <c r="N61" s="61"/>
      <c r="O61" s="63">
        <f t="shared" si="5"/>
        <v>136875953</v>
      </c>
      <c r="P61" s="64">
        <f t="shared" si="6"/>
        <v>0</v>
      </c>
    </row>
    <row r="62" spans="1:16" ht="15" customHeight="1">
      <c r="A62" s="85"/>
      <c r="B62" s="86" t="s">
        <v>79</v>
      </c>
      <c r="C62" s="56">
        <v>219</v>
      </c>
      <c r="D62" s="132">
        <v>108</v>
      </c>
      <c r="E62" s="57" t="str">
        <f>E33</f>
        <v>DIST</v>
      </c>
      <c r="F62" s="57"/>
      <c r="G62" s="87">
        <f>'[1]219 Accum Prov for Depr of E Pl'!D27</f>
        <v>256150345</v>
      </c>
      <c r="H62" s="58">
        <f t="shared" si="7"/>
        <v>0</v>
      </c>
      <c r="I62" s="58">
        <f t="shared" si="8"/>
        <v>0</v>
      </c>
      <c r="J62" s="59">
        <f t="shared" si="9"/>
        <v>256150345</v>
      </c>
      <c r="K62" s="72"/>
      <c r="L62" s="73"/>
      <c r="M62" s="61"/>
      <c r="N62" s="61"/>
      <c r="O62" s="63">
        <f t="shared" si="5"/>
        <v>256150345</v>
      </c>
      <c r="P62" s="64">
        <f t="shared" si="6"/>
        <v>0</v>
      </c>
    </row>
    <row r="63" spans="1:16" ht="15" customHeight="1">
      <c r="A63" s="85"/>
      <c r="B63" s="86" t="s">
        <v>80</v>
      </c>
      <c r="C63" s="56">
        <v>219</v>
      </c>
      <c r="D63" s="132">
        <v>108</v>
      </c>
      <c r="E63" s="57" t="s">
        <v>81</v>
      </c>
      <c r="F63" s="57"/>
      <c r="G63" s="87">
        <f>'[1]219 Accum Prov for Depr of E Pl'!D28</f>
        <v>39680634</v>
      </c>
      <c r="H63" s="58">
        <f t="shared" si="7"/>
        <v>10124494.186829805</v>
      </c>
      <c r="I63" s="58">
        <f t="shared" si="8"/>
        <v>9323238.118565183</v>
      </c>
      <c r="J63" s="59">
        <f t="shared" si="9"/>
        <v>20232901.694605015</v>
      </c>
      <c r="K63" s="72"/>
      <c r="L63" s="73"/>
      <c r="M63" s="61"/>
      <c r="N63" s="61"/>
      <c r="O63" s="63">
        <f t="shared" si="5"/>
        <v>39680634</v>
      </c>
      <c r="P63" s="64">
        <f t="shared" si="6"/>
        <v>0</v>
      </c>
    </row>
    <row r="64" spans="1:16" ht="15" customHeight="1">
      <c r="A64" s="85"/>
      <c r="B64" s="86" t="s">
        <v>82</v>
      </c>
      <c r="C64" s="56">
        <v>219</v>
      </c>
      <c r="D64" s="132">
        <v>111</v>
      </c>
      <c r="E64" s="57" t="str">
        <f>E16</f>
        <v>DIST</v>
      </c>
      <c r="F64" s="133" t="str">
        <f>F16</f>
        <v> </v>
      </c>
      <c r="G64" s="87">
        <v>0</v>
      </c>
      <c r="H64" s="58">
        <f t="shared" si="7"/>
        <v>0</v>
      </c>
      <c r="I64" s="58">
        <f t="shared" si="8"/>
        <v>0</v>
      </c>
      <c r="J64" s="59">
        <f t="shared" si="9"/>
        <v>0</v>
      </c>
      <c r="K64" s="72"/>
      <c r="L64" s="73"/>
      <c r="M64" s="61"/>
      <c r="N64" s="61"/>
      <c r="O64" s="63">
        <f t="shared" si="5"/>
        <v>0</v>
      </c>
      <c r="P64" s="64">
        <f t="shared" si="6"/>
        <v>0</v>
      </c>
    </row>
    <row r="65" spans="1:16" ht="15" customHeight="1">
      <c r="A65" s="85"/>
      <c r="B65" s="86" t="s">
        <v>83</v>
      </c>
      <c r="C65" s="56">
        <v>219</v>
      </c>
      <c r="D65" s="132">
        <v>111</v>
      </c>
      <c r="E65" s="57" t="s">
        <v>1</v>
      </c>
      <c r="F65" s="133" t="s">
        <v>4</v>
      </c>
      <c r="G65" s="58">
        <f>SUM(H65:J65)</f>
        <v>2397915</v>
      </c>
      <c r="H65" s="58">
        <f>IF($E65="DIRECT",$L65,VLOOKUP($E65,Ratio,2,FALSE)*$G65)</f>
        <v>2360968</v>
      </c>
      <c r="I65" s="58">
        <f>IF($E65="DIRECT",$M65,VLOOKUP($E65,Ratio,3,FALSE)*$G65)</f>
        <v>36947</v>
      </c>
      <c r="J65" s="59">
        <f>IF($E65="DIRECT",$N65,VLOOKUP($E65,Ratio,4,FALSE)*$G65)</f>
        <v>0</v>
      </c>
      <c r="K65" s="72"/>
      <c r="L65" s="58">
        <v>2360968</v>
      </c>
      <c r="M65" s="58">
        <v>36947</v>
      </c>
      <c r="N65" s="59"/>
      <c r="O65" s="63">
        <f t="shared" si="5"/>
        <v>2397915</v>
      </c>
      <c r="P65" s="64">
        <f t="shared" si="6"/>
        <v>0</v>
      </c>
    </row>
    <row r="66" spans="1:16" ht="15" customHeight="1">
      <c r="A66" s="85"/>
      <c r="B66" s="86" t="s">
        <v>84</v>
      </c>
      <c r="C66" s="56">
        <v>219</v>
      </c>
      <c r="D66" s="132">
        <v>111</v>
      </c>
      <c r="E66" s="57" t="s">
        <v>1</v>
      </c>
      <c r="F66" s="133" t="s">
        <v>5</v>
      </c>
      <c r="G66" s="58">
        <f>SUM(H66:J66)</f>
        <v>4589483</v>
      </c>
      <c r="H66" s="58">
        <f>IF($E66="DIRECT",$L66,VLOOKUP($E66,Ratio,2,FALSE)*$G66)</f>
        <v>1917082</v>
      </c>
      <c r="I66" s="58">
        <f>IF($E66="DIRECT",$M66,VLOOKUP($E66,Ratio,3,FALSE)*$G66)</f>
        <v>1053532</v>
      </c>
      <c r="J66" s="59">
        <f>IF($E66="DIRECT",$N66,VLOOKUP($E66,Ratio,4,FALSE)*$G66)</f>
        <v>1618869</v>
      </c>
      <c r="K66" s="72"/>
      <c r="L66" s="58">
        <v>1917082</v>
      </c>
      <c r="M66" s="58">
        <v>1053532</v>
      </c>
      <c r="N66" s="59">
        <v>1618869</v>
      </c>
      <c r="O66" s="63">
        <f t="shared" si="5"/>
        <v>4589483</v>
      </c>
      <c r="P66" s="64">
        <f t="shared" si="6"/>
        <v>0</v>
      </c>
    </row>
    <row r="67" spans="1:16" ht="15" customHeight="1">
      <c r="A67" s="85"/>
      <c r="B67" s="86" t="s">
        <v>85</v>
      </c>
      <c r="C67" s="56">
        <v>219</v>
      </c>
      <c r="D67" s="132">
        <v>108</v>
      </c>
      <c r="E67" s="57" t="s">
        <v>6</v>
      </c>
      <c r="F67" s="57"/>
      <c r="G67" s="87"/>
      <c r="H67" s="58">
        <f>VLOOKUP($E67,Ratio,2,FALSE)*$G67</f>
        <v>0</v>
      </c>
      <c r="I67" s="58">
        <f>VLOOKUP($E67,Ratio,3,FALSE)*$G67</f>
        <v>0</v>
      </c>
      <c r="J67" s="59">
        <f>VLOOKUP($E67,Ratio,4,FALSE)*$G67</f>
        <v>0</v>
      </c>
      <c r="K67" s="72"/>
      <c r="L67" s="73"/>
      <c r="M67" s="61"/>
      <c r="N67" s="61"/>
      <c r="O67" s="63">
        <f t="shared" si="5"/>
        <v>0</v>
      </c>
      <c r="P67" s="64">
        <f t="shared" si="6"/>
        <v>0</v>
      </c>
    </row>
    <row r="68" spans="1:16" ht="15" customHeight="1">
      <c r="A68" s="85"/>
      <c r="B68" s="86" t="s">
        <v>86</v>
      </c>
      <c r="C68" s="56">
        <v>219</v>
      </c>
      <c r="D68" s="132">
        <v>108</v>
      </c>
      <c r="E68" s="57" t="s">
        <v>5</v>
      </c>
      <c r="F68" s="57"/>
      <c r="G68" s="87"/>
      <c r="H68" s="58">
        <f>VLOOKUP($E68,Ratio,2,FALSE)*$G68</f>
        <v>0</v>
      </c>
      <c r="I68" s="58">
        <f>VLOOKUP($E68,Ratio,3,FALSE)*$G68</f>
        <v>0</v>
      </c>
      <c r="J68" s="59">
        <f>VLOOKUP($E68,Ratio,4,FALSE)*$G68</f>
        <v>0</v>
      </c>
      <c r="K68" s="72"/>
      <c r="L68" s="73"/>
      <c r="M68" s="61"/>
      <c r="N68" s="61"/>
      <c r="O68" s="63">
        <f t="shared" si="5"/>
        <v>0</v>
      </c>
      <c r="P68" s="64">
        <f t="shared" si="6"/>
        <v>0</v>
      </c>
    </row>
    <row r="69" spans="1:16" ht="15" customHeight="1">
      <c r="A69" s="85"/>
      <c r="B69" s="86" t="s">
        <v>87</v>
      </c>
      <c r="C69" s="56">
        <v>219</v>
      </c>
      <c r="D69" s="132">
        <v>108</v>
      </c>
      <c r="E69" s="57" t="s">
        <v>1</v>
      </c>
      <c r="F69" s="57" t="s">
        <v>4</v>
      </c>
      <c r="G69" s="87"/>
      <c r="H69" s="58">
        <f>IF($E69="DIRECT",$L69,VLOOKUP($E69,Ratio,2,FALSE)*$G69)</f>
        <v>0</v>
      </c>
      <c r="I69" s="58">
        <f>IF($E69="DIRECT",$M69,VLOOKUP($E69,Ratio,3,FALSE)*$G69)</f>
        <v>0</v>
      </c>
      <c r="J69" s="59">
        <f>IF($E69="DIRECT",$N69,VLOOKUP($E69,Ratio,4,FALSE)*$G69)</f>
        <v>0</v>
      </c>
      <c r="K69" s="72"/>
      <c r="L69" s="58"/>
      <c r="M69" s="58"/>
      <c r="N69" s="59"/>
      <c r="O69" s="63">
        <f t="shared" si="5"/>
        <v>0</v>
      </c>
      <c r="P69" s="64">
        <f t="shared" si="6"/>
        <v>0</v>
      </c>
    </row>
    <row r="70" spans="1:16" ht="15" customHeight="1">
      <c r="A70" s="85"/>
      <c r="B70" s="86" t="s">
        <v>88</v>
      </c>
      <c r="C70" s="56" t="s">
        <v>89</v>
      </c>
      <c r="D70" s="132">
        <v>108</v>
      </c>
      <c r="E70" s="57" t="s">
        <v>1</v>
      </c>
      <c r="F70" s="57" t="s">
        <v>5</v>
      </c>
      <c r="G70" s="87"/>
      <c r="H70" s="58">
        <f>IF($E70="DIRECT",$L70,VLOOKUP($E70,Ratio,2,FALSE)*$G70)</f>
        <v>0</v>
      </c>
      <c r="I70" s="58">
        <f>IF($E70="DIRECT",$M70,VLOOKUP($E70,Ratio,3,FALSE)*$G70)</f>
        <v>0</v>
      </c>
      <c r="J70" s="59">
        <f>IF($E70="DIRECT",$N70,VLOOKUP($E70,Ratio,4,FALSE)*$G70)</f>
        <v>0</v>
      </c>
      <c r="K70" s="72"/>
      <c r="L70" s="58"/>
      <c r="M70" s="58"/>
      <c r="N70" s="59"/>
      <c r="O70" s="63">
        <f t="shared" si="5"/>
        <v>0</v>
      </c>
      <c r="P70" s="64">
        <f t="shared" si="6"/>
        <v>0</v>
      </c>
    </row>
    <row r="71" spans="1:16" s="81" customFormat="1" ht="15" customHeight="1">
      <c r="A71" s="85"/>
      <c r="B71" s="86" t="s">
        <v>90</v>
      </c>
      <c r="C71" s="56" t="s">
        <v>89</v>
      </c>
      <c r="D71" s="56">
        <v>108</v>
      </c>
      <c r="E71" s="57" t="s">
        <v>4</v>
      </c>
      <c r="F71" s="57" t="s">
        <v>4</v>
      </c>
      <c r="G71" s="87">
        <v>18092047</v>
      </c>
      <c r="H71" s="58">
        <f>IF($E71="DIRECT",$L71,VLOOKUP($E71,Ratio,2,FALSE)*$G71)</f>
        <v>8127683.895781406</v>
      </c>
      <c r="I71" s="58">
        <f>IF($E71="DIRECT",$M71,VLOOKUP($E71,Ratio,3,FALSE)*$G71)</f>
        <v>3145408.8272253047</v>
      </c>
      <c r="J71" s="59">
        <f>IF($E71="DIRECT",$N71,VLOOKUP($E71,Ratio,4,FALSE)*$G71)</f>
        <v>6818954.276993289</v>
      </c>
      <c r="K71" s="60"/>
      <c r="L71" s="58">
        <v>0</v>
      </c>
      <c r="M71" s="58">
        <v>0</v>
      </c>
      <c r="N71" s="59">
        <v>0</v>
      </c>
      <c r="O71" s="63">
        <f t="shared" si="5"/>
        <v>18092047</v>
      </c>
      <c r="P71" s="64">
        <f t="shared" si="6"/>
        <v>0</v>
      </c>
    </row>
    <row r="72" spans="1:16" s="81" customFormat="1" ht="15" customHeight="1">
      <c r="A72" s="85"/>
      <c r="B72" s="86" t="s">
        <v>91</v>
      </c>
      <c r="C72" s="56" t="s">
        <v>89</v>
      </c>
      <c r="D72" s="56">
        <v>108</v>
      </c>
      <c r="E72" s="57" t="s">
        <v>1</v>
      </c>
      <c r="F72" s="57" t="s">
        <v>5</v>
      </c>
      <c r="G72" s="87"/>
      <c r="H72" s="58">
        <f>IF($E72="DIRECT",$L72,VLOOKUP($E72,Ratio,2,FALSE)*$G72)</f>
        <v>0</v>
      </c>
      <c r="I72" s="58">
        <f>IF($E72="DIRECT",$M72,VLOOKUP($E72,Ratio,3,FALSE)*$G72)</f>
        <v>0</v>
      </c>
      <c r="J72" s="59">
        <f>IF($E72="DIRECT",$N72,VLOOKUP($E72,Ratio,4,FALSE)*$G72)</f>
        <v>0</v>
      </c>
      <c r="K72" s="60"/>
      <c r="L72" s="58"/>
      <c r="M72" s="58"/>
      <c r="N72" s="59"/>
      <c r="O72" s="63">
        <f t="shared" si="5"/>
        <v>0</v>
      </c>
      <c r="P72" s="64">
        <f t="shared" si="6"/>
        <v>0</v>
      </c>
    </row>
    <row r="73" spans="1:16" s="81" customFormat="1" ht="15" customHeight="1">
      <c r="A73" s="85"/>
      <c r="B73" s="86" t="s">
        <v>92</v>
      </c>
      <c r="C73" s="56" t="s">
        <v>89</v>
      </c>
      <c r="D73" s="56">
        <v>115</v>
      </c>
      <c r="E73" s="57" t="s">
        <v>1</v>
      </c>
      <c r="F73" s="57" t="s">
        <v>5</v>
      </c>
      <c r="G73" s="87"/>
      <c r="H73" s="58">
        <f>IF($E73="DIRECT",$L73,VLOOKUP($E73,Ratio,2,FALSE)*$G73)</f>
        <v>0</v>
      </c>
      <c r="I73" s="58">
        <f>IF($E73="DIRECT",$M73,VLOOKUP($E73,Ratio,3,FALSE)*$G73)</f>
        <v>0</v>
      </c>
      <c r="J73" s="59">
        <f>IF($E73="DIRECT",$N73,VLOOKUP($E73,Ratio,4,FALSE)*$G73)</f>
        <v>0</v>
      </c>
      <c r="K73" s="60"/>
      <c r="L73" s="134"/>
      <c r="M73" s="135"/>
      <c r="N73" s="135"/>
      <c r="O73" s="63">
        <f t="shared" si="5"/>
        <v>0</v>
      </c>
      <c r="P73" s="64">
        <f t="shared" si="6"/>
        <v>0</v>
      </c>
    </row>
    <row r="74" spans="1:16" s="81" customFormat="1" ht="15" customHeight="1">
      <c r="A74" s="85"/>
      <c r="B74" s="86"/>
      <c r="C74" s="75"/>
      <c r="D74" s="101"/>
      <c r="E74" s="101"/>
      <c r="F74" s="101"/>
      <c r="G74" s="136"/>
      <c r="H74" s="137"/>
      <c r="I74" s="137"/>
      <c r="J74" s="138"/>
      <c r="K74" s="60"/>
      <c r="L74" s="79"/>
      <c r="M74" s="80"/>
      <c r="N74" s="80"/>
      <c r="O74" s="63">
        <f t="shared" si="5"/>
        <v>0</v>
      </c>
      <c r="P74" s="64">
        <f t="shared" si="6"/>
        <v>0</v>
      </c>
    </row>
    <row r="75" spans="1:16" ht="15" customHeight="1">
      <c r="A75" s="45" t="s">
        <v>93</v>
      </c>
      <c r="B75" s="86"/>
      <c r="C75" s="56"/>
      <c r="D75" s="56"/>
      <c r="E75" s="57" t="s">
        <v>1</v>
      </c>
      <c r="F75" s="57" t="s">
        <v>1</v>
      </c>
      <c r="G75" s="87"/>
      <c r="H75" s="58"/>
      <c r="I75" s="58"/>
      <c r="J75" s="59"/>
      <c r="K75" s="72"/>
      <c r="L75" s="73"/>
      <c r="M75" s="61"/>
      <c r="N75" s="61"/>
      <c r="O75" s="63">
        <f t="shared" si="5"/>
        <v>0</v>
      </c>
      <c r="P75" s="64">
        <f t="shared" si="6"/>
        <v>0</v>
      </c>
    </row>
    <row r="76" spans="1:16" ht="15" customHeight="1">
      <c r="A76" s="139"/>
      <c r="B76" s="86"/>
      <c r="C76" s="75"/>
      <c r="D76" s="101"/>
      <c r="E76" s="101"/>
      <c r="F76" s="101"/>
      <c r="G76" s="140"/>
      <c r="H76" s="109"/>
      <c r="I76" s="109"/>
      <c r="J76" s="110"/>
      <c r="K76" s="72"/>
      <c r="L76" s="73"/>
      <c r="M76" s="61"/>
      <c r="N76" s="61"/>
      <c r="O76" s="63">
        <f t="shared" si="5"/>
        <v>0</v>
      </c>
      <c r="P76" s="64">
        <f t="shared" si="6"/>
        <v>0</v>
      </c>
    </row>
    <row r="77" spans="1:16" ht="15" customHeight="1">
      <c r="A77" s="97" t="s">
        <v>94</v>
      </c>
      <c r="B77" s="66"/>
      <c r="C77" s="120"/>
      <c r="D77" s="68"/>
      <c r="E77" s="68"/>
      <c r="F77" s="69"/>
      <c r="G77" s="121">
        <f>SUM(G57:G75)</f>
        <v>796311041</v>
      </c>
      <c r="H77" s="121">
        <f>SUM(H57:H75)</f>
        <v>361054892.0826112</v>
      </c>
      <c r="I77" s="121">
        <f>SUM(I57:I75)</f>
        <v>150435078.94579047</v>
      </c>
      <c r="J77" s="122">
        <f>SUM(J57:J75)</f>
        <v>284821069.97159827</v>
      </c>
      <c r="K77" s="72"/>
      <c r="L77" s="73"/>
      <c r="M77" s="61"/>
      <c r="N77" s="61"/>
      <c r="O77" s="63">
        <f t="shared" si="5"/>
        <v>796311041</v>
      </c>
      <c r="P77" s="64">
        <f t="shared" si="6"/>
        <v>0</v>
      </c>
    </row>
    <row r="78" spans="1:16" ht="15" customHeight="1">
      <c r="A78" s="139"/>
      <c r="B78" s="141"/>
      <c r="C78" s="75"/>
      <c r="D78" s="101"/>
      <c r="E78" s="101"/>
      <c r="F78" s="101"/>
      <c r="G78" s="95"/>
      <c r="H78" s="95"/>
      <c r="I78" s="95"/>
      <c r="J78" s="96"/>
      <c r="K78" s="72"/>
      <c r="L78" s="73"/>
      <c r="M78" s="61"/>
      <c r="N78" s="61"/>
      <c r="O78" s="63">
        <f t="shared" si="5"/>
        <v>0</v>
      </c>
      <c r="P78" s="64">
        <f t="shared" si="6"/>
        <v>0</v>
      </c>
    </row>
    <row r="79" spans="1:16" ht="15" customHeight="1">
      <c r="A79" s="97" t="s">
        <v>95</v>
      </c>
      <c r="B79" s="112"/>
      <c r="C79" s="120"/>
      <c r="D79" s="68"/>
      <c r="E79" s="68"/>
      <c r="F79" s="69"/>
      <c r="G79" s="121">
        <f>G52-G77</f>
        <v>1495817829</v>
      </c>
      <c r="H79" s="121">
        <f>H52-H77</f>
        <v>663452932.00149</v>
      </c>
      <c r="I79" s="121">
        <f>I52-I77</f>
        <v>250979463.56228447</v>
      </c>
      <c r="J79" s="122">
        <f>J52-J77</f>
        <v>581385433.4362257</v>
      </c>
      <c r="K79" s="72"/>
      <c r="L79" s="73"/>
      <c r="M79" s="61"/>
      <c r="N79" s="61"/>
      <c r="O79" s="63">
        <f t="shared" si="5"/>
        <v>1495817829</v>
      </c>
      <c r="P79" s="64">
        <f t="shared" si="6"/>
        <v>0</v>
      </c>
    </row>
    <row r="80" spans="1:16" s="81" customFormat="1" ht="15" customHeight="1">
      <c r="A80" s="142" t="s">
        <v>96</v>
      </c>
      <c r="B80" s="112"/>
      <c r="C80" s="48"/>
      <c r="D80" s="48"/>
      <c r="E80" s="143"/>
      <c r="F80" s="143"/>
      <c r="G80" s="76"/>
      <c r="H80" s="76"/>
      <c r="I80" s="76"/>
      <c r="J80" s="119"/>
      <c r="K80" s="60"/>
      <c r="L80" s="79"/>
      <c r="M80" s="80"/>
      <c r="N80" s="80"/>
      <c r="O80" s="63">
        <f t="shared" si="5"/>
        <v>0</v>
      </c>
      <c r="P80" s="64">
        <f t="shared" si="6"/>
        <v>0</v>
      </c>
    </row>
    <row r="81" spans="1:16" s="81" customFormat="1" ht="15" customHeight="1" thickBot="1">
      <c r="A81" s="124"/>
      <c r="B81" s="125"/>
      <c r="C81" s="126"/>
      <c r="D81" s="126"/>
      <c r="E81" s="144"/>
      <c r="F81" s="144"/>
      <c r="G81" s="145"/>
      <c r="H81" s="145"/>
      <c r="I81" s="145"/>
      <c r="J81" s="129"/>
      <c r="K81" s="60"/>
      <c r="L81" s="79"/>
      <c r="M81" s="80"/>
      <c r="N81" s="80"/>
      <c r="O81" s="63">
        <f aca="true" t="shared" si="10" ref="O81:O112">SUM(H81:J81)</f>
        <v>0</v>
      </c>
      <c r="P81" s="64">
        <f aca="true" t="shared" si="11" ref="P81:P112">O81-G81</f>
        <v>0</v>
      </c>
    </row>
    <row r="82" spans="1:16" ht="15" customHeight="1" thickTop="1">
      <c r="A82" s="146" t="s">
        <v>97</v>
      </c>
      <c r="B82" s="112"/>
      <c r="C82" s="48"/>
      <c r="D82" s="48"/>
      <c r="E82" s="143"/>
      <c r="F82" s="143"/>
      <c r="G82" s="83"/>
      <c r="H82" s="83"/>
      <c r="I82" s="83"/>
      <c r="J82" s="103"/>
      <c r="K82" s="72"/>
      <c r="L82" s="73"/>
      <c r="M82" s="61"/>
      <c r="N82" s="61"/>
      <c r="O82" s="63">
        <f t="shared" si="10"/>
        <v>0</v>
      </c>
      <c r="P82" s="64">
        <f t="shared" si="11"/>
        <v>0</v>
      </c>
    </row>
    <row r="83" spans="1:16" ht="15" customHeight="1">
      <c r="A83" s="147"/>
      <c r="B83" s="112"/>
      <c r="C83" s="48"/>
      <c r="D83" s="48"/>
      <c r="E83" s="143"/>
      <c r="F83" s="143"/>
      <c r="G83" s="83"/>
      <c r="H83" s="83"/>
      <c r="I83" s="83"/>
      <c r="J83" s="103"/>
      <c r="K83" s="72"/>
      <c r="L83" s="73"/>
      <c r="M83" s="61"/>
      <c r="N83" s="61"/>
      <c r="O83" s="63">
        <f t="shared" si="10"/>
        <v>0</v>
      </c>
      <c r="P83" s="64">
        <f t="shared" si="11"/>
        <v>0</v>
      </c>
    </row>
    <row r="84" spans="1:16" ht="15" customHeight="1">
      <c r="A84" s="148" t="s">
        <v>98</v>
      </c>
      <c r="B84" s="149"/>
      <c r="C84" s="716" t="s">
        <v>99</v>
      </c>
      <c r="D84" s="655"/>
      <c r="E84" s="655"/>
      <c r="F84" s="656"/>
      <c r="G84" s="87">
        <f>'Sch 1A - Cash Working Capital'!C23</f>
        <v>29680030.375</v>
      </c>
      <c r="H84" s="58">
        <f>'Sch 1A - Cash Working Capital'!D23</f>
        <v>18426120.286224835</v>
      </c>
      <c r="I84" s="150">
        <f>'Sch 1A - Cash Working Capital'!E23</f>
        <v>3121027.198012448</v>
      </c>
      <c r="J84" s="151">
        <f>'Sch 1A - Cash Working Capital'!F23</f>
        <v>8132882.89076272</v>
      </c>
      <c r="K84" s="72"/>
      <c r="L84" s="73"/>
      <c r="M84" s="61"/>
      <c r="N84" s="61"/>
      <c r="O84" s="63">
        <f t="shared" si="10"/>
        <v>29680030.375000004</v>
      </c>
      <c r="P84" s="64">
        <f t="shared" si="11"/>
        <v>0</v>
      </c>
    </row>
    <row r="85" spans="1:16" ht="15" customHeight="1">
      <c r="A85" s="85"/>
      <c r="B85" s="104"/>
      <c r="C85" s="75"/>
      <c r="D85" s="75"/>
      <c r="E85" s="101"/>
      <c r="F85" s="101"/>
      <c r="G85" s="152"/>
      <c r="H85" s="153"/>
      <c r="I85" s="153"/>
      <c r="J85" s="154"/>
      <c r="K85" s="72"/>
      <c r="L85" s="73"/>
      <c r="M85" s="61"/>
      <c r="N85" s="61"/>
      <c r="O85" s="63">
        <f t="shared" si="10"/>
        <v>0</v>
      </c>
      <c r="P85" s="64">
        <f t="shared" si="11"/>
        <v>0</v>
      </c>
    </row>
    <row r="86" spans="1:16" ht="15" customHeight="1">
      <c r="A86" s="155" t="s">
        <v>100</v>
      </c>
      <c r="B86" s="156"/>
      <c r="C86" s="157"/>
      <c r="D86" s="101"/>
      <c r="E86" s="101"/>
      <c r="F86" s="101"/>
      <c r="G86" s="108"/>
      <c r="H86" s="109"/>
      <c r="I86" s="109"/>
      <c r="J86" s="110"/>
      <c r="K86" s="73"/>
      <c r="L86" s="73"/>
      <c r="M86" s="61"/>
      <c r="N86" s="61"/>
      <c r="O86" s="63">
        <f t="shared" si="10"/>
        <v>0</v>
      </c>
      <c r="P86" s="64">
        <f t="shared" si="11"/>
        <v>0</v>
      </c>
    </row>
    <row r="87" spans="1:16" ht="15" customHeight="1">
      <c r="A87" s="85"/>
      <c r="B87" s="104" t="s">
        <v>101</v>
      </c>
      <c r="C87" s="56" t="s">
        <v>89</v>
      </c>
      <c r="D87" s="56">
        <v>105</v>
      </c>
      <c r="E87" s="57" t="s">
        <v>5</v>
      </c>
      <c r="F87" s="57"/>
      <c r="G87" s="87">
        <f>'[1]200 Utly Plnt Dep, Amort, Depl'!E11</f>
        <v>0</v>
      </c>
      <c r="H87" s="58">
        <f>VLOOKUP($E87,Ratio,2,FALSE)*$G87</f>
        <v>0</v>
      </c>
      <c r="I87" s="58">
        <f>VLOOKUP($E87,Ratio,3,FALSE)*$G87</f>
        <v>0</v>
      </c>
      <c r="J87" s="59">
        <f>VLOOKUP($E87,Ratio,4,FALSE)*$G87</f>
        <v>0</v>
      </c>
      <c r="K87" s="73"/>
      <c r="L87" s="73"/>
      <c r="M87" s="61"/>
      <c r="N87" s="61"/>
      <c r="O87" s="63">
        <f t="shared" si="10"/>
        <v>0</v>
      </c>
      <c r="P87" s="64">
        <f t="shared" si="11"/>
        <v>0</v>
      </c>
    </row>
    <row r="88" spans="1:16" ht="15" customHeight="1">
      <c r="A88" s="85"/>
      <c r="B88" s="104" t="s">
        <v>102</v>
      </c>
      <c r="C88" s="56" t="s">
        <v>89</v>
      </c>
      <c r="D88" s="132">
        <v>106</v>
      </c>
      <c r="E88" s="158" t="s">
        <v>4</v>
      </c>
      <c r="F88" s="57"/>
      <c r="G88" s="87">
        <f>'[1]200 Utly Plnt Dep, Amort, Depl'!E7</f>
        <v>0</v>
      </c>
      <c r="H88" s="58">
        <f>VLOOKUP($E88,Ratio,2,FALSE)*$G88</f>
        <v>0</v>
      </c>
      <c r="I88" s="58">
        <f>VLOOKUP($E88,Ratio,3,FALSE)*$G88</f>
        <v>0</v>
      </c>
      <c r="J88" s="59">
        <f>VLOOKUP($E88,Ratio,4,FALSE)*$G88</f>
        <v>0</v>
      </c>
      <c r="K88" s="73"/>
      <c r="L88" s="73"/>
      <c r="M88" s="61"/>
      <c r="N88" s="61"/>
      <c r="O88" s="63">
        <f t="shared" si="10"/>
        <v>0</v>
      </c>
      <c r="P88" s="64">
        <f t="shared" si="11"/>
        <v>0</v>
      </c>
    </row>
    <row r="89" spans="1:16" ht="15" customHeight="1">
      <c r="A89" s="85"/>
      <c r="B89" s="66" t="s">
        <v>103</v>
      </c>
      <c r="C89" s="56"/>
      <c r="D89" s="56" t="s">
        <v>104</v>
      </c>
      <c r="E89" s="57" t="s">
        <v>6</v>
      </c>
      <c r="F89" s="57"/>
      <c r="G89" s="87"/>
      <c r="H89" s="58">
        <f>VLOOKUP($E89,Ratio,2,FALSE)*$G89</f>
        <v>0</v>
      </c>
      <c r="I89" s="58">
        <f>VLOOKUP($E89,Ratio,3,FALSE)*$G89</f>
        <v>0</v>
      </c>
      <c r="J89" s="59">
        <f>VLOOKUP($E89,Ratio,4,FALSE)*$G89</f>
        <v>0</v>
      </c>
      <c r="K89" s="72"/>
      <c r="L89" s="73"/>
      <c r="M89" s="61"/>
      <c r="N89" s="61"/>
      <c r="O89" s="63">
        <f t="shared" si="10"/>
        <v>0</v>
      </c>
      <c r="P89" s="64">
        <f t="shared" si="11"/>
        <v>0</v>
      </c>
    </row>
    <row r="90" spans="1:16" ht="15" customHeight="1">
      <c r="A90" s="85"/>
      <c r="B90" s="104" t="s">
        <v>105</v>
      </c>
      <c r="C90" s="56" t="s">
        <v>89</v>
      </c>
      <c r="D90" s="56" t="s">
        <v>106</v>
      </c>
      <c r="E90" s="57" t="s">
        <v>5</v>
      </c>
      <c r="F90" s="57"/>
      <c r="G90" s="87">
        <f>'[1]200 Utly Plnt Dep, Amort, Depl'!E12</f>
        <v>76081096</v>
      </c>
      <c r="H90" s="58">
        <f>VLOOKUP($E90,Ratio,2,FALSE)*$G90</f>
        <v>0</v>
      </c>
      <c r="I90" s="58">
        <f>VLOOKUP($E90,Ratio,3,FALSE)*$G90</f>
        <v>0</v>
      </c>
      <c r="J90" s="59">
        <f>VLOOKUP($E90,Ratio,4,FALSE)*$G90</f>
        <v>76081096</v>
      </c>
      <c r="K90" s="73"/>
      <c r="L90" s="73"/>
      <c r="M90" s="61"/>
      <c r="N90" s="61"/>
      <c r="O90" s="63">
        <f t="shared" si="10"/>
        <v>76081096</v>
      </c>
      <c r="P90" s="64">
        <f t="shared" si="11"/>
        <v>0</v>
      </c>
    </row>
    <row r="91" spans="1:16" ht="15" customHeight="1">
      <c r="A91" s="85"/>
      <c r="B91" s="104" t="s">
        <v>107</v>
      </c>
      <c r="C91" s="56" t="s">
        <v>108</v>
      </c>
      <c r="D91" s="56"/>
      <c r="E91" s="57" t="s">
        <v>1</v>
      </c>
      <c r="F91" s="57" t="s">
        <v>1</v>
      </c>
      <c r="G91" s="87">
        <v>69962275</v>
      </c>
      <c r="H91" s="58">
        <f>G91*0.45</f>
        <v>31483023.75</v>
      </c>
      <c r="I91" s="58">
        <f>G91*0.17</f>
        <v>11893586.75</v>
      </c>
      <c r="J91" s="59">
        <f>G91*0.38</f>
        <v>26585664.5</v>
      </c>
      <c r="K91" s="73"/>
      <c r="L91" s="73"/>
      <c r="M91" s="61"/>
      <c r="N91" s="61"/>
      <c r="O91" s="63">
        <f t="shared" si="10"/>
        <v>69962275</v>
      </c>
      <c r="P91" s="64">
        <f t="shared" si="11"/>
        <v>0</v>
      </c>
    </row>
    <row r="92" spans="1:16" s="81" customFormat="1" ht="15" customHeight="1">
      <c r="A92" s="85"/>
      <c r="B92" s="104" t="s">
        <v>109</v>
      </c>
      <c r="C92" s="56" t="s">
        <v>89</v>
      </c>
      <c r="D92" s="56">
        <v>114</v>
      </c>
      <c r="E92" s="57" t="s">
        <v>1</v>
      </c>
      <c r="F92" s="57" t="s">
        <v>5</v>
      </c>
      <c r="G92" s="87">
        <f>'[1]200 Utly Plnt Dep, Amort, Depl'!E13</f>
        <v>0</v>
      </c>
      <c r="H92" s="58">
        <f>IF($E92="DIRECT",$L92,VLOOKUP($E92,Ratio,2,FALSE)*$G92)</f>
        <v>0</v>
      </c>
      <c r="I92" s="58">
        <f>IF($E92="DIRECT",$M92,VLOOKUP($E92,Ratio,3,FALSE)*$G92)</f>
        <v>0</v>
      </c>
      <c r="J92" s="59">
        <f>IF($E92="DIRECT",$N92,VLOOKUP($E92,Ratio,4,FALSE)*$G92)</f>
        <v>0</v>
      </c>
      <c r="K92" s="79"/>
      <c r="L92" s="58"/>
      <c r="M92" s="58"/>
      <c r="N92" s="59"/>
      <c r="O92" s="63">
        <f t="shared" si="10"/>
        <v>0</v>
      </c>
      <c r="P92" s="64">
        <f t="shared" si="11"/>
        <v>0</v>
      </c>
    </row>
    <row r="93" spans="1:16" ht="15" customHeight="1">
      <c r="A93" s="85"/>
      <c r="B93" s="159" t="s">
        <v>15</v>
      </c>
      <c r="C93" s="120"/>
      <c r="D93" s="68"/>
      <c r="E93" s="68"/>
      <c r="F93" s="69"/>
      <c r="G93" s="160">
        <f>SUM(G87:G92)</f>
        <v>146043371</v>
      </c>
      <c r="H93" s="160">
        <f>SUM(H87:H92)</f>
        <v>31483023.75</v>
      </c>
      <c r="I93" s="160">
        <f>SUM(I87:I92)</f>
        <v>11893586.75</v>
      </c>
      <c r="J93" s="161">
        <f>SUM(J87:J92)</f>
        <v>102666760.5</v>
      </c>
      <c r="K93" s="73"/>
      <c r="L93" s="73"/>
      <c r="M93" s="61"/>
      <c r="N93" s="61"/>
      <c r="O93" s="63">
        <f t="shared" si="10"/>
        <v>146043371</v>
      </c>
      <c r="P93" s="64">
        <f t="shared" si="11"/>
        <v>0</v>
      </c>
    </row>
    <row r="94" spans="1:16" ht="15" customHeight="1">
      <c r="A94" s="85"/>
      <c r="B94" s="159"/>
      <c r="C94" s="162"/>
      <c r="D94" s="162"/>
      <c r="E94" s="162"/>
      <c r="F94" s="162"/>
      <c r="G94" s="163"/>
      <c r="H94" s="163"/>
      <c r="I94" s="163"/>
      <c r="J94" s="164"/>
      <c r="K94" s="73"/>
      <c r="L94" s="73"/>
      <c r="M94" s="61"/>
      <c r="N94" s="61"/>
      <c r="O94" s="63">
        <f t="shared" si="10"/>
        <v>0</v>
      </c>
      <c r="P94" s="64">
        <f t="shared" si="11"/>
        <v>0</v>
      </c>
    </row>
    <row r="95" spans="1:16" ht="15" customHeight="1">
      <c r="A95" s="165" t="s">
        <v>110</v>
      </c>
      <c r="B95" s="156"/>
      <c r="C95" s="157"/>
      <c r="D95" s="101"/>
      <c r="E95" s="101"/>
      <c r="F95" s="101"/>
      <c r="G95" s="166"/>
      <c r="H95" s="166"/>
      <c r="I95" s="166"/>
      <c r="J95" s="167"/>
      <c r="K95" s="73"/>
      <c r="L95" s="73"/>
      <c r="M95" s="61"/>
      <c r="N95" s="61"/>
      <c r="O95" s="63">
        <f t="shared" si="10"/>
        <v>0</v>
      </c>
      <c r="P95" s="64">
        <f t="shared" si="11"/>
        <v>0</v>
      </c>
    </row>
    <row r="96" spans="1:16" ht="15" customHeight="1">
      <c r="A96" s="85"/>
      <c r="B96" s="86" t="s">
        <v>111</v>
      </c>
      <c r="C96" s="56" t="s">
        <v>112</v>
      </c>
      <c r="D96" s="56">
        <v>123</v>
      </c>
      <c r="E96" s="57" t="s">
        <v>5</v>
      </c>
      <c r="F96" s="57" t="s">
        <v>5</v>
      </c>
      <c r="G96" s="87">
        <f>'[1]110-111 Bal Sht Assets &amp; Debits'!F21</f>
        <v>13903000</v>
      </c>
      <c r="H96" s="58">
        <f>IF($E96="DIRECT",$L96,VLOOKUP($E96,Ratio,2,FALSE)*$G96)</f>
        <v>0</v>
      </c>
      <c r="I96" s="58">
        <f>IF($E96="DIRECT",$M96,VLOOKUP($E96,Ratio,3,FALSE)*$G96)</f>
        <v>0</v>
      </c>
      <c r="J96" s="59">
        <f>IF($E96="DIRECT",$N96,VLOOKUP($E96,Ratio,4,FALSE)*$G96)</f>
        <v>13903000</v>
      </c>
      <c r="K96" s="73"/>
      <c r="L96" s="58"/>
      <c r="M96" s="58"/>
      <c r="N96" s="59"/>
      <c r="O96" s="63">
        <f t="shared" si="10"/>
        <v>13903000</v>
      </c>
      <c r="P96" s="64">
        <f t="shared" si="11"/>
        <v>0</v>
      </c>
    </row>
    <row r="97" spans="1:16" ht="15" customHeight="1">
      <c r="A97" s="85"/>
      <c r="B97" s="168" t="s">
        <v>113</v>
      </c>
      <c r="C97" s="56" t="s">
        <v>112</v>
      </c>
      <c r="D97" s="56">
        <v>124</v>
      </c>
      <c r="E97" s="57" t="s">
        <v>5</v>
      </c>
      <c r="F97" s="57"/>
      <c r="G97" s="87">
        <f>'[1]110-111 Bal Sht Assets &amp; Debits'!F25</f>
        <v>31166335</v>
      </c>
      <c r="H97" s="58">
        <f>VLOOKUP($E97,Ratio,2,FALSE)*$G97</f>
        <v>0</v>
      </c>
      <c r="I97" s="58">
        <f>VLOOKUP($E97,Ratio,3,FALSE)*$G97</f>
        <v>0</v>
      </c>
      <c r="J97" s="59">
        <f>VLOOKUP($E97,Ratio,4,FALSE)*$G97</f>
        <v>31166335</v>
      </c>
      <c r="K97" s="73"/>
      <c r="L97" s="73"/>
      <c r="M97" s="61"/>
      <c r="N97" s="61"/>
      <c r="O97" s="63">
        <f t="shared" si="10"/>
        <v>31166335</v>
      </c>
      <c r="P97" s="64">
        <f t="shared" si="11"/>
        <v>0</v>
      </c>
    </row>
    <row r="98" spans="1:16" ht="15" customHeight="1">
      <c r="A98" s="85"/>
      <c r="B98" s="169" t="s">
        <v>114</v>
      </c>
      <c r="C98" s="56" t="s">
        <v>112</v>
      </c>
      <c r="D98" s="56">
        <v>175</v>
      </c>
      <c r="E98" s="57" t="s">
        <v>5</v>
      </c>
      <c r="F98" s="57"/>
      <c r="G98" s="87">
        <f>'[1]110-111 Bal Sht Assets &amp; Debits'!F31</f>
        <v>25574531</v>
      </c>
      <c r="H98" s="58">
        <f>VLOOKUP($E98,Ratio,2,FALSE)*$G98</f>
        <v>0</v>
      </c>
      <c r="I98" s="58">
        <f>VLOOKUP($E98,Ratio,3,FALSE)*$G98</f>
        <v>0</v>
      </c>
      <c r="J98" s="59">
        <f>VLOOKUP($E98,Ratio,4,FALSE)*$G98</f>
        <v>25574531</v>
      </c>
      <c r="K98" s="73"/>
      <c r="L98" s="73"/>
      <c r="M98" s="61"/>
      <c r="N98" s="61"/>
      <c r="O98" s="63">
        <f t="shared" si="10"/>
        <v>25574531</v>
      </c>
      <c r="P98" s="64">
        <f t="shared" si="11"/>
        <v>0</v>
      </c>
    </row>
    <row r="99" spans="1:16" ht="15" customHeight="1">
      <c r="A99" s="85"/>
      <c r="B99" s="169" t="s">
        <v>115</v>
      </c>
      <c r="C99" s="56" t="s">
        <v>112</v>
      </c>
      <c r="D99" s="56">
        <v>176</v>
      </c>
      <c r="E99" s="57" t="s">
        <v>5</v>
      </c>
      <c r="F99" s="57"/>
      <c r="G99" s="87">
        <f>'[1]110-111 Bal Sht Assets &amp; Debits'!F32</f>
        <v>0</v>
      </c>
      <c r="H99" s="58">
        <f>VLOOKUP($E99,Ratio,2,FALSE)*$G99</f>
        <v>0</v>
      </c>
      <c r="I99" s="58">
        <f>VLOOKUP($E99,Ratio,3,FALSE)*$G99</f>
        <v>0</v>
      </c>
      <c r="J99" s="59">
        <f>VLOOKUP($E99,Ratio,4,FALSE)*$G99</f>
        <v>0</v>
      </c>
      <c r="K99" s="73"/>
      <c r="L99" s="73"/>
      <c r="M99" s="61"/>
      <c r="N99" s="61"/>
      <c r="O99" s="63">
        <f t="shared" si="10"/>
        <v>0</v>
      </c>
      <c r="P99" s="64">
        <f t="shared" si="11"/>
        <v>0</v>
      </c>
    </row>
    <row r="100" spans="1:16" ht="15" customHeight="1">
      <c r="A100" s="85"/>
      <c r="B100" s="159" t="s">
        <v>15</v>
      </c>
      <c r="C100" s="120"/>
      <c r="D100" s="68"/>
      <c r="E100" s="68"/>
      <c r="F100" s="69"/>
      <c r="G100" s="160">
        <f>SUM(G96:G99)</f>
        <v>70643866</v>
      </c>
      <c r="H100" s="160">
        <f>SUM(H96:H99)</f>
        <v>0</v>
      </c>
      <c r="I100" s="160">
        <f>SUM(I96:I99)</f>
        <v>0</v>
      </c>
      <c r="J100" s="161">
        <f>SUM(J96:J99)</f>
        <v>70643866</v>
      </c>
      <c r="K100" s="73"/>
      <c r="L100" s="73"/>
      <c r="M100" s="61"/>
      <c r="N100" s="61"/>
      <c r="O100" s="63">
        <f t="shared" si="10"/>
        <v>70643866</v>
      </c>
      <c r="P100" s="64">
        <f t="shared" si="11"/>
        <v>0</v>
      </c>
    </row>
    <row r="101" spans="1:16" ht="15" customHeight="1">
      <c r="A101" s="85"/>
      <c r="B101" s="159"/>
      <c r="C101" s="162"/>
      <c r="D101" s="162"/>
      <c r="E101" s="162"/>
      <c r="F101" s="162"/>
      <c r="G101" s="163"/>
      <c r="H101" s="163"/>
      <c r="I101" s="163"/>
      <c r="J101" s="164"/>
      <c r="K101" s="73"/>
      <c r="L101" s="73"/>
      <c r="M101" s="61"/>
      <c r="N101" s="61"/>
      <c r="O101" s="63">
        <f t="shared" si="10"/>
        <v>0</v>
      </c>
      <c r="P101" s="64">
        <f t="shared" si="11"/>
        <v>0</v>
      </c>
    </row>
    <row r="102" spans="1:16" s="81" customFormat="1" ht="15" customHeight="1">
      <c r="A102" s="155" t="s">
        <v>116</v>
      </c>
      <c r="B102" s="170"/>
      <c r="C102" s="157"/>
      <c r="D102" s="101"/>
      <c r="E102" s="101"/>
      <c r="F102" s="101"/>
      <c r="G102" s="171"/>
      <c r="H102" s="171"/>
      <c r="I102" s="171"/>
      <c r="J102" s="172"/>
      <c r="K102" s="79"/>
      <c r="L102" s="79"/>
      <c r="M102" s="80"/>
      <c r="N102" s="80"/>
      <c r="O102" s="63">
        <f t="shared" si="10"/>
        <v>0</v>
      </c>
      <c r="P102" s="64">
        <f t="shared" si="11"/>
        <v>0</v>
      </c>
    </row>
    <row r="103" spans="1:16" ht="15" customHeight="1">
      <c r="A103" s="85"/>
      <c r="B103" s="104" t="s">
        <v>117</v>
      </c>
      <c r="C103" s="56" t="s">
        <v>112</v>
      </c>
      <c r="D103" s="56">
        <v>151</v>
      </c>
      <c r="E103" s="57" t="s">
        <v>6</v>
      </c>
      <c r="F103" s="57"/>
      <c r="G103" s="87">
        <f>'[1]110-111 Bal Sht Assets &amp; Debits'!F46</f>
        <v>2121931</v>
      </c>
      <c r="H103" s="58">
        <f aca="true" t="shared" si="12" ref="H103:H115">VLOOKUP($E103,Ratio,2,FALSE)*$G103</f>
        <v>2121931</v>
      </c>
      <c r="I103" s="58">
        <f aca="true" t="shared" si="13" ref="I103:I115">VLOOKUP($E103,Ratio,3,FALSE)*$G103</f>
        <v>0</v>
      </c>
      <c r="J103" s="59">
        <f aca="true" t="shared" si="14" ref="J103:J115">VLOOKUP($E103,Ratio,4,FALSE)*$G103</f>
        <v>0</v>
      </c>
      <c r="K103" s="73"/>
      <c r="L103" s="73"/>
      <c r="M103" s="61"/>
      <c r="N103" s="61"/>
      <c r="O103" s="63">
        <f t="shared" si="10"/>
        <v>2121931</v>
      </c>
      <c r="P103" s="64">
        <f t="shared" si="11"/>
        <v>0</v>
      </c>
    </row>
    <row r="104" spans="1:16" ht="15" customHeight="1">
      <c r="A104" s="85"/>
      <c r="B104" s="169" t="s">
        <v>118</v>
      </c>
      <c r="C104" s="56" t="s">
        <v>112</v>
      </c>
      <c r="D104" s="56">
        <v>152</v>
      </c>
      <c r="E104" s="57" t="s">
        <v>6</v>
      </c>
      <c r="F104" s="57"/>
      <c r="G104" s="87">
        <f>'[1]110-111 Bal Sht Assets &amp; Debits'!F47</f>
        <v>0</v>
      </c>
      <c r="H104" s="58">
        <f t="shared" si="12"/>
        <v>0</v>
      </c>
      <c r="I104" s="58">
        <f t="shared" si="13"/>
        <v>0</v>
      </c>
      <c r="J104" s="59">
        <f t="shared" si="14"/>
        <v>0</v>
      </c>
      <c r="K104" s="73"/>
      <c r="L104" s="73"/>
      <c r="M104" s="61"/>
      <c r="N104" s="61"/>
      <c r="O104" s="63">
        <f t="shared" si="10"/>
        <v>0</v>
      </c>
      <c r="P104" s="64">
        <f t="shared" si="11"/>
        <v>0</v>
      </c>
    </row>
    <row r="105" spans="1:16" ht="15" customHeight="1">
      <c r="A105" s="85"/>
      <c r="B105" s="104" t="s">
        <v>119</v>
      </c>
      <c r="C105" s="56" t="s">
        <v>112</v>
      </c>
      <c r="D105" s="56">
        <v>154</v>
      </c>
      <c r="E105" s="57" t="s">
        <v>4</v>
      </c>
      <c r="F105" s="57"/>
      <c r="G105" s="87">
        <f>'[1]110-111 Bal Sht Assets &amp; Debits'!F49</f>
        <v>14019070</v>
      </c>
      <c r="H105" s="58">
        <f t="shared" si="12"/>
        <v>6297936.848872449</v>
      </c>
      <c r="I105" s="58">
        <f t="shared" si="13"/>
        <v>2437297.809777382</v>
      </c>
      <c r="J105" s="59">
        <f t="shared" si="14"/>
        <v>5283835.341350169</v>
      </c>
      <c r="K105" s="73"/>
      <c r="L105" s="73"/>
      <c r="M105" s="61"/>
      <c r="N105" s="61"/>
      <c r="O105" s="63">
        <f t="shared" si="10"/>
        <v>14019070</v>
      </c>
      <c r="P105" s="64">
        <f t="shared" si="11"/>
        <v>0</v>
      </c>
    </row>
    <row r="106" spans="1:16" ht="15" customHeight="1">
      <c r="A106" s="85"/>
      <c r="B106" s="104" t="s">
        <v>120</v>
      </c>
      <c r="C106" s="56" t="s">
        <v>121</v>
      </c>
      <c r="D106" s="56">
        <v>155</v>
      </c>
      <c r="E106" s="57" t="s">
        <v>5</v>
      </c>
      <c r="F106" s="57"/>
      <c r="G106" s="87">
        <f>'[1]110-111 Bal Sht Assets &amp; Debits'!F50</f>
        <v>0</v>
      </c>
      <c r="H106" s="58">
        <f t="shared" si="12"/>
        <v>0</v>
      </c>
      <c r="I106" s="58">
        <f t="shared" si="13"/>
        <v>0</v>
      </c>
      <c r="J106" s="59">
        <f t="shared" si="14"/>
        <v>0</v>
      </c>
      <c r="K106" s="73"/>
      <c r="L106" s="73"/>
      <c r="M106" s="61"/>
      <c r="N106" s="61"/>
      <c r="O106" s="63">
        <f t="shared" si="10"/>
        <v>0</v>
      </c>
      <c r="P106" s="64">
        <f t="shared" si="11"/>
        <v>0</v>
      </c>
    </row>
    <row r="107" spans="1:16" ht="15" customHeight="1">
      <c r="A107" s="85"/>
      <c r="B107" s="104" t="s">
        <v>122</v>
      </c>
      <c r="C107" s="56" t="s">
        <v>112</v>
      </c>
      <c r="D107" s="56">
        <v>156</v>
      </c>
      <c r="E107" s="57" t="s">
        <v>5</v>
      </c>
      <c r="F107" s="57"/>
      <c r="G107" s="87">
        <f>'[1]110-111 Bal Sht Assets &amp; Debits'!F51</f>
        <v>0</v>
      </c>
      <c r="H107" s="58">
        <f t="shared" si="12"/>
        <v>0</v>
      </c>
      <c r="I107" s="58">
        <f t="shared" si="13"/>
        <v>0</v>
      </c>
      <c r="J107" s="59">
        <f t="shared" si="14"/>
        <v>0</v>
      </c>
      <c r="K107" s="73"/>
      <c r="L107" s="73"/>
      <c r="M107" s="61"/>
      <c r="N107" s="61"/>
      <c r="O107" s="63">
        <f t="shared" si="10"/>
        <v>0</v>
      </c>
      <c r="P107" s="64">
        <f t="shared" si="11"/>
        <v>0</v>
      </c>
    </row>
    <row r="108" spans="1:16" ht="15" customHeight="1">
      <c r="A108" s="85"/>
      <c r="B108" s="104" t="s">
        <v>123</v>
      </c>
      <c r="C108" s="56" t="s">
        <v>121</v>
      </c>
      <c r="D108" s="56">
        <v>158.1</v>
      </c>
      <c r="E108" s="57" t="s">
        <v>6</v>
      </c>
      <c r="F108" s="57"/>
      <c r="G108" s="87">
        <f>'[1]110-111 Bal Sht Assets &amp; Debits'!F53</f>
        <v>0</v>
      </c>
      <c r="H108" s="58">
        <f t="shared" si="12"/>
        <v>0</v>
      </c>
      <c r="I108" s="58">
        <f t="shared" si="13"/>
        <v>0</v>
      </c>
      <c r="J108" s="59">
        <f t="shared" si="14"/>
        <v>0</v>
      </c>
      <c r="K108" s="73"/>
      <c r="L108" s="73"/>
      <c r="M108" s="61"/>
      <c r="N108" s="61"/>
      <c r="O108" s="63">
        <f t="shared" si="10"/>
        <v>0</v>
      </c>
      <c r="P108" s="64">
        <f t="shared" si="11"/>
        <v>0</v>
      </c>
    </row>
    <row r="109" spans="1:16" ht="15" customHeight="1">
      <c r="A109" s="85"/>
      <c r="B109" s="104" t="s">
        <v>124</v>
      </c>
      <c r="C109" s="56" t="s">
        <v>121</v>
      </c>
      <c r="D109" s="56">
        <v>158.2</v>
      </c>
      <c r="E109" s="57" t="s">
        <v>6</v>
      </c>
      <c r="F109" s="57"/>
      <c r="G109" s="87">
        <f>'[1]110-111 Bal Sht Assets &amp; Debits'!F53</f>
        <v>0</v>
      </c>
      <c r="H109" s="58">
        <f t="shared" si="12"/>
        <v>0</v>
      </c>
      <c r="I109" s="58">
        <f t="shared" si="13"/>
        <v>0</v>
      </c>
      <c r="J109" s="59">
        <f t="shared" si="14"/>
        <v>0</v>
      </c>
      <c r="K109" s="73"/>
      <c r="L109" s="73"/>
      <c r="M109" s="61"/>
      <c r="N109" s="61"/>
      <c r="O109" s="63">
        <f t="shared" si="10"/>
        <v>0</v>
      </c>
      <c r="P109" s="64">
        <f t="shared" si="11"/>
        <v>0</v>
      </c>
    </row>
    <row r="110" spans="1:16" ht="14.25" customHeight="1">
      <c r="A110" s="85"/>
      <c r="B110" s="104" t="s">
        <v>125</v>
      </c>
      <c r="C110" s="56" t="s">
        <v>112</v>
      </c>
      <c r="D110" s="56">
        <v>163</v>
      </c>
      <c r="E110" s="57" t="s">
        <v>4</v>
      </c>
      <c r="F110" s="57"/>
      <c r="G110" s="87">
        <f>'[1]110-111 Bal Sht Assets &amp; Debits'!F55</f>
        <v>0</v>
      </c>
      <c r="H110" s="58">
        <f t="shared" si="12"/>
        <v>0</v>
      </c>
      <c r="I110" s="58">
        <f t="shared" si="13"/>
        <v>0</v>
      </c>
      <c r="J110" s="59">
        <f t="shared" si="14"/>
        <v>0</v>
      </c>
      <c r="K110" s="73"/>
      <c r="L110" s="73"/>
      <c r="M110" s="61"/>
      <c r="N110" s="61"/>
      <c r="O110" s="63">
        <f t="shared" si="10"/>
        <v>0</v>
      </c>
      <c r="P110" s="64">
        <f t="shared" si="11"/>
        <v>0</v>
      </c>
    </row>
    <row r="111" spans="1:16" ht="15" customHeight="1">
      <c r="A111" s="85"/>
      <c r="B111" s="104" t="s">
        <v>126</v>
      </c>
      <c r="C111" s="56" t="s">
        <v>112</v>
      </c>
      <c r="D111" s="56">
        <v>165</v>
      </c>
      <c r="E111" s="57" t="s">
        <v>4</v>
      </c>
      <c r="F111" s="57"/>
      <c r="G111" s="87">
        <f>'[1]110-111 Bal Sht Assets &amp; Debits'!F58</f>
        <v>6467948</v>
      </c>
      <c r="H111" s="58">
        <f t="shared" si="12"/>
        <v>2905665.5003356757</v>
      </c>
      <c r="I111" s="58">
        <f t="shared" si="13"/>
        <v>1124490.8181608336</v>
      </c>
      <c r="J111" s="59">
        <f t="shared" si="14"/>
        <v>2437791.681503491</v>
      </c>
      <c r="K111" s="79"/>
      <c r="L111" s="79"/>
      <c r="M111" s="61"/>
      <c r="N111" s="61"/>
      <c r="O111" s="63">
        <f t="shared" si="10"/>
        <v>6467948</v>
      </c>
      <c r="P111" s="64">
        <f t="shared" si="11"/>
        <v>0</v>
      </c>
    </row>
    <row r="112" spans="1:16" ht="15" customHeight="1">
      <c r="A112" s="85"/>
      <c r="B112" s="169" t="s">
        <v>127</v>
      </c>
      <c r="C112" s="56" t="s">
        <v>112</v>
      </c>
      <c r="D112" s="56">
        <v>175</v>
      </c>
      <c r="E112" s="57" t="s">
        <v>5</v>
      </c>
      <c r="F112" s="57"/>
      <c r="G112" s="87">
        <f>'[1]110-111 Bal Sht Assets &amp; Debits'!F64</f>
        <v>36402843</v>
      </c>
      <c r="H112" s="58">
        <f t="shared" si="12"/>
        <v>0</v>
      </c>
      <c r="I112" s="58">
        <f t="shared" si="13"/>
        <v>0</v>
      </c>
      <c r="J112" s="59">
        <f t="shared" si="14"/>
        <v>36402843</v>
      </c>
      <c r="K112" s="79"/>
      <c r="L112" s="79"/>
      <c r="M112" s="61"/>
      <c r="N112" s="61"/>
      <c r="O112" s="63">
        <f t="shared" si="10"/>
        <v>36402843</v>
      </c>
      <c r="P112" s="64">
        <f t="shared" si="11"/>
        <v>0</v>
      </c>
    </row>
    <row r="113" spans="1:16" ht="15" customHeight="1">
      <c r="A113" s="85"/>
      <c r="B113" s="173" t="s">
        <v>467</v>
      </c>
      <c r="C113" s="56" t="s">
        <v>121</v>
      </c>
      <c r="D113" s="56">
        <v>175</v>
      </c>
      <c r="E113" s="57" t="s">
        <v>5</v>
      </c>
      <c r="F113" s="57"/>
      <c r="G113" s="87">
        <f>'[1]110-111 Bal Sht Assets &amp; Debits'!F65</f>
        <v>25574531</v>
      </c>
      <c r="H113" s="58">
        <f t="shared" si="12"/>
        <v>0</v>
      </c>
      <c r="I113" s="58">
        <f t="shared" si="13"/>
        <v>0</v>
      </c>
      <c r="J113" s="59">
        <f t="shared" si="14"/>
        <v>25574531</v>
      </c>
      <c r="K113" s="79"/>
      <c r="L113" s="79"/>
      <c r="M113" s="61"/>
      <c r="N113" s="61"/>
      <c r="O113" s="63">
        <f aca="true" t="shared" si="15" ref="O113:O144">SUM(H113:J113)</f>
        <v>25574531</v>
      </c>
      <c r="P113" s="64">
        <f aca="true" t="shared" si="16" ref="P113:P144">O113-G113</f>
        <v>0</v>
      </c>
    </row>
    <row r="114" spans="1:16" ht="15" customHeight="1">
      <c r="A114" s="85"/>
      <c r="B114" s="169" t="s">
        <v>128</v>
      </c>
      <c r="C114" s="174" t="s">
        <v>112</v>
      </c>
      <c r="D114" s="174">
        <v>176</v>
      </c>
      <c r="E114" s="175" t="s">
        <v>5</v>
      </c>
      <c r="F114" s="57"/>
      <c r="G114" s="87">
        <f>'[1]110-111 Bal Sht Assets &amp; Debits'!F66</f>
        <v>0</v>
      </c>
      <c r="H114" s="58">
        <f t="shared" si="12"/>
        <v>0</v>
      </c>
      <c r="I114" s="58">
        <f t="shared" si="13"/>
        <v>0</v>
      </c>
      <c r="J114" s="59">
        <f t="shared" si="14"/>
        <v>0</v>
      </c>
      <c r="K114" s="73"/>
      <c r="L114" s="73"/>
      <c r="M114" s="61"/>
      <c r="N114" s="61"/>
      <c r="O114" s="63">
        <f t="shared" si="15"/>
        <v>0</v>
      </c>
      <c r="P114" s="64">
        <f t="shared" si="16"/>
        <v>0</v>
      </c>
    </row>
    <row r="115" spans="1:16" ht="15" customHeight="1">
      <c r="A115" s="85"/>
      <c r="B115" s="173" t="s">
        <v>468</v>
      </c>
      <c r="C115" s="174" t="s">
        <v>121</v>
      </c>
      <c r="D115" s="174">
        <v>176</v>
      </c>
      <c r="E115" s="175" t="s">
        <v>5</v>
      </c>
      <c r="F115" s="57"/>
      <c r="G115" s="87">
        <f>'[1]110-111 Bal Sht Assets &amp; Debits'!F67</f>
        <v>0</v>
      </c>
      <c r="H115" s="58">
        <f t="shared" si="12"/>
        <v>0</v>
      </c>
      <c r="I115" s="58">
        <f t="shared" si="13"/>
        <v>0</v>
      </c>
      <c r="J115" s="59">
        <f t="shared" si="14"/>
        <v>0</v>
      </c>
      <c r="K115" s="73"/>
      <c r="L115" s="73"/>
      <c r="M115" s="61"/>
      <c r="N115" s="61"/>
      <c r="O115" s="63">
        <f t="shared" si="15"/>
        <v>0</v>
      </c>
      <c r="P115" s="64">
        <f t="shared" si="16"/>
        <v>0</v>
      </c>
    </row>
    <row r="116" spans="1:16" ht="15" customHeight="1">
      <c r="A116" s="85"/>
      <c r="B116" s="159" t="s">
        <v>15</v>
      </c>
      <c r="C116" s="120"/>
      <c r="D116" s="68"/>
      <c r="E116" s="68"/>
      <c r="F116" s="69"/>
      <c r="G116" s="160">
        <f>SUM(G103:G112,G114)-G113-G115</f>
        <v>33437261</v>
      </c>
      <c r="H116" s="160">
        <f>SUM(H103:H112,H114)-H113-H115</f>
        <v>11325533.349208124</v>
      </c>
      <c r="I116" s="160">
        <f>SUM(I103:I112,I114)-I113-I115</f>
        <v>3561788.6279382156</v>
      </c>
      <c r="J116" s="161">
        <f>SUM(J103:J112,J114)-J113-J115</f>
        <v>18549939.022853658</v>
      </c>
      <c r="K116" s="73"/>
      <c r="L116" s="73"/>
      <c r="M116" s="61"/>
      <c r="N116" s="61"/>
      <c r="O116" s="63">
        <f t="shared" si="15"/>
        <v>33437260.999999996</v>
      </c>
      <c r="P116" s="64">
        <f t="shared" si="16"/>
        <v>0</v>
      </c>
    </row>
    <row r="117" spans="1:16" ht="15" customHeight="1" thickBot="1">
      <c r="A117" s="176"/>
      <c r="B117" s="177"/>
      <c r="C117" s="178"/>
      <c r="D117" s="178"/>
      <c r="E117" s="178"/>
      <c r="F117" s="178"/>
      <c r="G117" s="179"/>
      <c r="H117" s="179"/>
      <c r="I117" s="179"/>
      <c r="J117" s="180"/>
      <c r="K117" s="73"/>
      <c r="L117" s="73"/>
      <c r="M117" s="61"/>
      <c r="N117" s="61"/>
      <c r="O117" s="63">
        <f t="shared" si="15"/>
        <v>0</v>
      </c>
      <c r="P117" s="64">
        <f t="shared" si="16"/>
        <v>0</v>
      </c>
    </row>
    <row r="118" spans="1:16" ht="15" customHeight="1" thickTop="1">
      <c r="A118" s="155" t="s">
        <v>129</v>
      </c>
      <c r="B118" s="181"/>
      <c r="C118" s="157"/>
      <c r="D118" s="101"/>
      <c r="E118" s="101"/>
      <c r="F118" s="101"/>
      <c r="G118" s="108"/>
      <c r="H118" s="109"/>
      <c r="I118" s="109"/>
      <c r="J118" s="110"/>
      <c r="K118" s="73"/>
      <c r="L118" s="73"/>
      <c r="M118" s="61"/>
      <c r="N118" s="61"/>
      <c r="O118" s="63">
        <f t="shared" si="15"/>
        <v>0</v>
      </c>
      <c r="P118" s="64">
        <f t="shared" si="16"/>
        <v>0</v>
      </c>
    </row>
    <row r="119" spans="1:16" ht="15" customHeight="1">
      <c r="A119" s="85"/>
      <c r="B119" s="169" t="s">
        <v>130</v>
      </c>
      <c r="C119" s="56" t="s">
        <v>112</v>
      </c>
      <c r="D119" s="56">
        <v>181</v>
      </c>
      <c r="E119" s="57" t="s">
        <v>131</v>
      </c>
      <c r="F119" s="57"/>
      <c r="G119" s="87">
        <f>'[1]110-111 Bal Sht Assets &amp; Debits'!F70</f>
        <v>17931388</v>
      </c>
      <c r="H119" s="58">
        <f>VLOOKUP($E119,Ratio,2,FALSE)*$G119</f>
        <v>8014753.246700201</v>
      </c>
      <c r="I119" s="58">
        <f>VLOOKUP($E119,Ratio,3,FALSE)*$G119</f>
        <v>3140277.147922658</v>
      </c>
      <c r="J119" s="59">
        <f>VLOOKUP($E119,Ratio,4,FALSE)*$G119</f>
        <v>6776357.605377141</v>
      </c>
      <c r="K119" s="73"/>
      <c r="L119" s="73"/>
      <c r="M119" s="61"/>
      <c r="N119" s="61"/>
      <c r="O119" s="63">
        <f t="shared" si="15"/>
        <v>17931388</v>
      </c>
      <c r="P119" s="64">
        <f t="shared" si="16"/>
        <v>0</v>
      </c>
    </row>
    <row r="120" spans="1:16" ht="15" customHeight="1">
      <c r="A120" s="85"/>
      <c r="B120" s="169" t="s">
        <v>132</v>
      </c>
      <c r="C120" s="56" t="s">
        <v>112</v>
      </c>
      <c r="D120" s="56">
        <v>182.1</v>
      </c>
      <c r="E120" s="57" t="s">
        <v>1</v>
      </c>
      <c r="F120" s="57" t="s">
        <v>5</v>
      </c>
      <c r="G120" s="87">
        <f>'[1]110-111 Bal Sht Assets &amp; Debits'!F71</f>
        <v>0</v>
      </c>
      <c r="H120" s="58">
        <f>IF($E120="DIRECT",$L120,VLOOKUP($E120,Ratio,2,FALSE)*$G120)</f>
        <v>0</v>
      </c>
      <c r="I120" s="58">
        <f>IF($E120="DIRECT",$M120,VLOOKUP($E120,Ratio,3,FALSE)*$G120)</f>
        <v>0</v>
      </c>
      <c r="J120" s="59">
        <f>IF($E120="DIRECT",$N120,VLOOKUP($E120,Ratio,4,FALSE)*$G120)</f>
        <v>0</v>
      </c>
      <c r="K120" s="73"/>
      <c r="L120" s="58"/>
      <c r="M120" s="58"/>
      <c r="N120" s="59"/>
      <c r="O120" s="63">
        <f t="shared" si="15"/>
        <v>0</v>
      </c>
      <c r="P120" s="64">
        <f t="shared" si="16"/>
        <v>0</v>
      </c>
    </row>
    <row r="121" spans="1:16" ht="15" customHeight="1">
      <c r="A121" s="85"/>
      <c r="B121" s="169" t="s">
        <v>133</v>
      </c>
      <c r="C121" s="56" t="s">
        <v>112</v>
      </c>
      <c r="D121" s="56">
        <v>182.2</v>
      </c>
      <c r="E121" s="57" t="s">
        <v>1</v>
      </c>
      <c r="F121" s="57" t="s">
        <v>5</v>
      </c>
      <c r="G121" s="87">
        <f>'[1]110-111 Bal Sht Assets &amp; Debits'!F72</f>
        <v>0</v>
      </c>
      <c r="H121" s="58">
        <f>IF($E121="DIRECT",$L121,VLOOKUP($E121,Ratio,2,FALSE)*$G121)</f>
        <v>0</v>
      </c>
      <c r="I121" s="58">
        <f>IF($E121="DIRECT",$M121,VLOOKUP($E121,Ratio,3,FALSE)*$G121)</f>
        <v>0</v>
      </c>
      <c r="J121" s="59">
        <f>IF($E121="DIRECT",$N121,VLOOKUP($E121,Ratio,4,FALSE)*$G121)</f>
        <v>0</v>
      </c>
      <c r="K121" s="73"/>
      <c r="L121" s="58"/>
      <c r="M121" s="58"/>
      <c r="N121" s="59"/>
      <c r="O121" s="63">
        <f t="shared" si="15"/>
        <v>0</v>
      </c>
      <c r="P121" s="64">
        <f t="shared" si="16"/>
        <v>0</v>
      </c>
    </row>
    <row r="122" spans="1:16" s="81" customFormat="1" ht="15" customHeight="1">
      <c r="A122" s="85"/>
      <c r="B122" s="169" t="s">
        <v>134</v>
      </c>
      <c r="C122" s="56" t="s">
        <v>112</v>
      </c>
      <c r="D122" s="56">
        <v>182.3</v>
      </c>
      <c r="E122" s="57" t="s">
        <v>1</v>
      </c>
      <c r="F122" s="57" t="s">
        <v>5</v>
      </c>
      <c r="G122" s="87">
        <f>'[1]110-111 Bal Sht Assets &amp; Debits'!F73</f>
        <v>323816436</v>
      </c>
      <c r="H122" s="58">
        <f>IF($E122="DIRECT",$L122,VLOOKUP($E122,Ratio,2,FALSE)*$G122)</f>
        <v>28097184</v>
      </c>
      <c r="I122" s="58">
        <f>IF($E122="DIRECT",$M122,VLOOKUP($E122,Ratio,3,FALSE)*$G122)</f>
        <v>7749141</v>
      </c>
      <c r="J122" s="59">
        <f>IF($E122="DIRECT",$N122,VLOOKUP($E122,Ratio,4,FALSE)*$G122)</f>
        <v>287970111</v>
      </c>
      <c r="K122" s="79"/>
      <c r="L122" s="58">
        <v>28097184</v>
      </c>
      <c r="M122" s="58">
        <v>7749141</v>
      </c>
      <c r="N122" s="59">
        <v>287970111</v>
      </c>
      <c r="O122" s="63">
        <f t="shared" si="15"/>
        <v>323816436</v>
      </c>
      <c r="P122" s="64">
        <f t="shared" si="16"/>
        <v>0</v>
      </c>
    </row>
    <row r="123" spans="1:16" ht="15" customHeight="1">
      <c r="A123" s="85"/>
      <c r="B123" s="169" t="s">
        <v>135</v>
      </c>
      <c r="C123" s="56" t="s">
        <v>112</v>
      </c>
      <c r="D123" s="56">
        <v>183</v>
      </c>
      <c r="E123" s="57" t="s">
        <v>5</v>
      </c>
      <c r="F123" s="57"/>
      <c r="G123" s="87">
        <f>'[1]110-111 Bal Sht Assets &amp; Debits'!F74</f>
        <v>8645616</v>
      </c>
      <c r="H123" s="58">
        <f>VLOOKUP($E123,Ratio,2,FALSE)*$G123</f>
        <v>0</v>
      </c>
      <c r="I123" s="58">
        <f>VLOOKUP($E123,Ratio,3,FALSE)*$G123</f>
        <v>0</v>
      </c>
      <c r="J123" s="59">
        <f>VLOOKUP($E123,Ratio,4,FALSE)*$G123</f>
        <v>8645616</v>
      </c>
      <c r="K123" s="73"/>
      <c r="O123" s="63">
        <f t="shared" si="15"/>
        <v>8645616</v>
      </c>
      <c r="P123" s="64">
        <f t="shared" si="16"/>
        <v>0</v>
      </c>
    </row>
    <row r="124" spans="1:16" ht="15" customHeight="1">
      <c r="A124" s="85"/>
      <c r="B124" s="169" t="s">
        <v>136</v>
      </c>
      <c r="C124" s="56" t="s">
        <v>112</v>
      </c>
      <c r="D124" s="56">
        <v>183.1</v>
      </c>
      <c r="E124" s="57" t="s">
        <v>5</v>
      </c>
      <c r="F124" s="57"/>
      <c r="G124" s="87">
        <f>'[1]110-111 Bal Sht Assets &amp; Debits'!F76</f>
        <v>0</v>
      </c>
      <c r="H124" s="58">
        <f>VLOOKUP($E124,Ratio,2,FALSE)*$G124</f>
        <v>0</v>
      </c>
      <c r="I124" s="58">
        <f>VLOOKUP($E124,Ratio,3,FALSE)*$G124</f>
        <v>0</v>
      </c>
      <c r="J124" s="59">
        <f>VLOOKUP($E124,Ratio,4,FALSE)*$G124</f>
        <v>0</v>
      </c>
      <c r="K124" s="73"/>
      <c r="L124" s="73"/>
      <c r="M124" s="61"/>
      <c r="N124" s="61"/>
      <c r="O124" s="63">
        <f t="shared" si="15"/>
        <v>0</v>
      </c>
      <c r="P124" s="64">
        <f t="shared" si="16"/>
        <v>0</v>
      </c>
    </row>
    <row r="125" spans="1:16" ht="15" customHeight="1">
      <c r="A125" s="85"/>
      <c r="B125" s="169" t="s">
        <v>137</v>
      </c>
      <c r="C125" s="56" t="s">
        <v>112</v>
      </c>
      <c r="D125" s="56">
        <v>183.2</v>
      </c>
      <c r="E125" s="57" t="s">
        <v>5</v>
      </c>
      <c r="F125" s="57"/>
      <c r="G125" s="87">
        <f>'[1]110-111 Bal Sht Assets &amp; Debits'!F76</f>
        <v>0</v>
      </c>
      <c r="H125" s="58">
        <f>VLOOKUP($E125,Ratio,2,FALSE)*$G125</f>
        <v>0</v>
      </c>
      <c r="I125" s="58">
        <f>VLOOKUP($E125,Ratio,3,FALSE)*$G125</f>
        <v>0</v>
      </c>
      <c r="J125" s="59">
        <f>VLOOKUP($E125,Ratio,4,FALSE)*$G125</f>
        <v>0</v>
      </c>
      <c r="K125" s="73"/>
      <c r="L125" s="73"/>
      <c r="M125" s="61"/>
      <c r="N125" s="61"/>
      <c r="O125" s="63">
        <f t="shared" si="15"/>
        <v>0</v>
      </c>
      <c r="P125" s="64">
        <f t="shared" si="16"/>
        <v>0</v>
      </c>
    </row>
    <row r="126" spans="1:16" ht="15" customHeight="1">
      <c r="A126" s="85"/>
      <c r="B126" s="169" t="s">
        <v>138</v>
      </c>
      <c r="C126" s="56" t="s">
        <v>112</v>
      </c>
      <c r="D126" s="56">
        <v>184</v>
      </c>
      <c r="E126" s="57" t="s">
        <v>5</v>
      </c>
      <c r="F126" s="57"/>
      <c r="G126" s="87">
        <f>'[1]110-111 Bal Sht Assets &amp; Debits'!F77</f>
        <v>8046</v>
      </c>
      <c r="H126" s="58">
        <f>VLOOKUP($E126,Ratio,2,FALSE)*$G126</f>
        <v>0</v>
      </c>
      <c r="I126" s="58">
        <f>VLOOKUP($E126,Ratio,3,FALSE)*$G126</f>
        <v>0</v>
      </c>
      <c r="J126" s="59">
        <f>VLOOKUP($E126,Ratio,4,FALSE)*$G126</f>
        <v>8046</v>
      </c>
      <c r="K126" s="73"/>
      <c r="L126" s="73"/>
      <c r="M126" s="61"/>
      <c r="N126" s="61"/>
      <c r="O126" s="63">
        <f t="shared" si="15"/>
        <v>8046</v>
      </c>
      <c r="P126" s="64">
        <f t="shared" si="16"/>
        <v>0</v>
      </c>
    </row>
    <row r="127" spans="1:16" ht="15" customHeight="1">
      <c r="A127" s="85"/>
      <c r="B127" s="169" t="s">
        <v>139</v>
      </c>
      <c r="C127" s="56" t="s">
        <v>112</v>
      </c>
      <c r="D127" s="56">
        <v>185</v>
      </c>
      <c r="E127" s="57" t="s">
        <v>131</v>
      </c>
      <c r="F127" s="57"/>
      <c r="G127" s="87">
        <f>'[1]110-111 Bal Sht Assets &amp; Debits'!F78</f>
        <v>0</v>
      </c>
      <c r="H127" s="58">
        <f>VLOOKUP($E127,Ratio,2,FALSE)*$G127</f>
        <v>0</v>
      </c>
      <c r="I127" s="58">
        <f>VLOOKUP($E127,Ratio,3,FALSE)*$G127</f>
        <v>0</v>
      </c>
      <c r="J127" s="59">
        <f>VLOOKUP($E127,Ratio,4,FALSE)*$G127</f>
        <v>0</v>
      </c>
      <c r="K127" s="73"/>
      <c r="L127" s="73"/>
      <c r="M127" s="61"/>
      <c r="N127" s="61"/>
      <c r="O127" s="63">
        <f t="shared" si="15"/>
        <v>0</v>
      </c>
      <c r="P127" s="64">
        <f t="shared" si="16"/>
        <v>0</v>
      </c>
    </row>
    <row r="128" spans="1:16" s="81" customFormat="1" ht="15" customHeight="1">
      <c r="A128" s="85"/>
      <c r="B128" s="169" t="s">
        <v>140</v>
      </c>
      <c r="C128" s="56" t="s">
        <v>112</v>
      </c>
      <c r="D128" s="56">
        <v>186</v>
      </c>
      <c r="E128" s="57" t="s">
        <v>1</v>
      </c>
      <c r="F128" s="57" t="s">
        <v>5</v>
      </c>
      <c r="G128" s="87">
        <f>'[1]110-111 Bal Sht Assets &amp; Debits'!F79</f>
        <v>31297127</v>
      </c>
      <c r="H128" s="58">
        <f>IF($E128="DIRECT",$L128,VLOOKUP($E128,Ratio,2,FALSE)*$G128)</f>
        <v>8754646</v>
      </c>
      <c r="I128" s="58">
        <f>IF($E128="DIRECT",$M128,VLOOKUP($E128,Ratio,3,FALSE)*$G128)</f>
        <v>982008</v>
      </c>
      <c r="J128" s="59">
        <f>IF($E128="DIRECT",$N128,VLOOKUP($E128,Ratio,4,FALSE)*$G128)</f>
        <v>21560472</v>
      </c>
      <c r="K128" s="79"/>
      <c r="L128" s="58">
        <v>8754646</v>
      </c>
      <c r="M128" s="58">
        <v>982008</v>
      </c>
      <c r="N128" s="59">
        <v>21560472</v>
      </c>
      <c r="O128" s="63">
        <f t="shared" si="15"/>
        <v>31297126</v>
      </c>
      <c r="P128" s="64">
        <f t="shared" si="16"/>
        <v>-1</v>
      </c>
    </row>
    <row r="129" spans="1:16" ht="15" customHeight="1">
      <c r="A129" s="85"/>
      <c r="B129" s="169" t="s">
        <v>141</v>
      </c>
      <c r="C129" s="56" t="s">
        <v>112</v>
      </c>
      <c r="D129" s="56">
        <v>187</v>
      </c>
      <c r="E129" s="57" t="s">
        <v>1</v>
      </c>
      <c r="F129" s="57" t="s">
        <v>1</v>
      </c>
      <c r="G129" s="87">
        <f>'[1]110-111 Bal Sht Assets &amp; Debits'!F80</f>
        <v>0</v>
      </c>
      <c r="H129" s="58"/>
      <c r="I129" s="58"/>
      <c r="J129" s="59"/>
      <c r="K129" s="73"/>
      <c r="L129" s="73"/>
      <c r="M129" s="61"/>
      <c r="N129" s="61"/>
      <c r="O129" s="63">
        <f t="shared" si="15"/>
        <v>0</v>
      </c>
      <c r="P129" s="64">
        <f t="shared" si="16"/>
        <v>0</v>
      </c>
    </row>
    <row r="130" spans="1:16" ht="15" customHeight="1">
      <c r="A130" s="85"/>
      <c r="B130" s="169" t="s">
        <v>142</v>
      </c>
      <c r="C130" s="56" t="s">
        <v>112</v>
      </c>
      <c r="D130" s="56">
        <v>188</v>
      </c>
      <c r="E130" s="57" t="s">
        <v>5</v>
      </c>
      <c r="F130" s="57"/>
      <c r="G130" s="87">
        <f>'[1]110-111 Bal Sht Assets &amp; Debits'!F81</f>
        <v>0</v>
      </c>
      <c r="H130" s="58">
        <f>VLOOKUP($E130,Ratio,2,FALSE)*$G130</f>
        <v>0</v>
      </c>
      <c r="I130" s="58">
        <f>VLOOKUP($E130,Ratio,3,FALSE)*$G130</f>
        <v>0</v>
      </c>
      <c r="J130" s="59">
        <f>VLOOKUP($E130,Ratio,4,FALSE)*$G130</f>
        <v>0</v>
      </c>
      <c r="K130" s="73"/>
      <c r="L130" s="73"/>
      <c r="M130" s="61"/>
      <c r="N130" s="61"/>
      <c r="O130" s="63">
        <f t="shared" si="15"/>
        <v>0</v>
      </c>
      <c r="P130" s="64">
        <f t="shared" si="16"/>
        <v>0</v>
      </c>
    </row>
    <row r="131" spans="1:16" ht="15" customHeight="1">
      <c r="A131" s="85"/>
      <c r="B131" s="169" t="s">
        <v>143</v>
      </c>
      <c r="C131" s="56" t="s">
        <v>112</v>
      </c>
      <c r="D131" s="56">
        <v>189</v>
      </c>
      <c r="E131" s="57" t="s">
        <v>131</v>
      </c>
      <c r="F131" s="57"/>
      <c r="G131" s="87">
        <f>'[1]110-111 Bal Sht Assets &amp; Debits'!F82</f>
        <v>28622766</v>
      </c>
      <c r="H131" s="58">
        <f>VLOOKUP($E131,Ratio,2,FALSE)*$G131</f>
        <v>12793455.070407273</v>
      </c>
      <c r="I131" s="58">
        <f>VLOOKUP($E131,Ratio,3,FALSE)*$G131</f>
        <v>5012630.253728135</v>
      </c>
      <c r="J131" s="59">
        <f>VLOOKUP($E131,Ratio,4,FALSE)*$G131</f>
        <v>10816680.675864594</v>
      </c>
      <c r="K131" s="73"/>
      <c r="L131" s="73"/>
      <c r="M131" s="61"/>
      <c r="N131" s="61"/>
      <c r="O131" s="63">
        <f t="shared" si="15"/>
        <v>28622766</v>
      </c>
      <c r="P131" s="64">
        <f t="shared" si="16"/>
        <v>0</v>
      </c>
    </row>
    <row r="132" spans="1:16" ht="15" customHeight="1">
      <c r="A132" s="85"/>
      <c r="B132" s="169" t="s">
        <v>144</v>
      </c>
      <c r="C132" s="56" t="s">
        <v>112</v>
      </c>
      <c r="D132" s="56">
        <v>190</v>
      </c>
      <c r="E132" s="57" t="s">
        <v>5</v>
      </c>
      <c r="F132" s="57"/>
      <c r="G132" s="87">
        <f>'[1]110-111 Bal Sht Assets &amp; Debits'!F83</f>
        <v>55602315</v>
      </c>
      <c r="H132" s="58">
        <f>VLOOKUP($E132,Ratio,2,FALSE)*$G132</f>
        <v>0</v>
      </c>
      <c r="I132" s="58">
        <f>VLOOKUP($E132,Ratio,3,FALSE)*$G132</f>
        <v>0</v>
      </c>
      <c r="J132" s="59">
        <f>VLOOKUP($E132,Ratio,4,FALSE)*$G132</f>
        <v>55602315</v>
      </c>
      <c r="K132" s="79"/>
      <c r="L132" s="79"/>
      <c r="M132" s="61"/>
      <c r="N132" s="61"/>
      <c r="O132" s="63">
        <f t="shared" si="15"/>
        <v>55602315</v>
      </c>
      <c r="P132" s="64">
        <f t="shared" si="16"/>
        <v>0</v>
      </c>
    </row>
    <row r="133" spans="1:16" ht="15" customHeight="1">
      <c r="A133" s="105"/>
      <c r="B133" s="159" t="s">
        <v>15</v>
      </c>
      <c r="C133" s="120"/>
      <c r="D133" s="68"/>
      <c r="E133" s="68"/>
      <c r="F133" s="69"/>
      <c r="G133" s="160">
        <f>SUM(G119:G132)</f>
        <v>465923694</v>
      </c>
      <c r="H133" s="160">
        <f>SUM(H119:H132)</f>
        <v>57660038.31710747</v>
      </c>
      <c r="I133" s="160">
        <f>SUM(I119:I132)</f>
        <v>16884056.401650794</v>
      </c>
      <c r="J133" s="161">
        <f>SUM(J119:J132)</f>
        <v>391379598.2812417</v>
      </c>
      <c r="K133" s="79"/>
      <c r="L133" s="79"/>
      <c r="M133" s="61"/>
      <c r="N133" s="61"/>
      <c r="O133" s="63">
        <f t="shared" si="15"/>
        <v>465923693</v>
      </c>
      <c r="P133" s="64">
        <f t="shared" si="16"/>
        <v>-1</v>
      </c>
    </row>
    <row r="134" spans="1:16" s="81" customFormat="1" ht="15" customHeight="1">
      <c r="A134" s="105"/>
      <c r="B134" s="182"/>
      <c r="C134" s="183"/>
      <c r="D134" s="107"/>
      <c r="E134" s="107"/>
      <c r="F134" s="107"/>
      <c r="G134" s="184"/>
      <c r="H134" s="137"/>
      <c r="I134" s="137"/>
      <c r="J134" s="138"/>
      <c r="K134" s="79"/>
      <c r="L134" s="79"/>
      <c r="M134" s="80"/>
      <c r="N134" s="80"/>
      <c r="O134" s="63">
        <f t="shared" si="15"/>
        <v>0</v>
      </c>
      <c r="P134" s="64">
        <f t="shared" si="16"/>
        <v>0</v>
      </c>
    </row>
    <row r="135" spans="1:16" ht="15" customHeight="1">
      <c r="A135" s="97" t="s">
        <v>145</v>
      </c>
      <c r="B135" s="112"/>
      <c r="C135" s="120"/>
      <c r="D135" s="68"/>
      <c r="E135" s="68"/>
      <c r="F135" s="69"/>
      <c r="G135" s="160">
        <f>G84+G93+G100+G116+G133</f>
        <v>745728222.375</v>
      </c>
      <c r="H135" s="160">
        <f>H84+H93+H100+H116+H133</f>
        <v>118894715.70254043</v>
      </c>
      <c r="I135" s="160">
        <f>I84+I93+I100+I116+I133</f>
        <v>35460458.97760145</v>
      </c>
      <c r="J135" s="161">
        <f>J84+J93+J100+J116+J133</f>
        <v>591373046.6948581</v>
      </c>
      <c r="K135" s="60"/>
      <c r="L135" s="79"/>
      <c r="M135" s="61"/>
      <c r="N135" s="61"/>
      <c r="O135" s="63">
        <f t="shared" si="15"/>
        <v>745728221.375</v>
      </c>
      <c r="P135" s="64">
        <f t="shared" si="16"/>
        <v>-1</v>
      </c>
    </row>
    <row r="136" spans="1:16" s="81" customFormat="1" ht="15" customHeight="1" thickBot="1">
      <c r="A136" s="124"/>
      <c r="B136" s="125"/>
      <c r="C136" s="126"/>
      <c r="D136" s="126"/>
      <c r="E136" s="127"/>
      <c r="F136" s="127"/>
      <c r="G136" s="185"/>
      <c r="H136" s="185"/>
      <c r="I136" s="185"/>
      <c r="J136" s="186"/>
      <c r="K136" s="60"/>
      <c r="L136" s="79"/>
      <c r="M136" s="80"/>
      <c r="N136" s="80"/>
      <c r="O136" s="63">
        <f t="shared" si="15"/>
        <v>0</v>
      </c>
      <c r="P136" s="64">
        <f t="shared" si="16"/>
        <v>0</v>
      </c>
    </row>
    <row r="137" spans="1:16" ht="15" customHeight="1" thickTop="1">
      <c r="A137" s="146" t="s">
        <v>146</v>
      </c>
      <c r="B137" s="112"/>
      <c r="C137" s="48"/>
      <c r="D137" s="107"/>
      <c r="E137" s="107"/>
      <c r="F137" s="107"/>
      <c r="G137" s="187"/>
      <c r="H137" s="187"/>
      <c r="I137" s="187"/>
      <c r="J137" s="188"/>
      <c r="K137" s="60"/>
      <c r="L137" s="79"/>
      <c r="M137" s="61"/>
      <c r="N137" s="61"/>
      <c r="O137" s="63">
        <f t="shared" si="15"/>
        <v>0</v>
      </c>
      <c r="P137" s="64">
        <f t="shared" si="16"/>
        <v>0</v>
      </c>
    </row>
    <row r="138" spans="1:16" ht="15" customHeight="1">
      <c r="A138" s="85"/>
      <c r="B138" s="189" t="s">
        <v>147</v>
      </c>
      <c r="C138" s="101"/>
      <c r="D138" s="190"/>
      <c r="E138" s="101"/>
      <c r="F138" s="101"/>
      <c r="G138" s="109"/>
      <c r="H138" s="109"/>
      <c r="I138" s="109"/>
      <c r="J138" s="110"/>
      <c r="K138" s="60"/>
      <c r="L138" s="79"/>
      <c r="M138" s="61"/>
      <c r="N138" s="61"/>
      <c r="O138" s="63">
        <f t="shared" si="15"/>
        <v>0</v>
      </c>
      <c r="P138" s="64">
        <f t="shared" si="16"/>
        <v>0</v>
      </c>
    </row>
    <row r="139" spans="1:16" ht="15" customHeight="1">
      <c r="A139" s="85"/>
      <c r="B139" s="169" t="s">
        <v>148</v>
      </c>
      <c r="C139" s="56" t="s">
        <v>149</v>
      </c>
      <c r="D139" s="56">
        <v>244</v>
      </c>
      <c r="E139" s="57" t="s">
        <v>5</v>
      </c>
      <c r="F139" s="57"/>
      <c r="G139" s="87">
        <f>'[1]112-113 Bal Sht Liablts &amp; Crdts'!E51</f>
        <v>83652834</v>
      </c>
      <c r="H139" s="58">
        <f>VLOOKUP($E139,Ratio,2,FALSE)*$G139</f>
        <v>0</v>
      </c>
      <c r="I139" s="58">
        <f>VLOOKUP($E139,Ratio,3,FALSE)*$G139</f>
        <v>0</v>
      </c>
      <c r="J139" s="59">
        <f>VLOOKUP($E139,Ratio,4,FALSE)*$G139</f>
        <v>83652834</v>
      </c>
      <c r="K139" s="60"/>
      <c r="L139" s="79"/>
      <c r="M139" s="61"/>
      <c r="N139" s="61"/>
      <c r="O139" s="63">
        <f t="shared" si="15"/>
        <v>83652834</v>
      </c>
      <c r="P139" s="64">
        <f t="shared" si="16"/>
        <v>0</v>
      </c>
    </row>
    <row r="140" spans="1:16" ht="15" customHeight="1">
      <c r="A140" s="85"/>
      <c r="B140" s="173" t="s">
        <v>469</v>
      </c>
      <c r="C140" s="56" t="s">
        <v>150</v>
      </c>
      <c r="D140" s="56">
        <v>244</v>
      </c>
      <c r="E140" s="57" t="s">
        <v>5</v>
      </c>
      <c r="F140" s="57"/>
      <c r="G140" s="87">
        <f>'[1]112-113 Bal Sht Liablts &amp; Crdts'!E52</f>
        <v>10174378</v>
      </c>
      <c r="H140" s="58">
        <f>VLOOKUP($E140,Ratio,2,FALSE)*$G140</f>
        <v>0</v>
      </c>
      <c r="I140" s="58">
        <f>VLOOKUP($E140,Ratio,3,FALSE)*$G140</f>
        <v>0</v>
      </c>
      <c r="J140" s="59">
        <f>VLOOKUP($E140,Ratio,4,FALSE)*$G140</f>
        <v>10174378</v>
      </c>
      <c r="K140" s="60"/>
      <c r="L140" s="79"/>
      <c r="M140" s="61"/>
      <c r="N140" s="61"/>
      <c r="O140" s="63">
        <f t="shared" si="15"/>
        <v>10174378</v>
      </c>
      <c r="P140" s="64">
        <f t="shared" si="16"/>
        <v>0</v>
      </c>
    </row>
    <row r="141" spans="1:16" ht="15" customHeight="1">
      <c r="A141" s="85"/>
      <c r="B141" s="169" t="s">
        <v>151</v>
      </c>
      <c r="C141" s="56" t="s">
        <v>152</v>
      </c>
      <c r="D141" s="56">
        <v>245</v>
      </c>
      <c r="E141" s="57" t="s">
        <v>5</v>
      </c>
      <c r="F141" s="57"/>
      <c r="G141" s="87">
        <f>'[1]112-113 Bal Sht Liablts &amp; Crdts'!E53</f>
        <v>5144457</v>
      </c>
      <c r="H141" s="58">
        <f>VLOOKUP($E141,Ratio,2,FALSE)*$G141</f>
        <v>0</v>
      </c>
      <c r="I141" s="58">
        <f>VLOOKUP($E141,Ratio,3,FALSE)*$G141</f>
        <v>0</v>
      </c>
      <c r="J141" s="59">
        <f>VLOOKUP($E141,Ratio,4,FALSE)*$G141</f>
        <v>5144457</v>
      </c>
      <c r="K141" s="60"/>
      <c r="L141" s="79"/>
      <c r="M141" s="61"/>
      <c r="N141" s="61"/>
      <c r="O141" s="63">
        <f t="shared" si="15"/>
        <v>5144457</v>
      </c>
      <c r="P141" s="64">
        <f t="shared" si="16"/>
        <v>0</v>
      </c>
    </row>
    <row r="142" spans="1:16" ht="15" customHeight="1">
      <c r="A142" s="85"/>
      <c r="B142" s="173" t="s">
        <v>470</v>
      </c>
      <c r="C142" s="56" t="s">
        <v>150</v>
      </c>
      <c r="D142" s="56">
        <v>245</v>
      </c>
      <c r="E142" s="57" t="s">
        <v>5</v>
      </c>
      <c r="F142" s="57"/>
      <c r="G142" s="87">
        <f>'[1]112-113 Bal Sht Liablts &amp; Crdts'!E54</f>
        <v>5144457</v>
      </c>
      <c r="H142" s="58">
        <f>VLOOKUP($E142,Ratio,2,FALSE)*$G142</f>
        <v>0</v>
      </c>
      <c r="I142" s="58">
        <f>VLOOKUP($E142,Ratio,3,FALSE)*$G142</f>
        <v>0</v>
      </c>
      <c r="J142" s="59">
        <f>VLOOKUP($E142,Ratio,4,FALSE)*$G142</f>
        <v>5144457</v>
      </c>
      <c r="K142" s="60"/>
      <c r="L142" s="79"/>
      <c r="M142" s="61"/>
      <c r="N142" s="61"/>
      <c r="O142" s="63">
        <f t="shared" si="15"/>
        <v>5144457</v>
      </c>
      <c r="P142" s="64">
        <f t="shared" si="16"/>
        <v>0</v>
      </c>
    </row>
    <row r="143" spans="1:16" ht="15" customHeight="1">
      <c r="A143" s="85"/>
      <c r="B143" s="159" t="s">
        <v>15</v>
      </c>
      <c r="C143" s="120"/>
      <c r="D143" s="68"/>
      <c r="E143" s="68"/>
      <c r="F143" s="69"/>
      <c r="G143" s="160">
        <f>G139-G140+G141-G142</f>
        <v>73478456</v>
      </c>
      <c r="H143" s="160">
        <f>H139-H140+H141-H142</f>
        <v>0</v>
      </c>
      <c r="I143" s="160">
        <f>I139-I140+I141-I142</f>
        <v>0</v>
      </c>
      <c r="J143" s="161">
        <f>J139-J140+J141-J142</f>
        <v>73478456</v>
      </c>
      <c r="K143" s="60"/>
      <c r="L143" s="79"/>
      <c r="M143" s="61"/>
      <c r="N143" s="61"/>
      <c r="O143" s="63">
        <f t="shared" si="15"/>
        <v>73478456</v>
      </c>
      <c r="P143" s="64">
        <f t="shared" si="16"/>
        <v>0</v>
      </c>
    </row>
    <row r="144" spans="1:16" ht="15" customHeight="1">
      <c r="A144" s="85"/>
      <c r="B144" s="189" t="s">
        <v>153</v>
      </c>
      <c r="C144" s="101"/>
      <c r="D144" s="190"/>
      <c r="E144" s="101"/>
      <c r="F144" s="101"/>
      <c r="G144" s="187"/>
      <c r="H144" s="109"/>
      <c r="I144" s="109"/>
      <c r="J144" s="110"/>
      <c r="K144" s="60"/>
      <c r="L144" s="79"/>
      <c r="M144" s="61"/>
      <c r="N144" s="61"/>
      <c r="O144" s="63">
        <f t="shared" si="15"/>
        <v>0</v>
      </c>
      <c r="P144" s="64">
        <f t="shared" si="16"/>
        <v>0</v>
      </c>
    </row>
    <row r="145" spans="1:16" ht="15" customHeight="1">
      <c r="A145" s="85"/>
      <c r="B145" s="169" t="s">
        <v>154</v>
      </c>
      <c r="C145" s="56" t="s">
        <v>149</v>
      </c>
      <c r="D145" s="56">
        <v>244</v>
      </c>
      <c r="E145" s="57" t="s">
        <v>5</v>
      </c>
      <c r="F145" s="57"/>
      <c r="G145" s="87">
        <f>'[1]112-113 Bal Sht Liablts &amp; Crdts'!E52</f>
        <v>10174378</v>
      </c>
      <c r="H145" s="58">
        <f>VLOOKUP($E145,Ratio,2,FALSE)*$G145</f>
        <v>0</v>
      </c>
      <c r="I145" s="58">
        <f>VLOOKUP($E145,Ratio,3,FALSE)*$G145</f>
        <v>0</v>
      </c>
      <c r="J145" s="59">
        <f>VLOOKUP($E145,Ratio,4,FALSE)*$G145</f>
        <v>10174378</v>
      </c>
      <c r="K145" s="60"/>
      <c r="L145" s="79"/>
      <c r="M145" s="61"/>
      <c r="N145" s="61"/>
      <c r="O145" s="63">
        <f aca="true" t="shared" si="17" ref="O145:O161">SUM(H145:J145)</f>
        <v>10174378</v>
      </c>
      <c r="P145" s="64">
        <f aca="true" t="shared" si="18" ref="P145:P161">O145-G145</f>
        <v>0</v>
      </c>
    </row>
    <row r="146" spans="1:16" ht="15" customHeight="1">
      <c r="A146" s="85"/>
      <c r="B146" s="169" t="s">
        <v>155</v>
      </c>
      <c r="C146" s="56" t="s">
        <v>150</v>
      </c>
      <c r="D146" s="56">
        <v>245</v>
      </c>
      <c r="E146" s="57" t="s">
        <v>5</v>
      </c>
      <c r="F146" s="57"/>
      <c r="G146" s="87">
        <f>'[1]112-113 Bal Sht Liablts &amp; Crdts'!E54</f>
        <v>5144457</v>
      </c>
      <c r="H146" s="58">
        <f>VLOOKUP($E146,Ratio,2,FALSE)*$G146</f>
        <v>0</v>
      </c>
      <c r="I146" s="58">
        <f>VLOOKUP($E146,Ratio,3,FALSE)*$G146</f>
        <v>0</v>
      </c>
      <c r="J146" s="59">
        <f>VLOOKUP($E146,Ratio,4,FALSE)*$G146</f>
        <v>5144457</v>
      </c>
      <c r="K146" s="60"/>
      <c r="L146" s="79"/>
      <c r="M146" s="61"/>
      <c r="N146" s="61"/>
      <c r="O146" s="63">
        <f t="shared" si="17"/>
        <v>5144457</v>
      </c>
      <c r="P146" s="64">
        <f t="shared" si="18"/>
        <v>0</v>
      </c>
    </row>
    <row r="147" spans="1:16" ht="15" customHeight="1">
      <c r="A147" s="85"/>
      <c r="B147" s="169" t="s">
        <v>156</v>
      </c>
      <c r="C147" s="56" t="s">
        <v>149</v>
      </c>
      <c r="D147" s="56">
        <v>252</v>
      </c>
      <c r="E147" s="57" t="s">
        <v>5</v>
      </c>
      <c r="F147" s="57"/>
      <c r="G147" s="87">
        <f>'[1]112-113 Bal Sht Liablts &amp; Crdts'!E57</f>
        <v>1087069</v>
      </c>
      <c r="H147" s="58">
        <f>VLOOKUP($E147,Ratio,2,FALSE)*$G147</f>
        <v>0</v>
      </c>
      <c r="I147" s="58">
        <f>VLOOKUP($E147,Ratio,3,FALSE)*$G147</f>
        <v>0</v>
      </c>
      <c r="J147" s="59">
        <f>VLOOKUP($E147,Ratio,4,FALSE)*$G147</f>
        <v>1087069</v>
      </c>
      <c r="K147" s="60"/>
      <c r="L147" s="79"/>
      <c r="M147" s="61"/>
      <c r="N147" s="61"/>
      <c r="O147" s="63">
        <f t="shared" si="17"/>
        <v>1087069</v>
      </c>
      <c r="P147" s="64">
        <f t="shared" si="18"/>
        <v>0</v>
      </c>
    </row>
    <row r="148" spans="1:16" ht="15" customHeight="1">
      <c r="A148" s="85"/>
      <c r="B148" s="169" t="s">
        <v>157</v>
      </c>
      <c r="C148" s="56" t="s">
        <v>149</v>
      </c>
      <c r="D148" s="56">
        <v>253</v>
      </c>
      <c r="E148" s="57" t="s">
        <v>1</v>
      </c>
      <c r="F148" s="57" t="s">
        <v>5</v>
      </c>
      <c r="G148" s="87">
        <f>'[1]112-113 Bal Sht Liablts &amp; Crdts'!E60</f>
        <v>36280631</v>
      </c>
      <c r="H148" s="58">
        <f>IF($E148="DIRECT",$L148,VLOOKUP($E148,Ratio,2,FALSE)*$G148)</f>
        <v>9819591</v>
      </c>
      <c r="I148" s="58">
        <f>IF($E148="DIRECT",$M148,VLOOKUP($E148,Ratio,3,FALSE)*$G148)</f>
        <v>2322841</v>
      </c>
      <c r="J148" s="59">
        <f>IF($E148="DIRECT",$N148,VLOOKUP($E148,Ratio,4,FALSE)*$G148)</f>
        <v>24138198</v>
      </c>
      <c r="K148" s="60"/>
      <c r="L148" s="58">
        <v>9819591</v>
      </c>
      <c r="M148" s="58">
        <v>2322841</v>
      </c>
      <c r="N148" s="59">
        <v>24138198</v>
      </c>
      <c r="O148" s="63">
        <f t="shared" si="17"/>
        <v>36280630</v>
      </c>
      <c r="P148" s="64">
        <f t="shared" si="18"/>
        <v>-1</v>
      </c>
    </row>
    <row r="149" spans="1:16" ht="15" customHeight="1">
      <c r="A149" s="85"/>
      <c r="B149" s="169" t="s">
        <v>158</v>
      </c>
      <c r="C149" s="56" t="s">
        <v>149</v>
      </c>
      <c r="D149" s="56">
        <v>254</v>
      </c>
      <c r="E149" s="57" t="s">
        <v>1</v>
      </c>
      <c r="F149" s="57" t="s">
        <v>5</v>
      </c>
      <c r="G149" s="87">
        <f>'[1]112-113 Bal Sht Liablts &amp; Crdts'!E61</f>
        <v>18246960</v>
      </c>
      <c r="H149" s="58">
        <f>IF($E149="DIRECT",$L149,VLOOKUP($E149,Ratio,2,FALSE)*$G149)</f>
        <v>0</v>
      </c>
      <c r="I149" s="58">
        <f>IF($E149="DIRECT",$M149,VLOOKUP($E149,Ratio,3,FALSE)*$G149)</f>
        <v>0</v>
      </c>
      <c r="J149" s="59">
        <f>IF($E149="DIRECT",$N149,VLOOKUP($E149,Ratio,4,FALSE)*$G149)</f>
        <v>18246960</v>
      </c>
      <c r="K149" s="60"/>
      <c r="L149" s="58">
        <v>0</v>
      </c>
      <c r="M149" s="58"/>
      <c r="N149" s="59">
        <v>18246960</v>
      </c>
      <c r="O149" s="63">
        <f t="shared" si="17"/>
        <v>18246960</v>
      </c>
      <c r="P149" s="64">
        <f t="shared" si="18"/>
        <v>0</v>
      </c>
    </row>
    <row r="150" spans="1:16" ht="15" customHeight="1">
      <c r="A150" s="85"/>
      <c r="B150" s="169" t="s">
        <v>159</v>
      </c>
      <c r="C150" s="56" t="s">
        <v>149</v>
      </c>
      <c r="D150" s="56">
        <v>255</v>
      </c>
      <c r="E150" s="57" t="s">
        <v>5</v>
      </c>
      <c r="F150" s="57"/>
      <c r="G150" s="87">
        <f>'[1]112-113 Bal Sht Liablts &amp; Crdts'!E58</f>
        <v>472344</v>
      </c>
      <c r="H150" s="58">
        <f>VLOOKUP($E150,Ratio,2,FALSE)*$G150</f>
        <v>0</v>
      </c>
      <c r="I150" s="58">
        <f>VLOOKUP($E150,Ratio,3,FALSE)*$G150</f>
        <v>0</v>
      </c>
      <c r="J150" s="59">
        <f>VLOOKUP($E150,Ratio,4,FALSE)*$G150</f>
        <v>472344</v>
      </c>
      <c r="K150" s="60"/>
      <c r="L150" s="79"/>
      <c r="M150" s="61"/>
      <c r="N150" s="61"/>
      <c r="O150" s="63">
        <f t="shared" si="17"/>
        <v>472344</v>
      </c>
      <c r="P150" s="64">
        <f t="shared" si="18"/>
        <v>0</v>
      </c>
    </row>
    <row r="151" spans="1:16" ht="15" customHeight="1">
      <c r="A151" s="85"/>
      <c r="B151" s="169" t="s">
        <v>160</v>
      </c>
      <c r="C151" s="56" t="s">
        <v>149</v>
      </c>
      <c r="D151" s="56">
        <v>256</v>
      </c>
      <c r="E151" s="57" t="s">
        <v>1</v>
      </c>
      <c r="F151" s="57" t="s">
        <v>1</v>
      </c>
      <c r="G151" s="87">
        <f>'[1]112-113 Bal Sht Liablts &amp; Crdts'!E59</f>
        <v>0</v>
      </c>
      <c r="H151" s="58"/>
      <c r="I151" s="58"/>
      <c r="J151" s="59"/>
      <c r="K151" s="60"/>
      <c r="L151" s="79"/>
      <c r="M151" s="61"/>
      <c r="N151" s="61"/>
      <c r="O151" s="63">
        <f t="shared" si="17"/>
        <v>0</v>
      </c>
      <c r="P151" s="64">
        <f t="shared" si="18"/>
        <v>0</v>
      </c>
    </row>
    <row r="152" spans="1:16" ht="15.75" customHeight="1">
      <c r="A152" s="85"/>
      <c r="B152" s="169" t="s">
        <v>161</v>
      </c>
      <c r="C152" s="56" t="s">
        <v>149</v>
      </c>
      <c r="D152" s="56">
        <v>257</v>
      </c>
      <c r="E152" s="57" t="s">
        <v>131</v>
      </c>
      <c r="F152" s="57"/>
      <c r="G152" s="87">
        <f>'[1]112-113 Bal Sht Liablts &amp; Crdts'!E62</f>
        <v>3282969</v>
      </c>
      <c r="H152" s="58">
        <f>VLOOKUP($E152,Ratio,2,FALSE)*$G152</f>
        <v>1467381.4682703933</v>
      </c>
      <c r="I152" s="58">
        <f>VLOOKUP($E152,Ratio,3,FALSE)*$G152</f>
        <v>574937.7866363998</v>
      </c>
      <c r="J152" s="59">
        <f>VLOOKUP($E152,Ratio,4,FALSE)*$G152</f>
        <v>1240649.7450932069</v>
      </c>
      <c r="K152" s="60"/>
      <c r="L152" s="79"/>
      <c r="M152" s="61"/>
      <c r="N152" s="61"/>
      <c r="O152" s="63">
        <f t="shared" si="17"/>
        <v>3282969</v>
      </c>
      <c r="P152" s="64">
        <f t="shared" si="18"/>
        <v>0</v>
      </c>
    </row>
    <row r="153" spans="1:16" ht="15" customHeight="1">
      <c r="A153" s="85"/>
      <c r="B153" s="169" t="s">
        <v>162</v>
      </c>
      <c r="C153" s="56" t="s">
        <v>149</v>
      </c>
      <c r="D153" s="56">
        <v>281</v>
      </c>
      <c r="E153" s="57" t="s">
        <v>5</v>
      </c>
      <c r="F153" s="57"/>
      <c r="G153" s="87">
        <f>'[1]112-113 Bal Sht Liablts &amp; Crdts'!E63</f>
        <v>0</v>
      </c>
      <c r="H153" s="58">
        <f>VLOOKUP($E153,Ratio,2,FALSE)*$G153</f>
        <v>0</v>
      </c>
      <c r="I153" s="58">
        <f>VLOOKUP($E153,Ratio,3,FALSE)*$G153</f>
        <v>0</v>
      </c>
      <c r="J153" s="59">
        <f>VLOOKUP($E153,Ratio,4,FALSE)*$G153</f>
        <v>0</v>
      </c>
      <c r="K153" s="60"/>
      <c r="L153" s="79"/>
      <c r="M153" s="61"/>
      <c r="N153" s="61"/>
      <c r="O153" s="63">
        <f t="shared" si="17"/>
        <v>0</v>
      </c>
      <c r="P153" s="64">
        <f t="shared" si="18"/>
        <v>0</v>
      </c>
    </row>
    <row r="154" spans="1:16" ht="15" customHeight="1">
      <c r="A154" s="85"/>
      <c r="B154" s="169" t="s">
        <v>163</v>
      </c>
      <c r="C154" s="56" t="s">
        <v>149</v>
      </c>
      <c r="D154" s="56">
        <v>282</v>
      </c>
      <c r="E154" s="57" t="s">
        <v>5</v>
      </c>
      <c r="F154" s="57"/>
      <c r="G154" s="87">
        <f>'[1]112-113 Bal Sht Liablts &amp; Crdts'!E64</f>
        <v>305474214</v>
      </c>
      <c r="H154" s="58">
        <f>VLOOKUP($E154,Ratio,2,FALSE)*$G154</f>
        <v>0</v>
      </c>
      <c r="I154" s="58">
        <f>VLOOKUP($E154,Ratio,3,FALSE)*$G154</f>
        <v>0</v>
      </c>
      <c r="J154" s="59">
        <f>VLOOKUP($E154,Ratio,4,FALSE)*$G154</f>
        <v>305474214</v>
      </c>
      <c r="K154" s="60"/>
      <c r="L154" s="79"/>
      <c r="M154" s="61"/>
      <c r="N154" s="61"/>
      <c r="O154" s="63">
        <f t="shared" si="17"/>
        <v>305474214</v>
      </c>
      <c r="P154" s="64">
        <f t="shared" si="18"/>
        <v>0</v>
      </c>
    </row>
    <row r="155" spans="1:16" ht="15" customHeight="1">
      <c r="A155" s="85"/>
      <c r="B155" s="169" t="s">
        <v>164</v>
      </c>
      <c r="C155" s="56" t="s">
        <v>149</v>
      </c>
      <c r="D155" s="56">
        <v>283</v>
      </c>
      <c r="E155" s="57" t="s">
        <v>5</v>
      </c>
      <c r="F155" s="57"/>
      <c r="G155" s="87">
        <f>'[1]112-113 Bal Sht Liablts &amp; Crdts'!E65</f>
        <v>211989043</v>
      </c>
      <c r="H155" s="58">
        <f>VLOOKUP($E155,Ratio,2,FALSE)*$G155</f>
        <v>0</v>
      </c>
      <c r="I155" s="58">
        <f>VLOOKUP($E155,Ratio,3,FALSE)*$G155</f>
        <v>0</v>
      </c>
      <c r="J155" s="59">
        <f>VLOOKUP($E155,Ratio,4,FALSE)*$G155</f>
        <v>211989043</v>
      </c>
      <c r="K155" s="60"/>
      <c r="L155" s="79"/>
      <c r="M155" s="61"/>
      <c r="N155" s="61"/>
      <c r="O155" s="63">
        <f t="shared" si="17"/>
        <v>211989043</v>
      </c>
      <c r="P155" s="64">
        <f t="shared" si="18"/>
        <v>0</v>
      </c>
    </row>
    <row r="156" spans="1:16" ht="15" customHeight="1">
      <c r="A156" s="85"/>
      <c r="B156" s="159" t="s">
        <v>15</v>
      </c>
      <c r="C156" s="120"/>
      <c r="D156" s="68"/>
      <c r="E156" s="68"/>
      <c r="F156" s="69"/>
      <c r="G156" s="160">
        <f>SUM(G145:G155)</f>
        <v>592152065</v>
      </c>
      <c r="H156" s="160">
        <f>SUM(H145:H155)</f>
        <v>11286972.468270393</v>
      </c>
      <c r="I156" s="160">
        <f>SUM(I145:I155)</f>
        <v>2897778.7866364</v>
      </c>
      <c r="J156" s="161">
        <f>SUM(J145:J155)</f>
        <v>577967312.7450932</v>
      </c>
      <c r="K156" s="60"/>
      <c r="L156" s="79"/>
      <c r="M156" s="61"/>
      <c r="N156" s="61"/>
      <c r="O156" s="63">
        <f t="shared" si="17"/>
        <v>592152064</v>
      </c>
      <c r="P156" s="64">
        <f t="shared" si="18"/>
        <v>-1</v>
      </c>
    </row>
    <row r="157" spans="1:16" ht="15" customHeight="1">
      <c r="A157" s="85"/>
      <c r="B157" s="191"/>
      <c r="C157" s="107"/>
      <c r="D157" s="192"/>
      <c r="E157" s="107"/>
      <c r="F157" s="107"/>
      <c r="G157" s="193"/>
      <c r="H157" s="194"/>
      <c r="I157" s="194"/>
      <c r="J157" s="195"/>
      <c r="K157" s="60"/>
      <c r="L157" s="79"/>
      <c r="M157" s="61"/>
      <c r="N157" s="61"/>
      <c r="O157" s="63">
        <f t="shared" si="17"/>
        <v>0</v>
      </c>
      <c r="P157" s="64">
        <f t="shared" si="18"/>
        <v>0</v>
      </c>
    </row>
    <row r="158" spans="1:16" ht="15" customHeight="1">
      <c r="A158" s="97" t="s">
        <v>165</v>
      </c>
      <c r="B158" s="112"/>
      <c r="C158" s="120"/>
      <c r="D158" s="68"/>
      <c r="E158" s="68"/>
      <c r="F158" s="69"/>
      <c r="G158" s="160">
        <f>+G156+G143</f>
        <v>665630521</v>
      </c>
      <c r="H158" s="160">
        <f>+H156+H143</f>
        <v>11286972.468270393</v>
      </c>
      <c r="I158" s="160">
        <f>+I156+I143</f>
        <v>2897778.7866364</v>
      </c>
      <c r="J158" s="161">
        <f>+J156+J143</f>
        <v>651445768.7450932</v>
      </c>
      <c r="K158" s="196"/>
      <c r="L158" s="60"/>
      <c r="M158" s="61"/>
      <c r="N158" s="61"/>
      <c r="O158" s="63">
        <f t="shared" si="17"/>
        <v>665630520</v>
      </c>
      <c r="P158" s="64">
        <f t="shared" si="18"/>
        <v>-1</v>
      </c>
    </row>
    <row r="159" spans="1:16" ht="15" customHeight="1">
      <c r="A159" s="197"/>
      <c r="B159" s="112"/>
      <c r="C159" s="48"/>
      <c r="D159" s="48"/>
      <c r="E159" s="48"/>
      <c r="F159" s="48"/>
      <c r="G159" s="83"/>
      <c r="H159" s="83"/>
      <c r="I159" s="83"/>
      <c r="J159" s="84"/>
      <c r="K159" s="196"/>
      <c r="L159" s="60"/>
      <c r="M159" s="61"/>
      <c r="N159" s="61"/>
      <c r="O159" s="63">
        <f t="shared" si="17"/>
        <v>0</v>
      </c>
      <c r="P159" s="64">
        <f t="shared" si="18"/>
        <v>0</v>
      </c>
    </row>
    <row r="160" spans="1:16" ht="15" customHeight="1">
      <c r="A160" s="198"/>
      <c r="B160" s="191"/>
      <c r="C160" s="192"/>
      <c r="D160" s="192"/>
      <c r="E160" s="170"/>
      <c r="F160" s="170"/>
      <c r="G160" s="91"/>
      <c r="H160" s="91"/>
      <c r="I160" s="91"/>
      <c r="J160" s="199"/>
      <c r="K160" s="196"/>
      <c r="L160" s="81"/>
      <c r="O160" s="63">
        <f t="shared" si="17"/>
        <v>0</v>
      </c>
      <c r="P160" s="64">
        <f t="shared" si="18"/>
        <v>0</v>
      </c>
    </row>
    <row r="161" spans="1:16" ht="15" customHeight="1">
      <c r="A161" s="111" t="s">
        <v>166</v>
      </c>
      <c r="B161" s="112"/>
      <c r="C161" s="200"/>
      <c r="D161" s="201"/>
      <c r="E161" s="201"/>
      <c r="F161" s="202"/>
      <c r="G161" s="203">
        <f>G79+G135-G158</f>
        <v>1575915530.375</v>
      </c>
      <c r="H161" s="203">
        <f>H79+H135-H158</f>
        <v>771060675.23576</v>
      </c>
      <c r="I161" s="203">
        <f>I79+I135-I158</f>
        <v>283542143.7532495</v>
      </c>
      <c r="J161" s="204">
        <f>J79+J135-J158</f>
        <v>521312711.3859905</v>
      </c>
      <c r="K161" s="196"/>
      <c r="L161" s="205"/>
      <c r="M161" s="61"/>
      <c r="N161" s="61"/>
      <c r="O161" s="63">
        <f t="shared" si="17"/>
        <v>1575915530.375</v>
      </c>
      <c r="P161" s="64">
        <f t="shared" si="18"/>
        <v>0</v>
      </c>
    </row>
    <row r="162" spans="1:13" ht="15" customHeight="1">
      <c r="A162" s="206" t="s">
        <v>167</v>
      </c>
      <c r="B162" s="207"/>
      <c r="C162" s="47"/>
      <c r="D162" s="47"/>
      <c r="E162" s="47"/>
      <c r="F162" s="47"/>
      <c r="G162" s="208"/>
      <c r="H162" s="49"/>
      <c r="I162" s="209"/>
      <c r="J162" s="210"/>
      <c r="K162" s="61"/>
      <c r="L162" s="61"/>
      <c r="M162" s="61"/>
    </row>
    <row r="163" spans="1:13" ht="15" customHeight="1" thickBot="1">
      <c r="A163" s="211"/>
      <c r="B163" s="212"/>
      <c r="C163" s="213"/>
      <c r="D163" s="213"/>
      <c r="E163" s="213"/>
      <c r="F163" s="213"/>
      <c r="G163" s="214"/>
      <c r="H163" s="215"/>
      <c r="I163" s="216"/>
      <c r="J163" s="217"/>
      <c r="K163" s="61"/>
      <c r="L163" s="61"/>
      <c r="M163" s="61"/>
    </row>
    <row r="164" spans="1:13" ht="15" customHeight="1" thickTop="1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61"/>
      <c r="L164" s="61"/>
      <c r="M164" s="61"/>
    </row>
    <row r="165" spans="1:15" ht="15" customHeight="1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196"/>
      <c r="L165" s="60"/>
      <c r="M165" s="61"/>
      <c r="N165" s="61"/>
      <c r="O165" s="61"/>
    </row>
    <row r="166" spans="1:15" ht="15" customHeight="1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196"/>
      <c r="L166" s="60"/>
      <c r="M166" s="61"/>
      <c r="N166" s="61"/>
      <c r="O166" s="61"/>
    </row>
    <row r="167" spans="1:15" ht="15" customHeight="1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196"/>
      <c r="L167" s="60"/>
      <c r="M167" s="61"/>
      <c r="N167" s="61"/>
      <c r="O167" s="61"/>
    </row>
    <row r="168" spans="1:15" ht="15" customHeight="1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196"/>
      <c r="L168" s="60"/>
      <c r="M168" s="61"/>
      <c r="N168" s="61"/>
      <c r="O168" s="61"/>
    </row>
    <row r="169" spans="1:15" ht="15" customHeight="1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196"/>
      <c r="L169" s="60"/>
      <c r="M169" s="61"/>
      <c r="N169" s="61"/>
      <c r="O169" s="61"/>
    </row>
    <row r="170" spans="1:15" ht="15" customHeight="1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196"/>
      <c r="L170" s="60"/>
      <c r="M170" s="61"/>
      <c r="N170" s="61"/>
      <c r="O170" s="61"/>
    </row>
    <row r="171" spans="1:15" s="81" customFormat="1" ht="15" customHeight="1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196"/>
      <c r="L171" s="60"/>
      <c r="M171" s="80"/>
      <c r="N171" s="80"/>
      <c r="O171" s="80"/>
    </row>
    <row r="172" spans="1:15" s="81" customFormat="1" ht="15" customHeight="1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196"/>
      <c r="L172" s="60"/>
      <c r="M172" s="80"/>
      <c r="N172" s="80"/>
      <c r="O172" s="80"/>
    </row>
    <row r="173" spans="1:15" ht="15" customHeight="1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196"/>
      <c r="L173" s="60"/>
      <c r="M173" s="61"/>
      <c r="N173" s="61"/>
      <c r="O173" s="61"/>
    </row>
    <row r="174" spans="1:15" ht="15" customHeight="1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196"/>
      <c r="L174" s="60"/>
      <c r="M174" s="61"/>
      <c r="N174" s="61"/>
      <c r="O174" s="61"/>
    </row>
    <row r="175" spans="1:15" ht="15" customHeight="1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196"/>
      <c r="L175" s="60"/>
      <c r="M175" s="61"/>
      <c r="N175" s="61"/>
      <c r="O175" s="61"/>
    </row>
    <row r="176" spans="1:15" ht="15" customHeight="1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196"/>
      <c r="L176" s="60"/>
      <c r="M176" s="61"/>
      <c r="N176" s="61"/>
      <c r="O176" s="61"/>
    </row>
    <row r="177" spans="1:15" ht="15" customHeight="1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196"/>
      <c r="L177" s="60"/>
      <c r="M177" s="61"/>
      <c r="N177" s="61"/>
      <c r="O177" s="61"/>
    </row>
    <row r="178" spans="1:15" ht="15" customHeight="1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196"/>
      <c r="L178" s="60"/>
      <c r="M178" s="61"/>
      <c r="N178" s="61"/>
      <c r="O178" s="61"/>
    </row>
    <row r="179" spans="1:15" ht="15" customHeight="1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196"/>
      <c r="L179" s="60"/>
      <c r="M179" s="61"/>
      <c r="N179" s="61"/>
      <c r="O179" s="61"/>
    </row>
    <row r="180" spans="1:15" ht="15" customHeight="1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196"/>
      <c r="L180" s="60"/>
      <c r="M180" s="61"/>
      <c r="N180" s="61"/>
      <c r="O180" s="61"/>
    </row>
    <row r="181" spans="1:15" ht="15" customHeight="1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196"/>
      <c r="L181" s="60"/>
      <c r="M181" s="61"/>
      <c r="N181" s="61"/>
      <c r="O181" s="61"/>
    </row>
    <row r="182" spans="1:15" s="81" customFormat="1" ht="15" customHeight="1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196"/>
      <c r="L182" s="60"/>
      <c r="M182" s="80"/>
      <c r="N182" s="80"/>
      <c r="O182" s="80"/>
    </row>
    <row r="183" spans="1:15" s="81" customFormat="1" ht="15" customHeight="1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196"/>
      <c r="L183" s="60"/>
      <c r="M183" s="80"/>
      <c r="N183" s="80"/>
      <c r="O183" s="80"/>
    </row>
    <row r="184" spans="1:15" ht="15" customHeight="1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196"/>
      <c r="L184" s="60"/>
      <c r="M184" s="61"/>
      <c r="N184" s="61"/>
      <c r="O184" s="61"/>
    </row>
    <row r="185" spans="1:15" ht="15" customHeight="1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196"/>
      <c r="L185" s="60"/>
      <c r="M185" s="61"/>
      <c r="N185" s="61"/>
      <c r="O185" s="61"/>
    </row>
    <row r="186" spans="1:15" ht="15" customHeight="1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196"/>
      <c r="L186" s="219"/>
      <c r="M186" s="61"/>
      <c r="N186" s="61"/>
      <c r="O186" s="61"/>
    </row>
    <row r="187" spans="1:15" ht="15" customHeight="1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196"/>
      <c r="L187" s="60"/>
      <c r="M187" s="61"/>
      <c r="N187" s="61"/>
      <c r="O187" s="61"/>
    </row>
    <row r="188" spans="1:15" ht="15" customHeight="1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196"/>
      <c r="L188" s="60"/>
      <c r="M188" s="61"/>
      <c r="N188" s="61"/>
      <c r="O188" s="61"/>
    </row>
    <row r="189" spans="1:15" ht="15" customHeight="1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196"/>
      <c r="L189" s="60"/>
      <c r="M189" s="61"/>
      <c r="N189" s="61"/>
      <c r="O189" s="61"/>
    </row>
    <row r="190" spans="1:15" ht="15" customHeight="1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196"/>
      <c r="L190" s="60"/>
      <c r="M190" s="61"/>
      <c r="N190" s="61"/>
      <c r="O190" s="61"/>
    </row>
    <row r="191" spans="1:15" ht="15" customHeight="1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196"/>
      <c r="L191" s="60"/>
      <c r="M191" s="61"/>
      <c r="N191" s="61"/>
      <c r="O191" s="61"/>
    </row>
    <row r="192" spans="1:15" ht="15" customHeight="1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196"/>
      <c r="L192" s="60"/>
      <c r="M192" s="61"/>
      <c r="N192" s="61"/>
      <c r="O192" s="61"/>
    </row>
    <row r="193" spans="1:15" ht="15" customHeight="1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196"/>
      <c r="L193" s="60"/>
      <c r="M193" s="61"/>
      <c r="N193" s="61"/>
      <c r="O193" s="61"/>
    </row>
    <row r="194" spans="1:15" ht="15" customHeight="1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196"/>
      <c r="L194" s="60"/>
      <c r="M194" s="61"/>
      <c r="N194" s="61"/>
      <c r="O194" s="61"/>
    </row>
    <row r="195" spans="1:15" ht="15" customHeight="1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196"/>
      <c r="L195" s="60"/>
      <c r="M195" s="61"/>
      <c r="N195" s="61"/>
      <c r="O195" s="61"/>
    </row>
    <row r="196" spans="1:15" ht="15" customHeight="1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196"/>
      <c r="L196" s="60"/>
      <c r="M196" s="61"/>
      <c r="N196" s="61"/>
      <c r="O196" s="61"/>
    </row>
    <row r="197" spans="1:15" ht="15" customHeight="1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196"/>
      <c r="L197" s="219"/>
      <c r="M197" s="61"/>
      <c r="N197" s="61"/>
      <c r="O197" s="61"/>
    </row>
    <row r="198" spans="1:15" ht="15" customHeight="1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196"/>
      <c r="L198" s="60"/>
      <c r="M198" s="61"/>
      <c r="N198" s="61"/>
      <c r="O198" s="61"/>
    </row>
    <row r="199" spans="1:15" ht="15" customHeight="1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196"/>
      <c r="L199" s="60"/>
      <c r="M199" s="61"/>
      <c r="N199" s="61"/>
      <c r="O199" s="61"/>
    </row>
    <row r="200" spans="1:15" ht="15" customHeight="1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196"/>
      <c r="L200" s="60"/>
      <c r="M200" s="61"/>
      <c r="N200" s="61"/>
      <c r="O200" s="61"/>
    </row>
    <row r="201" spans="1:15" s="81" customFormat="1" ht="15" customHeight="1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196"/>
      <c r="L201" s="60"/>
      <c r="M201" s="80"/>
      <c r="N201" s="80"/>
      <c r="O201" s="80"/>
    </row>
    <row r="202" spans="1:15" ht="15" customHeight="1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196"/>
      <c r="L202" s="60"/>
      <c r="M202" s="61"/>
      <c r="N202" s="61"/>
      <c r="O202" s="61"/>
    </row>
    <row r="203" spans="1:15" ht="15" customHeight="1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196"/>
      <c r="L203" s="60"/>
      <c r="M203" s="61"/>
      <c r="N203" s="61"/>
      <c r="O203" s="61"/>
    </row>
    <row r="204" spans="1:15" s="81" customFormat="1" ht="15" customHeight="1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196"/>
      <c r="L204" s="220"/>
      <c r="M204" s="80"/>
      <c r="N204" s="80"/>
      <c r="O204" s="80"/>
    </row>
    <row r="205" spans="1:15" s="81" customFormat="1" ht="15" customHeight="1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196"/>
      <c r="L205" s="60"/>
      <c r="M205" s="80"/>
      <c r="N205" s="80"/>
      <c r="O205" s="80"/>
    </row>
    <row r="206" spans="1:15" ht="15" customHeight="1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196"/>
      <c r="L206" s="60"/>
      <c r="M206" s="61"/>
      <c r="N206" s="61"/>
      <c r="O206" s="61"/>
    </row>
    <row r="207" spans="1:15" ht="15" customHeight="1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196"/>
      <c r="L207" s="60"/>
      <c r="M207" s="61"/>
      <c r="N207" s="61"/>
      <c r="O207" s="61"/>
    </row>
    <row r="208" spans="1:15" ht="15" customHeight="1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196"/>
      <c r="L208" s="60"/>
      <c r="M208" s="61"/>
      <c r="N208" s="61"/>
      <c r="O208" s="61"/>
    </row>
    <row r="209" spans="1:15" ht="15" customHeight="1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196"/>
      <c r="L209" s="60"/>
      <c r="M209" s="61"/>
      <c r="N209" s="61"/>
      <c r="O209" s="61"/>
    </row>
    <row r="210" spans="1:15" ht="15" customHeight="1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196"/>
      <c r="L210" s="60"/>
      <c r="M210" s="61"/>
      <c r="N210" s="61"/>
      <c r="O210" s="61"/>
    </row>
    <row r="211" spans="1:15" ht="15" customHeight="1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196"/>
      <c r="L211" s="60"/>
      <c r="M211" s="61"/>
      <c r="N211" s="61"/>
      <c r="O211" s="61"/>
    </row>
    <row r="212" spans="1:15" ht="15" customHeight="1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196"/>
      <c r="L212" s="60"/>
      <c r="M212" s="61"/>
      <c r="N212" s="61"/>
      <c r="O212" s="61"/>
    </row>
    <row r="213" spans="1:15" ht="15" customHeight="1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196"/>
      <c r="L213" s="60"/>
      <c r="M213" s="61"/>
      <c r="N213" s="61"/>
      <c r="O213" s="61"/>
    </row>
    <row r="214" spans="1:15" ht="15" customHeight="1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196"/>
      <c r="L214" s="60"/>
      <c r="M214" s="61"/>
      <c r="N214" s="61"/>
      <c r="O214" s="61"/>
    </row>
    <row r="215" spans="1:15" s="81" customFormat="1" ht="15" customHeight="1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196"/>
      <c r="L215" s="60"/>
      <c r="M215" s="80"/>
      <c r="N215" s="80"/>
      <c r="O215" s="80"/>
    </row>
    <row r="216" spans="1:15" ht="15" customHeight="1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196"/>
      <c r="L216" s="60"/>
      <c r="M216" s="61"/>
      <c r="N216" s="61"/>
      <c r="O216" s="61"/>
    </row>
    <row r="217" spans="1:15" ht="15" customHeight="1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196"/>
      <c r="L217" s="60"/>
      <c r="M217" s="61"/>
      <c r="N217" s="61"/>
      <c r="O217" s="61"/>
    </row>
    <row r="218" spans="1:15" ht="15" customHeight="1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196"/>
      <c r="L218" s="60"/>
      <c r="M218" s="61"/>
      <c r="N218" s="61"/>
      <c r="O218" s="61"/>
    </row>
    <row r="219" spans="1:15" ht="15" customHeight="1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196"/>
      <c r="L219" s="60"/>
      <c r="M219" s="61"/>
      <c r="N219" s="61"/>
      <c r="O219" s="61"/>
    </row>
    <row r="220" spans="1:15" ht="15" customHeight="1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196"/>
      <c r="L220" s="60"/>
      <c r="M220" s="61"/>
      <c r="N220" s="61"/>
      <c r="O220" s="61"/>
    </row>
    <row r="221" spans="1:15" ht="15" customHeight="1">
      <c r="A221" s="218"/>
      <c r="B221" s="218"/>
      <c r="C221" s="218"/>
      <c r="D221" s="218"/>
      <c r="E221" s="218"/>
      <c r="F221" s="218"/>
      <c r="G221" s="218"/>
      <c r="H221" s="218"/>
      <c r="I221" s="218"/>
      <c r="J221" s="218"/>
      <c r="K221" s="196"/>
      <c r="L221" s="60"/>
      <c r="M221" s="61"/>
      <c r="N221" s="61"/>
      <c r="O221" s="61"/>
    </row>
    <row r="222" spans="1:15" ht="15" customHeight="1">
      <c r="A222" s="218"/>
      <c r="B222" s="218"/>
      <c r="C222" s="218"/>
      <c r="D222" s="218"/>
      <c r="E222" s="218"/>
      <c r="F222" s="218"/>
      <c r="G222" s="218"/>
      <c r="H222" s="218"/>
      <c r="I222" s="218"/>
      <c r="J222" s="218"/>
      <c r="K222" s="196"/>
      <c r="L222" s="60"/>
      <c r="M222" s="61"/>
      <c r="N222" s="61"/>
      <c r="O222" s="61"/>
    </row>
    <row r="223" spans="1:15" ht="15" customHeight="1">
      <c r="A223" s="218"/>
      <c r="B223" s="218"/>
      <c r="C223" s="218"/>
      <c r="D223" s="218"/>
      <c r="E223" s="218"/>
      <c r="F223" s="218"/>
      <c r="G223" s="218"/>
      <c r="H223" s="218"/>
      <c r="I223" s="218"/>
      <c r="J223" s="218"/>
      <c r="K223" s="196"/>
      <c r="L223" s="60"/>
      <c r="M223" s="61"/>
      <c r="N223" s="61"/>
      <c r="O223" s="61"/>
    </row>
    <row r="224" spans="1:15" ht="15" customHeight="1">
      <c r="A224" s="218"/>
      <c r="B224" s="218"/>
      <c r="C224" s="218"/>
      <c r="D224" s="218"/>
      <c r="E224" s="218"/>
      <c r="F224" s="218"/>
      <c r="G224" s="218"/>
      <c r="H224" s="218"/>
      <c r="I224" s="218"/>
      <c r="J224" s="218"/>
      <c r="K224" s="196"/>
      <c r="L224" s="60"/>
      <c r="M224" s="61"/>
      <c r="N224" s="61"/>
      <c r="O224" s="61"/>
    </row>
    <row r="225" spans="1:15" ht="15" customHeight="1">
      <c r="A225" s="218"/>
      <c r="B225" s="218"/>
      <c r="C225" s="218"/>
      <c r="D225" s="218"/>
      <c r="E225" s="218"/>
      <c r="F225" s="218"/>
      <c r="G225" s="218"/>
      <c r="H225" s="218"/>
      <c r="I225" s="218"/>
      <c r="J225" s="218"/>
      <c r="K225" s="196"/>
      <c r="L225" s="60"/>
      <c r="M225" s="61"/>
      <c r="N225" s="61"/>
      <c r="O225" s="61"/>
    </row>
    <row r="226" spans="1:15" ht="15" customHeight="1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196"/>
      <c r="L226" s="60"/>
      <c r="M226" s="61"/>
      <c r="N226" s="61"/>
      <c r="O226" s="61"/>
    </row>
    <row r="227" spans="1:15" ht="15" customHeight="1">
      <c r="A227" s="218"/>
      <c r="B227" s="218"/>
      <c r="C227" s="218"/>
      <c r="D227" s="218"/>
      <c r="E227" s="218"/>
      <c r="F227" s="218"/>
      <c r="G227" s="218"/>
      <c r="H227" s="218"/>
      <c r="I227" s="218"/>
      <c r="J227" s="218"/>
      <c r="K227" s="196"/>
      <c r="L227" s="60"/>
      <c r="M227" s="61"/>
      <c r="N227" s="61"/>
      <c r="O227" s="61"/>
    </row>
    <row r="228" spans="1:15" ht="1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196"/>
      <c r="L228" s="60"/>
      <c r="M228" s="61"/>
      <c r="N228" s="61"/>
      <c r="O228" s="61"/>
    </row>
    <row r="229" spans="1:15" ht="15" customHeight="1">
      <c r="A229" s="218"/>
      <c r="B229" s="218"/>
      <c r="C229" s="218"/>
      <c r="D229" s="218"/>
      <c r="E229" s="218"/>
      <c r="F229" s="218"/>
      <c r="G229" s="218"/>
      <c r="H229" s="218"/>
      <c r="I229" s="218"/>
      <c r="J229" s="218"/>
      <c r="K229" s="196"/>
      <c r="L229" s="60"/>
      <c r="M229" s="61"/>
      <c r="N229" s="61"/>
      <c r="O229" s="61"/>
    </row>
    <row r="230" spans="1:15" ht="15" customHeight="1">
      <c r="A230" s="218"/>
      <c r="B230" s="218"/>
      <c r="C230" s="218"/>
      <c r="D230" s="218"/>
      <c r="E230" s="218"/>
      <c r="F230" s="218"/>
      <c r="G230" s="218"/>
      <c r="H230" s="218"/>
      <c r="I230" s="218"/>
      <c r="J230" s="218"/>
      <c r="K230" s="196"/>
      <c r="L230" s="60"/>
      <c r="M230" s="61"/>
      <c r="N230" s="61"/>
      <c r="O230" s="61"/>
    </row>
    <row r="231" spans="1:15" ht="15" customHeight="1">
      <c r="A231" s="218"/>
      <c r="B231" s="218"/>
      <c r="C231" s="218"/>
      <c r="D231" s="218"/>
      <c r="E231" s="218"/>
      <c r="F231" s="218"/>
      <c r="G231" s="218"/>
      <c r="H231" s="218"/>
      <c r="I231" s="218"/>
      <c r="J231" s="218"/>
      <c r="K231" s="196"/>
      <c r="L231" s="60"/>
      <c r="M231" s="61"/>
      <c r="N231" s="61"/>
      <c r="O231" s="61"/>
    </row>
    <row r="232" spans="1:15" ht="15" customHeight="1">
      <c r="A232" s="218"/>
      <c r="B232" s="218"/>
      <c r="C232" s="218"/>
      <c r="D232" s="218"/>
      <c r="E232" s="218"/>
      <c r="F232" s="218"/>
      <c r="G232" s="218"/>
      <c r="H232" s="218"/>
      <c r="I232" s="218"/>
      <c r="J232" s="218"/>
      <c r="K232" s="196"/>
      <c r="L232" s="60"/>
      <c r="M232" s="61"/>
      <c r="N232" s="61"/>
      <c r="O232" s="61"/>
    </row>
    <row r="233" spans="1:15" ht="15" customHeight="1">
      <c r="A233" s="218"/>
      <c r="B233" s="218"/>
      <c r="C233" s="218"/>
      <c r="D233" s="218"/>
      <c r="E233" s="218"/>
      <c r="F233" s="218"/>
      <c r="G233" s="218"/>
      <c r="H233" s="218"/>
      <c r="I233" s="218"/>
      <c r="J233" s="218"/>
      <c r="K233" s="196"/>
      <c r="L233" s="60"/>
      <c r="M233" s="61"/>
      <c r="N233" s="61"/>
      <c r="O233" s="61"/>
    </row>
    <row r="234" spans="1:15" ht="15" customHeight="1">
      <c r="A234" s="218"/>
      <c r="B234" s="218"/>
      <c r="C234" s="218"/>
      <c r="D234" s="218"/>
      <c r="E234" s="218"/>
      <c r="F234" s="218"/>
      <c r="G234" s="218"/>
      <c r="H234" s="218"/>
      <c r="I234" s="218"/>
      <c r="J234" s="218"/>
      <c r="K234" s="196"/>
      <c r="L234" s="60"/>
      <c r="M234" s="61"/>
      <c r="N234" s="61"/>
      <c r="O234" s="61"/>
    </row>
    <row r="235" spans="1:15" ht="15" customHeight="1">
      <c r="A235" s="218"/>
      <c r="B235" s="218"/>
      <c r="C235" s="218"/>
      <c r="D235" s="218"/>
      <c r="E235" s="218"/>
      <c r="F235" s="218"/>
      <c r="G235" s="218"/>
      <c r="H235" s="218"/>
      <c r="I235" s="218"/>
      <c r="J235" s="218"/>
      <c r="K235" s="196"/>
      <c r="L235" s="60"/>
      <c r="M235" s="61"/>
      <c r="N235" s="61"/>
      <c r="O235" s="61"/>
    </row>
    <row r="236" spans="1:15" ht="15" customHeight="1">
      <c r="A236" s="218"/>
      <c r="B236" s="218"/>
      <c r="C236" s="218"/>
      <c r="D236" s="218"/>
      <c r="E236" s="218"/>
      <c r="F236" s="218"/>
      <c r="G236" s="218"/>
      <c r="H236" s="218"/>
      <c r="I236" s="218"/>
      <c r="J236" s="218"/>
      <c r="K236" s="196"/>
      <c r="L236" s="60"/>
      <c r="M236" s="61"/>
      <c r="N236" s="61"/>
      <c r="O236" s="61"/>
    </row>
    <row r="237" spans="1:15" ht="15" customHeight="1">
      <c r="A237" s="218"/>
      <c r="B237" s="218"/>
      <c r="C237" s="218"/>
      <c r="D237" s="218"/>
      <c r="E237" s="218"/>
      <c r="F237" s="218"/>
      <c r="G237" s="218"/>
      <c r="H237" s="218"/>
      <c r="I237" s="218"/>
      <c r="J237" s="218"/>
      <c r="K237" s="196"/>
      <c r="L237" s="60"/>
      <c r="M237" s="61"/>
      <c r="N237" s="61"/>
      <c r="O237" s="61"/>
    </row>
    <row r="238" spans="1:15" ht="15" customHeight="1">
      <c r="A238" s="218"/>
      <c r="B238" s="218"/>
      <c r="C238" s="218"/>
      <c r="D238" s="218"/>
      <c r="E238" s="218"/>
      <c r="F238" s="218"/>
      <c r="G238" s="218"/>
      <c r="H238" s="218"/>
      <c r="I238" s="218"/>
      <c r="J238" s="218"/>
      <c r="K238" s="196"/>
      <c r="L238" s="60"/>
      <c r="M238" s="61"/>
      <c r="N238" s="61"/>
      <c r="O238" s="61"/>
    </row>
    <row r="239" spans="1:15" ht="15" customHeight="1">
      <c r="A239" s="218"/>
      <c r="B239" s="218"/>
      <c r="C239" s="218"/>
      <c r="D239" s="218"/>
      <c r="E239" s="218"/>
      <c r="F239" s="218"/>
      <c r="G239" s="218"/>
      <c r="H239" s="218"/>
      <c r="I239" s="218"/>
      <c r="J239" s="218"/>
      <c r="K239" s="196"/>
      <c r="L239" s="60"/>
      <c r="M239" s="61"/>
      <c r="N239" s="61"/>
      <c r="O239" s="61"/>
    </row>
    <row r="240" spans="1:15" ht="15" customHeight="1">
      <c r="A240" s="218"/>
      <c r="B240" s="218"/>
      <c r="C240" s="218"/>
      <c r="D240" s="218"/>
      <c r="E240" s="218"/>
      <c r="F240" s="218"/>
      <c r="G240" s="218"/>
      <c r="H240" s="218"/>
      <c r="I240" s="218"/>
      <c r="J240" s="218"/>
      <c r="K240" s="196"/>
      <c r="L240" s="60"/>
      <c r="M240" s="61"/>
      <c r="N240" s="61"/>
      <c r="O240" s="61"/>
    </row>
    <row r="241" spans="1:15" ht="15" customHeight="1">
      <c r="A241" s="218"/>
      <c r="B241" s="218"/>
      <c r="C241" s="218"/>
      <c r="D241" s="218"/>
      <c r="E241" s="218"/>
      <c r="F241" s="218"/>
      <c r="G241" s="218"/>
      <c r="H241" s="218"/>
      <c r="I241" s="218"/>
      <c r="J241" s="218"/>
      <c r="K241" s="196"/>
      <c r="L241" s="60"/>
      <c r="M241" s="61"/>
      <c r="N241" s="61"/>
      <c r="O241" s="61"/>
    </row>
    <row r="242" spans="1:15" ht="15" customHeight="1">
      <c r="A242" s="218"/>
      <c r="B242" s="218"/>
      <c r="C242" s="218"/>
      <c r="D242" s="218"/>
      <c r="E242" s="218"/>
      <c r="F242" s="218"/>
      <c r="G242" s="218"/>
      <c r="H242" s="218"/>
      <c r="I242" s="218"/>
      <c r="J242" s="218"/>
      <c r="K242" s="196"/>
      <c r="L242" s="60"/>
      <c r="M242" s="61"/>
      <c r="N242" s="61"/>
      <c r="O242" s="61"/>
    </row>
    <row r="243" spans="1:15" ht="15" customHeight="1">
      <c r="A243" s="218"/>
      <c r="B243" s="218"/>
      <c r="C243" s="218"/>
      <c r="D243" s="218"/>
      <c r="E243" s="218"/>
      <c r="F243" s="218"/>
      <c r="G243" s="218"/>
      <c r="H243" s="218"/>
      <c r="I243" s="218"/>
      <c r="J243" s="218"/>
      <c r="K243" s="196"/>
      <c r="L243" s="60"/>
      <c r="M243" s="61"/>
      <c r="N243" s="61"/>
      <c r="O243" s="61"/>
    </row>
    <row r="244" spans="1:15" ht="15" customHeight="1">
      <c r="A244" s="218"/>
      <c r="B244" s="218"/>
      <c r="C244" s="218"/>
      <c r="D244" s="218"/>
      <c r="E244" s="218"/>
      <c r="F244" s="218"/>
      <c r="G244" s="218"/>
      <c r="H244" s="218"/>
      <c r="I244" s="218"/>
      <c r="J244" s="218"/>
      <c r="K244" s="196"/>
      <c r="L244" s="60"/>
      <c r="M244" s="61"/>
      <c r="N244" s="61"/>
      <c r="O244" s="61"/>
    </row>
    <row r="245" spans="1:15" ht="15" customHeight="1">
      <c r="A245" s="218"/>
      <c r="B245" s="218"/>
      <c r="C245" s="218"/>
      <c r="D245" s="218"/>
      <c r="E245" s="218"/>
      <c r="F245" s="218"/>
      <c r="G245" s="218"/>
      <c r="H245" s="218"/>
      <c r="I245" s="218"/>
      <c r="J245" s="218"/>
      <c r="K245" s="196"/>
      <c r="L245" s="60"/>
      <c r="M245" s="61"/>
      <c r="N245" s="61"/>
      <c r="O245" s="61"/>
    </row>
    <row r="246" spans="1:15" ht="15" customHeight="1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196"/>
      <c r="L246" s="60"/>
      <c r="M246" s="61"/>
      <c r="N246" s="61"/>
      <c r="O246" s="61"/>
    </row>
    <row r="247" spans="1:15" ht="15" customHeight="1">
      <c r="A247" s="218"/>
      <c r="B247" s="218"/>
      <c r="C247" s="218"/>
      <c r="D247" s="218"/>
      <c r="E247" s="218"/>
      <c r="F247" s="218"/>
      <c r="G247" s="218"/>
      <c r="H247" s="218"/>
      <c r="I247" s="218"/>
      <c r="J247" s="218"/>
      <c r="K247" s="196"/>
      <c r="L247" s="60"/>
      <c r="M247" s="61"/>
      <c r="N247" s="61"/>
      <c r="O247" s="61"/>
    </row>
    <row r="248" spans="1:15" ht="15" customHeight="1">
      <c r="A248" s="218"/>
      <c r="B248" s="218"/>
      <c r="C248" s="218"/>
      <c r="D248" s="218"/>
      <c r="E248" s="218"/>
      <c r="F248" s="218"/>
      <c r="G248" s="218"/>
      <c r="H248" s="218"/>
      <c r="I248" s="218"/>
      <c r="J248" s="218"/>
      <c r="K248" s="196"/>
      <c r="L248" s="60"/>
      <c r="M248" s="61"/>
      <c r="N248" s="61"/>
      <c r="O248" s="61"/>
    </row>
    <row r="249" spans="1:15" ht="15" customHeight="1">
      <c r="A249" s="218"/>
      <c r="B249" s="218"/>
      <c r="C249" s="218"/>
      <c r="D249" s="218"/>
      <c r="E249" s="218"/>
      <c r="F249" s="218"/>
      <c r="G249" s="218"/>
      <c r="H249" s="218"/>
      <c r="I249" s="218"/>
      <c r="J249" s="218"/>
      <c r="K249" s="196"/>
      <c r="L249" s="221"/>
      <c r="M249" s="61"/>
      <c r="N249" s="61"/>
      <c r="O249" s="61"/>
    </row>
    <row r="250" spans="1:15" ht="15" customHeight="1">
      <c r="A250" s="218"/>
      <c r="B250" s="218"/>
      <c r="C250" s="218"/>
      <c r="D250" s="218"/>
      <c r="E250" s="218"/>
      <c r="F250" s="218"/>
      <c r="G250" s="218"/>
      <c r="H250" s="218"/>
      <c r="I250" s="218"/>
      <c r="J250" s="218"/>
      <c r="K250" s="196"/>
      <c r="L250" s="221"/>
      <c r="M250" s="61"/>
      <c r="N250" s="61"/>
      <c r="O250" s="61"/>
    </row>
    <row r="251" spans="1:15" ht="15" customHeight="1">
      <c r="A251" s="218"/>
      <c r="B251" s="218"/>
      <c r="C251" s="218"/>
      <c r="D251" s="218"/>
      <c r="E251" s="218"/>
      <c r="F251" s="218"/>
      <c r="G251" s="218"/>
      <c r="H251" s="218"/>
      <c r="I251" s="218"/>
      <c r="J251" s="218"/>
      <c r="K251" s="196"/>
      <c r="L251" s="196"/>
      <c r="M251" s="61"/>
      <c r="N251" s="61"/>
      <c r="O251" s="61"/>
    </row>
    <row r="252" spans="1:15" ht="15" customHeight="1">
      <c r="A252" s="218"/>
      <c r="B252" s="218"/>
      <c r="C252" s="218"/>
      <c r="D252" s="218"/>
      <c r="E252" s="218"/>
      <c r="F252" s="218"/>
      <c r="G252" s="218"/>
      <c r="H252" s="218"/>
      <c r="I252" s="218"/>
      <c r="J252" s="218"/>
      <c r="K252" s="196"/>
      <c r="L252" s="221"/>
      <c r="M252" s="61"/>
      <c r="N252" s="61"/>
      <c r="O252" s="61"/>
    </row>
    <row r="253" spans="1:15" ht="15" customHeight="1">
      <c r="A253" s="218"/>
      <c r="B253" s="218"/>
      <c r="C253" s="218"/>
      <c r="D253" s="218"/>
      <c r="E253" s="218"/>
      <c r="F253" s="218"/>
      <c r="G253" s="218"/>
      <c r="H253" s="218"/>
      <c r="I253" s="218"/>
      <c r="J253" s="218"/>
      <c r="K253" s="196"/>
      <c r="L253" s="221"/>
      <c r="M253" s="61"/>
      <c r="N253" s="61"/>
      <c r="O253" s="61"/>
    </row>
    <row r="254" spans="1:15" ht="15" customHeight="1">
      <c r="A254" s="218"/>
      <c r="B254" s="218"/>
      <c r="C254" s="218"/>
      <c r="D254" s="218"/>
      <c r="E254" s="218"/>
      <c r="F254" s="218"/>
      <c r="G254" s="218"/>
      <c r="H254" s="218"/>
      <c r="I254" s="218"/>
      <c r="J254" s="218"/>
      <c r="K254" s="196"/>
      <c r="L254" s="221"/>
      <c r="M254" s="61"/>
      <c r="N254" s="61"/>
      <c r="O254" s="61"/>
    </row>
    <row r="255" spans="1:15" ht="15" customHeight="1">
      <c r="A255" s="218"/>
      <c r="B255" s="218"/>
      <c r="C255" s="218"/>
      <c r="D255" s="218"/>
      <c r="E255" s="218"/>
      <c r="F255" s="218"/>
      <c r="G255" s="218"/>
      <c r="H255" s="218"/>
      <c r="I255" s="218"/>
      <c r="J255" s="218"/>
      <c r="K255" s="196"/>
      <c r="L255" s="221"/>
      <c r="M255" s="61"/>
      <c r="N255" s="61"/>
      <c r="O255" s="61"/>
    </row>
    <row r="256" spans="1:15" ht="15" customHeight="1">
      <c r="A256" s="218"/>
      <c r="B256" s="218"/>
      <c r="C256" s="218"/>
      <c r="D256" s="218"/>
      <c r="E256" s="218"/>
      <c r="F256" s="218"/>
      <c r="G256" s="218"/>
      <c r="H256" s="218"/>
      <c r="I256" s="218"/>
      <c r="J256" s="218"/>
      <c r="K256" s="196"/>
      <c r="L256" s="221"/>
      <c r="M256" s="61"/>
      <c r="N256" s="61"/>
      <c r="O256" s="61"/>
    </row>
    <row r="257" spans="1:15" s="81" customFormat="1" ht="15" customHeight="1">
      <c r="A257" s="218"/>
      <c r="B257" s="218"/>
      <c r="C257" s="218"/>
      <c r="D257" s="218"/>
      <c r="E257" s="218"/>
      <c r="F257" s="218"/>
      <c r="G257" s="218"/>
      <c r="H257" s="218"/>
      <c r="I257" s="218"/>
      <c r="J257" s="218"/>
      <c r="K257" s="196"/>
      <c r="L257" s="221"/>
      <c r="M257" s="80"/>
      <c r="N257" s="80"/>
      <c r="O257" s="80"/>
    </row>
    <row r="258" spans="1:15" ht="15" customHeight="1">
      <c r="A258" s="218"/>
      <c r="B258" s="218"/>
      <c r="C258" s="218"/>
      <c r="D258" s="218"/>
      <c r="E258" s="218"/>
      <c r="F258" s="218"/>
      <c r="G258" s="218"/>
      <c r="H258" s="218"/>
      <c r="I258" s="218"/>
      <c r="J258" s="218"/>
      <c r="K258" s="196"/>
      <c r="L258" s="221"/>
      <c r="M258" s="61"/>
      <c r="N258" s="61"/>
      <c r="O258" s="61"/>
    </row>
    <row r="259" spans="1:15" ht="15" customHeight="1">
      <c r="A259" s="218"/>
      <c r="B259" s="218"/>
      <c r="C259" s="218"/>
      <c r="D259" s="218"/>
      <c r="E259" s="218"/>
      <c r="F259" s="218"/>
      <c r="G259" s="218"/>
      <c r="H259" s="218"/>
      <c r="I259" s="218"/>
      <c r="J259" s="218"/>
      <c r="K259" s="60"/>
      <c r="L259" s="79"/>
      <c r="M259" s="61"/>
      <c r="N259" s="61"/>
      <c r="O259" s="61"/>
    </row>
    <row r="260" spans="1:15" ht="15" customHeight="1">
      <c r="A260" s="218"/>
      <c r="B260" s="218"/>
      <c r="C260" s="218"/>
      <c r="D260" s="218"/>
      <c r="E260" s="218"/>
      <c r="F260" s="218"/>
      <c r="G260" s="218"/>
      <c r="H260" s="218"/>
      <c r="I260" s="218"/>
      <c r="J260" s="218"/>
      <c r="K260" s="60"/>
      <c r="L260" s="79"/>
      <c r="M260" s="61"/>
      <c r="N260" s="61"/>
      <c r="O260" s="61"/>
    </row>
    <row r="261" spans="1:15" ht="15" customHeight="1">
      <c r="A261" s="218"/>
      <c r="B261" s="218"/>
      <c r="C261" s="218"/>
      <c r="D261" s="218"/>
      <c r="E261" s="218"/>
      <c r="F261" s="218"/>
      <c r="G261" s="218"/>
      <c r="H261" s="218"/>
      <c r="I261" s="218"/>
      <c r="J261" s="218"/>
      <c r="K261" s="60"/>
      <c r="L261" s="79"/>
      <c r="M261" s="61"/>
      <c r="N261" s="61"/>
      <c r="O261" s="61"/>
    </row>
    <row r="262" spans="1:15" ht="15" customHeight="1">
      <c r="A262" s="218"/>
      <c r="B262" s="218"/>
      <c r="C262" s="218"/>
      <c r="D262" s="218"/>
      <c r="E262" s="218"/>
      <c r="F262" s="218"/>
      <c r="G262" s="218"/>
      <c r="H262" s="218"/>
      <c r="I262" s="218"/>
      <c r="J262" s="218"/>
      <c r="K262" s="196"/>
      <c r="L262" s="60"/>
      <c r="M262" s="61"/>
      <c r="N262" s="61"/>
      <c r="O262" s="61"/>
    </row>
    <row r="263" spans="1:15" ht="15" customHeight="1">
      <c r="A263" s="218"/>
      <c r="B263" s="218"/>
      <c r="C263" s="218"/>
      <c r="D263" s="218"/>
      <c r="E263" s="218"/>
      <c r="F263" s="218"/>
      <c r="G263" s="218"/>
      <c r="H263" s="218"/>
      <c r="I263" s="218"/>
      <c r="J263" s="218"/>
      <c r="K263" s="196"/>
      <c r="L263" s="60"/>
      <c r="M263" s="61"/>
      <c r="N263" s="61"/>
      <c r="O263" s="61"/>
    </row>
    <row r="264" spans="1:15" ht="15" customHeight="1">
      <c r="A264" s="218"/>
      <c r="B264" s="218"/>
      <c r="C264" s="218"/>
      <c r="D264" s="218"/>
      <c r="E264" s="218"/>
      <c r="F264" s="218"/>
      <c r="G264" s="218"/>
      <c r="H264" s="218"/>
      <c r="I264" s="218"/>
      <c r="J264" s="218"/>
      <c r="K264" s="196"/>
      <c r="L264" s="222"/>
      <c r="M264" s="61"/>
      <c r="N264" s="61"/>
      <c r="O264" s="61"/>
    </row>
    <row r="265" spans="1:15" ht="15" customHeight="1">
      <c r="A265" s="218"/>
      <c r="B265" s="218"/>
      <c r="C265" s="218"/>
      <c r="D265" s="218"/>
      <c r="E265" s="218"/>
      <c r="F265" s="218"/>
      <c r="G265" s="218"/>
      <c r="H265" s="218"/>
      <c r="I265" s="218"/>
      <c r="J265" s="218"/>
      <c r="K265" s="196"/>
      <c r="L265" s="222"/>
      <c r="M265" s="61"/>
      <c r="N265" s="61"/>
      <c r="O265" s="61"/>
    </row>
    <row r="266" spans="1:15" ht="15" customHeight="1">
      <c r="A266" s="218"/>
      <c r="B266" s="218"/>
      <c r="C266" s="218"/>
      <c r="D266" s="218"/>
      <c r="E266" s="218"/>
      <c r="F266" s="218"/>
      <c r="G266" s="218"/>
      <c r="H266" s="218"/>
      <c r="I266" s="218"/>
      <c r="J266" s="218"/>
      <c r="K266" s="60"/>
      <c r="L266" s="79"/>
      <c r="M266" s="61"/>
      <c r="N266" s="61"/>
      <c r="O266" s="61"/>
    </row>
    <row r="267" spans="1:15" ht="15" customHeight="1">
      <c r="A267" s="218"/>
      <c r="B267" s="218"/>
      <c r="C267" s="218"/>
      <c r="D267" s="218"/>
      <c r="E267" s="218"/>
      <c r="F267" s="218"/>
      <c r="G267" s="218"/>
      <c r="H267" s="218"/>
      <c r="I267" s="218"/>
      <c r="J267" s="218"/>
      <c r="K267" s="196"/>
      <c r="L267" s="223"/>
      <c r="M267" s="61"/>
      <c r="N267" s="61"/>
      <c r="O267" s="61"/>
    </row>
    <row r="268" spans="1:19" ht="15" customHeight="1">
      <c r="A268" s="218"/>
      <c r="B268" s="218"/>
      <c r="C268" s="218"/>
      <c r="D268" s="218"/>
      <c r="E268" s="218"/>
      <c r="F268" s="218"/>
      <c r="G268" s="218"/>
      <c r="H268" s="218"/>
      <c r="I268" s="218"/>
      <c r="J268" s="218"/>
      <c r="K268" s="60"/>
      <c r="L268"/>
      <c r="M268"/>
      <c r="N268"/>
      <c r="O268"/>
      <c r="P268"/>
      <c r="Q268"/>
      <c r="R268"/>
      <c r="S268"/>
    </row>
    <row r="269" spans="1:19" ht="15" customHeight="1">
      <c r="A269" s="218"/>
      <c r="B269" s="218"/>
      <c r="C269" s="218"/>
      <c r="D269" s="218"/>
      <c r="E269" s="218"/>
      <c r="F269" s="218"/>
      <c r="G269" s="218"/>
      <c r="H269" s="218"/>
      <c r="I269" s="218"/>
      <c r="J269" s="218"/>
      <c r="K269" s="60"/>
      <c r="L269"/>
      <c r="M269"/>
      <c r="N269"/>
      <c r="O269"/>
      <c r="P269"/>
      <c r="Q269"/>
      <c r="R269"/>
      <c r="S269"/>
    </row>
    <row r="270" spans="1:19" ht="15" customHeight="1">
      <c r="A270" s="218"/>
      <c r="B270" s="218"/>
      <c r="C270" s="218"/>
      <c r="D270" s="218"/>
      <c r="E270" s="218"/>
      <c r="F270" s="218"/>
      <c r="G270" s="218"/>
      <c r="H270" s="218"/>
      <c r="I270" s="218"/>
      <c r="J270" s="218"/>
      <c r="K270" s="60"/>
      <c r="L270"/>
      <c r="M270"/>
      <c r="N270"/>
      <c r="O270"/>
      <c r="P270"/>
      <c r="Q270"/>
      <c r="R270"/>
      <c r="S270"/>
    </row>
    <row r="271" spans="1:19" ht="15" customHeight="1">
      <c r="A271" s="218"/>
      <c r="B271" s="218"/>
      <c r="C271" s="218"/>
      <c r="D271" s="218"/>
      <c r="E271" s="218"/>
      <c r="F271" s="218"/>
      <c r="G271" s="218"/>
      <c r="H271" s="218"/>
      <c r="I271" s="218"/>
      <c r="J271" s="218"/>
      <c r="K271" s="60"/>
      <c r="L271"/>
      <c r="M271"/>
      <c r="N271"/>
      <c r="O271"/>
      <c r="P271"/>
      <c r="Q271"/>
      <c r="R271"/>
      <c r="S271"/>
    </row>
    <row r="272" spans="1:19" ht="15" customHeight="1">
      <c r="A272" s="218"/>
      <c r="B272" s="218"/>
      <c r="C272" s="218"/>
      <c r="D272" s="218"/>
      <c r="E272" s="218"/>
      <c r="F272" s="218"/>
      <c r="G272" s="218"/>
      <c r="H272" s="218"/>
      <c r="I272" s="218"/>
      <c r="J272" s="218"/>
      <c r="K272" s="60"/>
      <c r="L272"/>
      <c r="M272"/>
      <c r="N272"/>
      <c r="O272"/>
      <c r="P272"/>
      <c r="Q272"/>
      <c r="R272"/>
      <c r="S272"/>
    </row>
    <row r="273" spans="1:19" ht="15" customHeight="1">
      <c r="A273" s="218"/>
      <c r="B273" s="218"/>
      <c r="C273" s="218"/>
      <c r="D273" s="218"/>
      <c r="E273" s="218"/>
      <c r="F273" s="218"/>
      <c r="G273" s="218"/>
      <c r="H273" s="218"/>
      <c r="I273" s="218"/>
      <c r="J273" s="218"/>
      <c r="K273" s="221"/>
      <c r="L273"/>
      <c r="M273"/>
      <c r="N273"/>
      <c r="O273"/>
      <c r="P273"/>
      <c r="Q273"/>
      <c r="R273"/>
      <c r="S273"/>
    </row>
    <row r="274" spans="1:19" ht="15" customHeight="1">
      <c r="A274" s="218"/>
      <c r="B274" s="218"/>
      <c r="C274" s="218"/>
      <c r="D274" s="218"/>
      <c r="E274" s="218"/>
      <c r="F274" s="218"/>
      <c r="G274" s="218"/>
      <c r="H274" s="218"/>
      <c r="I274" s="218"/>
      <c r="J274" s="218"/>
      <c r="K274" s="221"/>
      <c r="L274"/>
      <c r="M274"/>
      <c r="N274"/>
      <c r="O274"/>
      <c r="P274"/>
      <c r="Q274"/>
      <c r="R274"/>
      <c r="S274"/>
    </row>
    <row r="275" spans="1:15" ht="15" customHeight="1">
      <c r="A275" s="218"/>
      <c r="B275" s="218"/>
      <c r="C275" s="218"/>
      <c r="D275" s="218"/>
      <c r="E275" s="218"/>
      <c r="F275" s="218"/>
      <c r="G275" s="218"/>
      <c r="H275" s="218"/>
      <c r="I275" s="218"/>
      <c r="J275" s="218"/>
      <c r="K275" s="221"/>
      <c r="L275" s="60"/>
      <c r="M275" s="61"/>
      <c r="N275" s="61"/>
      <c r="O275" s="61"/>
    </row>
    <row r="276" spans="1:15" ht="15" customHeight="1">
      <c r="A276" s="218"/>
      <c r="B276" s="218"/>
      <c r="C276" s="218"/>
      <c r="D276" s="218"/>
      <c r="E276" s="218"/>
      <c r="F276" s="218"/>
      <c r="G276" s="218"/>
      <c r="H276" s="218"/>
      <c r="I276" s="218"/>
      <c r="J276" s="218"/>
      <c r="K276" s="221"/>
      <c r="L276" s="60"/>
      <c r="M276" s="61"/>
      <c r="N276" s="61"/>
      <c r="O276" s="61"/>
    </row>
    <row r="277" spans="1:15" ht="15" customHeight="1">
      <c r="A277" s="218"/>
      <c r="B277" s="218"/>
      <c r="C277" s="218"/>
      <c r="D277" s="218"/>
      <c r="E277" s="218"/>
      <c r="F277" s="218"/>
      <c r="G277" s="218"/>
      <c r="H277" s="218"/>
      <c r="I277" s="218"/>
      <c r="J277" s="218"/>
      <c r="K277" s="60"/>
      <c r="L277" s="79"/>
      <c r="M277" s="61"/>
      <c r="N277" s="61"/>
      <c r="O277" s="61"/>
    </row>
    <row r="278" spans="1:15" s="225" customFormat="1" ht="15" customHeight="1">
      <c r="A278" s="218"/>
      <c r="B278" s="218"/>
      <c r="C278" s="218"/>
      <c r="D278" s="218"/>
      <c r="E278" s="218"/>
      <c r="F278" s="218"/>
      <c r="G278" s="218"/>
      <c r="H278" s="218"/>
      <c r="I278" s="218"/>
      <c r="J278" s="218"/>
      <c r="K278" s="60"/>
      <c r="L278" s="79"/>
      <c r="M278" s="224"/>
      <c r="N278" s="224"/>
      <c r="O278" s="224"/>
    </row>
    <row r="279" spans="1:15" s="81" customFormat="1" ht="15" customHeight="1">
      <c r="A279" s="218"/>
      <c r="B279" s="218"/>
      <c r="C279" s="218"/>
      <c r="D279" s="218"/>
      <c r="E279" s="218"/>
      <c r="F279" s="218"/>
      <c r="G279" s="218"/>
      <c r="H279" s="218"/>
      <c r="I279" s="218"/>
      <c r="J279" s="218"/>
      <c r="K279" s="60"/>
      <c r="L279" s="79"/>
      <c r="M279" s="80"/>
      <c r="N279" s="80"/>
      <c r="O279" s="80"/>
    </row>
    <row r="280" spans="1:15" ht="15" customHeight="1">
      <c r="A280" s="218"/>
      <c r="B280" s="218"/>
      <c r="C280" s="218"/>
      <c r="D280" s="218"/>
      <c r="E280" s="218"/>
      <c r="F280" s="218"/>
      <c r="G280" s="218"/>
      <c r="H280" s="218"/>
      <c r="I280" s="218"/>
      <c r="J280" s="218"/>
      <c r="K280" s="60"/>
      <c r="L280" s="79"/>
      <c r="M280" s="61"/>
      <c r="N280" s="61"/>
      <c r="O280" s="61"/>
    </row>
    <row r="281" spans="1:15" ht="15" customHeight="1">
      <c r="A281" s="218"/>
      <c r="B281" s="218"/>
      <c r="C281" s="218"/>
      <c r="D281" s="218"/>
      <c r="E281" s="218"/>
      <c r="F281" s="218"/>
      <c r="G281" s="218"/>
      <c r="H281" s="218"/>
      <c r="I281" s="218"/>
      <c r="J281" s="218"/>
      <c r="K281" s="60"/>
      <c r="L281" s="79"/>
      <c r="M281" s="61"/>
      <c r="N281" s="61"/>
      <c r="O281" s="61"/>
    </row>
    <row r="282" spans="1:15" ht="15" customHeight="1">
      <c r="A282" s="218"/>
      <c r="B282" s="218"/>
      <c r="C282" s="218"/>
      <c r="D282" s="218"/>
      <c r="E282" s="218"/>
      <c r="F282" s="218"/>
      <c r="G282" s="218"/>
      <c r="H282" s="218"/>
      <c r="I282" s="218"/>
      <c r="J282" s="218"/>
      <c r="K282" s="60"/>
      <c r="L282" s="79"/>
      <c r="M282" s="61"/>
      <c r="N282" s="61"/>
      <c r="O282" s="61"/>
    </row>
    <row r="283" spans="1:15" ht="15" customHeight="1">
      <c r="A283" s="218"/>
      <c r="B283" s="218"/>
      <c r="C283" s="218"/>
      <c r="D283" s="218"/>
      <c r="E283" s="218"/>
      <c r="F283" s="218"/>
      <c r="G283" s="218"/>
      <c r="H283" s="218"/>
      <c r="I283" s="218"/>
      <c r="J283" s="218"/>
      <c r="K283" s="226"/>
      <c r="L283" s="227"/>
      <c r="M283" s="61"/>
      <c r="N283" s="61"/>
      <c r="O283" s="61"/>
    </row>
    <row r="284" spans="1:15" ht="15" customHeight="1">
      <c r="A284" s="218"/>
      <c r="B284" s="218"/>
      <c r="C284" s="218"/>
      <c r="D284" s="218"/>
      <c r="E284" s="218"/>
      <c r="F284" s="218"/>
      <c r="G284" s="218"/>
      <c r="H284" s="218"/>
      <c r="I284" s="218"/>
      <c r="J284" s="218"/>
      <c r="K284" s="226"/>
      <c r="L284" s="227"/>
      <c r="M284" s="61"/>
      <c r="N284" s="61"/>
      <c r="O284" s="61"/>
    </row>
    <row r="285" spans="1:15" ht="15" customHeight="1">
      <c r="A285" s="218"/>
      <c r="B285" s="218"/>
      <c r="C285" s="218"/>
      <c r="D285" s="218"/>
      <c r="E285" s="218"/>
      <c r="F285" s="218"/>
      <c r="G285" s="218"/>
      <c r="H285" s="218"/>
      <c r="I285" s="218"/>
      <c r="J285" s="218"/>
      <c r="K285" s="226"/>
      <c r="L285" s="227"/>
      <c r="M285" s="61"/>
      <c r="N285" s="61"/>
      <c r="O285" s="61"/>
    </row>
    <row r="286" spans="1:15" ht="15" customHeight="1">
      <c r="A286" s="218"/>
      <c r="B286" s="218"/>
      <c r="C286" s="218"/>
      <c r="D286" s="218"/>
      <c r="E286" s="218"/>
      <c r="F286" s="218"/>
      <c r="G286" s="218"/>
      <c r="H286" s="218"/>
      <c r="I286" s="218"/>
      <c r="J286" s="218"/>
      <c r="K286" s="226"/>
      <c r="L286" s="227"/>
      <c r="M286" s="61"/>
      <c r="N286" s="61"/>
      <c r="O286" s="61"/>
    </row>
    <row r="287" spans="1:15" ht="15" customHeight="1">
      <c r="A287" s="218"/>
      <c r="B287" s="218"/>
      <c r="C287" s="218"/>
      <c r="D287" s="218"/>
      <c r="E287" s="218"/>
      <c r="F287" s="218"/>
      <c r="G287" s="218"/>
      <c r="H287" s="218"/>
      <c r="I287" s="218"/>
      <c r="J287" s="218"/>
      <c r="K287" s="226"/>
      <c r="L287" s="227"/>
      <c r="M287" s="61"/>
      <c r="N287" s="61"/>
      <c r="O287" s="61"/>
    </row>
    <row r="288" spans="1:15" ht="15" customHeight="1">
      <c r="A288" s="218"/>
      <c r="B288" s="218"/>
      <c r="C288" s="218"/>
      <c r="D288" s="218"/>
      <c r="E288" s="218"/>
      <c r="F288" s="218"/>
      <c r="G288" s="218"/>
      <c r="H288" s="218"/>
      <c r="I288" s="218"/>
      <c r="J288" s="218"/>
      <c r="K288" s="226"/>
      <c r="L288" s="227"/>
      <c r="M288" s="61"/>
      <c r="N288" s="61"/>
      <c r="O288" s="61"/>
    </row>
    <row r="289" spans="1:15" ht="15" customHeight="1">
      <c r="A289" s="218"/>
      <c r="B289" s="218"/>
      <c r="C289" s="218"/>
      <c r="D289" s="218"/>
      <c r="E289" s="218"/>
      <c r="F289" s="218"/>
      <c r="G289" s="218"/>
      <c r="H289" s="218"/>
      <c r="I289" s="218"/>
      <c r="J289" s="218"/>
      <c r="K289" s="228"/>
      <c r="L289" s="229"/>
      <c r="M289" s="61"/>
      <c r="N289" s="61"/>
      <c r="O289" s="61"/>
    </row>
    <row r="290" spans="1:15" ht="15" customHeight="1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  <c r="K290" s="228"/>
      <c r="L290" s="229"/>
      <c r="M290" s="61"/>
      <c r="N290" s="61"/>
      <c r="O290" s="61"/>
    </row>
    <row r="291" spans="1:15" ht="15" customHeight="1">
      <c r="A291" s="218"/>
      <c r="B291" s="218"/>
      <c r="C291" s="218"/>
      <c r="D291" s="218"/>
      <c r="E291" s="218"/>
      <c r="F291" s="218"/>
      <c r="G291" s="218"/>
      <c r="H291" s="218"/>
      <c r="I291" s="218"/>
      <c r="J291" s="218"/>
      <c r="K291" s="228"/>
      <c r="L291" s="229"/>
      <c r="M291" s="61"/>
      <c r="N291" s="61"/>
      <c r="O291" s="61"/>
    </row>
    <row r="292" spans="1:15" ht="15" customHeight="1">
      <c r="A292" s="218"/>
      <c r="B292" s="218"/>
      <c r="C292" s="218"/>
      <c r="D292" s="218"/>
      <c r="E292" s="218"/>
      <c r="F292" s="218"/>
      <c r="G292" s="218"/>
      <c r="H292" s="218"/>
      <c r="I292" s="218"/>
      <c r="J292" s="218"/>
      <c r="K292" s="228"/>
      <c r="L292" s="229"/>
      <c r="M292" s="61"/>
      <c r="N292" s="61"/>
      <c r="O292" s="61"/>
    </row>
    <row r="293" spans="1:15" ht="15" customHeight="1">
      <c r="A293" s="218"/>
      <c r="B293" s="218"/>
      <c r="C293" s="218"/>
      <c r="D293" s="218"/>
      <c r="E293" s="218"/>
      <c r="F293" s="218"/>
      <c r="G293" s="218"/>
      <c r="H293" s="218"/>
      <c r="I293" s="218"/>
      <c r="J293" s="218"/>
      <c r="K293" s="228"/>
      <c r="L293" s="229"/>
      <c r="M293" s="61"/>
      <c r="N293" s="61"/>
      <c r="O293" s="61"/>
    </row>
    <row r="294" spans="1:15" ht="15" customHeight="1">
      <c r="A294" s="218"/>
      <c r="B294" s="218"/>
      <c r="C294" s="218"/>
      <c r="D294" s="218"/>
      <c r="E294" s="218"/>
      <c r="F294" s="218"/>
      <c r="G294" s="218"/>
      <c r="H294" s="218"/>
      <c r="I294" s="218"/>
      <c r="J294" s="218"/>
      <c r="K294" s="228"/>
      <c r="L294" s="229"/>
      <c r="M294" s="61"/>
      <c r="N294" s="61"/>
      <c r="O294" s="61"/>
    </row>
    <row r="295" spans="1:15" ht="15" customHeight="1">
      <c r="A295" s="218"/>
      <c r="B295" s="218"/>
      <c r="C295" s="218"/>
      <c r="D295" s="218"/>
      <c r="E295" s="218"/>
      <c r="F295" s="218"/>
      <c r="G295" s="218"/>
      <c r="H295" s="218"/>
      <c r="I295" s="218"/>
      <c r="J295" s="218"/>
      <c r="K295" s="228"/>
      <c r="L295" s="229"/>
      <c r="M295" s="61"/>
      <c r="N295" s="61"/>
      <c r="O295" s="61"/>
    </row>
    <row r="296" spans="1:15" ht="15" customHeight="1">
      <c r="A296" s="218"/>
      <c r="B296" s="218"/>
      <c r="C296" s="218"/>
      <c r="D296" s="218"/>
      <c r="E296" s="218"/>
      <c r="F296" s="218"/>
      <c r="G296" s="218"/>
      <c r="H296" s="218"/>
      <c r="I296" s="218"/>
      <c r="J296" s="218"/>
      <c r="K296" s="228"/>
      <c r="L296" s="229"/>
      <c r="M296" s="61"/>
      <c r="N296" s="61"/>
      <c r="O296" s="61"/>
    </row>
    <row r="297" spans="1:15" ht="15" customHeight="1">
      <c r="A297" s="218"/>
      <c r="B297" s="218"/>
      <c r="C297" s="218"/>
      <c r="D297" s="218"/>
      <c r="E297" s="218"/>
      <c r="F297" s="218"/>
      <c r="G297" s="218"/>
      <c r="H297" s="218"/>
      <c r="I297" s="218"/>
      <c r="J297" s="218"/>
      <c r="K297" s="228"/>
      <c r="L297" s="229"/>
      <c r="M297" s="61"/>
      <c r="N297" s="61"/>
      <c r="O297" s="61"/>
    </row>
    <row r="298" spans="1:15" ht="15" customHeight="1">
      <c r="A298" s="218"/>
      <c r="B298" s="218"/>
      <c r="C298" s="218"/>
      <c r="D298" s="218"/>
      <c r="E298" s="218"/>
      <c r="F298" s="218"/>
      <c r="G298" s="218"/>
      <c r="H298" s="218"/>
      <c r="I298" s="218"/>
      <c r="J298" s="218"/>
      <c r="K298" s="228"/>
      <c r="L298" s="229"/>
      <c r="M298" s="61"/>
      <c r="N298" s="61"/>
      <c r="O298" s="61"/>
    </row>
    <row r="299" spans="1:15" ht="15" customHeight="1">
      <c r="A299" s="218"/>
      <c r="B299" s="218"/>
      <c r="C299" s="218"/>
      <c r="D299" s="218"/>
      <c r="E299" s="218"/>
      <c r="F299" s="218"/>
      <c r="G299" s="218"/>
      <c r="H299" s="218"/>
      <c r="I299" s="218"/>
      <c r="J299" s="218"/>
      <c r="K299" s="228"/>
      <c r="L299" s="229"/>
      <c r="M299" s="61"/>
      <c r="N299" s="61"/>
      <c r="O299" s="61"/>
    </row>
    <row r="300" spans="1:15" ht="15" customHeight="1">
      <c r="A300" s="218"/>
      <c r="B300" s="218"/>
      <c r="C300" s="218"/>
      <c r="D300" s="218"/>
      <c r="E300" s="218"/>
      <c r="F300" s="218"/>
      <c r="G300" s="218"/>
      <c r="H300" s="218"/>
      <c r="I300" s="218"/>
      <c r="J300" s="218"/>
      <c r="K300" s="228"/>
      <c r="L300" s="229"/>
      <c r="M300" s="61"/>
      <c r="N300" s="61"/>
      <c r="O300" s="61"/>
    </row>
    <row r="301" spans="1:15" ht="15" customHeight="1">
      <c r="A301" s="218"/>
      <c r="B301" s="218"/>
      <c r="C301" s="218"/>
      <c r="D301" s="218"/>
      <c r="E301" s="218"/>
      <c r="F301" s="218"/>
      <c r="G301" s="218"/>
      <c r="H301" s="218"/>
      <c r="I301" s="218"/>
      <c r="J301" s="218"/>
      <c r="K301" s="228"/>
      <c r="L301" s="229"/>
      <c r="M301" s="61"/>
      <c r="N301" s="61"/>
      <c r="O301" s="61"/>
    </row>
    <row r="302" spans="1:15" ht="15" customHeight="1">
      <c r="A302" s="218"/>
      <c r="B302" s="218"/>
      <c r="C302" s="218"/>
      <c r="D302" s="218"/>
      <c r="E302" s="218"/>
      <c r="F302" s="218"/>
      <c r="G302" s="218"/>
      <c r="H302" s="218"/>
      <c r="I302" s="218"/>
      <c r="J302" s="218"/>
      <c r="K302" s="228"/>
      <c r="L302" s="229"/>
      <c r="M302" s="61"/>
      <c r="N302" s="61"/>
      <c r="O302" s="61"/>
    </row>
    <row r="303" spans="1:15" s="81" customFormat="1" ht="15" customHeight="1">
      <c r="A303" s="218"/>
      <c r="B303" s="218"/>
      <c r="C303" s="218"/>
      <c r="D303" s="218"/>
      <c r="E303" s="218"/>
      <c r="F303" s="218"/>
      <c r="G303" s="218"/>
      <c r="H303" s="218"/>
      <c r="I303" s="218"/>
      <c r="J303" s="218"/>
      <c r="K303" s="228"/>
      <c r="L303" s="229"/>
      <c r="M303" s="80"/>
      <c r="N303" s="80"/>
      <c r="O303" s="80"/>
    </row>
    <row r="304" spans="1:15" s="81" customFormat="1" ht="15" customHeight="1">
      <c r="A304" s="218"/>
      <c r="B304" s="218"/>
      <c r="C304" s="218"/>
      <c r="D304" s="218"/>
      <c r="E304" s="218"/>
      <c r="F304" s="218"/>
      <c r="G304" s="218"/>
      <c r="H304" s="218"/>
      <c r="I304" s="218"/>
      <c r="J304" s="218"/>
      <c r="K304" s="228"/>
      <c r="L304" s="229"/>
      <c r="M304" s="80"/>
      <c r="N304" s="80"/>
      <c r="O304" s="80"/>
    </row>
    <row r="305" spans="1:15" ht="15" customHeight="1">
      <c r="A305" s="218"/>
      <c r="B305" s="218"/>
      <c r="C305" s="218"/>
      <c r="D305" s="218"/>
      <c r="E305" s="218"/>
      <c r="F305" s="218"/>
      <c r="G305" s="218"/>
      <c r="H305" s="218"/>
      <c r="I305" s="218"/>
      <c r="J305" s="218"/>
      <c r="K305" s="228"/>
      <c r="L305" s="229"/>
      <c r="M305" s="61"/>
      <c r="N305" s="61"/>
      <c r="O305" s="61"/>
    </row>
    <row r="306" spans="1:15" ht="15" customHeight="1">
      <c r="A306" s="218"/>
      <c r="B306" s="218"/>
      <c r="C306" s="218"/>
      <c r="D306" s="218"/>
      <c r="E306" s="218"/>
      <c r="F306" s="218"/>
      <c r="G306" s="218"/>
      <c r="H306" s="218"/>
      <c r="I306" s="218"/>
      <c r="J306" s="218"/>
      <c r="K306" s="228"/>
      <c r="L306" s="229"/>
      <c r="M306" s="61"/>
      <c r="N306" s="61"/>
      <c r="O306" s="61"/>
    </row>
    <row r="307" spans="1:15" ht="15" customHeight="1">
      <c r="A307" s="218"/>
      <c r="B307" s="218"/>
      <c r="C307" s="218"/>
      <c r="D307" s="218"/>
      <c r="E307" s="218"/>
      <c r="F307" s="218"/>
      <c r="G307" s="218"/>
      <c r="H307" s="218"/>
      <c r="I307" s="218"/>
      <c r="J307" s="218"/>
      <c r="K307" s="228"/>
      <c r="L307" s="229"/>
      <c r="M307" s="61"/>
      <c r="N307" s="61"/>
      <c r="O307" s="61"/>
    </row>
    <row r="308" spans="1:15" ht="15" customHeight="1">
      <c r="A308" s="218"/>
      <c r="B308" s="218"/>
      <c r="C308" s="218"/>
      <c r="D308" s="218"/>
      <c r="E308" s="218"/>
      <c r="F308" s="218"/>
      <c r="G308" s="218"/>
      <c r="H308" s="218"/>
      <c r="I308" s="218"/>
      <c r="J308" s="218"/>
      <c r="K308" s="196"/>
      <c r="L308" s="81"/>
      <c r="M308" s="61"/>
      <c r="N308" s="61"/>
      <c r="O308" s="61"/>
    </row>
    <row r="309" spans="1:15" ht="15" customHeight="1">
      <c r="A309" s="218"/>
      <c r="B309" s="218"/>
      <c r="C309" s="218"/>
      <c r="D309" s="218"/>
      <c r="E309" s="218"/>
      <c r="F309" s="218"/>
      <c r="G309" s="218"/>
      <c r="H309" s="218"/>
      <c r="I309" s="218"/>
      <c r="J309" s="218"/>
      <c r="K309" s="196"/>
      <c r="L309" s="81"/>
      <c r="M309" s="61"/>
      <c r="N309" s="61"/>
      <c r="O309" s="61"/>
    </row>
    <row r="310" spans="1:15" ht="15" customHeight="1">
      <c r="A310" s="218"/>
      <c r="B310" s="218"/>
      <c r="C310" s="218"/>
      <c r="D310" s="218"/>
      <c r="E310" s="218"/>
      <c r="F310" s="218"/>
      <c r="G310" s="218"/>
      <c r="H310" s="218"/>
      <c r="I310" s="218"/>
      <c r="J310" s="218"/>
      <c r="K310" s="196"/>
      <c r="L310" s="81"/>
      <c r="M310" s="61"/>
      <c r="N310" s="61"/>
      <c r="O310" s="61"/>
    </row>
    <row r="311" spans="1:15" ht="15" customHeight="1">
      <c r="A311" s="218"/>
      <c r="B311" s="218"/>
      <c r="C311" s="218"/>
      <c r="D311" s="218"/>
      <c r="E311" s="218"/>
      <c r="F311" s="218"/>
      <c r="G311" s="218"/>
      <c r="H311" s="218"/>
      <c r="I311" s="218"/>
      <c r="J311" s="218"/>
      <c r="K311" s="228"/>
      <c r="L311" s="230"/>
      <c r="M311" s="61"/>
      <c r="N311" s="61"/>
      <c r="O311" s="61"/>
    </row>
    <row r="312" spans="1:15" ht="15" customHeight="1">
      <c r="A312" s="218"/>
      <c r="B312" s="218"/>
      <c r="C312" s="218"/>
      <c r="D312" s="218"/>
      <c r="E312" s="218"/>
      <c r="F312" s="218"/>
      <c r="G312" s="218"/>
      <c r="H312" s="218"/>
      <c r="I312" s="218"/>
      <c r="J312" s="218"/>
      <c r="K312" s="228"/>
      <c r="L312" s="230"/>
      <c r="M312" s="61"/>
      <c r="N312" s="61"/>
      <c r="O312" s="61"/>
    </row>
    <row r="313" spans="1:15" ht="15" customHeight="1">
      <c r="A313" s="218"/>
      <c r="B313" s="218"/>
      <c r="C313" s="218"/>
      <c r="D313" s="218"/>
      <c r="E313" s="218"/>
      <c r="F313" s="218"/>
      <c r="G313" s="218"/>
      <c r="H313" s="218"/>
      <c r="I313" s="218"/>
      <c r="J313" s="218"/>
      <c r="K313" s="228"/>
      <c r="L313" s="230"/>
      <c r="M313" s="61"/>
      <c r="N313" s="61"/>
      <c r="O313" s="61"/>
    </row>
    <row r="314" spans="1:15" ht="15" customHeight="1">
      <c r="A314" s="218"/>
      <c r="B314" s="218"/>
      <c r="C314" s="218"/>
      <c r="D314" s="218"/>
      <c r="E314" s="218"/>
      <c r="F314" s="218"/>
      <c r="G314" s="218"/>
      <c r="H314" s="218"/>
      <c r="I314" s="218"/>
      <c r="J314" s="218"/>
      <c r="K314" s="228"/>
      <c r="L314" s="230"/>
      <c r="M314" s="61"/>
      <c r="N314" s="61"/>
      <c r="O314" s="61"/>
    </row>
    <row r="315" spans="1:15" ht="15" customHeight="1">
      <c r="A315" s="218"/>
      <c r="B315" s="218"/>
      <c r="C315" s="218"/>
      <c r="D315" s="218"/>
      <c r="E315" s="218"/>
      <c r="F315" s="218"/>
      <c r="G315" s="218"/>
      <c r="H315" s="218"/>
      <c r="I315" s="218"/>
      <c r="J315" s="218"/>
      <c r="K315" s="60"/>
      <c r="L315" s="79"/>
      <c r="M315" s="61"/>
      <c r="N315" s="61"/>
      <c r="O315" s="61"/>
    </row>
    <row r="316" spans="1:15" ht="15" customHeight="1">
      <c r="A316" s="218"/>
      <c r="B316" s="218"/>
      <c r="C316" s="218"/>
      <c r="D316" s="218"/>
      <c r="E316" s="218"/>
      <c r="F316" s="218"/>
      <c r="G316" s="218"/>
      <c r="H316" s="218"/>
      <c r="I316" s="218"/>
      <c r="J316" s="218"/>
      <c r="K316" s="60"/>
      <c r="L316" s="79"/>
      <c r="M316" s="61"/>
      <c r="N316" s="61"/>
      <c r="O316" s="61"/>
    </row>
    <row r="317" spans="1:15" ht="15" customHeight="1">
      <c r="A317" s="218"/>
      <c r="B317" s="218"/>
      <c r="C317" s="218"/>
      <c r="D317" s="218"/>
      <c r="E317" s="218"/>
      <c r="F317" s="218"/>
      <c r="G317" s="218"/>
      <c r="H317" s="218"/>
      <c r="I317" s="218"/>
      <c r="J317" s="218"/>
      <c r="K317" s="79"/>
      <c r="L317" s="79"/>
      <c r="M317" s="80"/>
      <c r="N317" s="80"/>
      <c r="O317" s="80"/>
    </row>
    <row r="318" spans="1:15" ht="15" customHeight="1">
      <c r="A318" s="218"/>
      <c r="B318" s="218"/>
      <c r="C318" s="218"/>
      <c r="D318" s="218"/>
      <c r="E318" s="218"/>
      <c r="F318" s="218"/>
      <c r="G318" s="218"/>
      <c r="H318" s="218"/>
      <c r="I318" s="218"/>
      <c r="J318" s="218"/>
      <c r="K318" s="60"/>
      <c r="L318" s="79"/>
      <c r="M318" s="61"/>
      <c r="N318" s="61"/>
      <c r="O318" s="61"/>
    </row>
    <row r="319" spans="1:15" ht="15" customHeight="1">
      <c r="A319" s="218"/>
      <c r="B319" s="218"/>
      <c r="C319" s="218"/>
      <c r="D319" s="218"/>
      <c r="E319" s="218"/>
      <c r="F319" s="218"/>
      <c r="G319" s="218"/>
      <c r="H319" s="218"/>
      <c r="I319" s="218"/>
      <c r="J319" s="218"/>
      <c r="K319" s="60"/>
      <c r="L319" s="79"/>
      <c r="M319" s="61"/>
      <c r="N319" s="61"/>
      <c r="O319" s="61"/>
    </row>
    <row r="320" spans="1:15" ht="15" customHeight="1">
      <c r="A320" s="218"/>
      <c r="B320" s="218"/>
      <c r="C320" s="218"/>
      <c r="D320" s="218"/>
      <c r="E320" s="218"/>
      <c r="F320" s="218"/>
      <c r="G320" s="218"/>
      <c r="H320" s="218"/>
      <c r="I320" s="218"/>
      <c r="J320" s="218"/>
      <c r="K320" s="60"/>
      <c r="L320" s="79"/>
      <c r="M320" s="61"/>
      <c r="N320" s="61"/>
      <c r="O320" s="61"/>
    </row>
    <row r="321" spans="1:15" ht="15" customHeight="1">
      <c r="A321" s="218"/>
      <c r="B321" s="218"/>
      <c r="C321" s="218"/>
      <c r="D321" s="218"/>
      <c r="E321" s="218"/>
      <c r="F321" s="218"/>
      <c r="G321" s="218"/>
      <c r="H321" s="218"/>
      <c r="I321" s="218"/>
      <c r="J321" s="218"/>
      <c r="K321" s="226"/>
      <c r="L321" s="227"/>
      <c r="M321" s="61"/>
      <c r="N321" s="61"/>
      <c r="O321" s="61"/>
    </row>
    <row r="322" spans="1:15" ht="15" customHeight="1">
      <c r="A322" s="218"/>
      <c r="B322" s="218"/>
      <c r="C322" s="218"/>
      <c r="D322" s="218"/>
      <c r="E322" s="218"/>
      <c r="F322" s="218"/>
      <c r="G322" s="218"/>
      <c r="H322" s="218"/>
      <c r="I322" s="218"/>
      <c r="J322" s="218"/>
      <c r="K322" s="228"/>
      <c r="L322" s="229"/>
      <c r="M322" s="61"/>
      <c r="N322" s="61"/>
      <c r="O322" s="61"/>
    </row>
    <row r="323" spans="1:15" ht="15" customHeight="1">
      <c r="A323" s="218"/>
      <c r="B323" s="218"/>
      <c r="C323" s="218"/>
      <c r="D323" s="218"/>
      <c r="E323" s="218"/>
      <c r="F323" s="218"/>
      <c r="G323" s="218"/>
      <c r="H323" s="218"/>
      <c r="I323" s="218"/>
      <c r="J323" s="218"/>
      <c r="K323" s="228"/>
      <c r="L323" s="229"/>
      <c r="M323" s="61"/>
      <c r="N323" s="61"/>
      <c r="O323" s="61"/>
    </row>
    <row r="324" spans="1:15" ht="15" customHeight="1">
      <c r="A324" s="218"/>
      <c r="B324" s="218"/>
      <c r="C324" s="218"/>
      <c r="D324" s="218"/>
      <c r="E324" s="218"/>
      <c r="F324" s="218"/>
      <c r="G324" s="218"/>
      <c r="H324" s="218"/>
      <c r="I324" s="218"/>
      <c r="J324" s="218"/>
      <c r="K324" s="228"/>
      <c r="L324" s="229"/>
      <c r="M324" s="61"/>
      <c r="N324" s="61"/>
      <c r="O324" s="61"/>
    </row>
    <row r="325" spans="1:15" ht="15" customHeight="1">
      <c r="A325" s="218"/>
      <c r="B325" s="218"/>
      <c r="C325" s="218"/>
      <c r="D325" s="218"/>
      <c r="E325" s="218"/>
      <c r="F325" s="218"/>
      <c r="G325" s="218"/>
      <c r="H325" s="218"/>
      <c r="I325" s="218"/>
      <c r="J325" s="218"/>
      <c r="K325" s="228"/>
      <c r="L325" s="229"/>
      <c r="M325" s="61"/>
      <c r="N325" s="61"/>
      <c r="O325" s="61"/>
    </row>
    <row r="326" spans="1:15" ht="15" customHeight="1">
      <c r="A326" s="218"/>
      <c r="B326" s="218"/>
      <c r="C326" s="218"/>
      <c r="D326" s="218"/>
      <c r="E326" s="218"/>
      <c r="F326" s="218"/>
      <c r="G326" s="218"/>
      <c r="H326" s="218"/>
      <c r="I326" s="218"/>
      <c r="J326" s="218"/>
      <c r="K326" s="228"/>
      <c r="L326" s="229"/>
      <c r="M326" s="61"/>
      <c r="N326" s="61"/>
      <c r="O326" s="61"/>
    </row>
    <row r="327" spans="1:15" ht="15" customHeight="1">
      <c r="A327" s="218"/>
      <c r="B327" s="218"/>
      <c r="C327" s="218"/>
      <c r="D327" s="218"/>
      <c r="E327" s="218"/>
      <c r="F327" s="218"/>
      <c r="G327" s="218"/>
      <c r="H327" s="218"/>
      <c r="I327" s="218"/>
      <c r="J327" s="218"/>
      <c r="K327" s="228"/>
      <c r="L327" s="229"/>
      <c r="M327" s="61"/>
      <c r="N327" s="61"/>
      <c r="O327" s="61"/>
    </row>
    <row r="328" spans="1:15" ht="15" customHeight="1">
      <c r="A328" s="218"/>
      <c r="B328" s="218"/>
      <c r="C328" s="218"/>
      <c r="D328" s="218"/>
      <c r="E328" s="218"/>
      <c r="F328" s="218"/>
      <c r="G328" s="218"/>
      <c r="H328" s="218"/>
      <c r="I328" s="218"/>
      <c r="J328" s="218"/>
      <c r="K328" s="228"/>
      <c r="L328" s="229"/>
      <c r="M328" s="61"/>
      <c r="N328" s="61"/>
      <c r="O328" s="61"/>
    </row>
    <row r="329" spans="1:15" ht="15" customHeight="1">
      <c r="A329" s="218"/>
      <c r="B329" s="218"/>
      <c r="C329" s="218"/>
      <c r="D329" s="218"/>
      <c r="E329" s="218"/>
      <c r="F329" s="218"/>
      <c r="G329" s="218"/>
      <c r="H329" s="218"/>
      <c r="I329" s="218"/>
      <c r="J329" s="218"/>
      <c r="K329" s="228"/>
      <c r="L329" s="229"/>
      <c r="M329" s="61"/>
      <c r="N329" s="61"/>
      <c r="O329" s="61"/>
    </row>
    <row r="330" spans="1:15" ht="15" customHeight="1">
      <c r="A330" s="218"/>
      <c r="B330" s="218"/>
      <c r="C330" s="218"/>
      <c r="D330" s="218"/>
      <c r="E330" s="218"/>
      <c r="F330" s="218"/>
      <c r="G330" s="218"/>
      <c r="H330" s="218"/>
      <c r="I330" s="218"/>
      <c r="J330" s="218"/>
      <c r="K330" s="228"/>
      <c r="L330" s="229"/>
      <c r="M330" s="61"/>
      <c r="N330" s="61"/>
      <c r="O330" s="61"/>
    </row>
    <row r="331" spans="1:15" ht="15" customHeight="1">
      <c r="A331" s="218"/>
      <c r="B331" s="218"/>
      <c r="C331" s="218"/>
      <c r="D331" s="218"/>
      <c r="E331" s="218"/>
      <c r="F331" s="218"/>
      <c r="G331" s="218"/>
      <c r="H331" s="218"/>
      <c r="I331" s="218"/>
      <c r="J331" s="218"/>
      <c r="K331" s="228"/>
      <c r="L331" s="229"/>
      <c r="M331" s="61"/>
      <c r="N331" s="61"/>
      <c r="O331" s="61"/>
    </row>
    <row r="332" spans="1:15" ht="15" customHeight="1">
      <c r="A332" s="218"/>
      <c r="B332" s="218"/>
      <c r="C332" s="218"/>
      <c r="D332" s="218"/>
      <c r="E332" s="218"/>
      <c r="F332" s="218"/>
      <c r="G332" s="218"/>
      <c r="H332" s="218"/>
      <c r="I332" s="218"/>
      <c r="J332" s="218"/>
      <c r="K332" s="228"/>
      <c r="L332" s="229"/>
      <c r="M332" s="61"/>
      <c r="N332" s="61"/>
      <c r="O332" s="61"/>
    </row>
    <row r="333" spans="1:15" ht="15" customHeight="1">
      <c r="A333" s="218"/>
      <c r="B333" s="218"/>
      <c r="C333" s="218"/>
      <c r="D333" s="218"/>
      <c r="E333" s="218"/>
      <c r="F333" s="218"/>
      <c r="G333" s="218"/>
      <c r="H333" s="218"/>
      <c r="I333" s="218"/>
      <c r="J333" s="218"/>
      <c r="K333" s="226"/>
      <c r="L333" s="227"/>
      <c r="M333" s="61"/>
      <c r="N333" s="61"/>
      <c r="O333" s="61"/>
    </row>
    <row r="334" spans="1:15" ht="15" customHeight="1">
      <c r="A334" s="218"/>
      <c r="B334" s="218"/>
      <c r="C334" s="218"/>
      <c r="D334" s="218"/>
      <c r="E334" s="218"/>
      <c r="F334" s="218"/>
      <c r="G334" s="218"/>
      <c r="H334" s="218"/>
      <c r="I334" s="218"/>
      <c r="J334" s="218"/>
      <c r="K334" s="231"/>
      <c r="L334" s="232"/>
      <c r="M334" s="61"/>
      <c r="N334" s="61"/>
      <c r="O334" s="61"/>
    </row>
    <row r="335" spans="1:15" ht="15" customHeight="1">
      <c r="A335" s="218"/>
      <c r="B335" s="218"/>
      <c r="C335" s="218"/>
      <c r="D335" s="218"/>
      <c r="E335" s="218"/>
      <c r="F335" s="218"/>
      <c r="G335" s="218"/>
      <c r="H335" s="218"/>
      <c r="I335" s="218"/>
      <c r="J335" s="218"/>
      <c r="K335" s="231"/>
      <c r="L335" s="232"/>
      <c r="M335" s="61"/>
      <c r="N335" s="61"/>
      <c r="O335" s="61"/>
    </row>
    <row r="336" spans="1:15" ht="15" customHeight="1">
      <c r="A336" s="218"/>
      <c r="B336" s="218"/>
      <c r="C336" s="218"/>
      <c r="D336" s="218"/>
      <c r="E336" s="218"/>
      <c r="F336" s="218"/>
      <c r="G336" s="218"/>
      <c r="H336" s="218"/>
      <c r="I336" s="218"/>
      <c r="J336" s="218"/>
      <c r="K336" s="231"/>
      <c r="L336" s="232"/>
      <c r="M336" s="61"/>
      <c r="N336" s="61"/>
      <c r="O336" s="61"/>
    </row>
    <row r="337" spans="1:15" ht="15" customHeight="1">
      <c r="A337" s="218"/>
      <c r="B337" s="218"/>
      <c r="C337" s="218"/>
      <c r="D337" s="218"/>
      <c r="E337" s="218"/>
      <c r="F337" s="218"/>
      <c r="G337" s="218"/>
      <c r="H337" s="218"/>
      <c r="I337" s="218"/>
      <c r="J337" s="218"/>
      <c r="K337" s="233"/>
      <c r="L337" s="80"/>
      <c r="M337" s="61"/>
      <c r="N337" s="61"/>
      <c r="O337" s="61"/>
    </row>
    <row r="338" spans="1:15" ht="15" customHeight="1">
      <c r="A338" s="218"/>
      <c r="B338" s="218"/>
      <c r="C338" s="218"/>
      <c r="D338" s="218"/>
      <c r="E338" s="218"/>
      <c r="F338" s="218"/>
      <c r="G338" s="218"/>
      <c r="H338" s="218"/>
      <c r="I338" s="218"/>
      <c r="J338" s="218"/>
      <c r="K338" s="226"/>
      <c r="L338" s="234"/>
      <c r="M338" s="61"/>
      <c r="N338" s="61"/>
      <c r="O338" s="61"/>
    </row>
    <row r="339" spans="1:15" ht="15" customHeight="1">
      <c r="A339" s="218"/>
      <c r="B339" s="218"/>
      <c r="C339" s="218"/>
      <c r="D339" s="218"/>
      <c r="E339" s="218"/>
      <c r="F339" s="218"/>
      <c r="G339" s="218"/>
      <c r="H339" s="218"/>
      <c r="I339" s="218"/>
      <c r="J339" s="218"/>
      <c r="K339" s="226"/>
      <c r="L339" s="227"/>
      <c r="M339" s="61"/>
      <c r="N339" s="61"/>
      <c r="O339" s="61"/>
    </row>
    <row r="340" spans="1:15" ht="15" customHeight="1">
      <c r="A340" s="218"/>
      <c r="B340" s="218"/>
      <c r="C340" s="218"/>
      <c r="D340" s="218"/>
      <c r="E340" s="218"/>
      <c r="F340" s="218"/>
      <c r="G340" s="218"/>
      <c r="H340" s="218"/>
      <c r="I340" s="218"/>
      <c r="J340" s="218"/>
      <c r="K340" s="231"/>
      <c r="L340" s="232"/>
      <c r="M340" s="61"/>
      <c r="N340" s="61"/>
      <c r="O340" s="61"/>
    </row>
    <row r="341" spans="1:15" ht="15" customHeight="1">
      <c r="A341" s="218"/>
      <c r="B341" s="218"/>
      <c r="C341" s="218"/>
      <c r="D341" s="218"/>
      <c r="E341" s="218"/>
      <c r="F341" s="218"/>
      <c r="G341" s="218"/>
      <c r="H341" s="218"/>
      <c r="I341" s="218"/>
      <c r="J341" s="218"/>
      <c r="K341" s="231"/>
      <c r="L341" s="232"/>
      <c r="M341" s="61"/>
      <c r="N341" s="61"/>
      <c r="O341" s="61"/>
    </row>
    <row r="342" spans="1:15" ht="15" customHeight="1">
      <c r="A342" s="218"/>
      <c r="B342" s="218"/>
      <c r="C342" s="218"/>
      <c r="D342" s="218"/>
      <c r="E342" s="218"/>
      <c r="F342" s="218"/>
      <c r="G342" s="218"/>
      <c r="H342" s="218"/>
      <c r="I342" s="218"/>
      <c r="J342" s="218"/>
      <c r="K342" s="233"/>
      <c r="L342" s="80"/>
      <c r="M342" s="61"/>
      <c r="N342" s="61"/>
      <c r="O342" s="61"/>
    </row>
    <row r="343" spans="1:15" ht="15" customHeight="1">
      <c r="A343" s="218"/>
      <c r="B343" s="218"/>
      <c r="C343" s="218"/>
      <c r="D343" s="218"/>
      <c r="E343" s="218"/>
      <c r="F343" s="218"/>
      <c r="G343" s="218"/>
      <c r="H343" s="218"/>
      <c r="I343" s="218"/>
      <c r="J343" s="218"/>
      <c r="K343" s="233"/>
      <c r="L343" s="80"/>
      <c r="M343" s="61"/>
      <c r="N343" s="61"/>
      <c r="O343" s="61"/>
    </row>
    <row r="344" spans="1:15" ht="15" customHeight="1">
      <c r="A344" s="218"/>
      <c r="B344" s="218"/>
      <c r="C344" s="218"/>
      <c r="D344" s="218"/>
      <c r="E344" s="218"/>
      <c r="F344" s="218"/>
      <c r="G344" s="218"/>
      <c r="H344" s="218"/>
      <c r="I344" s="218"/>
      <c r="J344" s="218"/>
      <c r="K344" s="233"/>
      <c r="L344" s="80"/>
      <c r="M344" s="61"/>
      <c r="N344" s="61"/>
      <c r="O344" s="61"/>
    </row>
    <row r="345" spans="1:15" ht="15" customHeight="1">
      <c r="A345" s="218"/>
      <c r="B345" s="218"/>
      <c r="C345" s="218"/>
      <c r="D345" s="218"/>
      <c r="E345" s="218"/>
      <c r="F345" s="218"/>
      <c r="G345" s="218"/>
      <c r="H345" s="218"/>
      <c r="I345" s="218"/>
      <c r="J345" s="218"/>
      <c r="K345" s="233"/>
      <c r="L345" s="80"/>
      <c r="M345" s="61"/>
      <c r="N345" s="61"/>
      <c r="O345" s="61"/>
    </row>
    <row r="346" spans="1:15" ht="15" customHeight="1">
      <c r="A346" s="218"/>
      <c r="B346" s="218"/>
      <c r="C346" s="218"/>
      <c r="D346" s="218"/>
      <c r="E346" s="218"/>
      <c r="F346" s="218"/>
      <c r="G346" s="218"/>
      <c r="H346" s="218"/>
      <c r="I346" s="218"/>
      <c r="J346" s="218"/>
      <c r="K346" s="233"/>
      <c r="L346" s="80"/>
      <c r="M346" s="61"/>
      <c r="N346" s="61"/>
      <c r="O346" s="61"/>
    </row>
    <row r="347" spans="1:15" ht="15" customHeight="1">
      <c r="A347" s="218"/>
      <c r="B347" s="218"/>
      <c r="C347" s="218"/>
      <c r="D347" s="218"/>
      <c r="E347" s="218"/>
      <c r="F347" s="218"/>
      <c r="G347" s="218"/>
      <c r="H347" s="218"/>
      <c r="I347" s="218"/>
      <c r="J347" s="218"/>
      <c r="K347" s="228"/>
      <c r="L347" s="229"/>
      <c r="M347" s="61"/>
      <c r="N347" s="61"/>
      <c r="O347" s="61"/>
    </row>
    <row r="348" spans="1:15" ht="15" customHeight="1">
      <c r="A348" s="218"/>
      <c r="B348" s="218"/>
      <c r="C348" s="218"/>
      <c r="D348" s="218"/>
      <c r="E348" s="218"/>
      <c r="F348" s="218"/>
      <c r="G348" s="218"/>
      <c r="H348" s="218"/>
      <c r="I348" s="218"/>
      <c r="J348" s="218"/>
      <c r="K348" s="60"/>
      <c r="L348" s="79"/>
      <c r="M348" s="61"/>
      <c r="N348" s="61"/>
      <c r="O348" s="61"/>
    </row>
    <row r="349" spans="1:15" ht="15" customHeight="1">
      <c r="A349" s="218"/>
      <c r="B349" s="218"/>
      <c r="C349" s="218"/>
      <c r="D349" s="218"/>
      <c r="E349" s="218"/>
      <c r="F349" s="218"/>
      <c r="G349" s="218"/>
      <c r="H349" s="218"/>
      <c r="I349" s="218"/>
      <c r="J349" s="218"/>
      <c r="K349" s="60"/>
      <c r="L349" s="79"/>
      <c r="M349" s="61"/>
      <c r="N349" s="61"/>
      <c r="O349" s="61"/>
    </row>
    <row r="350" spans="1:12" ht="15" customHeight="1">
      <c r="A350" s="218"/>
      <c r="B350" s="218"/>
      <c r="C350" s="218"/>
      <c r="D350" s="218"/>
      <c r="E350" s="218"/>
      <c r="F350" s="218"/>
      <c r="G350" s="218"/>
      <c r="H350" s="218"/>
      <c r="I350" s="218"/>
      <c r="J350" s="218"/>
      <c r="K350" s="233"/>
      <c r="L350" s="235"/>
    </row>
    <row r="351" spans="1:12" ht="15" customHeight="1">
      <c r="A351" s="218"/>
      <c r="B351" s="218"/>
      <c r="C351" s="218"/>
      <c r="D351" s="218"/>
      <c r="E351" s="218"/>
      <c r="F351" s="218"/>
      <c r="G351" s="218"/>
      <c r="H351" s="218"/>
      <c r="I351" s="218"/>
      <c r="J351" s="218"/>
      <c r="K351" s="196"/>
      <c r="L351" s="81"/>
    </row>
    <row r="352" spans="1:12" ht="15" customHeight="1">
      <c r="A352" s="218"/>
      <c r="B352" s="218"/>
      <c r="C352" s="218"/>
      <c r="D352" s="218"/>
      <c r="E352" s="218"/>
      <c r="F352" s="218"/>
      <c r="G352" s="218"/>
      <c r="H352" s="218"/>
      <c r="I352" s="218"/>
      <c r="J352" s="218"/>
      <c r="K352" s="196"/>
      <c r="L352" s="81"/>
    </row>
    <row r="353" spans="1:12" ht="15" customHeight="1">
      <c r="A353" s="218"/>
      <c r="B353" s="218"/>
      <c r="C353" s="218"/>
      <c r="D353" s="218"/>
      <c r="E353" s="218"/>
      <c r="F353" s="218"/>
      <c r="G353" s="218"/>
      <c r="H353" s="218"/>
      <c r="I353" s="218"/>
      <c r="J353" s="218"/>
      <c r="K353" s="196"/>
      <c r="L353" s="81"/>
    </row>
    <row r="354" spans="1:12" ht="15" customHeight="1">
      <c r="A354" s="218"/>
      <c r="B354" s="218"/>
      <c r="C354" s="218"/>
      <c r="D354" s="218"/>
      <c r="E354" s="218"/>
      <c r="F354" s="218"/>
      <c r="G354" s="218"/>
      <c r="H354" s="218"/>
      <c r="I354" s="218"/>
      <c r="J354" s="218"/>
      <c r="K354" s="196"/>
      <c r="L354" s="81"/>
    </row>
    <row r="355" spans="1:12" ht="15" customHeight="1">
      <c r="A355" s="218"/>
      <c r="B355" s="218"/>
      <c r="C355" s="218"/>
      <c r="D355" s="218"/>
      <c r="E355" s="218"/>
      <c r="F355" s="218"/>
      <c r="G355" s="218"/>
      <c r="H355" s="218"/>
      <c r="I355" s="218"/>
      <c r="J355" s="218"/>
      <c r="K355" s="196"/>
      <c r="L355" s="81"/>
    </row>
    <row r="356" spans="1:15" ht="15" customHeight="1">
      <c r="A356" s="218"/>
      <c r="B356" s="218"/>
      <c r="C356" s="218"/>
      <c r="D356" s="218"/>
      <c r="E356" s="218"/>
      <c r="F356" s="218"/>
      <c r="G356" s="218"/>
      <c r="H356" s="218"/>
      <c r="I356" s="218"/>
      <c r="J356" s="218"/>
      <c r="K356" s="196"/>
      <c r="L356" s="81"/>
      <c r="M356" s="61"/>
      <c r="N356" s="61"/>
      <c r="O356" s="61"/>
    </row>
    <row r="357" spans="1:15" ht="15" customHeight="1">
      <c r="A357" s="218"/>
      <c r="B357" s="218"/>
      <c r="C357" s="218"/>
      <c r="D357" s="218"/>
      <c r="E357" s="218"/>
      <c r="F357" s="218"/>
      <c r="G357" s="218"/>
      <c r="H357" s="218"/>
      <c r="I357" s="218"/>
      <c r="J357" s="218"/>
      <c r="K357" s="196"/>
      <c r="L357" s="81"/>
      <c r="M357" s="61"/>
      <c r="N357" s="61"/>
      <c r="O357" s="61"/>
    </row>
    <row r="358" spans="1:15" ht="15" customHeight="1">
      <c r="A358" s="218"/>
      <c r="B358" s="218"/>
      <c r="C358" s="218"/>
      <c r="D358" s="218"/>
      <c r="E358" s="218"/>
      <c r="F358" s="218"/>
      <c r="G358" s="218"/>
      <c r="H358" s="218"/>
      <c r="I358" s="218"/>
      <c r="J358" s="218"/>
      <c r="K358" s="196"/>
      <c r="L358" s="81"/>
      <c r="M358" s="61"/>
      <c r="N358" s="61"/>
      <c r="O358" s="61"/>
    </row>
    <row r="359" spans="1:15" ht="15" customHeight="1">
      <c r="A359" s="218"/>
      <c r="B359" s="218"/>
      <c r="C359" s="218"/>
      <c r="D359" s="218"/>
      <c r="E359" s="218"/>
      <c r="F359" s="218"/>
      <c r="G359" s="218"/>
      <c r="H359" s="218"/>
      <c r="I359" s="218"/>
      <c r="J359" s="218"/>
      <c r="K359" s="196"/>
      <c r="L359" s="81"/>
      <c r="M359" s="61"/>
      <c r="N359" s="61"/>
      <c r="O359" s="61"/>
    </row>
    <row r="360" spans="1:15" ht="15" customHeight="1">
      <c r="A360" s="218"/>
      <c r="B360" s="218"/>
      <c r="C360" s="218"/>
      <c r="D360" s="218"/>
      <c r="E360" s="218"/>
      <c r="F360" s="218"/>
      <c r="G360" s="218"/>
      <c r="H360" s="218"/>
      <c r="I360" s="218"/>
      <c r="J360" s="218"/>
      <c r="K360" s="196"/>
      <c r="L360" s="81"/>
      <c r="M360" s="61"/>
      <c r="N360" s="61"/>
      <c r="O360" s="61"/>
    </row>
    <row r="361" spans="1:15" ht="15" customHeight="1">
      <c r="A361" s="218"/>
      <c r="B361" s="218"/>
      <c r="C361" s="218"/>
      <c r="D361" s="218"/>
      <c r="E361" s="218"/>
      <c r="F361" s="218"/>
      <c r="G361" s="218"/>
      <c r="H361" s="218"/>
      <c r="I361" s="218"/>
      <c r="J361" s="218"/>
      <c r="K361" s="196"/>
      <c r="L361" s="81"/>
      <c r="M361" s="61"/>
      <c r="N361" s="61"/>
      <c r="O361" s="61"/>
    </row>
    <row r="362" spans="1:15" ht="15" customHeight="1">
      <c r="A362" s="218"/>
      <c r="B362" s="218"/>
      <c r="C362" s="218"/>
      <c r="D362" s="218"/>
      <c r="E362" s="218"/>
      <c r="F362" s="218"/>
      <c r="G362" s="218"/>
      <c r="H362" s="218"/>
      <c r="I362" s="218"/>
      <c r="J362" s="218"/>
      <c r="K362" s="196"/>
      <c r="L362" s="81"/>
      <c r="M362" s="61"/>
      <c r="N362" s="61"/>
      <c r="O362" s="61"/>
    </row>
    <row r="363" spans="1:15" ht="15" customHeight="1">
      <c r="A363" s="218"/>
      <c r="B363" s="218"/>
      <c r="C363" s="218"/>
      <c r="D363" s="218"/>
      <c r="E363" s="218"/>
      <c r="F363" s="218"/>
      <c r="G363" s="218"/>
      <c r="H363" s="218"/>
      <c r="I363" s="218"/>
      <c r="J363" s="218"/>
      <c r="K363" s="196"/>
      <c r="L363" s="81"/>
      <c r="M363" s="61"/>
      <c r="N363" s="61"/>
      <c r="O363" s="61"/>
    </row>
    <row r="364" spans="1:15" ht="15" customHeight="1">
      <c r="A364" s="218"/>
      <c r="B364" s="218"/>
      <c r="C364" s="218"/>
      <c r="D364" s="218"/>
      <c r="E364" s="218"/>
      <c r="F364" s="218"/>
      <c r="G364" s="218"/>
      <c r="H364" s="218"/>
      <c r="I364" s="218"/>
      <c r="J364" s="218"/>
      <c r="K364" s="196"/>
      <c r="L364" s="81"/>
      <c r="M364" s="61"/>
      <c r="N364" s="61"/>
      <c r="O364" s="61"/>
    </row>
    <row r="365" spans="1:15" ht="15" customHeight="1">
      <c r="A365" s="218"/>
      <c r="B365" s="218"/>
      <c r="C365" s="218"/>
      <c r="D365" s="218"/>
      <c r="E365" s="218"/>
      <c r="F365" s="218"/>
      <c r="G365" s="218"/>
      <c r="H365" s="218"/>
      <c r="I365" s="218"/>
      <c r="J365" s="218"/>
      <c r="K365" s="196"/>
      <c r="L365" s="81"/>
      <c r="M365" s="61"/>
      <c r="N365" s="61"/>
      <c r="O365" s="61"/>
    </row>
    <row r="366" spans="1:15" ht="15" customHeight="1">
      <c r="A366" s="218"/>
      <c r="B366" s="218"/>
      <c r="C366" s="218"/>
      <c r="D366" s="218"/>
      <c r="E366" s="218"/>
      <c r="F366" s="218"/>
      <c r="G366" s="218"/>
      <c r="H366" s="218"/>
      <c r="I366" s="218"/>
      <c r="J366" s="218"/>
      <c r="K366" s="196"/>
      <c r="L366" s="81"/>
      <c r="M366" s="61"/>
      <c r="N366" s="61"/>
      <c r="O366" s="61"/>
    </row>
    <row r="367" spans="1:15" ht="15" customHeight="1">
      <c r="A367" s="218"/>
      <c r="B367" s="218"/>
      <c r="C367" s="218"/>
      <c r="D367" s="218"/>
      <c r="E367" s="218"/>
      <c r="F367" s="218"/>
      <c r="G367" s="218"/>
      <c r="H367" s="218"/>
      <c r="I367" s="218"/>
      <c r="J367" s="218"/>
      <c r="K367" s="196"/>
      <c r="L367" s="81"/>
      <c r="M367" s="61"/>
      <c r="N367" s="61"/>
      <c r="O367" s="61"/>
    </row>
    <row r="368" spans="1:15" ht="15" customHeight="1">
      <c r="A368" s="218"/>
      <c r="B368" s="218"/>
      <c r="C368" s="218"/>
      <c r="D368" s="218"/>
      <c r="E368" s="218"/>
      <c r="F368" s="218"/>
      <c r="G368" s="218"/>
      <c r="H368" s="218"/>
      <c r="I368" s="218"/>
      <c r="J368" s="218"/>
      <c r="K368" s="196"/>
      <c r="L368" s="81"/>
      <c r="M368" s="61"/>
      <c r="N368" s="61"/>
      <c r="O368" s="61"/>
    </row>
    <row r="369" spans="1:15" ht="15" customHeight="1">
      <c r="A369" s="218"/>
      <c r="B369" s="218"/>
      <c r="C369" s="218"/>
      <c r="D369" s="218"/>
      <c r="E369" s="218"/>
      <c r="F369" s="218"/>
      <c r="G369" s="218"/>
      <c r="H369" s="218"/>
      <c r="I369" s="218"/>
      <c r="J369" s="218"/>
      <c r="K369" s="196"/>
      <c r="L369" s="81"/>
      <c r="M369" s="61"/>
      <c r="N369" s="61"/>
      <c r="O369" s="61"/>
    </row>
    <row r="370" spans="1:15" ht="15" customHeight="1">
      <c r="A370" s="218"/>
      <c r="B370" s="218"/>
      <c r="C370" s="218"/>
      <c r="D370" s="218"/>
      <c r="E370" s="218"/>
      <c r="F370" s="218"/>
      <c r="G370" s="218"/>
      <c r="H370" s="218"/>
      <c r="I370" s="218"/>
      <c r="J370" s="218"/>
      <c r="K370" s="196"/>
      <c r="L370" s="81"/>
      <c r="M370" s="61"/>
      <c r="N370" s="61"/>
      <c r="O370" s="61"/>
    </row>
    <row r="371" spans="1:15" ht="15" customHeight="1">
      <c r="A371" s="218"/>
      <c r="B371" s="218"/>
      <c r="C371" s="218"/>
      <c r="D371" s="218"/>
      <c r="E371" s="218"/>
      <c r="F371" s="218"/>
      <c r="G371" s="218"/>
      <c r="H371" s="218"/>
      <c r="I371" s="218"/>
      <c r="J371" s="218"/>
      <c r="K371" s="196"/>
      <c r="L371" s="81"/>
      <c r="M371" s="61"/>
      <c r="N371" s="61"/>
      <c r="O371" s="61"/>
    </row>
    <row r="372" spans="1:15" ht="15" customHeight="1">
      <c r="A372" s="218"/>
      <c r="B372" s="218"/>
      <c r="C372" s="218"/>
      <c r="D372" s="218"/>
      <c r="E372" s="218"/>
      <c r="F372" s="218"/>
      <c r="G372" s="218"/>
      <c r="H372" s="218"/>
      <c r="I372" s="218"/>
      <c r="J372" s="218"/>
      <c r="K372" s="196"/>
      <c r="L372" s="81"/>
      <c r="M372" s="61"/>
      <c r="N372" s="61"/>
      <c r="O372" s="61"/>
    </row>
    <row r="373" spans="1:15" ht="15" customHeight="1">
      <c r="A373" s="218"/>
      <c r="B373" s="218"/>
      <c r="C373" s="218"/>
      <c r="D373" s="218"/>
      <c r="E373" s="218"/>
      <c r="F373" s="218"/>
      <c r="G373" s="218"/>
      <c r="H373" s="218"/>
      <c r="I373" s="218"/>
      <c r="J373" s="218"/>
      <c r="K373" s="196"/>
      <c r="L373" s="81"/>
      <c r="M373" s="61"/>
      <c r="N373" s="61"/>
      <c r="O373" s="61"/>
    </row>
    <row r="374" spans="1:15" ht="15" customHeight="1">
      <c r="A374" s="218"/>
      <c r="B374" s="218"/>
      <c r="C374" s="218"/>
      <c r="D374" s="218"/>
      <c r="E374" s="218"/>
      <c r="F374" s="218"/>
      <c r="G374" s="218"/>
      <c r="H374" s="218"/>
      <c r="I374" s="218"/>
      <c r="J374" s="218"/>
      <c r="K374" s="196"/>
      <c r="L374" s="81"/>
      <c r="M374" s="61"/>
      <c r="N374" s="61"/>
      <c r="O374" s="61"/>
    </row>
    <row r="375" spans="1:15" ht="15" customHeight="1">
      <c r="A375" s="218"/>
      <c r="B375" s="218"/>
      <c r="C375" s="218"/>
      <c r="D375" s="218"/>
      <c r="E375" s="218"/>
      <c r="F375" s="218"/>
      <c r="G375" s="218"/>
      <c r="H375" s="218"/>
      <c r="I375" s="218"/>
      <c r="J375" s="218"/>
      <c r="K375" s="196"/>
      <c r="L375" s="81"/>
      <c r="M375" s="61"/>
      <c r="N375" s="61"/>
      <c r="O375" s="61"/>
    </row>
    <row r="376" spans="1:15" ht="15" customHeight="1">
      <c r="A376" s="218"/>
      <c r="B376" s="218"/>
      <c r="C376" s="218"/>
      <c r="D376" s="218"/>
      <c r="E376" s="218"/>
      <c r="F376" s="218"/>
      <c r="G376" s="218"/>
      <c r="H376" s="218"/>
      <c r="I376" s="218"/>
      <c r="J376" s="218"/>
      <c r="K376" s="196"/>
      <c r="L376" s="81"/>
      <c r="M376" s="61"/>
      <c r="N376" s="61"/>
      <c r="O376" s="61"/>
    </row>
    <row r="377" spans="1:15" ht="15" customHeight="1">
      <c r="A377" s="218"/>
      <c r="B377" s="218"/>
      <c r="C377" s="218"/>
      <c r="D377" s="218"/>
      <c r="E377" s="218"/>
      <c r="F377" s="218"/>
      <c r="G377" s="218"/>
      <c r="H377" s="218"/>
      <c r="I377" s="218"/>
      <c r="J377" s="218"/>
      <c r="K377" s="196"/>
      <c r="L377" s="81"/>
      <c r="M377" s="61"/>
      <c r="N377" s="61"/>
      <c r="O377" s="61"/>
    </row>
    <row r="378" spans="1:15" ht="15" customHeight="1">
      <c r="A378" s="218"/>
      <c r="B378" s="218"/>
      <c r="C378" s="218"/>
      <c r="D378" s="218"/>
      <c r="E378" s="218"/>
      <c r="F378" s="218"/>
      <c r="G378" s="218"/>
      <c r="H378" s="218"/>
      <c r="I378" s="218"/>
      <c r="J378" s="218"/>
      <c r="K378" s="196"/>
      <c r="L378" s="81"/>
      <c r="M378" s="61"/>
      <c r="N378" s="61"/>
      <c r="O378" s="61"/>
    </row>
    <row r="379" spans="1:15" ht="15" customHeight="1">
      <c r="A379" s="218"/>
      <c r="B379" s="218"/>
      <c r="C379" s="218"/>
      <c r="D379" s="218"/>
      <c r="E379" s="218"/>
      <c r="F379" s="218"/>
      <c r="G379" s="218"/>
      <c r="H379" s="218"/>
      <c r="I379" s="218"/>
      <c r="J379" s="218"/>
      <c r="K379" s="196"/>
      <c r="L379" s="81"/>
      <c r="M379" s="61"/>
      <c r="N379" s="61"/>
      <c r="O379" s="61"/>
    </row>
    <row r="380" spans="1:15" ht="15" customHeight="1">
      <c r="A380" s="218"/>
      <c r="B380" s="218"/>
      <c r="C380" s="218"/>
      <c r="D380" s="218"/>
      <c r="E380" s="218"/>
      <c r="F380" s="218"/>
      <c r="G380" s="218"/>
      <c r="H380" s="218"/>
      <c r="I380" s="218"/>
      <c r="J380" s="218"/>
      <c r="K380" s="196"/>
      <c r="L380" s="81"/>
      <c r="M380" s="61"/>
      <c r="N380" s="61"/>
      <c r="O380" s="61"/>
    </row>
    <row r="381" spans="1:15" ht="15" customHeight="1">
      <c r="A381" s="218"/>
      <c r="B381" s="218"/>
      <c r="C381" s="218"/>
      <c r="D381" s="218"/>
      <c r="E381" s="218"/>
      <c r="F381" s="218"/>
      <c r="G381" s="218"/>
      <c r="H381" s="218"/>
      <c r="I381" s="218"/>
      <c r="J381" s="218"/>
      <c r="K381" s="196"/>
      <c r="L381" s="81"/>
      <c r="M381" s="61"/>
      <c r="N381" s="61"/>
      <c r="O381" s="61"/>
    </row>
    <row r="382" spans="1:15" ht="15" customHeight="1">
      <c r="A382" s="218"/>
      <c r="B382" s="218"/>
      <c r="C382" s="218"/>
      <c r="D382" s="218"/>
      <c r="E382" s="218"/>
      <c r="F382" s="218"/>
      <c r="G382" s="218"/>
      <c r="H382" s="218"/>
      <c r="I382" s="218"/>
      <c r="J382" s="218"/>
      <c r="K382" s="196"/>
      <c r="L382" s="81"/>
      <c r="M382" s="61"/>
      <c r="N382" s="61"/>
      <c r="O382" s="61"/>
    </row>
    <row r="383" spans="1:15" ht="15" customHeight="1">
      <c r="A383" s="218"/>
      <c r="B383" s="218"/>
      <c r="C383" s="218"/>
      <c r="D383" s="218"/>
      <c r="E383" s="218"/>
      <c r="F383" s="218"/>
      <c r="G383" s="218"/>
      <c r="H383" s="218"/>
      <c r="I383" s="218"/>
      <c r="J383" s="218"/>
      <c r="K383" s="196"/>
      <c r="L383" s="81"/>
      <c r="M383" s="61"/>
      <c r="N383" s="61"/>
      <c r="O383" s="61"/>
    </row>
    <row r="384" spans="1:15" ht="15" customHeight="1">
      <c r="A384" s="218"/>
      <c r="B384" s="218"/>
      <c r="C384" s="218"/>
      <c r="D384" s="218"/>
      <c r="E384" s="218"/>
      <c r="F384" s="218"/>
      <c r="G384" s="218"/>
      <c r="H384" s="218"/>
      <c r="I384" s="218"/>
      <c r="J384" s="218"/>
      <c r="K384" s="196"/>
      <c r="L384" s="81"/>
      <c r="M384" s="61"/>
      <c r="N384" s="61"/>
      <c r="O384" s="61"/>
    </row>
    <row r="385" spans="1:15" ht="15" customHeight="1">
      <c r="A385" s="218"/>
      <c r="B385" s="218"/>
      <c r="C385" s="218"/>
      <c r="D385" s="218"/>
      <c r="E385" s="218"/>
      <c r="F385" s="218"/>
      <c r="G385" s="218"/>
      <c r="H385" s="218"/>
      <c r="I385" s="218"/>
      <c r="J385" s="218"/>
      <c r="K385" s="196"/>
      <c r="L385" s="81"/>
      <c r="M385" s="61"/>
      <c r="N385" s="61"/>
      <c r="O385" s="61"/>
    </row>
    <row r="386" spans="1:15" ht="15" customHeight="1">
      <c r="A386" s="218"/>
      <c r="B386" s="218"/>
      <c r="C386" s="218"/>
      <c r="D386" s="218"/>
      <c r="E386" s="218"/>
      <c r="F386" s="218"/>
      <c r="G386" s="218"/>
      <c r="H386" s="218"/>
      <c r="I386" s="218"/>
      <c r="J386" s="218"/>
      <c r="K386" s="196"/>
      <c r="L386" s="81"/>
      <c r="M386" s="61"/>
      <c r="N386" s="61"/>
      <c r="O386" s="61"/>
    </row>
    <row r="387" spans="1:15" ht="15" customHeight="1">
      <c r="A387" s="218"/>
      <c r="B387" s="218"/>
      <c r="C387" s="218"/>
      <c r="D387" s="218"/>
      <c r="E387" s="218"/>
      <c r="F387" s="218"/>
      <c r="G387" s="218"/>
      <c r="H387" s="218"/>
      <c r="I387" s="218"/>
      <c r="J387" s="218"/>
      <c r="K387" s="196"/>
      <c r="L387" s="81"/>
      <c r="M387" s="61"/>
      <c r="N387" s="61"/>
      <c r="O387" s="61"/>
    </row>
    <row r="388" spans="1:15" ht="15" customHeight="1">
      <c r="A388" s="218"/>
      <c r="B388" s="218"/>
      <c r="C388" s="218"/>
      <c r="D388" s="218"/>
      <c r="E388" s="218"/>
      <c r="F388" s="218"/>
      <c r="G388" s="218"/>
      <c r="H388" s="218"/>
      <c r="I388" s="218"/>
      <c r="J388" s="218"/>
      <c r="K388" s="196"/>
      <c r="L388" s="81"/>
      <c r="M388" s="61"/>
      <c r="N388" s="61"/>
      <c r="O388" s="61"/>
    </row>
    <row r="389" spans="1:15" ht="15" customHeight="1">
      <c r="A389" s="218"/>
      <c r="B389" s="218"/>
      <c r="C389" s="218"/>
      <c r="D389" s="218"/>
      <c r="E389" s="218"/>
      <c r="F389" s="218"/>
      <c r="G389" s="218"/>
      <c r="H389" s="218"/>
      <c r="I389" s="218"/>
      <c r="J389" s="218"/>
      <c r="K389" s="196"/>
      <c r="L389" s="81"/>
      <c r="M389" s="61"/>
      <c r="N389" s="61"/>
      <c r="O389" s="61"/>
    </row>
    <row r="390" spans="1:15" ht="15" customHeight="1">
      <c r="A390" s="218"/>
      <c r="B390" s="218"/>
      <c r="C390" s="218"/>
      <c r="D390" s="218"/>
      <c r="E390" s="218"/>
      <c r="F390" s="218"/>
      <c r="G390" s="218"/>
      <c r="H390" s="218"/>
      <c r="I390" s="218"/>
      <c r="J390" s="218"/>
      <c r="K390" s="196"/>
      <c r="L390" s="81"/>
      <c r="M390" s="61"/>
      <c r="N390" s="61"/>
      <c r="O390" s="61"/>
    </row>
    <row r="391" spans="1:15" ht="15" customHeight="1">
      <c r="A391" s="218"/>
      <c r="B391" s="218"/>
      <c r="C391" s="218"/>
      <c r="D391" s="218"/>
      <c r="E391" s="218"/>
      <c r="F391" s="218"/>
      <c r="G391" s="218"/>
      <c r="H391" s="218"/>
      <c r="I391" s="218"/>
      <c r="J391" s="218"/>
      <c r="K391" s="196"/>
      <c r="L391" s="81"/>
      <c r="M391" s="61"/>
      <c r="N391" s="61"/>
      <c r="O391" s="61"/>
    </row>
    <row r="392" spans="1:15" ht="15" customHeight="1">
      <c r="A392" s="218"/>
      <c r="B392" s="218"/>
      <c r="C392" s="218"/>
      <c r="D392" s="218"/>
      <c r="E392" s="218"/>
      <c r="F392" s="218"/>
      <c r="G392" s="218"/>
      <c r="H392" s="218"/>
      <c r="I392" s="218"/>
      <c r="J392" s="218"/>
      <c r="K392" s="196"/>
      <c r="L392" s="81"/>
      <c r="M392" s="61"/>
      <c r="N392" s="61"/>
      <c r="O392" s="61"/>
    </row>
    <row r="393" spans="1:15" ht="15" customHeight="1">
      <c r="A393" s="218"/>
      <c r="B393" s="218"/>
      <c r="C393" s="218"/>
      <c r="D393" s="218"/>
      <c r="E393" s="218"/>
      <c r="F393" s="218"/>
      <c r="G393" s="218"/>
      <c r="H393" s="218"/>
      <c r="I393" s="218"/>
      <c r="J393" s="218"/>
      <c r="K393" s="196"/>
      <c r="L393" s="81"/>
      <c r="M393" s="61"/>
      <c r="N393" s="61"/>
      <c r="O393" s="61"/>
    </row>
    <row r="394" spans="1:15" ht="15" customHeight="1">
      <c r="A394" s="218"/>
      <c r="B394" s="218"/>
      <c r="C394" s="218"/>
      <c r="D394" s="218"/>
      <c r="E394" s="218"/>
      <c r="F394" s="218"/>
      <c r="G394" s="218"/>
      <c r="H394" s="218"/>
      <c r="I394" s="218"/>
      <c r="J394" s="218"/>
      <c r="K394" s="196"/>
      <c r="L394" s="81"/>
      <c r="M394" s="61"/>
      <c r="N394" s="61"/>
      <c r="O394" s="61"/>
    </row>
    <row r="395" spans="1:15" ht="15" customHeight="1">
      <c r="A395" s="218"/>
      <c r="B395" s="218"/>
      <c r="C395" s="218"/>
      <c r="D395" s="218"/>
      <c r="E395" s="218"/>
      <c r="F395" s="218"/>
      <c r="G395" s="218"/>
      <c r="H395" s="218"/>
      <c r="I395" s="218"/>
      <c r="J395" s="218"/>
      <c r="K395" s="196"/>
      <c r="L395" s="81"/>
      <c r="M395" s="61"/>
      <c r="N395" s="61"/>
      <c r="O395" s="61"/>
    </row>
    <row r="396" spans="1:15" ht="15" customHeight="1">
      <c r="A396" s="218"/>
      <c r="B396" s="218"/>
      <c r="C396" s="218"/>
      <c r="D396" s="218"/>
      <c r="E396" s="218"/>
      <c r="F396" s="218"/>
      <c r="G396" s="218"/>
      <c r="H396" s="218"/>
      <c r="I396" s="218"/>
      <c r="J396" s="218"/>
      <c r="K396" s="196"/>
      <c r="L396" s="81"/>
      <c r="M396" s="61"/>
      <c r="N396" s="61"/>
      <c r="O396" s="61"/>
    </row>
    <row r="397" spans="1:15" ht="15" customHeight="1">
      <c r="A397" s="218"/>
      <c r="B397" s="218"/>
      <c r="C397" s="218"/>
      <c r="D397" s="218"/>
      <c r="E397" s="218"/>
      <c r="F397" s="218"/>
      <c r="G397" s="218"/>
      <c r="H397" s="218"/>
      <c r="I397" s="218"/>
      <c r="J397" s="218"/>
      <c r="K397" s="196"/>
      <c r="L397" s="81"/>
      <c r="M397" s="61"/>
      <c r="N397" s="61"/>
      <c r="O397" s="61"/>
    </row>
    <row r="398" spans="1:15" ht="15" customHeight="1">
      <c r="A398" s="218"/>
      <c r="B398" s="218"/>
      <c r="C398" s="218"/>
      <c r="D398" s="218"/>
      <c r="E398" s="218"/>
      <c r="F398" s="218"/>
      <c r="G398" s="218"/>
      <c r="H398" s="218"/>
      <c r="I398" s="218"/>
      <c r="J398" s="218"/>
      <c r="K398" s="196"/>
      <c r="L398" s="81"/>
      <c r="M398" s="61"/>
      <c r="N398" s="61"/>
      <c r="O398" s="61"/>
    </row>
    <row r="399" spans="1:15" ht="15" customHeight="1">
      <c r="A399" s="218"/>
      <c r="B399" s="218"/>
      <c r="C399" s="218"/>
      <c r="D399" s="218"/>
      <c r="E399" s="218"/>
      <c r="F399" s="218"/>
      <c r="G399" s="218"/>
      <c r="H399" s="218"/>
      <c r="I399" s="218"/>
      <c r="J399" s="218"/>
      <c r="K399" s="196"/>
      <c r="L399" s="81"/>
      <c r="M399" s="61"/>
      <c r="N399" s="61"/>
      <c r="O399" s="61"/>
    </row>
    <row r="400" spans="1:15" ht="15" customHeight="1">
      <c r="A400" s="218"/>
      <c r="B400" s="218"/>
      <c r="C400" s="218"/>
      <c r="D400" s="218"/>
      <c r="E400" s="218"/>
      <c r="F400" s="218"/>
      <c r="G400" s="218"/>
      <c r="H400" s="218"/>
      <c r="I400" s="218"/>
      <c r="J400" s="218"/>
      <c r="K400" s="196"/>
      <c r="L400" s="81"/>
      <c r="M400" s="61"/>
      <c r="N400" s="61"/>
      <c r="O400" s="61"/>
    </row>
    <row r="401" spans="1:15" ht="15" customHeight="1">
      <c r="A401" s="218"/>
      <c r="B401" s="218"/>
      <c r="C401" s="218"/>
      <c r="D401" s="218"/>
      <c r="E401" s="218"/>
      <c r="F401" s="218"/>
      <c r="G401" s="218"/>
      <c r="H401" s="218"/>
      <c r="I401" s="218"/>
      <c r="J401" s="218"/>
      <c r="K401" s="196"/>
      <c r="L401" s="81"/>
      <c r="M401" s="61"/>
      <c r="N401" s="61"/>
      <c r="O401" s="61"/>
    </row>
    <row r="402" spans="1:15" ht="15" customHeight="1">
      <c r="A402" s="218"/>
      <c r="B402" s="218"/>
      <c r="C402" s="218"/>
      <c r="D402" s="218"/>
      <c r="E402" s="218"/>
      <c r="F402" s="218"/>
      <c r="G402" s="218"/>
      <c r="H402" s="218"/>
      <c r="I402" s="218"/>
      <c r="J402" s="218"/>
      <c r="K402" s="196"/>
      <c r="L402" s="81"/>
      <c r="M402" s="61"/>
      <c r="N402" s="61"/>
      <c r="O402" s="61"/>
    </row>
    <row r="403" spans="1:15" ht="15" customHeight="1">
      <c r="A403" s="218"/>
      <c r="B403" s="218"/>
      <c r="C403" s="218"/>
      <c r="D403" s="218"/>
      <c r="E403" s="218"/>
      <c r="F403" s="218"/>
      <c r="G403" s="218"/>
      <c r="H403" s="218"/>
      <c r="I403" s="218"/>
      <c r="J403" s="218"/>
      <c r="K403" s="196"/>
      <c r="L403" s="81"/>
      <c r="M403" s="61"/>
      <c r="N403" s="61"/>
      <c r="O403" s="61"/>
    </row>
    <row r="404" spans="1:15" ht="15" customHeight="1">
      <c r="A404" s="218"/>
      <c r="B404" s="218"/>
      <c r="C404" s="218"/>
      <c r="D404" s="218"/>
      <c r="E404" s="218"/>
      <c r="F404" s="218"/>
      <c r="G404" s="218"/>
      <c r="H404" s="218"/>
      <c r="I404" s="218"/>
      <c r="J404" s="218"/>
      <c r="K404" s="196"/>
      <c r="L404" s="81"/>
      <c r="M404" s="61"/>
      <c r="N404" s="61"/>
      <c r="O404" s="61"/>
    </row>
    <row r="405" spans="1:15" ht="15" customHeight="1">
      <c r="A405" s="218"/>
      <c r="B405" s="218"/>
      <c r="C405" s="218"/>
      <c r="D405" s="218"/>
      <c r="E405" s="218"/>
      <c r="F405" s="218"/>
      <c r="G405" s="218"/>
      <c r="H405" s="218"/>
      <c r="I405" s="218"/>
      <c r="J405" s="218"/>
      <c r="K405" s="196"/>
      <c r="L405" s="81"/>
      <c r="M405" s="61"/>
      <c r="N405" s="61"/>
      <c r="O405" s="61"/>
    </row>
    <row r="406" spans="1:15" ht="15" customHeight="1">
      <c r="A406" s="218"/>
      <c r="B406" s="218"/>
      <c r="C406" s="218"/>
      <c r="D406" s="218"/>
      <c r="E406" s="218"/>
      <c r="F406" s="218"/>
      <c r="G406" s="218"/>
      <c r="H406" s="218"/>
      <c r="I406" s="218"/>
      <c r="J406" s="218"/>
      <c r="K406" s="196"/>
      <c r="L406" s="81"/>
      <c r="M406" s="61"/>
      <c r="N406" s="61"/>
      <c r="O406" s="61"/>
    </row>
    <row r="407" spans="1:15" ht="15" customHeight="1">
      <c r="A407" s="218"/>
      <c r="B407" s="218"/>
      <c r="C407" s="218"/>
      <c r="D407" s="218"/>
      <c r="E407" s="218"/>
      <c r="F407" s="218"/>
      <c r="G407" s="218"/>
      <c r="H407" s="218"/>
      <c r="I407" s="218"/>
      <c r="J407" s="218"/>
      <c r="K407" s="196"/>
      <c r="L407" s="81"/>
      <c r="M407" s="61"/>
      <c r="N407" s="61"/>
      <c r="O407" s="61"/>
    </row>
    <row r="408" spans="1:15" ht="15" customHeight="1">
      <c r="A408" s="218"/>
      <c r="B408" s="218"/>
      <c r="C408" s="218"/>
      <c r="D408" s="218"/>
      <c r="E408" s="218"/>
      <c r="F408" s="218"/>
      <c r="G408" s="218"/>
      <c r="H408" s="218"/>
      <c r="I408" s="218"/>
      <c r="J408" s="218"/>
      <c r="K408" s="196"/>
      <c r="L408" s="81"/>
      <c r="M408" s="61"/>
      <c r="N408" s="61"/>
      <c r="O408" s="61"/>
    </row>
    <row r="409" spans="1:15" ht="15" customHeight="1">
      <c r="A409" s="218"/>
      <c r="B409" s="218"/>
      <c r="C409" s="218"/>
      <c r="D409" s="218"/>
      <c r="E409" s="218"/>
      <c r="F409" s="218"/>
      <c r="G409" s="218"/>
      <c r="H409" s="218"/>
      <c r="I409" s="218"/>
      <c r="J409" s="218"/>
      <c r="K409" s="196"/>
      <c r="L409" s="81"/>
      <c r="M409" s="61"/>
      <c r="N409" s="61"/>
      <c r="O409" s="61"/>
    </row>
    <row r="410" spans="1:15" ht="15" customHeight="1">
      <c r="A410" s="218"/>
      <c r="B410" s="218"/>
      <c r="C410" s="218"/>
      <c r="D410" s="218"/>
      <c r="E410" s="218"/>
      <c r="F410" s="218"/>
      <c r="G410" s="218"/>
      <c r="H410" s="218"/>
      <c r="I410" s="218"/>
      <c r="J410" s="218"/>
      <c r="K410" s="196"/>
      <c r="L410" s="81"/>
      <c r="M410" s="61"/>
      <c r="N410" s="61"/>
      <c r="O410" s="61"/>
    </row>
    <row r="411" spans="1:15" ht="15" customHeight="1">
      <c r="A411" s="218"/>
      <c r="B411" s="218"/>
      <c r="C411" s="218"/>
      <c r="D411" s="218"/>
      <c r="E411" s="218"/>
      <c r="F411" s="218"/>
      <c r="G411" s="218"/>
      <c r="H411" s="218"/>
      <c r="I411" s="218"/>
      <c r="J411" s="218"/>
      <c r="K411" s="1"/>
      <c r="L411" s="2"/>
      <c r="M411" s="61"/>
      <c r="N411" s="61"/>
      <c r="O411" s="61"/>
    </row>
    <row r="412" spans="1:15" ht="15" customHeight="1">
      <c r="A412" s="218"/>
      <c r="B412" s="218"/>
      <c r="C412" s="218"/>
      <c r="D412" s="218"/>
      <c r="E412" s="218"/>
      <c r="F412" s="218"/>
      <c r="G412" s="218"/>
      <c r="H412" s="218"/>
      <c r="I412" s="218"/>
      <c r="J412" s="218"/>
      <c r="M412" s="61"/>
      <c r="N412" s="61"/>
      <c r="O412" s="61"/>
    </row>
    <row r="413" spans="1:10" ht="15" customHeight="1">
      <c r="A413" s="218"/>
      <c r="B413" s="218"/>
      <c r="C413" s="218"/>
      <c r="D413" s="218"/>
      <c r="E413" s="218"/>
      <c r="F413" s="218"/>
      <c r="G413" s="218"/>
      <c r="H413" s="218"/>
      <c r="I413" s="218"/>
      <c r="J413" s="218"/>
    </row>
    <row r="414" spans="1:10" ht="15" customHeight="1">
      <c r="A414" s="218"/>
      <c r="B414" s="218"/>
      <c r="C414" s="218"/>
      <c r="D414" s="218"/>
      <c r="E414" s="218"/>
      <c r="F414" s="218"/>
      <c r="G414" s="218"/>
      <c r="H414" s="218"/>
      <c r="I414" s="218"/>
      <c r="J414" s="218"/>
    </row>
    <row r="415" spans="1:10" ht="15" customHeight="1">
      <c r="A415" s="218"/>
      <c r="B415" s="218"/>
      <c r="C415" s="218"/>
      <c r="D415" s="218"/>
      <c r="E415" s="218"/>
      <c r="F415" s="218"/>
      <c r="G415" s="218"/>
      <c r="H415" s="218"/>
      <c r="I415" s="218"/>
      <c r="J415" s="218"/>
    </row>
    <row r="416" spans="1:10" ht="15" customHeight="1">
      <c r="A416" s="218"/>
      <c r="B416" s="218"/>
      <c r="C416" s="218"/>
      <c r="D416" s="218"/>
      <c r="E416" s="218"/>
      <c r="F416" s="218"/>
      <c r="G416" s="218"/>
      <c r="H416" s="218"/>
      <c r="I416" s="218"/>
      <c r="J416" s="218"/>
    </row>
    <row r="417" spans="1:10" ht="15" customHeight="1">
      <c r="A417" s="218"/>
      <c r="B417" s="218"/>
      <c r="C417" s="218"/>
      <c r="D417" s="218"/>
      <c r="E417" s="218"/>
      <c r="F417" s="218"/>
      <c r="G417" s="218"/>
      <c r="H417" s="218"/>
      <c r="I417" s="218"/>
      <c r="J417" s="218"/>
    </row>
    <row r="418" spans="1:10" ht="15" customHeight="1">
      <c r="A418" s="218"/>
      <c r="B418" s="218"/>
      <c r="C418" s="218"/>
      <c r="D418" s="218"/>
      <c r="E418" s="218"/>
      <c r="F418" s="218"/>
      <c r="G418" s="218"/>
      <c r="H418" s="218"/>
      <c r="I418" s="218"/>
      <c r="J418" s="218"/>
    </row>
    <row r="419" spans="1:10" ht="15" customHeight="1">
      <c r="A419" s="218"/>
      <c r="B419" s="218"/>
      <c r="C419" s="218"/>
      <c r="D419" s="218"/>
      <c r="E419" s="218"/>
      <c r="F419" s="218"/>
      <c r="G419" s="218"/>
      <c r="H419" s="218"/>
      <c r="I419" s="218"/>
      <c r="J419" s="218"/>
    </row>
    <row r="420" spans="1:10" ht="15" customHeight="1">
      <c r="A420" s="218"/>
      <c r="B420" s="218"/>
      <c r="C420" s="218"/>
      <c r="D420" s="218"/>
      <c r="E420" s="218"/>
      <c r="F420" s="218"/>
      <c r="G420" s="218"/>
      <c r="H420" s="218"/>
      <c r="I420" s="218"/>
      <c r="J420" s="218"/>
    </row>
    <row r="421" spans="1:10" ht="15" customHeight="1">
      <c r="A421" s="218"/>
      <c r="B421" s="218"/>
      <c r="C421" s="218"/>
      <c r="D421" s="218"/>
      <c r="E421" s="218"/>
      <c r="F421" s="218"/>
      <c r="G421" s="218"/>
      <c r="H421" s="218"/>
      <c r="I421" s="218"/>
      <c r="J421" s="218"/>
    </row>
    <row r="422" spans="1:10" ht="15" customHeight="1">
      <c r="A422" s="218"/>
      <c r="B422" s="218"/>
      <c r="C422" s="218"/>
      <c r="D422" s="218"/>
      <c r="E422" s="218"/>
      <c r="F422" s="218"/>
      <c r="G422" s="218"/>
      <c r="H422" s="218"/>
      <c r="I422" s="218"/>
      <c r="J422" s="218"/>
    </row>
    <row r="423" spans="1:10" ht="15" customHeight="1">
      <c r="A423" s="218"/>
      <c r="B423" s="218"/>
      <c r="C423" s="218"/>
      <c r="D423" s="218"/>
      <c r="E423" s="218"/>
      <c r="F423" s="218"/>
      <c r="G423" s="218"/>
      <c r="H423" s="218"/>
      <c r="I423" s="218"/>
      <c r="J423" s="218"/>
    </row>
    <row r="424" spans="1:10" ht="15" customHeight="1">
      <c r="A424" s="218"/>
      <c r="B424" s="218"/>
      <c r="C424" s="218"/>
      <c r="D424" s="218"/>
      <c r="E424" s="218"/>
      <c r="F424" s="218"/>
      <c r="G424" s="218"/>
      <c r="H424" s="218"/>
      <c r="I424" s="218"/>
      <c r="J424" s="218"/>
    </row>
    <row r="425" spans="1:10" ht="15" customHeight="1">
      <c r="A425" s="218"/>
      <c r="B425" s="218"/>
      <c r="C425" s="218"/>
      <c r="D425" s="218"/>
      <c r="E425" s="218"/>
      <c r="F425" s="218"/>
      <c r="G425" s="218"/>
      <c r="H425" s="218"/>
      <c r="I425" s="218"/>
      <c r="J425" s="218"/>
    </row>
    <row r="426" spans="1:15" s="225" customFormat="1" ht="15" customHeight="1">
      <c r="A426" s="218"/>
      <c r="B426" s="218"/>
      <c r="C426" s="218"/>
      <c r="D426" s="218"/>
      <c r="E426" s="218"/>
      <c r="F426" s="218"/>
      <c r="G426" s="218"/>
      <c r="H426" s="218"/>
      <c r="I426" s="218"/>
      <c r="J426" s="218"/>
      <c r="K426" s="236"/>
      <c r="L426" s="3"/>
      <c r="M426" s="3"/>
      <c r="N426" s="3"/>
      <c r="O426" s="3"/>
    </row>
    <row r="427" spans="1:15" s="225" customFormat="1" ht="15" customHeight="1">
      <c r="A427" s="218"/>
      <c r="B427" s="218"/>
      <c r="C427" s="218"/>
      <c r="D427" s="218"/>
      <c r="E427" s="218"/>
      <c r="F427" s="218"/>
      <c r="G427" s="218"/>
      <c r="H427" s="218"/>
      <c r="I427" s="218"/>
      <c r="J427" s="218"/>
      <c r="K427" s="236"/>
      <c r="L427" s="3"/>
      <c r="M427" s="3"/>
      <c r="N427" s="3"/>
      <c r="O427" s="3"/>
    </row>
    <row r="428" spans="1:15" s="225" customFormat="1" ht="15" customHeight="1">
      <c r="A428" s="218"/>
      <c r="B428" s="218"/>
      <c r="C428" s="218"/>
      <c r="D428" s="218"/>
      <c r="E428" s="218"/>
      <c r="F428" s="218"/>
      <c r="G428" s="218"/>
      <c r="H428" s="218"/>
      <c r="I428" s="218"/>
      <c r="J428" s="218"/>
      <c r="K428" s="236"/>
      <c r="L428" s="3"/>
      <c r="M428" s="3"/>
      <c r="N428" s="3"/>
      <c r="O428" s="3"/>
    </row>
    <row r="429" spans="1:10" s="225" customFormat="1" ht="15" customHeight="1">
      <c r="A429" s="218"/>
      <c r="B429" s="218"/>
      <c r="C429" s="218"/>
      <c r="D429" s="218"/>
      <c r="E429" s="218"/>
      <c r="F429" s="218"/>
      <c r="G429" s="218"/>
      <c r="H429" s="218"/>
      <c r="I429" s="218"/>
      <c r="J429" s="218"/>
    </row>
    <row r="430" spans="1:11" s="225" customFormat="1" ht="15" customHeight="1">
      <c r="A430" s="218"/>
      <c r="B430" s="218"/>
      <c r="C430" s="218"/>
      <c r="D430" s="218"/>
      <c r="E430" s="218"/>
      <c r="F430" s="218"/>
      <c r="G430" s="218"/>
      <c r="H430" s="218"/>
      <c r="I430" s="218"/>
      <c r="J430" s="218"/>
      <c r="K430" s="237"/>
    </row>
    <row r="431" spans="1:11" s="225" customFormat="1" ht="15" customHeight="1">
      <c r="A431" s="218"/>
      <c r="B431" s="218"/>
      <c r="C431" s="218"/>
      <c r="D431" s="218"/>
      <c r="E431" s="218"/>
      <c r="F431" s="218"/>
      <c r="G431" s="218"/>
      <c r="H431" s="218"/>
      <c r="I431" s="218"/>
      <c r="J431" s="218"/>
      <c r="K431" s="237"/>
    </row>
    <row r="432" spans="1:11" s="225" customFormat="1" ht="15" customHeight="1">
      <c r="A432" s="218"/>
      <c r="B432" s="218"/>
      <c r="C432" s="218"/>
      <c r="D432" s="218"/>
      <c r="E432" s="218"/>
      <c r="F432" s="218"/>
      <c r="G432" s="218"/>
      <c r="H432" s="218"/>
      <c r="I432" s="218"/>
      <c r="J432" s="218"/>
      <c r="K432" s="237"/>
    </row>
    <row r="433" spans="1:11" s="225" customFormat="1" ht="15" customHeight="1">
      <c r="A433" s="218"/>
      <c r="B433" s="218"/>
      <c r="C433" s="218"/>
      <c r="D433" s="218"/>
      <c r="E433" s="218"/>
      <c r="F433" s="218"/>
      <c r="G433" s="218"/>
      <c r="H433" s="218"/>
      <c r="I433" s="218"/>
      <c r="J433" s="218"/>
      <c r="K433" s="237"/>
    </row>
    <row r="434" spans="1:11" s="225" customFormat="1" ht="15" customHeight="1">
      <c r="A434" s="218"/>
      <c r="B434" s="218"/>
      <c r="C434" s="218"/>
      <c r="D434" s="218"/>
      <c r="E434" s="218"/>
      <c r="F434" s="218"/>
      <c r="G434" s="218"/>
      <c r="H434" s="218"/>
      <c r="I434" s="218"/>
      <c r="J434" s="218"/>
      <c r="K434" s="237"/>
    </row>
    <row r="435" spans="1:11" s="225" customFormat="1" ht="15" customHeight="1">
      <c r="A435" s="218"/>
      <c r="B435" s="218"/>
      <c r="C435" s="218"/>
      <c r="D435" s="218"/>
      <c r="E435" s="218"/>
      <c r="F435" s="218"/>
      <c r="G435" s="218"/>
      <c r="H435" s="218"/>
      <c r="I435" s="218"/>
      <c r="J435" s="218"/>
      <c r="K435" s="237"/>
    </row>
    <row r="436" spans="1:11" s="225" customFormat="1" ht="15" customHeight="1">
      <c r="A436" s="218"/>
      <c r="B436" s="218"/>
      <c r="C436" s="218"/>
      <c r="D436" s="218"/>
      <c r="E436" s="218"/>
      <c r="F436" s="218"/>
      <c r="G436" s="218"/>
      <c r="H436" s="218"/>
      <c r="I436" s="218"/>
      <c r="J436" s="218"/>
      <c r="K436" s="237"/>
    </row>
    <row r="437" spans="1:11" s="225" customFormat="1" ht="15" customHeight="1">
      <c r="A437" s="218"/>
      <c r="B437" s="218"/>
      <c r="C437" s="218"/>
      <c r="D437" s="218"/>
      <c r="E437" s="218"/>
      <c r="F437" s="218"/>
      <c r="G437" s="218"/>
      <c r="H437" s="218"/>
      <c r="I437" s="218"/>
      <c r="J437" s="218"/>
      <c r="K437" s="237"/>
    </row>
    <row r="438" spans="1:11" s="225" customFormat="1" ht="15" customHeight="1">
      <c r="A438" s="218"/>
      <c r="B438" s="218"/>
      <c r="C438" s="218"/>
      <c r="D438" s="218"/>
      <c r="E438" s="218"/>
      <c r="F438" s="218"/>
      <c r="G438" s="218"/>
      <c r="H438" s="218"/>
      <c r="I438" s="218"/>
      <c r="J438" s="218"/>
      <c r="K438" s="237"/>
    </row>
    <row r="439" spans="1:11" s="225" customFormat="1" ht="15" customHeight="1">
      <c r="A439" s="218"/>
      <c r="B439" s="218"/>
      <c r="C439" s="218"/>
      <c r="D439" s="218"/>
      <c r="E439" s="218"/>
      <c r="F439" s="218"/>
      <c r="G439" s="218"/>
      <c r="H439" s="218"/>
      <c r="I439" s="218"/>
      <c r="J439" s="218"/>
      <c r="K439" s="237"/>
    </row>
    <row r="440" spans="1:11" s="225" customFormat="1" ht="15" customHeight="1">
      <c r="A440" s="218"/>
      <c r="B440" s="218"/>
      <c r="C440" s="218"/>
      <c r="D440" s="218"/>
      <c r="E440" s="218"/>
      <c r="F440" s="218"/>
      <c r="G440" s="218"/>
      <c r="H440" s="218"/>
      <c r="I440" s="218"/>
      <c r="J440" s="218"/>
      <c r="K440" s="237"/>
    </row>
    <row r="441" spans="1:11" s="225" customFormat="1" ht="15" customHeight="1">
      <c r="A441" s="218"/>
      <c r="B441" s="218"/>
      <c r="C441" s="218"/>
      <c r="D441" s="218"/>
      <c r="E441" s="218"/>
      <c r="F441" s="218"/>
      <c r="G441" s="218"/>
      <c r="H441" s="218"/>
      <c r="I441" s="218"/>
      <c r="J441" s="218"/>
      <c r="K441" s="237"/>
    </row>
    <row r="442" spans="1:11" s="225" customFormat="1" ht="15" customHeight="1">
      <c r="A442" s="218"/>
      <c r="B442" s="218"/>
      <c r="C442" s="218"/>
      <c r="D442" s="218"/>
      <c r="E442" s="218"/>
      <c r="F442" s="218"/>
      <c r="G442" s="218"/>
      <c r="H442" s="218"/>
      <c r="I442" s="218"/>
      <c r="J442" s="218"/>
      <c r="K442" s="237"/>
    </row>
    <row r="443" spans="1:11" s="225" customFormat="1" ht="15" customHeight="1">
      <c r="A443" s="218"/>
      <c r="B443" s="218"/>
      <c r="C443" s="218"/>
      <c r="D443" s="218"/>
      <c r="E443" s="218"/>
      <c r="F443" s="218"/>
      <c r="G443" s="218"/>
      <c r="H443" s="218"/>
      <c r="I443" s="218"/>
      <c r="J443" s="218"/>
      <c r="K443" s="237"/>
    </row>
    <row r="444" spans="1:11" s="225" customFormat="1" ht="15" customHeight="1">
      <c r="A444" s="218"/>
      <c r="B444" s="218"/>
      <c r="C444" s="218"/>
      <c r="D444" s="218"/>
      <c r="E444" s="218"/>
      <c r="F444" s="218"/>
      <c r="G444" s="218"/>
      <c r="H444" s="218"/>
      <c r="I444" s="218"/>
      <c r="J444" s="218"/>
      <c r="K444" s="237"/>
    </row>
    <row r="445" spans="1:11" s="225" customFormat="1" ht="15" customHeight="1">
      <c r="A445" s="218"/>
      <c r="B445" s="218"/>
      <c r="C445" s="218"/>
      <c r="D445" s="218"/>
      <c r="E445" s="218"/>
      <c r="F445" s="218"/>
      <c r="G445" s="218"/>
      <c r="H445" s="218"/>
      <c r="I445" s="218"/>
      <c r="J445" s="218"/>
      <c r="K445" s="237"/>
    </row>
    <row r="446" spans="1:11" s="225" customFormat="1" ht="15" customHeight="1">
      <c r="A446" s="218"/>
      <c r="B446" s="218"/>
      <c r="C446" s="218"/>
      <c r="D446" s="218"/>
      <c r="E446" s="218"/>
      <c r="F446" s="218"/>
      <c r="G446" s="218"/>
      <c r="H446" s="218"/>
      <c r="I446" s="218"/>
      <c r="J446" s="218"/>
      <c r="K446" s="237"/>
    </row>
    <row r="447" spans="1:11" s="225" customFormat="1" ht="15" customHeight="1">
      <c r="A447" s="218"/>
      <c r="B447" s="218"/>
      <c r="C447" s="218"/>
      <c r="D447" s="218"/>
      <c r="E447" s="218"/>
      <c r="F447" s="218"/>
      <c r="G447" s="218"/>
      <c r="H447" s="218"/>
      <c r="I447" s="218"/>
      <c r="J447" s="218"/>
      <c r="K447" s="237"/>
    </row>
    <row r="448" spans="1:11" s="225" customFormat="1" ht="15" customHeight="1">
      <c r="A448" s="218"/>
      <c r="B448" s="218"/>
      <c r="C448" s="218"/>
      <c r="D448" s="218"/>
      <c r="E448" s="218"/>
      <c r="F448" s="218"/>
      <c r="G448" s="218"/>
      <c r="H448" s="218"/>
      <c r="I448" s="218"/>
      <c r="J448" s="218"/>
      <c r="K448" s="237"/>
    </row>
    <row r="449" spans="1:11" s="225" customFormat="1" ht="21.75" customHeight="1">
      <c r="A449" s="218"/>
      <c r="B449" s="218"/>
      <c r="C449" s="218"/>
      <c r="D449" s="218"/>
      <c r="E449" s="218"/>
      <c r="F449" s="218"/>
      <c r="G449" s="218"/>
      <c r="H449" s="218"/>
      <c r="I449" s="218"/>
      <c r="J449" s="218"/>
      <c r="K449" s="237"/>
    </row>
    <row r="450" spans="1:11" s="225" customFormat="1" ht="15" customHeight="1">
      <c r="A450" s="218"/>
      <c r="B450" s="218"/>
      <c r="C450" s="218"/>
      <c r="D450" s="218"/>
      <c r="E450" s="218"/>
      <c r="F450" s="218"/>
      <c r="G450" s="218"/>
      <c r="H450" s="218"/>
      <c r="I450" s="218"/>
      <c r="J450" s="218"/>
      <c r="K450" s="237"/>
    </row>
    <row r="451" spans="1:11" s="225" customFormat="1" ht="15" customHeight="1">
      <c r="A451" s="218"/>
      <c r="B451" s="218"/>
      <c r="C451" s="218"/>
      <c r="D451" s="218"/>
      <c r="E451" s="218"/>
      <c r="F451" s="218"/>
      <c r="G451" s="218"/>
      <c r="H451" s="218"/>
      <c r="I451" s="218"/>
      <c r="J451" s="218"/>
      <c r="K451" s="237"/>
    </row>
    <row r="452" spans="1:11" s="225" customFormat="1" ht="15" customHeight="1">
      <c r="A452" s="218"/>
      <c r="B452" s="218"/>
      <c r="C452" s="218"/>
      <c r="D452" s="218"/>
      <c r="E452" s="218"/>
      <c r="F452" s="218"/>
      <c r="G452" s="218"/>
      <c r="H452" s="218"/>
      <c r="I452" s="218"/>
      <c r="J452" s="218"/>
      <c r="K452" s="237"/>
    </row>
    <row r="453" spans="1:11" s="225" customFormat="1" ht="15" customHeight="1">
      <c r="A453" s="218"/>
      <c r="B453" s="218"/>
      <c r="C453" s="218"/>
      <c r="D453" s="218"/>
      <c r="E453" s="218"/>
      <c r="F453" s="218"/>
      <c r="G453" s="218"/>
      <c r="H453" s="218"/>
      <c r="I453" s="218"/>
      <c r="J453" s="218"/>
      <c r="K453" s="237"/>
    </row>
    <row r="454" spans="1:11" s="225" customFormat="1" ht="15" customHeight="1">
      <c r="A454" s="218"/>
      <c r="B454" s="218"/>
      <c r="C454" s="218"/>
      <c r="D454" s="218"/>
      <c r="E454" s="218"/>
      <c r="F454" s="218"/>
      <c r="G454" s="218"/>
      <c r="H454" s="218"/>
      <c r="I454" s="218"/>
      <c r="J454" s="218"/>
      <c r="K454" s="237"/>
    </row>
    <row r="455" spans="1:11" s="225" customFormat="1" ht="15" customHeight="1">
      <c r="A455" s="218"/>
      <c r="B455" s="218"/>
      <c r="C455" s="218"/>
      <c r="D455" s="218"/>
      <c r="E455" s="218"/>
      <c r="F455" s="218"/>
      <c r="G455" s="218"/>
      <c r="H455" s="218"/>
      <c r="I455" s="218"/>
      <c r="J455" s="218"/>
      <c r="K455" s="237"/>
    </row>
    <row r="456" spans="1:11" s="225" customFormat="1" ht="15" customHeight="1">
      <c r="A456" s="218"/>
      <c r="B456" s="218"/>
      <c r="C456" s="218"/>
      <c r="D456" s="218"/>
      <c r="E456" s="218"/>
      <c r="F456" s="218"/>
      <c r="G456" s="218"/>
      <c r="H456" s="218"/>
      <c r="I456" s="218"/>
      <c r="J456" s="218"/>
      <c r="K456" s="237"/>
    </row>
    <row r="457" spans="1:15" ht="15" customHeight="1">
      <c r="A457" s="218"/>
      <c r="B457" s="218"/>
      <c r="C457" s="218"/>
      <c r="D457" s="218"/>
      <c r="E457" s="218"/>
      <c r="F457" s="218"/>
      <c r="G457" s="218"/>
      <c r="H457" s="218"/>
      <c r="I457" s="218"/>
      <c r="J457" s="218"/>
      <c r="K457" s="237"/>
      <c r="L457" s="225"/>
      <c r="M457" s="225"/>
      <c r="N457" s="225"/>
      <c r="O457" s="225"/>
    </row>
    <row r="458" spans="1:15" ht="15" customHeight="1">
      <c r="A458" s="218"/>
      <c r="B458" s="218"/>
      <c r="C458" s="218"/>
      <c r="D458" s="218"/>
      <c r="E458" s="218"/>
      <c r="F458" s="218"/>
      <c r="G458" s="218"/>
      <c r="H458" s="218"/>
      <c r="I458" s="218"/>
      <c r="J458" s="218"/>
      <c r="K458" s="237"/>
      <c r="L458" s="225"/>
      <c r="M458" s="225"/>
      <c r="N458" s="225"/>
      <c r="O458" s="225"/>
    </row>
    <row r="459" spans="1:15" ht="15" customHeight="1">
      <c r="A459" s="218"/>
      <c r="B459" s="218"/>
      <c r="C459" s="218"/>
      <c r="D459" s="218"/>
      <c r="E459" s="218"/>
      <c r="F459" s="218"/>
      <c r="G459" s="218"/>
      <c r="H459" s="218"/>
      <c r="I459" s="218"/>
      <c r="J459" s="218"/>
      <c r="K459" s="237"/>
      <c r="L459" s="225"/>
      <c r="M459" s="225"/>
      <c r="N459" s="225"/>
      <c r="O459" s="225"/>
    </row>
    <row r="460" spans="1:10" ht="15" customHeight="1">
      <c r="A460" s="218"/>
      <c r="B460" s="218"/>
      <c r="C460" s="218"/>
      <c r="D460" s="218"/>
      <c r="E460" s="218"/>
      <c r="F460" s="218"/>
      <c r="G460" s="218"/>
      <c r="H460" s="218"/>
      <c r="I460" s="218"/>
      <c r="J460" s="218"/>
    </row>
    <row r="461" spans="1:10" ht="15" customHeight="1">
      <c r="A461" s="218"/>
      <c r="B461" s="218"/>
      <c r="C461" s="218"/>
      <c r="D461" s="218"/>
      <c r="E461" s="218"/>
      <c r="F461" s="218"/>
      <c r="G461" s="218"/>
      <c r="H461" s="218"/>
      <c r="I461" s="218"/>
      <c r="J461" s="218"/>
    </row>
    <row r="462" spans="1:10" ht="15" customHeight="1">
      <c r="A462" s="218"/>
      <c r="B462" s="218"/>
      <c r="C462" s="218"/>
      <c r="D462" s="218"/>
      <c r="E462" s="218"/>
      <c r="F462" s="218"/>
      <c r="G462" s="218"/>
      <c r="H462" s="218"/>
      <c r="I462" s="218"/>
      <c r="J462" s="218"/>
    </row>
    <row r="463" spans="1:10" ht="15" customHeight="1">
      <c r="A463" s="218"/>
      <c r="B463" s="218"/>
      <c r="C463" s="218"/>
      <c r="D463" s="218"/>
      <c r="E463" s="218"/>
      <c r="F463" s="218"/>
      <c r="G463" s="218"/>
      <c r="H463" s="218"/>
      <c r="I463" s="218"/>
      <c r="J463" s="218"/>
    </row>
    <row r="464" spans="1:10" ht="15" customHeight="1">
      <c r="A464" s="218"/>
      <c r="B464" s="218"/>
      <c r="C464" s="218"/>
      <c r="D464" s="218"/>
      <c r="E464" s="218"/>
      <c r="F464" s="218"/>
      <c r="G464" s="218"/>
      <c r="H464" s="218"/>
      <c r="I464" s="218"/>
      <c r="J464" s="218"/>
    </row>
    <row r="465" spans="1:10" ht="15" customHeight="1">
      <c r="A465" s="218"/>
      <c r="B465" s="218"/>
      <c r="C465" s="218"/>
      <c r="D465" s="218"/>
      <c r="E465" s="218"/>
      <c r="F465" s="218"/>
      <c r="G465" s="218"/>
      <c r="H465" s="218"/>
      <c r="I465" s="218"/>
      <c r="J465" s="218"/>
    </row>
    <row r="466" spans="1:10" ht="15" customHeight="1">
      <c r="A466" s="218"/>
      <c r="B466" s="218"/>
      <c r="C466" s="218"/>
      <c r="D466" s="218"/>
      <c r="E466" s="218"/>
      <c r="F466" s="218"/>
      <c r="G466" s="218"/>
      <c r="H466" s="218"/>
      <c r="I466" s="218"/>
      <c r="J466" s="218"/>
    </row>
    <row r="467" spans="1:10" ht="15" customHeight="1">
      <c r="A467" s="218"/>
      <c r="B467" s="218"/>
      <c r="C467" s="218"/>
      <c r="D467" s="218"/>
      <c r="E467" s="218"/>
      <c r="F467" s="218"/>
      <c r="G467" s="218"/>
      <c r="H467" s="218"/>
      <c r="I467" s="218"/>
      <c r="J467" s="218"/>
    </row>
    <row r="468" spans="1:10" ht="15" customHeight="1">
      <c r="A468" s="218"/>
      <c r="B468" s="218"/>
      <c r="C468" s="218"/>
      <c r="D468" s="218"/>
      <c r="E468" s="218"/>
      <c r="F468" s="218"/>
      <c r="G468" s="218"/>
      <c r="H468" s="218"/>
      <c r="I468" s="218"/>
      <c r="J468" s="218"/>
    </row>
    <row r="469" spans="1:10" ht="15" customHeight="1">
      <c r="A469" s="218"/>
      <c r="B469" s="218"/>
      <c r="C469" s="218"/>
      <c r="D469" s="218"/>
      <c r="E469" s="218"/>
      <c r="F469" s="218"/>
      <c r="G469" s="218"/>
      <c r="H469" s="218"/>
      <c r="I469" s="218"/>
      <c r="J469" s="218"/>
    </row>
    <row r="470" spans="1:10" ht="15" customHeight="1">
      <c r="A470" s="218"/>
      <c r="B470" s="218"/>
      <c r="C470" s="218"/>
      <c r="D470" s="218"/>
      <c r="E470" s="218"/>
      <c r="F470" s="218"/>
      <c r="G470" s="218"/>
      <c r="H470" s="218"/>
      <c r="I470" s="218"/>
      <c r="J470" s="218"/>
    </row>
    <row r="471" spans="1:10" ht="15" customHeight="1">
      <c r="A471" s="218"/>
      <c r="B471" s="218"/>
      <c r="C471" s="218"/>
      <c r="D471" s="218"/>
      <c r="E471" s="218"/>
      <c r="F471" s="218"/>
      <c r="G471" s="218"/>
      <c r="H471" s="218"/>
      <c r="I471" s="218"/>
      <c r="J471" s="218"/>
    </row>
    <row r="472" spans="1:10" ht="15" customHeight="1">
      <c r="A472" s="218"/>
      <c r="B472" s="218"/>
      <c r="C472" s="218"/>
      <c r="D472" s="218"/>
      <c r="E472" s="218"/>
      <c r="F472" s="218"/>
      <c r="G472" s="218"/>
      <c r="H472" s="218"/>
      <c r="I472" s="218"/>
      <c r="J472" s="218"/>
    </row>
    <row r="473" spans="1:10" ht="15" customHeight="1">
      <c r="A473" s="218"/>
      <c r="B473" s="218"/>
      <c r="C473" s="218"/>
      <c r="D473" s="218"/>
      <c r="E473" s="218"/>
      <c r="F473" s="218"/>
      <c r="G473" s="218"/>
      <c r="H473" s="218"/>
      <c r="I473" s="218"/>
      <c r="J473" s="218"/>
    </row>
    <row r="474" spans="1:10" ht="15" customHeight="1">
      <c r="A474" s="218"/>
      <c r="B474" s="218"/>
      <c r="C474" s="218"/>
      <c r="D474" s="218"/>
      <c r="E474" s="218"/>
      <c r="F474" s="218"/>
      <c r="G474" s="218"/>
      <c r="H474" s="218"/>
      <c r="I474" s="218"/>
      <c r="J474" s="218"/>
    </row>
    <row r="475" spans="1:10" ht="15" customHeight="1">
      <c r="A475" s="218"/>
      <c r="B475" s="218"/>
      <c r="C475" s="218"/>
      <c r="D475" s="218"/>
      <c r="E475" s="218"/>
      <c r="F475" s="218"/>
      <c r="G475" s="218"/>
      <c r="H475" s="218"/>
      <c r="I475" s="218"/>
      <c r="J475" s="218"/>
    </row>
    <row r="476" spans="1:10" ht="15" customHeight="1">
      <c r="A476" s="218"/>
      <c r="B476" s="218"/>
      <c r="C476" s="218"/>
      <c r="D476" s="218"/>
      <c r="E476" s="218"/>
      <c r="F476" s="218"/>
      <c r="G476" s="218"/>
      <c r="H476" s="218"/>
      <c r="I476" s="218"/>
      <c r="J476" s="218"/>
    </row>
    <row r="477" spans="1:10" ht="15" customHeight="1">
      <c r="A477" s="218"/>
      <c r="B477" s="218"/>
      <c r="C477" s="218"/>
      <c r="D477" s="218"/>
      <c r="E477" s="218"/>
      <c r="F477" s="218"/>
      <c r="G477" s="218"/>
      <c r="H477" s="218"/>
      <c r="I477" s="218"/>
      <c r="J477" s="218"/>
    </row>
    <row r="478" spans="1:10" ht="15" customHeight="1">
      <c r="A478" s="218"/>
      <c r="B478" s="218"/>
      <c r="C478" s="218"/>
      <c r="D478" s="218"/>
      <c r="E478" s="218"/>
      <c r="F478" s="218"/>
      <c r="G478" s="218"/>
      <c r="H478" s="218"/>
      <c r="I478" s="218"/>
      <c r="J478" s="218"/>
    </row>
    <row r="479" spans="1:10" ht="15" customHeight="1">
      <c r="A479" s="218"/>
      <c r="B479" s="218"/>
      <c r="C479" s="218"/>
      <c r="D479" s="218"/>
      <c r="E479" s="218"/>
      <c r="F479" s="218"/>
      <c r="G479" s="218"/>
      <c r="H479" s="218"/>
      <c r="I479" s="218"/>
      <c r="J479" s="218"/>
    </row>
    <row r="480" spans="1:10" ht="15" customHeight="1">
      <c r="A480" s="218"/>
      <c r="B480" s="218"/>
      <c r="C480" s="218"/>
      <c r="D480" s="218"/>
      <c r="E480" s="218"/>
      <c r="F480" s="218"/>
      <c r="G480" s="218"/>
      <c r="H480" s="218"/>
      <c r="I480" s="218"/>
      <c r="J480" s="218"/>
    </row>
    <row r="481" spans="1:10" ht="15" customHeight="1">
      <c r="A481" s="218"/>
      <c r="B481" s="218"/>
      <c r="C481" s="218"/>
      <c r="D481" s="218"/>
      <c r="E481" s="218"/>
      <c r="F481" s="218"/>
      <c r="G481" s="218"/>
      <c r="H481" s="218"/>
      <c r="I481" s="218"/>
      <c r="J481" s="218"/>
    </row>
    <row r="482" spans="1:10" ht="15" customHeight="1">
      <c r="A482" s="218"/>
      <c r="B482" s="218"/>
      <c r="C482" s="218"/>
      <c r="D482" s="218"/>
      <c r="E482" s="218"/>
      <c r="F482" s="218"/>
      <c r="G482" s="218"/>
      <c r="H482" s="218"/>
      <c r="I482" s="218"/>
      <c r="J482" s="218"/>
    </row>
    <row r="483" spans="1:10" ht="15" customHeight="1">
      <c r="A483" s="218"/>
      <c r="B483" s="218"/>
      <c r="C483" s="218"/>
      <c r="D483" s="218"/>
      <c r="E483" s="218"/>
      <c r="F483" s="218"/>
      <c r="G483" s="218"/>
      <c r="H483" s="218"/>
      <c r="I483" s="218"/>
      <c r="J483" s="218"/>
    </row>
    <row r="484" spans="1:10" ht="15" customHeight="1">
      <c r="A484" s="218"/>
      <c r="B484" s="218"/>
      <c r="C484" s="218"/>
      <c r="D484" s="218"/>
      <c r="E484" s="218"/>
      <c r="F484" s="218"/>
      <c r="G484" s="218"/>
      <c r="H484" s="218"/>
      <c r="I484" s="218"/>
      <c r="J484" s="218"/>
    </row>
    <row r="485" spans="1:10" ht="15" customHeight="1">
      <c r="A485" s="218"/>
      <c r="B485" s="218"/>
      <c r="C485" s="218"/>
      <c r="D485" s="218"/>
      <c r="E485" s="218"/>
      <c r="F485" s="218"/>
      <c r="G485" s="218"/>
      <c r="H485" s="218"/>
      <c r="I485" s="218"/>
      <c r="J485" s="218"/>
    </row>
    <row r="486" spans="1:10" ht="15" customHeight="1">
      <c r="A486" s="218"/>
      <c r="B486" s="218"/>
      <c r="C486" s="218"/>
      <c r="D486" s="218"/>
      <c r="E486" s="218"/>
      <c r="F486" s="218"/>
      <c r="G486" s="218"/>
      <c r="H486" s="218"/>
      <c r="I486" s="218"/>
      <c r="J486" s="218"/>
    </row>
    <row r="487" spans="1:10" ht="15" customHeight="1">
      <c r="A487" s="218"/>
      <c r="B487" s="218"/>
      <c r="C487" s="218"/>
      <c r="D487" s="218"/>
      <c r="E487" s="218"/>
      <c r="F487" s="218"/>
      <c r="G487" s="218"/>
      <c r="H487" s="218"/>
      <c r="I487" s="218"/>
      <c r="J487" s="218"/>
    </row>
    <row r="488" spans="1:10" ht="15" customHeight="1">
      <c r="A488" s="218"/>
      <c r="B488" s="218"/>
      <c r="C488" s="218"/>
      <c r="D488" s="218"/>
      <c r="E488" s="218"/>
      <c r="F488" s="218"/>
      <c r="G488" s="218"/>
      <c r="H488" s="218"/>
      <c r="I488" s="218"/>
      <c r="J488" s="218"/>
    </row>
    <row r="489" spans="1:10" ht="15" customHeight="1">
      <c r="A489" s="218"/>
      <c r="B489" s="218"/>
      <c r="C489" s="218"/>
      <c r="D489" s="218"/>
      <c r="E489" s="218"/>
      <c r="F489" s="218"/>
      <c r="G489" s="218"/>
      <c r="H489" s="218"/>
      <c r="I489" s="218"/>
      <c r="J489" s="218"/>
    </row>
    <row r="490" spans="1:10" ht="15" customHeight="1">
      <c r="A490" s="218"/>
      <c r="B490" s="218"/>
      <c r="C490" s="218"/>
      <c r="D490" s="218"/>
      <c r="E490" s="218"/>
      <c r="F490" s="218"/>
      <c r="G490" s="218"/>
      <c r="H490" s="218"/>
      <c r="I490" s="218"/>
      <c r="J490" s="218"/>
    </row>
    <row r="491" spans="1:10" ht="15" customHeight="1">
      <c r="A491" s="218"/>
      <c r="B491" s="218"/>
      <c r="C491" s="218"/>
      <c r="D491" s="218"/>
      <c r="E491" s="218"/>
      <c r="F491" s="218"/>
      <c r="G491" s="218"/>
      <c r="H491" s="218"/>
      <c r="I491" s="218"/>
      <c r="J491" s="218"/>
    </row>
    <row r="492" spans="1:10" ht="15" customHeight="1">
      <c r="A492" s="218"/>
      <c r="B492" s="218"/>
      <c r="C492" s="218"/>
      <c r="D492" s="218"/>
      <c r="E492" s="218"/>
      <c r="F492" s="218"/>
      <c r="G492" s="218"/>
      <c r="H492" s="218"/>
      <c r="I492" s="218"/>
      <c r="J492" s="218"/>
    </row>
    <row r="493" spans="1:10" ht="15" customHeight="1">
      <c r="A493" s="218"/>
      <c r="B493" s="218"/>
      <c r="C493" s="218"/>
      <c r="D493" s="218"/>
      <c r="E493" s="218"/>
      <c r="F493" s="218"/>
      <c r="G493" s="218"/>
      <c r="H493" s="218"/>
      <c r="I493" s="218"/>
      <c r="J493" s="218"/>
    </row>
    <row r="494" spans="1:10" ht="15" customHeight="1">
      <c r="A494" s="218"/>
      <c r="B494" s="218"/>
      <c r="C494" s="218"/>
      <c r="D494" s="218"/>
      <c r="E494" s="218"/>
      <c r="F494" s="218"/>
      <c r="G494" s="218"/>
      <c r="H494" s="218"/>
      <c r="I494" s="218"/>
      <c r="J494" s="218"/>
    </row>
    <row r="495" spans="1:10" ht="15" customHeight="1">
      <c r="A495" s="218"/>
      <c r="B495" s="218"/>
      <c r="C495" s="218"/>
      <c r="D495" s="218"/>
      <c r="E495" s="218"/>
      <c r="F495" s="218"/>
      <c r="G495" s="218"/>
      <c r="H495" s="218"/>
      <c r="I495" s="218"/>
      <c r="J495" s="218"/>
    </row>
    <row r="496" spans="1:10" ht="15" customHeight="1">
      <c r="A496" s="218"/>
      <c r="B496" s="218"/>
      <c r="C496" s="218"/>
      <c r="D496" s="218"/>
      <c r="E496" s="218"/>
      <c r="F496" s="218"/>
      <c r="G496" s="218"/>
      <c r="H496" s="218"/>
      <c r="I496" s="218"/>
      <c r="J496" s="218"/>
    </row>
    <row r="497" spans="1:10" ht="15" customHeight="1">
      <c r="A497" s="218"/>
      <c r="B497" s="218"/>
      <c r="C497" s="218"/>
      <c r="D497" s="218"/>
      <c r="E497" s="218"/>
      <c r="F497" s="218"/>
      <c r="G497" s="218"/>
      <c r="H497" s="218"/>
      <c r="I497" s="218"/>
      <c r="J497" s="218"/>
    </row>
    <row r="498" spans="1:10" ht="15" customHeight="1">
      <c r="A498" s="218"/>
      <c r="B498" s="218"/>
      <c r="C498" s="218"/>
      <c r="D498" s="218"/>
      <c r="E498" s="218"/>
      <c r="F498" s="218"/>
      <c r="G498" s="218"/>
      <c r="H498" s="218"/>
      <c r="I498" s="218"/>
      <c r="J498" s="218"/>
    </row>
    <row r="499" spans="1:10" ht="15" customHeight="1">
      <c r="A499" s="218"/>
      <c r="B499" s="218"/>
      <c r="C499" s="218"/>
      <c r="D499" s="218"/>
      <c r="E499" s="218"/>
      <c r="F499" s="218"/>
      <c r="G499" s="218"/>
      <c r="H499" s="218"/>
      <c r="I499" s="218"/>
      <c r="J499" s="218"/>
    </row>
    <row r="500" spans="1:10" ht="15" customHeight="1">
      <c r="A500" s="218"/>
      <c r="B500" s="218"/>
      <c r="C500" s="218"/>
      <c r="D500" s="218"/>
      <c r="E500" s="218"/>
      <c r="F500" s="218"/>
      <c r="G500" s="218"/>
      <c r="H500" s="218"/>
      <c r="I500" s="218"/>
      <c r="J500" s="218"/>
    </row>
    <row r="501" spans="1:10" ht="15" customHeight="1">
      <c r="A501" s="218"/>
      <c r="B501" s="218"/>
      <c r="C501" s="218"/>
      <c r="D501" s="218"/>
      <c r="E501" s="218"/>
      <c r="F501" s="218"/>
      <c r="G501" s="218"/>
      <c r="H501" s="218"/>
      <c r="I501" s="218"/>
      <c r="J501" s="218"/>
    </row>
    <row r="502" spans="1:10" ht="15" customHeight="1">
      <c r="A502" s="218"/>
      <c r="B502" s="218"/>
      <c r="C502" s="218"/>
      <c r="D502" s="218"/>
      <c r="E502" s="218"/>
      <c r="F502" s="218"/>
      <c r="G502" s="218"/>
      <c r="H502" s="218"/>
      <c r="I502" s="218"/>
      <c r="J502" s="218"/>
    </row>
    <row r="503" spans="1:10" ht="15" customHeight="1">
      <c r="A503" s="218"/>
      <c r="B503" s="218"/>
      <c r="C503" s="218"/>
      <c r="D503" s="218"/>
      <c r="E503" s="218"/>
      <c r="F503" s="218"/>
      <c r="G503" s="218"/>
      <c r="H503" s="218"/>
      <c r="I503" s="218"/>
      <c r="J503" s="218"/>
    </row>
    <row r="504" spans="1:10" ht="15" customHeight="1">
      <c r="A504" s="218"/>
      <c r="B504" s="218"/>
      <c r="C504" s="218"/>
      <c r="D504" s="218"/>
      <c r="E504" s="218"/>
      <c r="F504" s="218"/>
      <c r="G504" s="218"/>
      <c r="H504" s="218"/>
      <c r="I504" s="218"/>
      <c r="J504" s="218"/>
    </row>
    <row r="505" spans="1:10" ht="15" customHeight="1">
      <c r="A505" s="218"/>
      <c r="B505" s="218"/>
      <c r="C505" s="218"/>
      <c r="D505" s="218"/>
      <c r="E505" s="218"/>
      <c r="F505" s="218"/>
      <c r="G505" s="218"/>
      <c r="H505" s="218"/>
      <c r="I505" s="218"/>
      <c r="J505" s="218"/>
    </row>
    <row r="506" spans="1:10" ht="15" customHeight="1">
      <c r="A506" s="218"/>
      <c r="B506" s="218"/>
      <c r="C506" s="218"/>
      <c r="D506" s="218"/>
      <c r="E506" s="218"/>
      <c r="F506" s="218"/>
      <c r="G506" s="218"/>
      <c r="H506" s="218"/>
      <c r="I506" s="218"/>
      <c r="J506" s="218"/>
    </row>
    <row r="507" spans="1:10" ht="15" customHeight="1">
      <c r="A507" s="218"/>
      <c r="B507" s="218"/>
      <c r="C507" s="218"/>
      <c r="D507" s="218"/>
      <c r="E507" s="218"/>
      <c r="F507" s="218"/>
      <c r="G507" s="218"/>
      <c r="H507" s="218"/>
      <c r="I507" s="218"/>
      <c r="J507" s="218"/>
    </row>
    <row r="508" spans="1:10" ht="15" customHeight="1">
      <c r="A508" s="218"/>
      <c r="B508" s="218"/>
      <c r="C508" s="218"/>
      <c r="D508" s="218"/>
      <c r="E508" s="218"/>
      <c r="F508" s="218"/>
      <c r="G508" s="218"/>
      <c r="H508" s="218"/>
      <c r="I508" s="218"/>
      <c r="J508" s="218"/>
    </row>
    <row r="509" spans="1:10" ht="15" customHeight="1">
      <c r="A509" s="218"/>
      <c r="B509" s="218"/>
      <c r="C509" s="218"/>
      <c r="D509" s="218"/>
      <c r="E509" s="218"/>
      <c r="F509" s="218"/>
      <c r="G509" s="218"/>
      <c r="H509" s="218"/>
      <c r="I509" s="218"/>
      <c r="J509" s="218"/>
    </row>
    <row r="510" spans="1:10" ht="15" customHeight="1">
      <c r="A510" s="218"/>
      <c r="B510" s="218"/>
      <c r="C510" s="218"/>
      <c r="D510" s="218"/>
      <c r="E510" s="218"/>
      <c r="F510" s="218"/>
      <c r="G510" s="218"/>
      <c r="H510" s="218"/>
      <c r="I510" s="218"/>
      <c r="J510" s="218"/>
    </row>
    <row r="511" spans="1:10" ht="15" customHeight="1">
      <c r="A511" s="218"/>
      <c r="B511" s="218"/>
      <c r="C511" s="218"/>
      <c r="D511" s="218"/>
      <c r="E511" s="218"/>
      <c r="F511" s="218"/>
      <c r="G511" s="218"/>
      <c r="H511" s="218"/>
      <c r="I511" s="218"/>
      <c r="J511" s="218"/>
    </row>
    <row r="512" spans="1:10" ht="15" customHeight="1">
      <c r="A512" s="218"/>
      <c r="B512" s="218"/>
      <c r="C512" s="218"/>
      <c r="D512" s="218"/>
      <c r="E512" s="218"/>
      <c r="F512" s="218"/>
      <c r="G512" s="218"/>
      <c r="H512" s="218"/>
      <c r="I512" s="218"/>
      <c r="J512" s="218"/>
    </row>
    <row r="513" spans="1:10" ht="15" customHeight="1">
      <c r="A513" s="218"/>
      <c r="B513" s="218"/>
      <c r="C513" s="218"/>
      <c r="D513" s="218"/>
      <c r="E513" s="218"/>
      <c r="F513" s="218"/>
      <c r="G513" s="218"/>
      <c r="H513" s="218"/>
      <c r="I513" s="218"/>
      <c r="J513" s="218"/>
    </row>
    <row r="514" spans="1:10" ht="15" customHeight="1">
      <c r="A514" s="218"/>
      <c r="B514" s="218"/>
      <c r="C514" s="218"/>
      <c r="D514" s="218"/>
      <c r="E514" s="218"/>
      <c r="F514" s="218"/>
      <c r="G514" s="218"/>
      <c r="H514" s="218"/>
      <c r="I514" s="218"/>
      <c r="J514" s="218"/>
    </row>
    <row r="515" spans="1:10" ht="15" customHeight="1">
      <c r="A515" s="218"/>
      <c r="B515" s="218"/>
      <c r="C515" s="218"/>
      <c r="D515" s="218"/>
      <c r="E515" s="218"/>
      <c r="F515" s="218"/>
      <c r="G515" s="218"/>
      <c r="H515" s="218"/>
      <c r="I515" s="218"/>
      <c r="J515" s="218"/>
    </row>
    <row r="516" spans="1:10" ht="15" customHeight="1">
      <c r="A516" s="218"/>
      <c r="B516" s="218"/>
      <c r="C516" s="218"/>
      <c r="D516" s="218"/>
      <c r="E516" s="218"/>
      <c r="F516" s="218"/>
      <c r="G516" s="218"/>
      <c r="H516" s="218"/>
      <c r="I516" s="218"/>
      <c r="J516" s="218"/>
    </row>
    <row r="517" spans="1:10" ht="15" customHeight="1">
      <c r="A517" s="218"/>
      <c r="B517" s="218"/>
      <c r="C517" s="218"/>
      <c r="D517" s="218"/>
      <c r="E517" s="218"/>
      <c r="F517" s="218"/>
      <c r="G517" s="218"/>
      <c r="H517" s="218"/>
      <c r="I517" s="218"/>
      <c r="J517" s="218"/>
    </row>
    <row r="518" spans="1:10" ht="15" customHeight="1">
      <c r="A518" s="218"/>
      <c r="B518" s="218"/>
      <c r="C518" s="218"/>
      <c r="D518" s="218"/>
      <c r="E518" s="218"/>
      <c r="F518" s="218"/>
      <c r="G518" s="218"/>
      <c r="H518" s="218"/>
      <c r="I518" s="218"/>
      <c r="J518" s="218"/>
    </row>
    <row r="519" spans="1:10" ht="15" customHeight="1">
      <c r="A519" s="218"/>
      <c r="B519" s="218"/>
      <c r="C519" s="218"/>
      <c r="D519" s="218"/>
      <c r="E519" s="218"/>
      <c r="F519" s="218"/>
      <c r="G519" s="218"/>
      <c r="H519" s="218"/>
      <c r="I519" s="218"/>
      <c r="J519" s="218"/>
    </row>
    <row r="520" spans="1:10" ht="15" customHeight="1">
      <c r="A520" s="218"/>
      <c r="B520" s="218"/>
      <c r="C520" s="218"/>
      <c r="D520" s="218"/>
      <c r="E520" s="218"/>
      <c r="F520" s="218"/>
      <c r="G520" s="218"/>
      <c r="H520" s="218"/>
      <c r="I520" s="218"/>
      <c r="J520" s="218"/>
    </row>
    <row r="521" spans="1:10" ht="15" customHeight="1">
      <c r="A521" s="218"/>
      <c r="B521" s="218"/>
      <c r="C521" s="218"/>
      <c r="D521" s="218"/>
      <c r="E521" s="218"/>
      <c r="F521" s="218"/>
      <c r="G521" s="218"/>
      <c r="H521" s="218"/>
      <c r="I521" s="218"/>
      <c r="J521" s="218"/>
    </row>
    <row r="522" spans="1:10" ht="15" customHeight="1">
      <c r="A522" s="218"/>
      <c r="B522" s="218"/>
      <c r="C522" s="218"/>
      <c r="D522" s="218"/>
      <c r="E522" s="218"/>
      <c r="F522" s="218"/>
      <c r="G522" s="218"/>
      <c r="H522" s="218"/>
      <c r="I522" s="218"/>
      <c r="J522" s="218"/>
    </row>
    <row r="523" spans="1:10" ht="15" customHeight="1">
      <c r="A523" s="218"/>
      <c r="B523" s="218"/>
      <c r="C523" s="218"/>
      <c r="D523" s="218"/>
      <c r="E523" s="218"/>
      <c r="F523" s="218"/>
      <c r="G523" s="218"/>
      <c r="H523" s="218"/>
      <c r="I523" s="218"/>
      <c r="J523" s="218"/>
    </row>
    <row r="524" spans="1:10" ht="15" customHeight="1">
      <c r="A524" s="218"/>
      <c r="B524" s="218"/>
      <c r="C524" s="218"/>
      <c r="D524" s="218"/>
      <c r="E524" s="218"/>
      <c r="F524" s="218"/>
      <c r="G524" s="218"/>
      <c r="H524" s="218"/>
      <c r="I524" s="218"/>
      <c r="J524" s="218"/>
    </row>
    <row r="525" spans="1:10" ht="15" customHeight="1">
      <c r="A525" s="218"/>
      <c r="B525" s="218"/>
      <c r="C525" s="218"/>
      <c r="D525" s="218"/>
      <c r="E525" s="218"/>
      <c r="F525" s="218"/>
      <c r="G525" s="218"/>
      <c r="H525" s="218"/>
      <c r="I525" s="218"/>
      <c r="J525" s="218"/>
    </row>
    <row r="526" spans="1:10" ht="15" customHeight="1">
      <c r="A526" s="218"/>
      <c r="B526" s="218"/>
      <c r="C526" s="218"/>
      <c r="D526" s="218"/>
      <c r="E526" s="218"/>
      <c r="F526" s="218"/>
      <c r="G526" s="218"/>
      <c r="H526" s="218"/>
      <c r="I526" s="218"/>
      <c r="J526" s="218"/>
    </row>
    <row r="527" spans="1:10" ht="15" customHeight="1">
      <c r="A527" s="218"/>
      <c r="B527" s="218"/>
      <c r="C527" s="218"/>
      <c r="D527" s="218"/>
      <c r="E527" s="218"/>
      <c r="F527" s="218"/>
      <c r="G527" s="218"/>
      <c r="H527" s="218"/>
      <c r="I527" s="218"/>
      <c r="J527" s="218"/>
    </row>
    <row r="528" spans="1:10" ht="15" customHeight="1">
      <c r="A528" s="218"/>
      <c r="B528" s="218"/>
      <c r="C528" s="218"/>
      <c r="D528" s="218"/>
      <c r="E528" s="218"/>
      <c r="F528" s="218"/>
      <c r="G528" s="218"/>
      <c r="H528" s="218"/>
      <c r="I528" s="218"/>
      <c r="J528" s="218"/>
    </row>
    <row r="529" spans="1:10" ht="15" customHeight="1">
      <c r="A529" s="218"/>
      <c r="B529" s="218"/>
      <c r="C529" s="218"/>
      <c r="D529" s="218"/>
      <c r="E529" s="218"/>
      <c r="F529" s="218"/>
      <c r="G529" s="218"/>
      <c r="H529" s="218"/>
      <c r="I529" s="218"/>
      <c r="J529" s="218"/>
    </row>
    <row r="530" spans="1:10" ht="15" customHeight="1">
      <c r="A530" s="218"/>
      <c r="B530" s="218"/>
      <c r="C530" s="218"/>
      <c r="D530" s="218"/>
      <c r="E530" s="218"/>
      <c r="F530" s="218"/>
      <c r="G530" s="218"/>
      <c r="H530" s="218"/>
      <c r="I530" s="218"/>
      <c r="J530" s="218"/>
    </row>
    <row r="531" spans="1:10" ht="15" customHeight="1">
      <c r="A531" s="218"/>
      <c r="B531" s="218"/>
      <c r="C531" s="218"/>
      <c r="D531" s="218"/>
      <c r="E531" s="218"/>
      <c r="F531" s="218"/>
      <c r="G531" s="218"/>
      <c r="H531" s="218"/>
      <c r="I531" s="218"/>
      <c r="J531" s="218"/>
    </row>
    <row r="532" spans="1:10" ht="15" customHeight="1">
      <c r="A532" s="218"/>
      <c r="B532" s="218"/>
      <c r="C532" s="218"/>
      <c r="D532" s="218"/>
      <c r="E532" s="218"/>
      <c r="F532" s="218"/>
      <c r="G532" s="218"/>
      <c r="H532" s="218"/>
      <c r="I532" s="218"/>
      <c r="J532" s="218"/>
    </row>
    <row r="533" spans="1:10" ht="15" customHeight="1">
      <c r="A533" s="218"/>
      <c r="B533" s="218"/>
      <c r="C533" s="218"/>
      <c r="D533" s="218"/>
      <c r="E533" s="218"/>
      <c r="F533" s="218"/>
      <c r="G533" s="218"/>
      <c r="H533" s="218"/>
      <c r="I533" s="218"/>
      <c r="J533" s="218"/>
    </row>
    <row r="534" spans="1:10" ht="15" customHeight="1">
      <c r="A534" s="218"/>
      <c r="B534" s="218"/>
      <c r="C534" s="218"/>
      <c r="D534" s="218"/>
      <c r="E534" s="218"/>
      <c r="F534" s="218"/>
      <c r="G534" s="218"/>
      <c r="H534" s="218"/>
      <c r="I534" s="218"/>
      <c r="J534" s="218"/>
    </row>
    <row r="535" spans="1:10" ht="15" customHeight="1">
      <c r="A535" s="218"/>
      <c r="B535" s="218"/>
      <c r="C535" s="218"/>
      <c r="D535" s="218"/>
      <c r="E535" s="218"/>
      <c r="F535" s="218"/>
      <c r="G535" s="218"/>
      <c r="H535" s="218"/>
      <c r="I535" s="218"/>
      <c r="J535" s="218"/>
    </row>
    <row r="536" spans="1:10" ht="15" customHeight="1">
      <c r="A536" s="218"/>
      <c r="B536" s="218"/>
      <c r="C536" s="218"/>
      <c r="D536" s="218"/>
      <c r="E536" s="218"/>
      <c r="F536" s="218"/>
      <c r="G536" s="218"/>
      <c r="H536" s="218"/>
      <c r="I536" s="218"/>
      <c r="J536" s="218"/>
    </row>
    <row r="537" spans="1:10" ht="15" customHeight="1">
      <c r="A537" s="218"/>
      <c r="B537" s="218"/>
      <c r="C537" s="218"/>
      <c r="D537" s="218"/>
      <c r="E537" s="218"/>
      <c r="F537" s="218"/>
      <c r="G537" s="218"/>
      <c r="H537" s="218"/>
      <c r="I537" s="218"/>
      <c r="J537" s="218"/>
    </row>
    <row r="538" spans="1:10" ht="15" customHeight="1">
      <c r="A538" s="218"/>
      <c r="B538" s="218"/>
      <c r="C538" s="218"/>
      <c r="D538" s="218"/>
      <c r="E538" s="218"/>
      <c r="F538" s="218"/>
      <c r="G538" s="218"/>
      <c r="H538" s="218"/>
      <c r="I538" s="218"/>
      <c r="J538" s="218"/>
    </row>
    <row r="539" spans="1:10" ht="15" customHeight="1">
      <c r="A539" s="218"/>
      <c r="B539" s="218"/>
      <c r="C539" s="218"/>
      <c r="D539" s="218"/>
      <c r="E539" s="218"/>
      <c r="F539" s="218"/>
      <c r="G539" s="218"/>
      <c r="H539" s="218"/>
      <c r="I539" s="218"/>
      <c r="J539" s="218"/>
    </row>
    <row r="540" spans="1:10" ht="15" customHeight="1">
      <c r="A540" s="218"/>
      <c r="B540" s="218"/>
      <c r="C540" s="218"/>
      <c r="D540" s="218"/>
      <c r="E540" s="218"/>
      <c r="F540" s="218"/>
      <c r="G540" s="218"/>
      <c r="H540" s="218"/>
      <c r="I540" s="218"/>
      <c r="J540" s="218"/>
    </row>
    <row r="541" spans="1:10" ht="15" customHeight="1">
      <c r="A541" s="218"/>
      <c r="B541" s="218"/>
      <c r="C541" s="218"/>
      <c r="D541" s="218"/>
      <c r="E541" s="218"/>
      <c r="F541" s="218"/>
      <c r="G541" s="218"/>
      <c r="H541" s="218"/>
      <c r="I541" s="218"/>
      <c r="J541" s="218"/>
    </row>
    <row r="542" spans="1:10" ht="15" customHeight="1">
      <c r="A542" s="218"/>
      <c r="B542" s="218"/>
      <c r="C542" s="218"/>
      <c r="D542" s="218"/>
      <c r="E542" s="218"/>
      <c r="F542" s="218"/>
      <c r="G542" s="218"/>
      <c r="H542" s="218"/>
      <c r="I542" s="218"/>
      <c r="J542" s="218"/>
    </row>
    <row r="543" spans="1:10" ht="15" customHeight="1">
      <c r="A543" s="218"/>
      <c r="B543" s="218"/>
      <c r="C543" s="218"/>
      <c r="D543" s="218"/>
      <c r="E543" s="218"/>
      <c r="F543" s="218"/>
      <c r="G543" s="218"/>
      <c r="H543" s="218"/>
      <c r="I543" s="218"/>
      <c r="J543" s="218"/>
    </row>
    <row r="544" spans="1:10" ht="15" customHeight="1">
      <c r="A544" s="218"/>
      <c r="B544" s="218"/>
      <c r="C544" s="218"/>
      <c r="D544" s="218"/>
      <c r="E544" s="218"/>
      <c r="F544" s="218"/>
      <c r="G544" s="218"/>
      <c r="H544" s="218"/>
      <c r="I544" s="218"/>
      <c r="J544" s="218"/>
    </row>
    <row r="545" spans="1:10" ht="15" customHeight="1">
      <c r="A545" s="218"/>
      <c r="B545" s="218"/>
      <c r="C545" s="218"/>
      <c r="D545" s="218"/>
      <c r="E545" s="218"/>
      <c r="F545" s="218"/>
      <c r="G545" s="218"/>
      <c r="H545" s="218"/>
      <c r="I545" s="218"/>
      <c r="J545" s="218"/>
    </row>
    <row r="546" spans="1:10" ht="15" customHeight="1">
      <c r="A546" s="218"/>
      <c r="B546" s="218"/>
      <c r="C546" s="218"/>
      <c r="D546" s="218"/>
      <c r="E546" s="218"/>
      <c r="F546" s="218"/>
      <c r="G546" s="218"/>
      <c r="H546" s="218"/>
      <c r="I546" s="218"/>
      <c r="J546" s="218"/>
    </row>
    <row r="547" spans="1:10" ht="15" customHeight="1">
      <c r="A547" s="218"/>
      <c r="B547" s="218"/>
      <c r="C547" s="218"/>
      <c r="D547" s="218"/>
      <c r="E547" s="218"/>
      <c r="F547" s="218"/>
      <c r="G547" s="218"/>
      <c r="H547" s="218"/>
      <c r="I547" s="218"/>
      <c r="J547" s="218"/>
    </row>
    <row r="548" spans="1:10" ht="15" customHeight="1">
      <c r="A548" s="218"/>
      <c r="B548" s="218"/>
      <c r="C548" s="218"/>
      <c r="D548" s="218"/>
      <c r="E548" s="218"/>
      <c r="F548" s="218"/>
      <c r="G548" s="218"/>
      <c r="H548" s="218"/>
      <c r="I548" s="218"/>
      <c r="J548" s="218"/>
    </row>
    <row r="549" spans="1:10" ht="15" customHeight="1">
      <c r="A549" s="218"/>
      <c r="B549" s="218"/>
      <c r="C549" s="218"/>
      <c r="D549" s="218"/>
      <c r="E549" s="218"/>
      <c r="F549" s="218"/>
      <c r="G549" s="218"/>
      <c r="H549" s="218"/>
      <c r="I549" s="218"/>
      <c r="J549" s="218"/>
    </row>
    <row r="550" spans="1:10" ht="15" customHeight="1">
      <c r="A550" s="218"/>
      <c r="B550" s="218"/>
      <c r="C550" s="218"/>
      <c r="D550" s="218"/>
      <c r="E550" s="218"/>
      <c r="F550" s="218"/>
      <c r="G550" s="218"/>
      <c r="H550" s="218"/>
      <c r="I550" s="218"/>
      <c r="J550" s="218"/>
    </row>
    <row r="551" spans="1:10" ht="15" customHeight="1">
      <c r="A551" s="218"/>
      <c r="B551" s="218"/>
      <c r="C551" s="218"/>
      <c r="D551" s="218"/>
      <c r="E551" s="218"/>
      <c r="F551" s="218"/>
      <c r="G551" s="218"/>
      <c r="H551" s="218"/>
      <c r="I551" s="218"/>
      <c r="J551" s="218"/>
    </row>
    <row r="552" spans="1:10" ht="15" customHeight="1">
      <c r="A552" s="218"/>
      <c r="B552" s="218"/>
      <c r="C552" s="218"/>
      <c r="D552" s="218"/>
      <c r="E552" s="218"/>
      <c r="F552" s="218"/>
      <c r="G552" s="218"/>
      <c r="H552" s="218"/>
      <c r="I552" s="218"/>
      <c r="J552" s="218"/>
    </row>
    <row r="553" spans="1:10" ht="15" customHeight="1">
      <c r="A553" s="218"/>
      <c r="B553" s="218"/>
      <c r="C553" s="218"/>
      <c r="D553" s="218"/>
      <c r="E553" s="218"/>
      <c r="F553" s="218"/>
      <c r="G553" s="218"/>
      <c r="H553" s="218"/>
      <c r="I553" s="218"/>
      <c r="J553" s="218"/>
    </row>
    <row r="554" spans="1:10" ht="15" customHeight="1">
      <c r="A554" s="218"/>
      <c r="B554" s="218"/>
      <c r="C554" s="218"/>
      <c r="D554" s="218"/>
      <c r="E554" s="218"/>
      <c r="F554" s="218"/>
      <c r="G554" s="218"/>
      <c r="H554" s="218"/>
      <c r="I554" s="218"/>
      <c r="J554" s="218"/>
    </row>
    <row r="555" spans="1:10" ht="15" customHeight="1">
      <c r="A555" s="218"/>
      <c r="B555" s="218"/>
      <c r="C555" s="218"/>
      <c r="D555" s="218"/>
      <c r="E555" s="218"/>
      <c r="F555" s="218"/>
      <c r="G555" s="218"/>
      <c r="H555" s="218"/>
      <c r="I555" s="218"/>
      <c r="J555" s="218"/>
    </row>
    <row r="556" spans="1:10" ht="15" customHeight="1">
      <c r="A556" s="218"/>
      <c r="B556" s="218"/>
      <c r="C556" s="218"/>
      <c r="D556" s="218"/>
      <c r="E556" s="218"/>
      <c r="F556" s="218"/>
      <c r="G556" s="218"/>
      <c r="H556" s="218"/>
      <c r="I556" s="218"/>
      <c r="J556" s="218"/>
    </row>
    <row r="557" spans="1:10" ht="15" customHeight="1">
      <c r="A557" s="218"/>
      <c r="B557" s="218"/>
      <c r="C557" s="218"/>
      <c r="D557" s="218"/>
      <c r="E557" s="218"/>
      <c r="F557" s="218"/>
      <c r="G557" s="218"/>
      <c r="H557" s="218"/>
      <c r="I557" s="218"/>
      <c r="J557" s="218"/>
    </row>
    <row r="558" spans="1:10" ht="15" customHeight="1">
      <c r="A558" s="218"/>
      <c r="B558" s="218"/>
      <c r="C558" s="218"/>
      <c r="D558" s="218"/>
      <c r="E558" s="218"/>
      <c r="F558" s="218"/>
      <c r="G558" s="218"/>
      <c r="H558" s="218"/>
      <c r="I558" s="218"/>
      <c r="J558" s="218"/>
    </row>
    <row r="559" spans="1:10" ht="15" customHeight="1">
      <c r="A559" s="218"/>
      <c r="B559" s="218"/>
      <c r="C559" s="218"/>
      <c r="D559" s="218"/>
      <c r="E559" s="218"/>
      <c r="F559" s="218"/>
      <c r="G559" s="218"/>
      <c r="H559" s="218"/>
      <c r="I559" s="218"/>
      <c r="J559" s="218"/>
    </row>
    <row r="560" spans="1:10" ht="15" customHeight="1">
      <c r="A560" s="218"/>
      <c r="B560" s="218"/>
      <c r="C560" s="218"/>
      <c r="D560" s="218"/>
      <c r="E560" s="218"/>
      <c r="F560" s="218"/>
      <c r="G560" s="218"/>
      <c r="H560" s="218"/>
      <c r="I560" s="218"/>
      <c r="J560" s="218"/>
    </row>
    <row r="561" spans="1:10" ht="15" customHeight="1">
      <c r="A561" s="218"/>
      <c r="B561" s="218"/>
      <c r="C561" s="218"/>
      <c r="D561" s="218"/>
      <c r="E561" s="218"/>
      <c r="F561" s="218"/>
      <c r="G561" s="218"/>
      <c r="H561" s="218"/>
      <c r="I561" s="218"/>
      <c r="J561" s="218"/>
    </row>
    <row r="562" spans="1:10" ht="15" customHeight="1">
      <c r="A562" s="218"/>
      <c r="B562" s="218"/>
      <c r="C562" s="218"/>
      <c r="D562" s="218"/>
      <c r="E562" s="218"/>
      <c r="F562" s="218"/>
      <c r="G562" s="218"/>
      <c r="H562" s="218"/>
      <c r="I562" s="218"/>
      <c r="J562" s="218"/>
    </row>
    <row r="563" spans="1:10" ht="15" customHeight="1">
      <c r="A563" s="218"/>
      <c r="B563" s="218"/>
      <c r="C563" s="218"/>
      <c r="D563" s="218"/>
      <c r="E563" s="218"/>
      <c r="F563" s="218"/>
      <c r="G563" s="218"/>
      <c r="H563" s="218"/>
      <c r="I563" s="218"/>
      <c r="J563" s="218"/>
    </row>
    <row r="564" spans="1:10" ht="15" customHeight="1">
      <c r="A564" s="218"/>
      <c r="B564" s="218"/>
      <c r="C564" s="218"/>
      <c r="D564" s="218"/>
      <c r="E564" s="218"/>
      <c r="F564" s="218"/>
      <c r="G564" s="218"/>
      <c r="H564" s="218"/>
      <c r="I564" s="218"/>
      <c r="J564" s="218"/>
    </row>
    <row r="565" spans="1:10" ht="15" customHeight="1">
      <c r="A565" s="218"/>
      <c r="B565" s="218"/>
      <c r="C565" s="218"/>
      <c r="D565" s="218"/>
      <c r="E565" s="218"/>
      <c r="F565" s="218"/>
      <c r="G565" s="218"/>
      <c r="H565" s="218"/>
      <c r="I565" s="218"/>
      <c r="J565" s="218"/>
    </row>
  </sheetData>
  <mergeCells count="14">
    <mergeCell ref="C84:F84"/>
    <mergeCell ref="A10:J10"/>
    <mergeCell ref="L12:L14"/>
    <mergeCell ref="M12:M14"/>
    <mergeCell ref="A1:J1"/>
    <mergeCell ref="A12:B14"/>
    <mergeCell ref="H12:H14"/>
    <mergeCell ref="I12:I14"/>
    <mergeCell ref="G12:G14"/>
    <mergeCell ref="A3:J3"/>
    <mergeCell ref="A2:J2"/>
    <mergeCell ref="E5:G5"/>
    <mergeCell ref="E6:G6"/>
    <mergeCell ref="E7:G7"/>
  </mergeCells>
  <dataValidations count="2">
    <dataValidation type="list" allowBlank="1" showInputMessage="1" showErrorMessage="1" sqref="E17 E71 E69 E65 E47">
      <formula1>PTD</formula1>
    </dataValidation>
    <dataValidation type="list" allowBlank="1" showInputMessage="1" showErrorMessage="1" sqref="E18 E148:E149 E128 E120:E122 E96 E92 E72:E73 E70 E66">
      <formula1>DIST</formula1>
    </dataValidation>
  </dataValidations>
  <printOptions horizontalCentered="1"/>
  <pageMargins left="0.2" right="0.28" top="0.3" bottom="0.3" header="0.25" footer="0.25"/>
  <pageSetup fitToHeight="5" horizontalDpi="600" verticalDpi="600" orientation="landscape" scale="80" r:id="rId3"/>
  <headerFooter alignWithMargins="0">
    <oddFooter>&amp;LPage &amp;P of &amp;N&amp;R&amp;D</oddFooter>
  </headerFooter>
  <rowBreaks count="4" manualBreakCount="4">
    <brk id="53" max="9" man="1"/>
    <brk id="81" max="9" man="1"/>
    <brk id="117" max="9" man="1"/>
    <brk id="136" max="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zoomScale="70" zoomScaleNormal="70" zoomScaleSheetLayoutView="100" workbookViewId="0" topLeftCell="A37">
      <selection activeCell="L161" sqref="L161"/>
    </sheetView>
  </sheetViews>
  <sheetFormatPr defaultColWidth="9.00390625" defaultRowHeight="15.75"/>
  <cols>
    <col min="1" max="1" width="13.00390625" style="855" bestFit="1" customWidth="1"/>
    <col min="2" max="2" width="54.625" style="786" customWidth="1"/>
    <col min="3" max="3" width="12.00390625" style="786" customWidth="1"/>
    <col min="4" max="5" width="16.25390625" style="856" bestFit="1" customWidth="1"/>
    <col min="6" max="6" width="15.25390625" style="856" bestFit="1" customWidth="1"/>
    <col min="7" max="7" width="14.625" style="856" bestFit="1" customWidth="1"/>
    <col min="8" max="8" width="8.125" style="786" bestFit="1" customWidth="1"/>
    <col min="9" max="16384" width="8.00390625" style="786" customWidth="1"/>
  </cols>
  <sheetData>
    <row r="1" spans="1:7" ht="19.5" thickTop="1">
      <c r="A1" s="780" t="s">
        <v>0</v>
      </c>
      <c r="B1" s="781"/>
      <c r="C1" s="782"/>
      <c r="D1" s="783"/>
      <c r="E1" s="782"/>
      <c r="F1" s="784"/>
      <c r="G1" s="785"/>
    </row>
    <row r="2" spans="1:7" ht="15.75">
      <c r="A2" s="787" t="s">
        <v>168</v>
      </c>
      <c r="B2" s="245"/>
      <c r="C2" s="788"/>
      <c r="D2" s="789"/>
      <c r="E2" s="788"/>
      <c r="F2" s="790"/>
      <c r="G2" s="791"/>
    </row>
    <row r="3" spans="1:7" ht="15.75">
      <c r="A3" s="792" t="s">
        <v>169</v>
      </c>
      <c r="B3" s="12"/>
      <c r="C3" s="788"/>
      <c r="D3" s="789"/>
      <c r="E3" s="788"/>
      <c r="F3" s="790"/>
      <c r="G3" s="791"/>
    </row>
    <row r="4" spans="1:7" ht="7.5" customHeight="1" thickBot="1">
      <c r="A4" s="792"/>
      <c r="B4" s="12"/>
      <c r="C4" s="788"/>
      <c r="D4" s="789"/>
      <c r="E4" s="788"/>
      <c r="F4" s="790"/>
      <c r="G4" s="791"/>
    </row>
    <row r="5" spans="1:7" ht="15.75">
      <c r="A5" s="792"/>
      <c r="B5" s="10" t="s">
        <v>7</v>
      </c>
      <c r="C5" s="866" t="s">
        <v>8</v>
      </c>
      <c r="D5" s="867"/>
      <c r="E5" s="868"/>
      <c r="F5" s="790"/>
      <c r="G5" s="791"/>
    </row>
    <row r="6" spans="1:7" ht="15.75">
      <c r="A6" s="792"/>
      <c r="B6" s="10" t="s">
        <v>9</v>
      </c>
      <c r="C6" s="869">
        <v>39082</v>
      </c>
      <c r="D6" s="857"/>
      <c r="E6" s="858"/>
      <c r="F6" s="790"/>
      <c r="G6" s="791"/>
    </row>
    <row r="7" spans="1:7" ht="16.5" thickBot="1">
      <c r="A7" s="792"/>
      <c r="B7" s="10" t="s">
        <v>10</v>
      </c>
      <c r="C7" s="859">
        <v>39575</v>
      </c>
      <c r="D7" s="860"/>
      <c r="E7" s="746"/>
      <c r="F7" s="790"/>
      <c r="G7" s="791"/>
    </row>
    <row r="8" spans="1:7" ht="10.5" customHeight="1">
      <c r="A8" s="792"/>
      <c r="B8" s="12"/>
      <c r="C8" s="788"/>
      <c r="D8" s="789"/>
      <c r="E8" s="788"/>
      <c r="F8" s="790"/>
      <c r="G8" s="791"/>
    </row>
    <row r="9" spans="1:7" ht="19.5">
      <c r="A9" s="793" t="s">
        <v>433</v>
      </c>
      <c r="B9" s="794"/>
      <c r="C9" s="788"/>
      <c r="D9" s="789"/>
      <c r="E9" s="788"/>
      <c r="F9" s="790"/>
      <c r="G9" s="791"/>
    </row>
    <row r="10" spans="1:7" ht="5.25" customHeight="1" thickBot="1">
      <c r="A10" s="795"/>
      <c r="B10" s="796"/>
      <c r="C10" s="797"/>
      <c r="D10" s="798"/>
      <c r="E10" s="797"/>
      <c r="F10" s="799"/>
      <c r="G10" s="800"/>
    </row>
    <row r="11" spans="1:7" ht="15.75">
      <c r="A11" s="801"/>
      <c r="B11" s="802"/>
      <c r="C11" s="803"/>
      <c r="D11" s="804"/>
      <c r="E11" s="804"/>
      <c r="F11" s="804"/>
      <c r="G11" s="805"/>
    </row>
    <row r="12" spans="1:7" ht="18.75">
      <c r="A12" s="806" t="s">
        <v>434</v>
      </c>
      <c r="B12" s="807"/>
      <c r="C12" s="808" t="s">
        <v>435</v>
      </c>
      <c r="D12" s="809" t="s">
        <v>15</v>
      </c>
      <c r="E12" s="809" t="s">
        <v>16</v>
      </c>
      <c r="F12" s="809" t="s">
        <v>17</v>
      </c>
      <c r="G12" s="810" t="s">
        <v>418</v>
      </c>
    </row>
    <row r="13" spans="1:7" ht="15.75">
      <c r="A13" s="801"/>
      <c r="B13" s="802" t="s">
        <v>16</v>
      </c>
      <c r="C13" s="811" t="s">
        <v>6</v>
      </c>
      <c r="D13" s="812">
        <f>Salaries!D33</f>
        <v>10526822</v>
      </c>
      <c r="E13" s="812">
        <f aca="true" t="shared" si="0" ref="E13:E19">VLOOKUP($C13,Ratio,2,FALSE)*$D13</f>
        <v>10526822</v>
      </c>
      <c r="F13" s="812">
        <f aca="true" t="shared" si="1" ref="F13:F19">VLOOKUP($C13,Ratio,3,FALSE)*$D13</f>
        <v>0</v>
      </c>
      <c r="G13" s="813">
        <f aca="true" t="shared" si="2" ref="G13:G19">VLOOKUP($C13,Ratio,4,FALSE)*$D13</f>
        <v>0</v>
      </c>
    </row>
    <row r="14" spans="1:7" ht="15.75">
      <c r="A14" s="801"/>
      <c r="B14" s="802" t="s">
        <v>17</v>
      </c>
      <c r="C14" s="811" t="s">
        <v>47</v>
      </c>
      <c r="D14" s="814">
        <f>Salaries!D34</f>
        <v>2669209</v>
      </c>
      <c r="E14" s="814">
        <f t="shared" si="0"/>
        <v>0</v>
      </c>
      <c r="F14" s="814">
        <f t="shared" si="1"/>
        <v>2669209</v>
      </c>
      <c r="G14" s="815">
        <f t="shared" si="2"/>
        <v>0</v>
      </c>
    </row>
    <row r="15" spans="1:7" ht="15.75">
      <c r="A15" s="801"/>
      <c r="B15" s="802" t="s">
        <v>418</v>
      </c>
      <c r="C15" s="811" t="s">
        <v>5</v>
      </c>
      <c r="D15" s="814">
        <f>Salaries!D35</f>
        <v>9858729</v>
      </c>
      <c r="E15" s="814">
        <f t="shared" si="0"/>
        <v>0</v>
      </c>
      <c r="F15" s="814">
        <f t="shared" si="1"/>
        <v>0</v>
      </c>
      <c r="G15" s="815">
        <f t="shared" si="2"/>
        <v>9858729</v>
      </c>
    </row>
    <row r="16" spans="1:7" ht="15.75">
      <c r="A16" s="801"/>
      <c r="B16" s="802" t="s">
        <v>419</v>
      </c>
      <c r="C16" s="811" t="s">
        <v>5</v>
      </c>
      <c r="D16" s="814">
        <f>Salaries!D36</f>
        <v>5329149</v>
      </c>
      <c r="E16" s="814">
        <f t="shared" si="0"/>
        <v>0</v>
      </c>
      <c r="F16" s="814">
        <f t="shared" si="1"/>
        <v>0</v>
      </c>
      <c r="G16" s="815">
        <f t="shared" si="2"/>
        <v>5329149</v>
      </c>
    </row>
    <row r="17" spans="1:7" ht="15.75">
      <c r="A17" s="801"/>
      <c r="B17" s="802" t="s">
        <v>436</v>
      </c>
      <c r="C17" s="811" t="s">
        <v>5</v>
      </c>
      <c r="D17" s="814">
        <f>Salaries!D37</f>
        <v>300182</v>
      </c>
      <c r="E17" s="814">
        <f t="shared" si="0"/>
        <v>0</v>
      </c>
      <c r="F17" s="814">
        <f t="shared" si="1"/>
        <v>0</v>
      </c>
      <c r="G17" s="815">
        <f t="shared" si="2"/>
        <v>300182</v>
      </c>
    </row>
    <row r="18" spans="1:7" ht="15.75">
      <c r="A18" s="801"/>
      <c r="B18" s="802" t="s">
        <v>420</v>
      </c>
      <c r="C18" s="811" t="s">
        <v>5</v>
      </c>
      <c r="D18" s="814">
        <f>Salaries!D38</f>
        <v>428000</v>
      </c>
      <c r="E18" s="814">
        <f t="shared" si="0"/>
        <v>0</v>
      </c>
      <c r="F18" s="814">
        <f t="shared" si="1"/>
        <v>0</v>
      </c>
      <c r="G18" s="815">
        <f t="shared" si="2"/>
        <v>428000</v>
      </c>
    </row>
    <row r="19" spans="1:7" ht="15.75">
      <c r="A19" s="801"/>
      <c r="B19" s="802" t="s">
        <v>437</v>
      </c>
      <c r="C19" s="811" t="s">
        <v>4</v>
      </c>
      <c r="D19" s="814">
        <f>Salaries!D39</f>
        <v>11299946</v>
      </c>
      <c r="E19" s="814">
        <f t="shared" si="0"/>
        <v>5076395.674154479</v>
      </c>
      <c r="F19" s="814">
        <f t="shared" si="1"/>
        <v>1964562.1026503674</v>
      </c>
      <c r="G19" s="815">
        <f t="shared" si="2"/>
        <v>4258988.223195153</v>
      </c>
    </row>
    <row r="20" spans="1:7" ht="15.75">
      <c r="A20" s="801"/>
      <c r="B20" s="802"/>
      <c r="C20" s="802"/>
      <c r="D20" s="816"/>
      <c r="E20" s="816"/>
      <c r="F20" s="816"/>
      <c r="G20" s="817"/>
    </row>
    <row r="21" spans="1:7" ht="18.75">
      <c r="A21" s="806" t="s">
        <v>438</v>
      </c>
      <c r="B21" s="802"/>
      <c r="C21" s="818"/>
      <c r="D21" s="819">
        <f>SUM(D13:D20)</f>
        <v>40412037</v>
      </c>
      <c r="E21" s="819">
        <f>SUM(E13:E20)</f>
        <v>15603217.674154479</v>
      </c>
      <c r="F21" s="819">
        <f>SUM(F13:F20)</f>
        <v>4633771.102650368</v>
      </c>
      <c r="G21" s="820">
        <f>SUM(G13:G20)</f>
        <v>20175048.223195154</v>
      </c>
    </row>
    <row r="22" spans="1:7" ht="15.75">
      <c r="A22" s="801"/>
      <c r="B22" s="821" t="s">
        <v>439</v>
      </c>
      <c r="C22" s="818"/>
      <c r="D22" s="822">
        <f>IF($D21=0,0,D21/$D21)</f>
        <v>1</v>
      </c>
      <c r="E22" s="822">
        <f>IF($D21=0,0,E21/$D21)</f>
        <v>0.3861032215266575</v>
      </c>
      <c r="F22" s="822">
        <f>IF($D21=0,0,F21/$D21)</f>
        <v>0.11466314114901874</v>
      </c>
      <c r="G22" s="823">
        <f>IF($D21=0,0,G21/$D21)</f>
        <v>0.4992336373243238</v>
      </c>
    </row>
    <row r="23" spans="1:7" ht="15.75">
      <c r="A23" s="801"/>
      <c r="B23" s="802"/>
      <c r="C23" s="802"/>
      <c r="D23" s="816"/>
      <c r="E23" s="816"/>
      <c r="F23" s="816"/>
      <c r="G23" s="817"/>
    </row>
    <row r="24" spans="1:7" ht="18.75">
      <c r="A24" s="806" t="s">
        <v>81</v>
      </c>
      <c r="B24" s="824" t="s">
        <v>440</v>
      </c>
      <c r="C24" s="808" t="s">
        <v>435</v>
      </c>
      <c r="D24" s="809" t="s">
        <v>15</v>
      </c>
      <c r="E24" s="809" t="s">
        <v>16</v>
      </c>
      <c r="F24" s="809" t="s">
        <v>17</v>
      </c>
      <c r="G24" s="810" t="s">
        <v>418</v>
      </c>
    </row>
    <row r="25" spans="1:7" ht="15.75">
      <c r="A25" s="801"/>
      <c r="B25" s="802" t="s">
        <v>54</v>
      </c>
      <c r="C25" s="811" t="s">
        <v>4</v>
      </c>
      <c r="D25" s="812">
        <f>'Sch 1- Rate Base '!G37</f>
        <v>124681</v>
      </c>
      <c r="E25" s="812">
        <f aca="true" t="shared" si="3" ref="E25:E34">VLOOKUP($C25,Ratio,2,FALSE)*$D25</f>
        <v>56011.77997215691</v>
      </c>
      <c r="F25" s="812">
        <f aca="true" t="shared" si="4" ref="F25:F34">VLOOKUP($C25,Ratio,3,FALSE)*$D25</f>
        <v>21676.52549140947</v>
      </c>
      <c r="G25" s="813">
        <f aca="true" t="shared" si="5" ref="G25:G34">VLOOKUP($C25,Ratio,4,FALSE)*$D25</f>
        <v>46992.69453643362</v>
      </c>
    </row>
    <row r="26" spans="1:7" ht="15.75">
      <c r="A26" s="801"/>
      <c r="B26" s="802" t="s">
        <v>55</v>
      </c>
      <c r="C26" s="811" t="s">
        <v>4</v>
      </c>
      <c r="D26" s="814">
        <f>'Sch 1- Rate Base '!G38</f>
        <v>2042518</v>
      </c>
      <c r="E26" s="814">
        <f t="shared" si="3"/>
        <v>917582.2202674826</v>
      </c>
      <c r="F26" s="814">
        <f t="shared" si="4"/>
        <v>355103.7727774295</v>
      </c>
      <c r="G26" s="815">
        <f t="shared" si="5"/>
        <v>769832.0069550879</v>
      </c>
    </row>
    <row r="27" spans="1:7" ht="15.75">
      <c r="A27" s="801"/>
      <c r="B27" s="802" t="s">
        <v>56</v>
      </c>
      <c r="C27" s="811" t="s">
        <v>57</v>
      </c>
      <c r="D27" s="814">
        <f>'Sch 1- Rate Base '!G39</f>
        <v>136601</v>
      </c>
      <c r="E27" s="814">
        <f t="shared" si="3"/>
        <v>52742.08616376294</v>
      </c>
      <c r="F27" s="814">
        <f t="shared" si="4"/>
        <v>15663.099744097108</v>
      </c>
      <c r="G27" s="815">
        <f t="shared" si="5"/>
        <v>68195.81409213996</v>
      </c>
    </row>
    <row r="28" spans="1:7" ht="15.75">
      <c r="A28" s="801"/>
      <c r="B28" s="802" t="s">
        <v>58</v>
      </c>
      <c r="C28" s="811" t="s">
        <v>59</v>
      </c>
      <c r="D28" s="814">
        <f>'Sch 1- Rate Base '!G40</f>
        <v>8275752</v>
      </c>
      <c r="E28" s="814">
        <f t="shared" si="3"/>
        <v>0</v>
      </c>
      <c r="F28" s="814">
        <f t="shared" si="4"/>
        <v>2612372.0222225683</v>
      </c>
      <c r="G28" s="815">
        <f t="shared" si="5"/>
        <v>5663379.977777433</v>
      </c>
    </row>
    <row r="29" spans="1:7" ht="15.75">
      <c r="A29" s="801"/>
      <c r="B29" s="802" t="s">
        <v>60</v>
      </c>
      <c r="C29" s="811" t="s">
        <v>4</v>
      </c>
      <c r="D29" s="814">
        <f>'Sch 1- Rate Base '!G41</f>
        <v>120561</v>
      </c>
      <c r="E29" s="814">
        <f t="shared" si="3"/>
        <v>54160.90827971551</v>
      </c>
      <c r="F29" s="814">
        <f t="shared" si="4"/>
        <v>20960.239248721275</v>
      </c>
      <c r="G29" s="815">
        <f t="shared" si="5"/>
        <v>45439.852471563216</v>
      </c>
    </row>
    <row r="30" spans="1:7" ht="15.75">
      <c r="A30" s="801"/>
      <c r="B30" s="802" t="s">
        <v>61</v>
      </c>
      <c r="C30" s="811" t="s">
        <v>4</v>
      </c>
      <c r="D30" s="814">
        <f>'Sch 1- Rate Base '!G42</f>
        <v>2988365</v>
      </c>
      <c r="E30" s="814">
        <f t="shared" si="3"/>
        <v>1342495.1905783133</v>
      </c>
      <c r="F30" s="814">
        <f t="shared" si="4"/>
        <v>519544.8392308039</v>
      </c>
      <c r="G30" s="815">
        <f t="shared" si="5"/>
        <v>1126324.9701908827</v>
      </c>
    </row>
    <row r="31" spans="1:7" ht="15.75">
      <c r="A31" s="801"/>
      <c r="B31" s="802" t="s">
        <v>62</v>
      </c>
      <c r="C31" s="811" t="s">
        <v>4</v>
      </c>
      <c r="D31" s="814">
        <f>'Sch 1- Rate Base '!G43</f>
        <v>3039673</v>
      </c>
      <c r="E31" s="814">
        <f t="shared" si="3"/>
        <v>1365544.8325190376</v>
      </c>
      <c r="F31" s="814">
        <f t="shared" si="4"/>
        <v>528465.03693465</v>
      </c>
      <c r="G31" s="815">
        <f t="shared" si="5"/>
        <v>1145663.1305463125</v>
      </c>
    </row>
    <row r="32" spans="1:7" ht="15.75">
      <c r="A32" s="801"/>
      <c r="B32" s="802" t="s">
        <v>63</v>
      </c>
      <c r="C32" s="811" t="s">
        <v>59</v>
      </c>
      <c r="D32" s="814">
        <f>'Sch 1- Rate Base '!G44</f>
        <v>19674347</v>
      </c>
      <c r="E32" s="814">
        <f t="shared" si="3"/>
        <v>0</v>
      </c>
      <c r="F32" s="814">
        <f t="shared" si="4"/>
        <v>6210518.833611557</v>
      </c>
      <c r="G32" s="815">
        <f t="shared" si="5"/>
        <v>13463828.166388443</v>
      </c>
    </row>
    <row r="33" spans="1:7" ht="15.75">
      <c r="A33" s="801"/>
      <c r="B33" s="802" t="s">
        <v>64</v>
      </c>
      <c r="C33" s="811" t="s">
        <v>4</v>
      </c>
      <c r="D33" s="814">
        <f>'Sch 1- Rate Base '!G45</f>
        <v>28330864</v>
      </c>
      <c r="E33" s="814">
        <f t="shared" si="3"/>
        <v>12727377.233011456</v>
      </c>
      <c r="F33" s="814">
        <f t="shared" si="4"/>
        <v>4925487.409385992</v>
      </c>
      <c r="G33" s="815">
        <f t="shared" si="5"/>
        <v>10677999.357602553</v>
      </c>
    </row>
    <row r="34" spans="1:7" ht="15.75">
      <c r="A34" s="801"/>
      <c r="B34" s="802" t="s">
        <v>65</v>
      </c>
      <c r="C34" s="811" t="s">
        <v>4</v>
      </c>
      <c r="D34" s="814">
        <f>'Sch 1- Rate Base '!G46</f>
        <v>3973</v>
      </c>
      <c r="E34" s="814">
        <f t="shared" si="3"/>
        <v>1784.8333092402163</v>
      </c>
      <c r="F34" s="814">
        <f t="shared" si="4"/>
        <v>690.7294277184961</v>
      </c>
      <c r="G34" s="815">
        <f t="shared" si="5"/>
        <v>1497.4372630412875</v>
      </c>
    </row>
    <row r="35" spans="1:7" ht="15.75">
      <c r="A35" s="801"/>
      <c r="B35" s="802" t="s">
        <v>66</v>
      </c>
      <c r="C35" s="811" t="s">
        <v>1</v>
      </c>
      <c r="D35" s="814">
        <f>'Sch 1- Rate Base '!G47</f>
        <v>0</v>
      </c>
      <c r="E35" s="814">
        <f>'Sch 1- Rate Base '!H47</f>
        <v>0</v>
      </c>
      <c r="F35" s="814">
        <f>'Sch 1- Rate Base '!I47</f>
        <v>0</v>
      </c>
      <c r="G35" s="815">
        <f>'Sch 1- Rate Base '!J47</f>
        <v>0</v>
      </c>
    </row>
    <row r="36" spans="1:7" ht="15.75">
      <c r="A36" s="801"/>
      <c r="B36" s="802" t="s">
        <v>67</v>
      </c>
      <c r="C36" s="811" t="s">
        <v>4</v>
      </c>
      <c r="D36" s="814">
        <f>'Sch 1- Rate Base '!G48</f>
        <v>0</v>
      </c>
      <c r="E36" s="814">
        <f>VLOOKUP($C36,Ratio,2,FALSE)*$D36</f>
        <v>0</v>
      </c>
      <c r="F36" s="814">
        <f>VLOOKUP($C36,Ratio,3,FALSE)*$D36</f>
        <v>0</v>
      </c>
      <c r="G36" s="815">
        <f>VLOOKUP($C36,Ratio,4,FALSE)*$D36</f>
        <v>0</v>
      </c>
    </row>
    <row r="37" spans="1:7" ht="15.75">
      <c r="A37" s="801"/>
      <c r="B37" s="802" t="s">
        <v>441</v>
      </c>
      <c r="C37" s="825"/>
      <c r="D37" s="826">
        <f>SUM(D25:D36)</f>
        <v>64737335</v>
      </c>
      <c r="E37" s="826">
        <f>SUM(E25:E36)</f>
        <v>16517699.084101167</v>
      </c>
      <c r="F37" s="826">
        <f>SUM(F25:F36)</f>
        <v>15210482.508074947</v>
      </c>
      <c r="G37" s="827">
        <f>SUM(G25:G36)</f>
        <v>33009153.40782389</v>
      </c>
    </row>
    <row r="38" spans="1:7" ht="15.75">
      <c r="A38" s="801"/>
      <c r="B38" s="821" t="s">
        <v>442</v>
      </c>
      <c r="C38" s="825"/>
      <c r="D38" s="828">
        <f>IF($D37=0,0,D37/$D37)</f>
        <v>1</v>
      </c>
      <c r="E38" s="828">
        <f>IF($D37=0,0,E37/$D37)</f>
        <v>0.2551495066038966</v>
      </c>
      <c r="F38" s="828">
        <f>IF($D37=0,0,F37/$D37)</f>
        <v>0.23495688396927286</v>
      </c>
      <c r="G38" s="829">
        <f>IF($D37=0,0,G37/$D37)</f>
        <v>0.5098936094268306</v>
      </c>
    </row>
    <row r="39" spans="1:7" ht="16.5" thickBot="1">
      <c r="A39" s="830"/>
      <c r="B39" s="831"/>
      <c r="C39" s="832"/>
      <c r="D39" s="833"/>
      <c r="E39" s="833"/>
      <c r="F39" s="833"/>
      <c r="G39" s="834"/>
    </row>
    <row r="40" spans="1:7" ht="16.5" thickTop="1">
      <c r="A40" s="801"/>
      <c r="B40" s="802"/>
      <c r="C40" s="802"/>
      <c r="D40" s="816"/>
      <c r="E40" s="816"/>
      <c r="F40" s="816"/>
      <c r="G40" s="817"/>
    </row>
    <row r="41" spans="1:7" ht="15.75">
      <c r="A41" s="801" t="s">
        <v>4</v>
      </c>
      <c r="B41" s="835" t="s">
        <v>443</v>
      </c>
      <c r="C41" s="808" t="s">
        <v>435</v>
      </c>
      <c r="D41" s="809" t="s">
        <v>15</v>
      </c>
      <c r="E41" s="809" t="s">
        <v>16</v>
      </c>
      <c r="F41" s="809" t="s">
        <v>17</v>
      </c>
      <c r="G41" s="810" t="s">
        <v>418</v>
      </c>
    </row>
    <row r="42" spans="1:7" ht="15.75">
      <c r="A42" s="801"/>
      <c r="B42" s="802" t="s">
        <v>35</v>
      </c>
      <c r="C42" s="811" t="s">
        <v>6</v>
      </c>
      <c r="D42" s="812">
        <f>'Sch 1- Rate Base '!G22</f>
        <v>378625101</v>
      </c>
      <c r="E42" s="812">
        <f>VLOOKUP($C42,Ratio,2,FALSE)*$D42</f>
        <v>378625101</v>
      </c>
      <c r="F42" s="812">
        <f>VLOOKUP($C42,Ratio,3,FALSE)*$D42</f>
        <v>0</v>
      </c>
      <c r="G42" s="813">
        <f>VLOOKUP($C42,Ratio,4,FALSE)*$D42</f>
        <v>0</v>
      </c>
    </row>
    <row r="43" spans="1:7" ht="15.75">
      <c r="A43" s="801"/>
      <c r="B43" s="802" t="s">
        <v>37</v>
      </c>
      <c r="C43" s="811" t="s">
        <v>6</v>
      </c>
      <c r="D43" s="814">
        <f>'Sch 1- Rate Base '!G23</f>
        <v>0</v>
      </c>
      <c r="E43" s="814">
        <f>VLOOKUP($C43,Ratio,2,FALSE)*$D43</f>
        <v>0</v>
      </c>
      <c r="F43" s="814">
        <f>VLOOKUP($C43,Ratio,3,FALSE)*$D43</f>
        <v>0</v>
      </c>
      <c r="G43" s="815">
        <f>VLOOKUP($C43,Ratio,4,FALSE)*$D43</f>
        <v>0</v>
      </c>
    </row>
    <row r="44" spans="1:7" ht="15.75">
      <c r="A44" s="801"/>
      <c r="B44" s="802" t="s">
        <v>39</v>
      </c>
      <c r="C44" s="811" t="s">
        <v>6</v>
      </c>
      <c r="D44" s="814">
        <f>'Sch 1- Rate Base '!G24</f>
        <v>340480980</v>
      </c>
      <c r="E44" s="814">
        <f>VLOOKUP($C44,Ratio,2,FALSE)*$D44</f>
        <v>340480980</v>
      </c>
      <c r="F44" s="814">
        <f>VLOOKUP($C44,Ratio,3,FALSE)*$D44</f>
        <v>0</v>
      </c>
      <c r="G44" s="815">
        <f>VLOOKUP($C44,Ratio,4,FALSE)*$D44</f>
        <v>0</v>
      </c>
    </row>
    <row r="45" spans="1:7" ht="15.75">
      <c r="A45" s="801"/>
      <c r="B45" s="802" t="s">
        <v>41</v>
      </c>
      <c r="C45" s="811" t="s">
        <v>6</v>
      </c>
      <c r="D45" s="814">
        <f>'Sch 1- Rate Base '!G25</f>
        <v>272688068</v>
      </c>
      <c r="E45" s="814">
        <f>VLOOKUP($C45,Ratio,2,FALSE)*$D45</f>
        <v>272688068</v>
      </c>
      <c r="F45" s="814">
        <f>VLOOKUP($C45,Ratio,3,FALSE)*$D45</f>
        <v>0</v>
      </c>
      <c r="G45" s="815">
        <f>VLOOKUP($C45,Ratio,4,FALSE)*$D45</f>
        <v>0</v>
      </c>
    </row>
    <row r="46" spans="1:7" ht="15.75">
      <c r="A46" s="801"/>
      <c r="B46" s="802" t="s">
        <v>43</v>
      </c>
      <c r="C46" s="811"/>
      <c r="D46" s="814">
        <f>SUM(D42:D45)</f>
        <v>991794149</v>
      </c>
      <c r="E46" s="814">
        <f>SUM(E42:E45)</f>
        <v>991794149</v>
      </c>
      <c r="F46" s="814">
        <f>SUM(F42:F45)</f>
        <v>0</v>
      </c>
      <c r="G46" s="815">
        <f>SUM(G42:G45)</f>
        <v>0</v>
      </c>
    </row>
    <row r="47" spans="1:7" ht="15.75">
      <c r="A47" s="801"/>
      <c r="B47" s="802" t="s">
        <v>444</v>
      </c>
      <c r="C47" s="811" t="s">
        <v>47</v>
      </c>
      <c r="D47" s="814">
        <f>'Sch 1- Rate Base '!G30</f>
        <v>383823745</v>
      </c>
      <c r="E47" s="814">
        <f>VLOOKUP($C47,Ratio,2,FALSE)*$D47</f>
        <v>0</v>
      </c>
      <c r="F47" s="814">
        <f>VLOOKUP($C47,Ratio,3,FALSE)*$D47</f>
        <v>383823745</v>
      </c>
      <c r="G47" s="815">
        <f>VLOOKUP($C47,Ratio,4,FALSE)*$D47</f>
        <v>0</v>
      </c>
    </row>
    <row r="48" spans="1:7" ht="15.75">
      <c r="A48" s="801"/>
      <c r="B48" s="802" t="s">
        <v>52</v>
      </c>
      <c r="C48" s="811" t="s">
        <v>5</v>
      </c>
      <c r="D48" s="814">
        <f>'Sch 1- Rate Base '!G34</f>
        <v>832094240</v>
      </c>
      <c r="E48" s="814">
        <f>VLOOKUP($C48,Ratio,2,FALSE)*$D48</f>
        <v>0</v>
      </c>
      <c r="F48" s="814">
        <f>VLOOKUP($C48,Ratio,3,FALSE)*$D48</f>
        <v>0</v>
      </c>
      <c r="G48" s="815">
        <f>VLOOKUP($C48,Ratio,4,FALSE)*$D48</f>
        <v>832094240</v>
      </c>
    </row>
    <row r="49" spans="1:7" ht="15.75">
      <c r="A49" s="801"/>
      <c r="B49" s="802" t="s">
        <v>441</v>
      </c>
      <c r="C49" s="811"/>
      <c r="D49" s="812">
        <f>D46+D47+D48</f>
        <v>2207712134</v>
      </c>
      <c r="E49" s="812">
        <f>E46+E47+E48</f>
        <v>991794149</v>
      </c>
      <c r="F49" s="812">
        <f>F46+F47+F48</f>
        <v>383823745</v>
      </c>
      <c r="G49" s="813">
        <f>G46+G47+G48</f>
        <v>832094240</v>
      </c>
    </row>
    <row r="50" spans="1:7" ht="15.75">
      <c r="A50" s="801"/>
      <c r="B50" s="821" t="s">
        <v>445</v>
      </c>
      <c r="C50" s="825"/>
      <c r="D50" s="828">
        <f>IF($D49=0,0,D49/$D49)</f>
        <v>1</v>
      </c>
      <c r="E50" s="828">
        <f>IF($D49=0,0,E49/$D49)</f>
        <v>0.44924070204888406</v>
      </c>
      <c r="F50" s="828">
        <f>IF($D49=0,0,F49/$D49)</f>
        <v>0.1738558841476205</v>
      </c>
      <c r="G50" s="829">
        <f>IF($D49=0,0,G49/$D49)</f>
        <v>0.37690341380349546</v>
      </c>
    </row>
    <row r="51" spans="1:7" ht="15.75">
      <c r="A51" s="801"/>
      <c r="B51" s="802"/>
      <c r="C51" s="802"/>
      <c r="D51" s="816"/>
      <c r="E51" s="816"/>
      <c r="F51" s="816"/>
      <c r="G51" s="817"/>
    </row>
    <row r="52" spans="1:7" ht="15.75">
      <c r="A52" s="801" t="s">
        <v>131</v>
      </c>
      <c r="B52" s="835" t="s">
        <v>446</v>
      </c>
      <c r="C52" s="808" t="s">
        <v>435</v>
      </c>
      <c r="D52" s="809" t="s">
        <v>15</v>
      </c>
      <c r="E52" s="809" t="s">
        <v>16</v>
      </c>
      <c r="F52" s="809" t="s">
        <v>17</v>
      </c>
      <c r="G52" s="810" t="s">
        <v>418</v>
      </c>
    </row>
    <row r="53" spans="1:7" ht="15.75">
      <c r="A53" s="801"/>
      <c r="B53" s="802" t="s">
        <v>447</v>
      </c>
      <c r="C53" s="811"/>
      <c r="D53" s="812">
        <f>D49</f>
        <v>2207712134</v>
      </c>
      <c r="E53" s="812">
        <f>E49</f>
        <v>991794149</v>
      </c>
      <c r="F53" s="812">
        <f>F49</f>
        <v>383823745</v>
      </c>
      <c r="G53" s="813">
        <f>G49</f>
        <v>832094240</v>
      </c>
    </row>
    <row r="54" spans="1:7" ht="15.75">
      <c r="A54" s="801"/>
      <c r="B54" s="802" t="s">
        <v>448</v>
      </c>
      <c r="C54" s="811" t="s">
        <v>5</v>
      </c>
      <c r="D54" s="814">
        <f>'Sch 1- Rate Base '!G16</f>
        <v>0</v>
      </c>
      <c r="E54" s="814">
        <f>'Sch 1- Rate Base '!H16</f>
        <v>0</v>
      </c>
      <c r="F54" s="814">
        <f>'Sch 1- Rate Base '!I16</f>
        <v>0</v>
      </c>
      <c r="G54" s="815">
        <f>'Sch 1- Rate Base '!J16</f>
        <v>0</v>
      </c>
    </row>
    <row r="55" spans="1:7" ht="15.75">
      <c r="A55" s="801"/>
      <c r="B55" s="802" t="s">
        <v>449</v>
      </c>
      <c r="C55" s="811" t="s">
        <v>1</v>
      </c>
      <c r="D55" s="814">
        <f>'Sch 1- Rate Base '!G17</f>
        <v>15259132</v>
      </c>
      <c r="E55" s="814">
        <f>'Sch 1- Rate Base '!H17</f>
        <v>14889662</v>
      </c>
      <c r="F55" s="814">
        <f>'Sch 1- Rate Base '!I17</f>
        <v>369470</v>
      </c>
      <c r="G55" s="815">
        <f>'Sch 1- Rate Base '!J17</f>
        <v>0</v>
      </c>
    </row>
    <row r="56" spans="1:7" ht="15.75">
      <c r="A56" s="801"/>
      <c r="B56" s="802" t="s">
        <v>450</v>
      </c>
      <c r="C56" s="811" t="s">
        <v>1</v>
      </c>
      <c r="D56" s="814">
        <f>'Sch 1- Rate Base '!G18</f>
        <v>4420269</v>
      </c>
      <c r="E56" s="814">
        <f>'Sch 1- Rate Base '!H18</f>
        <v>1306314</v>
      </c>
      <c r="F56" s="814">
        <f>'Sch 1- Rate Base '!I18</f>
        <v>2010845</v>
      </c>
      <c r="G56" s="815">
        <f>'Sch 1- Rate Base '!J18</f>
        <v>1103110</v>
      </c>
    </row>
    <row r="57" spans="1:7" ht="15.75">
      <c r="A57" s="801"/>
      <c r="B57" s="802" t="s">
        <v>451</v>
      </c>
      <c r="C57" s="811"/>
      <c r="D57" s="814">
        <f>D37</f>
        <v>64737335</v>
      </c>
      <c r="E57" s="814">
        <f>E37</f>
        <v>16517699.084101167</v>
      </c>
      <c r="F57" s="814">
        <f>F37</f>
        <v>15210482.508074947</v>
      </c>
      <c r="G57" s="815">
        <f>G37</f>
        <v>33009153.40782389</v>
      </c>
    </row>
    <row r="58" spans="1:7" ht="15.75">
      <c r="A58" s="801"/>
      <c r="B58" s="802" t="s">
        <v>441</v>
      </c>
      <c r="C58" s="811"/>
      <c r="D58" s="812">
        <f>SUM(D53:D57)</f>
        <v>2292128870</v>
      </c>
      <c r="E58" s="812">
        <f>SUM(E53:E57)</f>
        <v>1024507824.0841012</v>
      </c>
      <c r="F58" s="812">
        <f>SUM(F53:F57)</f>
        <v>401414542.50807494</v>
      </c>
      <c r="G58" s="813">
        <f>SUM(G53:G57)</f>
        <v>866206503.4078239</v>
      </c>
    </row>
    <row r="59" spans="1:7" ht="15.75">
      <c r="A59" s="801"/>
      <c r="B59" s="821" t="s">
        <v>452</v>
      </c>
      <c r="C59" s="825"/>
      <c r="D59" s="828">
        <f>IF($D58=0,0,D58/$D58)</f>
        <v>1</v>
      </c>
      <c r="E59" s="828">
        <f>IF($D58=0,0,E58/$D58)</f>
        <v>0.4469678112313559</v>
      </c>
      <c r="F59" s="828">
        <f>IF($D58=0,0,F58/$D58)</f>
        <v>0.17512738823802473</v>
      </c>
      <c r="G59" s="829">
        <f>IF($D58=0,0,G58/$D58)</f>
        <v>0.37790480053061937</v>
      </c>
    </row>
    <row r="60" spans="1:7" ht="15.75">
      <c r="A60" s="801"/>
      <c r="B60" s="802"/>
      <c r="C60" s="802"/>
      <c r="D60" s="816"/>
      <c r="E60" s="816"/>
      <c r="F60" s="816"/>
      <c r="G60" s="817"/>
    </row>
    <row r="61" spans="1:7" ht="15.75">
      <c r="A61" s="801" t="s">
        <v>59</v>
      </c>
      <c r="B61" s="835" t="s">
        <v>453</v>
      </c>
      <c r="C61" s="808" t="s">
        <v>435</v>
      </c>
      <c r="D61" s="809" t="s">
        <v>15</v>
      </c>
      <c r="E61" s="809" t="s">
        <v>16</v>
      </c>
      <c r="F61" s="809" t="s">
        <v>17</v>
      </c>
      <c r="G61" s="810" t="s">
        <v>418</v>
      </c>
    </row>
    <row r="62" spans="1:7" ht="15.75">
      <c r="A62" s="801"/>
      <c r="B62" s="802" t="s">
        <v>48</v>
      </c>
      <c r="C62" s="811" t="s">
        <v>47</v>
      </c>
      <c r="D62" s="812">
        <f>D47</f>
        <v>383823745</v>
      </c>
      <c r="E62" s="812">
        <f>VLOOKUP($C62,Ratio,2,FALSE)*$D62</f>
        <v>0</v>
      </c>
      <c r="F62" s="812">
        <f>VLOOKUP($C62,Ratio,3,FALSE)*$D62</f>
        <v>383823745</v>
      </c>
      <c r="G62" s="813">
        <f>VLOOKUP($C62,Ratio,4,FALSE)*$D62</f>
        <v>0</v>
      </c>
    </row>
    <row r="63" spans="1:7" ht="15.75">
      <c r="A63" s="801"/>
      <c r="B63" s="802" t="s">
        <v>52</v>
      </c>
      <c r="C63" s="811" t="s">
        <v>5</v>
      </c>
      <c r="D63" s="814">
        <f>D48</f>
        <v>832094240</v>
      </c>
      <c r="E63" s="814">
        <f>VLOOKUP($C63,Ratio,2,FALSE)*$D63</f>
        <v>0</v>
      </c>
      <c r="F63" s="814">
        <f>VLOOKUP($C63,Ratio,3,FALSE)*$D63</f>
        <v>0</v>
      </c>
      <c r="G63" s="815">
        <f>VLOOKUP($C63,Ratio,4,FALSE)*$D63</f>
        <v>832094240</v>
      </c>
    </row>
    <row r="64" spans="1:7" ht="15.75">
      <c r="A64" s="801"/>
      <c r="B64" s="802" t="s">
        <v>441</v>
      </c>
      <c r="C64" s="811"/>
      <c r="D64" s="812">
        <f>SUM(D62:D63)</f>
        <v>1215917985</v>
      </c>
      <c r="E64" s="812">
        <f>SUM(E62:E63)</f>
        <v>0</v>
      </c>
      <c r="F64" s="812">
        <f>SUM(F62:F63)</f>
        <v>383823745</v>
      </c>
      <c r="G64" s="813">
        <f>SUM(G62:G63)</f>
        <v>832094240</v>
      </c>
    </row>
    <row r="65" spans="1:7" ht="15.75">
      <c r="A65" s="801"/>
      <c r="B65" s="821" t="s">
        <v>454</v>
      </c>
      <c r="C65" s="836"/>
      <c r="D65" s="837">
        <f>IF($D64=0,0,D64/$D64)</f>
        <v>1</v>
      </c>
      <c r="E65" s="837">
        <f>IF($D64=0,0,E64/$D64)</f>
        <v>0</v>
      </c>
      <c r="F65" s="837">
        <f>IF($D64=0,0,F64/$D64)</f>
        <v>0.31566581770726915</v>
      </c>
      <c r="G65" s="838">
        <f>IF($D64=0,0,G64/$D64)</f>
        <v>0.6843341822927309</v>
      </c>
    </row>
    <row r="66" spans="1:7" ht="16.5" thickBot="1">
      <c r="A66" s="830"/>
      <c r="B66" s="831"/>
      <c r="C66" s="831"/>
      <c r="D66" s="839"/>
      <c r="E66" s="839"/>
      <c r="F66" s="839"/>
      <c r="G66" s="840"/>
    </row>
    <row r="67" spans="1:7" ht="16.5" thickTop="1">
      <c r="A67" s="801"/>
      <c r="B67" s="802"/>
      <c r="C67" s="802"/>
      <c r="D67" s="816"/>
      <c r="E67" s="816"/>
      <c r="F67" s="816"/>
      <c r="G67" s="817"/>
    </row>
    <row r="68" spans="1:7" ht="15.75">
      <c r="A68" s="801" t="s">
        <v>320</v>
      </c>
      <c r="B68" s="835" t="s">
        <v>455</v>
      </c>
      <c r="C68" s="808" t="s">
        <v>435</v>
      </c>
      <c r="D68" s="809" t="s">
        <v>15</v>
      </c>
      <c r="E68" s="809" t="s">
        <v>16</v>
      </c>
      <c r="F68" s="809" t="s">
        <v>17</v>
      </c>
      <c r="G68" s="810" t="s">
        <v>418</v>
      </c>
    </row>
    <row r="69" spans="1:7" ht="15.75">
      <c r="A69" s="801"/>
      <c r="B69" s="802" t="s">
        <v>55</v>
      </c>
      <c r="C69" s="811" t="s">
        <v>4</v>
      </c>
      <c r="D69" s="812">
        <f>D26</f>
        <v>2042518</v>
      </c>
      <c r="E69" s="812">
        <f>VLOOKUP($C69,Ratio,2,FALSE)*$D69</f>
        <v>917582.2202674826</v>
      </c>
      <c r="F69" s="812">
        <f>VLOOKUP($C69,Ratio,3,FALSE)*$D69</f>
        <v>355103.7727774295</v>
      </c>
      <c r="G69" s="813">
        <f>VLOOKUP($C69,Ratio,4,FALSE)*$D69</f>
        <v>769832.0069550879</v>
      </c>
    </row>
    <row r="70" spans="1:7" ht="15.75">
      <c r="A70" s="801"/>
      <c r="B70" s="802" t="s">
        <v>56</v>
      </c>
      <c r="C70" s="811" t="s">
        <v>57</v>
      </c>
      <c r="D70" s="814">
        <f>D27</f>
        <v>136601</v>
      </c>
      <c r="E70" s="814">
        <f>VLOOKUP($C70,Ratio,2,FALSE)*$D70</f>
        <v>52742.08616376294</v>
      </c>
      <c r="F70" s="814">
        <f>VLOOKUP($C70,Ratio,3,FALSE)*$D70</f>
        <v>15663.099744097108</v>
      </c>
      <c r="G70" s="815">
        <f>VLOOKUP($C70,Ratio,4,FALSE)*$D70</f>
        <v>68195.81409213996</v>
      </c>
    </row>
    <row r="71" spans="1:7" ht="15.75">
      <c r="A71" s="801"/>
      <c r="B71" s="802" t="s">
        <v>64</v>
      </c>
      <c r="C71" s="811" t="s">
        <v>4</v>
      </c>
      <c r="D71" s="814">
        <f>D33</f>
        <v>28330864</v>
      </c>
      <c r="E71" s="814">
        <f>VLOOKUP($C71,Ratio,2,FALSE)*$D71</f>
        <v>12727377.233011456</v>
      </c>
      <c r="F71" s="814">
        <f>VLOOKUP($C71,Ratio,3,FALSE)*$D71</f>
        <v>4925487.409385992</v>
      </c>
      <c r="G71" s="815">
        <f>VLOOKUP($C71,Ratio,4,FALSE)*$D71</f>
        <v>10677999.357602553</v>
      </c>
    </row>
    <row r="72" spans="1:7" ht="15.75">
      <c r="A72" s="801"/>
      <c r="B72" s="802" t="s">
        <v>65</v>
      </c>
      <c r="C72" s="811" t="s">
        <v>5</v>
      </c>
      <c r="D72" s="814">
        <f>D34</f>
        <v>3973</v>
      </c>
      <c r="E72" s="814">
        <f>VLOOKUP($C72,Ratio,2,FALSE)*$D72</f>
        <v>0</v>
      </c>
      <c r="F72" s="814">
        <f>VLOOKUP($C72,Ratio,3,FALSE)*$D72</f>
        <v>0</v>
      </c>
      <c r="G72" s="815">
        <f>VLOOKUP($C72,Ratio,4,FALSE)*$D72</f>
        <v>3973</v>
      </c>
    </row>
    <row r="73" spans="1:7" ht="15.75">
      <c r="A73" s="801"/>
      <c r="B73" s="802" t="s">
        <v>441</v>
      </c>
      <c r="C73" s="811"/>
      <c r="D73" s="812">
        <f>SUM(D69:D72)</f>
        <v>30513956</v>
      </c>
      <c r="E73" s="812">
        <f>SUM(E69:E72)</f>
        <v>13697701.539442701</v>
      </c>
      <c r="F73" s="812">
        <f>SUM(F69:F72)</f>
        <v>5296254.281907518</v>
      </c>
      <c r="G73" s="813">
        <f>SUM(G69:G72)</f>
        <v>11520000.178649781</v>
      </c>
    </row>
    <row r="74" spans="1:7" ht="15.75">
      <c r="A74" s="801"/>
      <c r="B74" s="821" t="s">
        <v>456</v>
      </c>
      <c r="C74" s="825"/>
      <c r="D74" s="828">
        <f>IF($D73=0,0,D73/$D73)</f>
        <v>1</v>
      </c>
      <c r="E74" s="828">
        <f>IF($D73=0,0,E73/$D73)</f>
        <v>0.44889956384031954</v>
      </c>
      <c r="F74" s="828">
        <f>IF($D73=0,0,F73/$D73)</f>
        <v>0.17356826109035217</v>
      </c>
      <c r="G74" s="829">
        <f>IF($D73=0,0,G73/$D73)</f>
        <v>0.37753217506932835</v>
      </c>
    </row>
    <row r="75" spans="1:7" ht="15.75">
      <c r="A75" s="801"/>
      <c r="B75" s="821"/>
      <c r="C75" s="841"/>
      <c r="D75" s="842"/>
      <c r="E75" s="842"/>
      <c r="F75" s="842"/>
      <c r="G75" s="843"/>
    </row>
    <row r="76" spans="1:7" ht="16.5" thickBot="1">
      <c r="A76" s="801"/>
      <c r="B76" s="821" t="s">
        <v>457</v>
      </c>
      <c r="C76" s="802"/>
      <c r="D76" s="844"/>
      <c r="E76" s="844"/>
      <c r="F76" s="844"/>
      <c r="G76" s="845"/>
    </row>
    <row r="77" spans="1:7" ht="15.75">
      <c r="A77" s="801"/>
      <c r="B77" s="835" t="s">
        <v>458</v>
      </c>
      <c r="C77" s="802"/>
      <c r="D77" s="846" t="s">
        <v>276</v>
      </c>
      <c r="E77" s="847">
        <v>0.7</v>
      </c>
      <c r="F77" s="847">
        <v>0</v>
      </c>
      <c r="G77" s="848">
        <f>1-E77</f>
        <v>0.30000000000000004</v>
      </c>
    </row>
    <row r="78" spans="1:7" ht="15.75">
      <c r="A78" s="801"/>
      <c r="B78" s="835" t="s">
        <v>459</v>
      </c>
      <c r="C78" s="802"/>
      <c r="D78" s="849" t="s">
        <v>5</v>
      </c>
      <c r="E78" s="850">
        <v>0</v>
      </c>
      <c r="F78" s="850">
        <v>0</v>
      </c>
      <c r="G78" s="851">
        <v>1</v>
      </c>
    </row>
    <row r="79" spans="1:7" ht="15.75">
      <c r="A79" s="801"/>
      <c r="B79" s="835" t="s">
        <v>460</v>
      </c>
      <c r="C79" s="802"/>
      <c r="D79" s="849" t="s">
        <v>6</v>
      </c>
      <c r="E79" s="850">
        <v>1</v>
      </c>
      <c r="F79" s="850">
        <v>0</v>
      </c>
      <c r="G79" s="851">
        <v>0</v>
      </c>
    </row>
    <row r="80" spans="1:7" ht="15.75">
      <c r="A80" s="801"/>
      <c r="B80" s="835" t="s">
        <v>461</v>
      </c>
      <c r="C80" s="802"/>
      <c r="D80" s="849" t="s">
        <v>47</v>
      </c>
      <c r="E80" s="850">
        <v>0</v>
      </c>
      <c r="F80" s="850">
        <v>1</v>
      </c>
      <c r="G80" s="851">
        <v>0</v>
      </c>
    </row>
    <row r="81" spans="1:7" ht="15.75">
      <c r="A81" s="801"/>
      <c r="B81" s="835" t="s">
        <v>462</v>
      </c>
      <c r="C81" s="802"/>
      <c r="D81" s="849" t="s">
        <v>1</v>
      </c>
      <c r="E81" s="850">
        <v>0</v>
      </c>
      <c r="F81" s="850">
        <v>0</v>
      </c>
      <c r="G81" s="851">
        <v>0</v>
      </c>
    </row>
    <row r="82" spans="1:7" ht="15.75">
      <c r="A82" s="801"/>
      <c r="B82" s="835" t="s">
        <v>80</v>
      </c>
      <c r="C82" s="802"/>
      <c r="D82" s="849" t="s">
        <v>81</v>
      </c>
      <c r="E82" s="850">
        <f>E38</f>
        <v>0.2551495066038966</v>
      </c>
      <c r="F82" s="850">
        <f>F38</f>
        <v>0.23495688396927286</v>
      </c>
      <c r="G82" s="851">
        <f>G38</f>
        <v>0.5098936094268306</v>
      </c>
    </row>
    <row r="83" spans="1:7" ht="15.75">
      <c r="A83" s="801"/>
      <c r="B83" s="835" t="s">
        <v>319</v>
      </c>
      <c r="C83" s="802"/>
      <c r="D83" s="849" t="s">
        <v>320</v>
      </c>
      <c r="E83" s="850">
        <f>E74</f>
        <v>0.44889956384031954</v>
      </c>
      <c r="F83" s="850">
        <f>F74</f>
        <v>0.17356826109035217</v>
      </c>
      <c r="G83" s="851">
        <f>G74</f>
        <v>0.37753217506932835</v>
      </c>
    </row>
    <row r="84" spans="1:7" ht="15.75">
      <c r="A84" s="801"/>
      <c r="B84" s="835" t="s">
        <v>463</v>
      </c>
      <c r="C84" s="802"/>
      <c r="D84" s="849" t="s">
        <v>57</v>
      </c>
      <c r="E84" s="850">
        <f>E22</f>
        <v>0.3861032215266575</v>
      </c>
      <c r="F84" s="850">
        <f>F22</f>
        <v>0.11466314114901874</v>
      </c>
      <c r="G84" s="851">
        <f>G22</f>
        <v>0.4992336373243238</v>
      </c>
    </row>
    <row r="85" spans="1:7" ht="15.75">
      <c r="A85" s="801"/>
      <c r="B85" s="835" t="s">
        <v>464</v>
      </c>
      <c r="C85" s="802"/>
      <c r="D85" s="849" t="s">
        <v>4</v>
      </c>
      <c r="E85" s="850">
        <f>E50</f>
        <v>0.44924070204888406</v>
      </c>
      <c r="F85" s="850">
        <f>F50</f>
        <v>0.1738558841476205</v>
      </c>
      <c r="G85" s="851">
        <f>G50</f>
        <v>0.37690341380349546</v>
      </c>
    </row>
    <row r="86" spans="1:7" ht="15.75">
      <c r="A86" s="801"/>
      <c r="B86" s="835" t="s">
        <v>465</v>
      </c>
      <c r="C86" s="802"/>
      <c r="D86" s="849" t="s">
        <v>131</v>
      </c>
      <c r="E86" s="850">
        <f>E59</f>
        <v>0.4469678112313559</v>
      </c>
      <c r="F86" s="850">
        <f>F59</f>
        <v>0.17512738823802473</v>
      </c>
      <c r="G86" s="851">
        <f>G59</f>
        <v>0.37790480053061937</v>
      </c>
    </row>
    <row r="87" spans="1:7" ht="16.5" thickBot="1">
      <c r="A87" s="801"/>
      <c r="B87" s="835" t="s">
        <v>466</v>
      </c>
      <c r="C87" s="802"/>
      <c r="D87" s="852" t="s">
        <v>59</v>
      </c>
      <c r="E87" s="853">
        <f>E65</f>
        <v>0</v>
      </c>
      <c r="F87" s="853">
        <f>F65</f>
        <v>0.31566581770726915</v>
      </c>
      <c r="G87" s="854">
        <f>G65</f>
        <v>0.6843341822927309</v>
      </c>
    </row>
    <row r="88" spans="1:7" ht="16.5" thickBot="1">
      <c r="A88" s="830"/>
      <c r="B88" s="831"/>
      <c r="C88" s="831"/>
      <c r="D88" s="839"/>
      <c r="E88" s="839"/>
      <c r="F88" s="839"/>
      <c r="G88" s="840"/>
    </row>
    <row r="89" ht="13.5" thickTop="1"/>
  </sheetData>
  <mergeCells count="3"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70" r:id="rId1"/>
  <headerFooter alignWithMargins="0">
    <oddFooter>&amp;L&amp;F&amp;CPage &amp;P of &amp;N&amp;R&amp;D</oddFooter>
  </headerFooter>
  <rowBreaks count="2" manualBreakCount="2">
    <brk id="39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5"/>
  <sheetViews>
    <sheetView zoomScale="75" zoomScaleNormal="75" zoomScaleSheetLayoutView="75" workbookViewId="0" topLeftCell="A1">
      <selection activeCell="L161" sqref="L161"/>
    </sheetView>
  </sheetViews>
  <sheetFormatPr defaultColWidth="9.00390625" defaultRowHeight="15.75"/>
  <cols>
    <col min="1" max="1" width="6.75390625" style="0" customWidth="1"/>
    <col min="2" max="2" width="52.625" style="0" customWidth="1"/>
    <col min="3" max="3" width="13.00390625" style="0" customWidth="1"/>
    <col min="4" max="4" width="12.875" style="0" customWidth="1"/>
    <col min="5" max="6" width="12.50390625" style="0" customWidth="1"/>
  </cols>
  <sheetData>
    <row r="1" spans="1:6" ht="19.5" thickTop="1">
      <c r="A1" s="241" t="s">
        <v>0</v>
      </c>
      <c r="B1" s="242"/>
      <c r="C1" s="242"/>
      <c r="D1" s="242"/>
      <c r="E1" s="242"/>
      <c r="F1" s="243"/>
    </row>
    <row r="2" spans="1:6" ht="15.75">
      <c r="A2" s="244" t="s">
        <v>168</v>
      </c>
      <c r="B2" s="245"/>
      <c r="C2" s="245"/>
      <c r="D2" s="245"/>
      <c r="E2" s="245"/>
      <c r="F2" s="246"/>
    </row>
    <row r="3" spans="1:6" ht="15.75">
      <c r="A3" s="247" t="s">
        <v>169</v>
      </c>
      <c r="B3" s="12"/>
      <c r="C3" s="248"/>
      <c r="D3" s="249"/>
      <c r="E3" s="250"/>
      <c r="F3" s="251"/>
    </row>
    <row r="4" spans="1:6" ht="12" customHeight="1" thickBot="1">
      <c r="A4" s="252"/>
      <c r="B4" s="12"/>
      <c r="C4" s="248"/>
      <c r="D4" s="249"/>
      <c r="E4" s="250"/>
      <c r="F4" s="251"/>
    </row>
    <row r="5" spans="1:6" ht="15.75">
      <c r="A5" s="252"/>
      <c r="B5" s="10" t="s">
        <v>7</v>
      </c>
      <c r="C5" s="866" t="s">
        <v>8</v>
      </c>
      <c r="D5" s="867"/>
      <c r="E5" s="868"/>
      <c r="F5" s="251"/>
    </row>
    <row r="6" spans="1:6" ht="15.75">
      <c r="A6" s="252"/>
      <c r="B6" s="10" t="s">
        <v>9</v>
      </c>
      <c r="C6" s="869">
        <v>39082</v>
      </c>
      <c r="D6" s="857"/>
      <c r="E6" s="858"/>
      <c r="F6" s="251"/>
    </row>
    <row r="7" spans="1:6" ht="16.5" thickBot="1">
      <c r="A7" s="252"/>
      <c r="B7" s="10" t="s">
        <v>10</v>
      </c>
      <c r="C7" s="859">
        <v>39575</v>
      </c>
      <c r="D7" s="860"/>
      <c r="E7" s="746"/>
      <c r="F7" s="251"/>
    </row>
    <row r="8" spans="1:6" s="256" customFormat="1" ht="15.75">
      <c r="A8" s="253"/>
      <c r="B8" s="254"/>
      <c r="C8" s="255"/>
      <c r="D8" s="255"/>
      <c r="E8" s="255"/>
      <c r="F8" s="251"/>
    </row>
    <row r="9" spans="1:6" ht="15.75">
      <c r="A9" s="252" t="s">
        <v>170</v>
      </c>
      <c r="B9" s="12"/>
      <c r="C9" s="248"/>
      <c r="D9" s="249"/>
      <c r="E9" s="250"/>
      <c r="F9" s="251"/>
    </row>
    <row r="10" spans="1:6" ht="17.25" customHeight="1" thickBot="1">
      <c r="A10" s="889" t="s">
        <v>171</v>
      </c>
      <c r="B10" s="890"/>
      <c r="C10" s="890"/>
      <c r="D10" s="890"/>
      <c r="E10" s="890"/>
      <c r="F10" s="891"/>
    </row>
    <row r="11" spans="1:6" ht="15.75">
      <c r="A11" s="892" t="s">
        <v>12</v>
      </c>
      <c r="B11" s="874"/>
      <c r="C11" s="882" t="s">
        <v>15</v>
      </c>
      <c r="D11" s="879" t="s">
        <v>16</v>
      </c>
      <c r="E11" s="879" t="s">
        <v>17</v>
      </c>
      <c r="F11" s="257" t="s">
        <v>21</v>
      </c>
    </row>
    <row r="12" spans="1:6" ht="16.5" thickBot="1">
      <c r="A12" s="893"/>
      <c r="B12" s="878"/>
      <c r="C12" s="884"/>
      <c r="D12" s="881"/>
      <c r="E12" s="881"/>
      <c r="F12" s="44" t="s">
        <v>26</v>
      </c>
    </row>
    <row r="13" spans="1:6" ht="15.75">
      <c r="A13" s="258" t="s">
        <v>172</v>
      </c>
      <c r="B13" s="207"/>
      <c r="C13" s="259"/>
      <c r="D13" s="187"/>
      <c r="E13" s="187"/>
      <c r="F13" s="260"/>
    </row>
    <row r="14" spans="1:6" ht="15.75">
      <c r="A14" s="261"/>
      <c r="B14" s="262" t="s">
        <v>173</v>
      </c>
      <c r="C14" s="263">
        <f>'Sch 3 - Expenses'!G36</f>
        <v>431008791</v>
      </c>
      <c r="D14" s="263">
        <f>'Sch 3 - Expenses'!H36</f>
        <v>431008791</v>
      </c>
      <c r="E14" s="263">
        <f>'Sch 3 - Expenses'!I36</f>
        <v>0</v>
      </c>
      <c r="F14" s="264">
        <f>'Sch 3 - Expenses'!J36</f>
        <v>0</v>
      </c>
    </row>
    <row r="15" spans="1:6" ht="15.75">
      <c r="A15" s="261"/>
      <c r="B15" s="262" t="s">
        <v>174</v>
      </c>
      <c r="C15" s="263">
        <f>'Sch 3 - Expenses'!G42</f>
        <v>19547280</v>
      </c>
      <c r="D15" s="263">
        <f>'Sch 3 - Expenses'!H42</f>
        <v>0</v>
      </c>
      <c r="E15" s="263">
        <f>'Sch 3 - Expenses'!I42</f>
        <v>19547280</v>
      </c>
      <c r="F15" s="264">
        <f>'Sch 3 - Expenses'!J42</f>
        <v>0</v>
      </c>
    </row>
    <row r="16" spans="1:6" ht="15.75">
      <c r="A16" s="261"/>
      <c r="B16" s="262" t="s">
        <v>175</v>
      </c>
      <c r="C16" s="263">
        <f>'Sch 3 - Expenses'!G47</f>
        <v>22569058</v>
      </c>
      <c r="D16" s="263">
        <f>'Sch 3 - Expenses'!H47</f>
        <v>0</v>
      </c>
      <c r="E16" s="263">
        <f>'Sch 3 - Expenses'!I47</f>
        <v>0</v>
      </c>
      <c r="F16" s="264">
        <f>'Sch 3 - Expenses'!J47</f>
        <v>22569058</v>
      </c>
    </row>
    <row r="17" spans="1:6" ht="15.75">
      <c r="A17" s="261"/>
      <c r="B17" s="262" t="s">
        <v>176</v>
      </c>
      <c r="C17" s="263">
        <f>'Sch 3 - Expenses'!G55</f>
        <v>25860122</v>
      </c>
      <c r="D17" s="263">
        <f>'Sch 3 - Expenses'!H55</f>
        <v>10184229</v>
      </c>
      <c r="E17" s="263">
        <f>'Sch 3 - Expenses'!I55</f>
        <v>0</v>
      </c>
      <c r="F17" s="264">
        <f>'Sch 3 - Expenses'!J55</f>
        <v>15675893</v>
      </c>
    </row>
    <row r="18" spans="1:6" ht="15.75">
      <c r="A18" s="261"/>
      <c r="B18" s="262" t="s">
        <v>177</v>
      </c>
      <c r="C18" s="263">
        <f>'Sch 3 - Expenses'!G75</f>
        <v>49517622</v>
      </c>
      <c r="D18" s="263">
        <f>'Sch 3 - Expenses'!H75</f>
        <v>17278572.28979866</v>
      </c>
      <c r="E18" s="263">
        <f>'Sch 3 - Expenses'!I75</f>
        <v>5420937.584099581</v>
      </c>
      <c r="F18" s="264">
        <f>'Sch 3 - Expenses'!J75</f>
        <v>26818112.126101762</v>
      </c>
    </row>
    <row r="19" spans="1:6" ht="15.75">
      <c r="A19" s="261"/>
      <c r="B19" s="262" t="s">
        <v>178</v>
      </c>
      <c r="C19" s="263">
        <f>'Sch 3 - Expenses'!G16+'Sch 3 - Expenses'!G20+'Sch 3 - Expenses'!G27+'Sch 3 - Expenses'!G31+'Sch 3 - Expenses'!G34+'Sch 3 - Expenses'!G35</f>
        <v>311062630</v>
      </c>
      <c r="D19" s="263">
        <f>'Sch 3 - Expenses'!H16+'Sch 3 - Expenses'!H20+'Sch 3 - Expenses'!H27+'Sch 3 - Expenses'!H31+'Sch 3 - Expenses'!H34+'Sch 3 - Expenses'!H35</f>
        <v>311062630</v>
      </c>
      <c r="E19" s="263">
        <f>'Sch 3 - Expenses'!I16+'Sch 3 - Expenses'!I20+'Sch 3 - Expenses'!I27+'Sch 3 - Expenses'!I31+'Sch 3 - Expenses'!I34+'Sch 3 - Expenses'!I35</f>
        <v>0</v>
      </c>
      <c r="F19" s="264">
        <f>'Sch 3 - Expenses'!J16+'Sch 3 - Expenses'!J20+'Sch 3 - Expenses'!J27+'Sch 3 - Expenses'!J31+'Sch 3 - Expenses'!J34+'Sch 3 - Expenses'!J35</f>
        <v>0</v>
      </c>
    </row>
    <row r="20" spans="1:6" ht="15.75">
      <c r="A20" s="265" t="s">
        <v>179</v>
      </c>
      <c r="B20" s="207"/>
      <c r="C20" s="121">
        <f>SUM(C14:C18)-C19</f>
        <v>237440243</v>
      </c>
      <c r="D20" s="121">
        <f>SUM(D14:D18)-D19</f>
        <v>147408962.28979868</v>
      </c>
      <c r="E20" s="121">
        <f>SUM(E14:E18)-E19</f>
        <v>24968217.584099583</v>
      </c>
      <c r="F20" s="122">
        <f>SUM(F14:F18)-F19</f>
        <v>65063063.12610176</v>
      </c>
    </row>
    <row r="21" spans="1:6" ht="15.75">
      <c r="A21" s="266"/>
      <c r="B21" s="207"/>
      <c r="C21" s="187"/>
      <c r="D21" s="187"/>
      <c r="E21" s="187"/>
      <c r="F21" s="188"/>
    </row>
    <row r="22" spans="1:6" ht="15.75">
      <c r="A22" s="267" t="s">
        <v>180</v>
      </c>
      <c r="B22" s="181"/>
      <c r="C22" s="83"/>
      <c r="D22" s="83"/>
      <c r="E22" s="83"/>
      <c r="F22" s="84"/>
    </row>
    <row r="23" spans="1:6" ht="15.75">
      <c r="A23" s="268" t="s">
        <v>181</v>
      </c>
      <c r="B23" s="191"/>
      <c r="C23" s="121">
        <f>C20/8</f>
        <v>29680030.375</v>
      </c>
      <c r="D23" s="121">
        <f>D20/8</f>
        <v>18426120.286224835</v>
      </c>
      <c r="E23" s="121">
        <f>E20/8</f>
        <v>3121027.198012448</v>
      </c>
      <c r="F23" s="122">
        <f>F20/8</f>
        <v>8132882.89076272</v>
      </c>
    </row>
    <row r="24" spans="1:6" ht="15.75">
      <c r="A24" s="269"/>
      <c r="B24" s="156"/>
      <c r="C24" s="270"/>
      <c r="D24" s="270"/>
      <c r="E24" s="270"/>
      <c r="F24" s="271"/>
    </row>
    <row r="25" spans="1:6" ht="16.5" thickBot="1">
      <c r="A25" s="272"/>
      <c r="B25" s="273"/>
      <c r="C25" s="273"/>
      <c r="D25" s="273"/>
      <c r="E25" s="273"/>
      <c r="F25" s="274"/>
    </row>
    <row r="26" ht="16.5" thickTop="1"/>
  </sheetData>
  <mergeCells count="8">
    <mergeCell ref="A11:B12"/>
    <mergeCell ref="C11:C12"/>
    <mergeCell ref="D11:D12"/>
    <mergeCell ref="E11:E12"/>
    <mergeCell ref="A10:F10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128"/>
  <sheetViews>
    <sheetView showZeros="0" zoomScale="70" zoomScaleNormal="70" zoomScaleSheetLayoutView="100" workbookViewId="0" topLeftCell="A109">
      <selection activeCell="L161" sqref="L161"/>
    </sheetView>
  </sheetViews>
  <sheetFormatPr defaultColWidth="9.00390625" defaultRowHeight="15.75"/>
  <cols>
    <col min="1" max="1" width="29.625" style="218" customWidth="1"/>
    <col min="2" max="2" width="17.75390625" style="218" customWidth="1"/>
    <col min="3" max="3" width="14.125" style="218" customWidth="1"/>
    <col min="4" max="4" width="9.875" style="218" customWidth="1"/>
    <col min="5" max="5" width="17.375" style="218" bestFit="1" customWidth="1"/>
    <col min="6" max="6" width="11.875" style="218" customWidth="1"/>
    <col min="7" max="7" width="18.50390625" style="218" customWidth="1"/>
    <col min="8" max="8" width="16.625" style="218" customWidth="1"/>
    <col min="9" max="9" width="2.75390625" style="218" customWidth="1"/>
    <col min="10" max="11" width="9.625" style="218" customWidth="1"/>
    <col min="12" max="12" width="10.50390625" style="218" customWidth="1"/>
    <col min="13" max="16384" width="9.00390625" style="218" customWidth="1"/>
  </cols>
  <sheetData>
    <row r="1" spans="1:17" s="3" customFormat="1" ht="19.5" customHeight="1" thickTop="1">
      <c r="A1" s="241" t="s">
        <v>0</v>
      </c>
      <c r="B1" s="275"/>
      <c r="C1" s="275"/>
      <c r="D1" s="275"/>
      <c r="E1" s="275"/>
      <c r="F1" s="276"/>
      <c r="G1" s="276"/>
      <c r="H1" s="277"/>
      <c r="I1"/>
      <c r="J1"/>
      <c r="K1"/>
      <c r="L1" s="221"/>
      <c r="M1" s="196"/>
      <c r="N1" s="223"/>
      <c r="O1" s="61"/>
      <c r="P1" s="61"/>
      <c r="Q1" s="61"/>
    </row>
    <row r="2" spans="1:17" s="3" customFormat="1" ht="19.5" customHeight="1">
      <c r="A2" s="244" t="s">
        <v>168</v>
      </c>
      <c r="B2" s="245"/>
      <c r="C2" s="245"/>
      <c r="D2" s="245"/>
      <c r="E2" s="245"/>
      <c r="F2" s="278"/>
      <c r="G2" s="278"/>
      <c r="H2" s="279"/>
      <c r="I2"/>
      <c r="J2"/>
      <c r="K2"/>
      <c r="L2" s="221"/>
      <c r="M2" s="196"/>
      <c r="N2" s="223"/>
      <c r="O2" s="61"/>
      <c r="P2" s="61"/>
      <c r="Q2" s="61"/>
    </row>
    <row r="3" spans="1:17" s="3" customFormat="1" ht="19.5" customHeight="1">
      <c r="A3" s="247" t="s">
        <v>169</v>
      </c>
      <c r="B3" s="245"/>
      <c r="C3" s="245"/>
      <c r="D3" s="245"/>
      <c r="E3" s="245"/>
      <c r="F3" s="278"/>
      <c r="G3" s="278"/>
      <c r="H3" s="279"/>
      <c r="I3"/>
      <c r="J3"/>
      <c r="K3"/>
      <c r="L3" s="221"/>
      <c r="M3" s="196"/>
      <c r="N3" s="223"/>
      <c r="O3" s="61"/>
      <c r="P3" s="61"/>
      <c r="Q3" s="61"/>
    </row>
    <row r="4" spans="1:17" s="3" customFormat="1" ht="12" customHeight="1" thickBot="1">
      <c r="A4" s="247"/>
      <c r="B4" s="245"/>
      <c r="C4" s="245"/>
      <c r="D4" s="245"/>
      <c r="E4" s="245"/>
      <c r="F4" s="278"/>
      <c r="G4" s="278"/>
      <c r="H4" s="279"/>
      <c r="I4"/>
      <c r="J4"/>
      <c r="K4"/>
      <c r="L4" s="221"/>
      <c r="M4" s="196"/>
      <c r="N4" s="223"/>
      <c r="O4" s="61"/>
      <c r="P4" s="61"/>
      <c r="Q4" s="61"/>
    </row>
    <row r="5" spans="1:17" s="3" customFormat="1" ht="15.75" customHeight="1">
      <c r="A5" s="247"/>
      <c r="B5" s="245"/>
      <c r="C5" s="10" t="s">
        <v>7</v>
      </c>
      <c r="D5" s="866" t="s">
        <v>8</v>
      </c>
      <c r="E5" s="867"/>
      <c r="F5" s="868"/>
      <c r="G5" s="278"/>
      <c r="H5" s="279"/>
      <c r="I5"/>
      <c r="J5"/>
      <c r="K5"/>
      <c r="L5" s="221"/>
      <c r="M5" s="196"/>
      <c r="N5" s="223"/>
      <c r="O5" s="61"/>
      <c r="P5" s="61"/>
      <c r="Q5" s="61"/>
    </row>
    <row r="6" spans="1:17" s="3" customFormat="1" ht="15.75" customHeight="1">
      <c r="A6" s="247"/>
      <c r="B6" s="245"/>
      <c r="C6" s="10" t="s">
        <v>9</v>
      </c>
      <c r="D6" s="869">
        <v>39082</v>
      </c>
      <c r="E6" s="857"/>
      <c r="F6" s="858"/>
      <c r="G6" s="278"/>
      <c r="H6" s="279"/>
      <c r="I6"/>
      <c r="J6"/>
      <c r="K6"/>
      <c r="L6" s="221"/>
      <c r="M6" s="196"/>
      <c r="N6" s="223"/>
      <c r="O6" s="61"/>
      <c r="P6" s="61"/>
      <c r="Q6" s="61"/>
    </row>
    <row r="7" spans="1:17" s="3" customFormat="1" ht="15.75" customHeight="1" thickBot="1">
      <c r="A7" s="247"/>
      <c r="B7" s="245"/>
      <c r="C7" s="10" t="s">
        <v>10</v>
      </c>
      <c r="D7" s="859">
        <v>39575</v>
      </c>
      <c r="E7" s="860"/>
      <c r="F7" s="746"/>
      <c r="G7" s="278"/>
      <c r="H7" s="279"/>
      <c r="I7"/>
      <c r="J7"/>
      <c r="K7"/>
      <c r="L7" s="221"/>
      <c r="M7" s="196"/>
      <c r="N7" s="223"/>
      <c r="O7" s="61"/>
      <c r="P7" s="61"/>
      <c r="Q7" s="61"/>
    </row>
    <row r="8" spans="1:17" s="3" customFormat="1" ht="18.75" customHeight="1">
      <c r="A8" s="252" t="s">
        <v>182</v>
      </c>
      <c r="B8" s="280"/>
      <c r="C8" s="280"/>
      <c r="D8" s="280"/>
      <c r="E8" s="280"/>
      <c r="F8" s="280"/>
      <c r="G8" s="280"/>
      <c r="H8" s="281"/>
      <c r="I8" s="282"/>
      <c r="J8" s="282"/>
      <c r="K8" s="282"/>
      <c r="L8" s="221"/>
      <c r="M8" s="196"/>
      <c r="N8" s="223"/>
      <c r="O8" s="61"/>
      <c r="P8" s="61"/>
      <c r="Q8" s="61"/>
    </row>
    <row r="9" spans="1:17" s="3" customFormat="1" ht="6.75" customHeight="1" thickBot="1">
      <c r="A9" s="283"/>
      <c r="B9" s="284"/>
      <c r="C9" s="284"/>
      <c r="D9" s="284"/>
      <c r="E9" s="284"/>
      <c r="F9" s="284"/>
      <c r="G9" s="284"/>
      <c r="H9" s="285"/>
      <c r="I9"/>
      <c r="J9"/>
      <c r="K9"/>
      <c r="L9" s="221"/>
      <c r="M9" s="196"/>
      <c r="N9" s="223"/>
      <c r="O9" s="61"/>
      <c r="P9" s="61"/>
      <c r="Q9" s="61"/>
    </row>
    <row r="10" spans="1:17" s="3" customFormat="1" ht="19.5" customHeight="1">
      <c r="A10" s="286"/>
      <c r="B10" s="287"/>
      <c r="C10" s="287"/>
      <c r="D10" s="288" t="s">
        <v>471</v>
      </c>
      <c r="E10" s="289"/>
      <c r="F10" s="290"/>
      <c r="G10" s="290"/>
      <c r="H10" s="291"/>
      <c r="I10"/>
      <c r="J10"/>
      <c r="K10"/>
      <c r="L10" s="221"/>
      <c r="M10" s="196"/>
      <c r="N10" s="223"/>
      <c r="O10" s="61"/>
      <c r="P10" s="61"/>
      <c r="Q10" s="61"/>
    </row>
    <row r="11" spans="1:17" s="3" customFormat="1" ht="19.5" customHeight="1">
      <c r="A11" s="286"/>
      <c r="B11" s="287"/>
      <c r="C11" s="287"/>
      <c r="D11" s="292" t="s">
        <v>183</v>
      </c>
      <c r="E11" s="293">
        <f>E35</f>
        <v>0</v>
      </c>
      <c r="F11" s="290"/>
      <c r="G11" s="290"/>
      <c r="H11" s="291"/>
      <c r="I11"/>
      <c r="J11"/>
      <c r="K11"/>
      <c r="L11" s="221"/>
      <c r="M11" s="196"/>
      <c r="N11" s="223"/>
      <c r="O11" s="61"/>
      <c r="P11" s="61"/>
      <c r="Q11" s="61"/>
    </row>
    <row r="12" spans="1:17" s="3" customFormat="1" ht="19.5" customHeight="1">
      <c r="A12" s="294"/>
      <c r="B12" s="287"/>
      <c r="C12" s="287"/>
      <c r="D12" s="295" t="s">
        <v>184</v>
      </c>
      <c r="E12" s="296">
        <f>E90</f>
        <v>0.11172845015384616</v>
      </c>
      <c r="F12" s="297"/>
      <c r="G12" s="297"/>
      <c r="H12" s="298"/>
      <c r="I12"/>
      <c r="J12"/>
      <c r="K12"/>
      <c r="L12" s="221"/>
      <c r="M12" s="196"/>
      <c r="N12" s="223"/>
      <c r="O12" s="61"/>
      <c r="P12" s="61"/>
      <c r="Q12" s="61"/>
    </row>
    <row r="13" spans="1:17" s="3" customFormat="1" ht="19.5" customHeight="1" thickBot="1">
      <c r="A13" s="294"/>
      <c r="B13" s="299"/>
      <c r="C13" s="287"/>
      <c r="D13" s="295" t="s">
        <v>185</v>
      </c>
      <c r="E13" s="300">
        <f>E118</f>
        <v>0</v>
      </c>
      <c r="F13" s="280"/>
      <c r="G13" s="280"/>
      <c r="H13" s="281"/>
      <c r="I13"/>
      <c r="J13"/>
      <c r="K13"/>
      <c r="L13" s="221"/>
      <c r="M13" s="196"/>
      <c r="N13" s="223"/>
      <c r="O13" s="61"/>
      <c r="P13" s="61"/>
      <c r="Q13" s="61"/>
    </row>
    <row r="14" spans="1:17" s="3" customFormat="1" ht="19.5" customHeight="1" thickBot="1">
      <c r="A14" s="294"/>
      <c r="B14" s="299"/>
      <c r="C14" s="299"/>
      <c r="D14" s="295" t="s">
        <v>186</v>
      </c>
      <c r="E14" s="301">
        <f>SUM(E11:E13)</f>
        <v>0.11172845015384616</v>
      </c>
      <c r="F14" s="302"/>
      <c r="G14" s="302"/>
      <c r="H14" s="303"/>
      <c r="I14"/>
      <c r="J14"/>
      <c r="K14"/>
      <c r="L14" s="221"/>
      <c r="M14" s="196"/>
      <c r="N14" s="223"/>
      <c r="O14" s="61"/>
      <c r="P14" s="61"/>
      <c r="Q14" s="61"/>
    </row>
    <row r="15" spans="1:17" s="3" customFormat="1" ht="12" customHeight="1" thickBot="1">
      <c r="A15" s="304"/>
      <c r="B15" s="278"/>
      <c r="C15" s="278"/>
      <c r="D15" s="278"/>
      <c r="E15" s="278"/>
      <c r="F15" s="278"/>
      <c r="G15" s="156"/>
      <c r="H15" s="305"/>
      <c r="I15"/>
      <c r="J15"/>
      <c r="K15"/>
      <c r="L15" s="221"/>
      <c r="M15" s="196"/>
      <c r="N15" s="223"/>
      <c r="O15" s="61"/>
      <c r="P15" s="61"/>
      <c r="Q15" s="61"/>
    </row>
    <row r="16" spans="1:17" s="3" customFormat="1" ht="24.75" customHeight="1" thickBot="1">
      <c r="A16" s="306" t="s">
        <v>187</v>
      </c>
      <c r="B16" s="307"/>
      <c r="C16" s="308"/>
      <c r="D16" s="309"/>
      <c r="E16" s="310"/>
      <c r="F16" s="311" t="s">
        <v>30</v>
      </c>
      <c r="G16" s="312"/>
      <c r="H16" s="313"/>
      <c r="I16" s="314"/>
      <c r="J16" s="315"/>
      <c r="K16" s="316"/>
      <c r="L16" s="221"/>
      <c r="M16" s="196"/>
      <c r="N16" s="223"/>
      <c r="O16" s="61"/>
      <c r="P16" s="61"/>
      <c r="Q16" s="61"/>
    </row>
    <row r="17" spans="1:17" s="3" customFormat="1" ht="12" customHeight="1">
      <c r="A17" s="317"/>
      <c r="B17" s="318"/>
      <c r="C17" s="319"/>
      <c r="D17" s="320"/>
      <c r="E17" s="320"/>
      <c r="F17" s="321"/>
      <c r="G17" s="322"/>
      <c r="H17" s="323"/>
      <c r="I17" s="314"/>
      <c r="J17" s="315"/>
      <c r="K17" s="316"/>
      <c r="L17" s="221"/>
      <c r="M17" s="196"/>
      <c r="N17" s="223"/>
      <c r="O17" s="61"/>
      <c r="P17" s="61"/>
      <c r="Q17" s="61"/>
    </row>
    <row r="18" spans="1:17" s="3" customFormat="1" ht="15" customHeight="1">
      <c r="A18" s="324" t="s">
        <v>188</v>
      </c>
      <c r="B18" s="325"/>
      <c r="C18" s="326"/>
      <c r="D18" s="327"/>
      <c r="E18" s="320"/>
      <c r="F18" s="321"/>
      <c r="G18" s="322"/>
      <c r="H18" s="323"/>
      <c r="I18" s="314"/>
      <c r="J18" s="315"/>
      <c r="K18" s="316"/>
      <c r="L18" s="221"/>
      <c r="M18" s="196"/>
      <c r="N18" s="223"/>
      <c r="O18" s="61"/>
      <c r="P18" s="61"/>
      <c r="Q18" s="61"/>
    </row>
    <row r="19" spans="1:17" s="3" customFormat="1" ht="15" customHeight="1">
      <c r="A19" s="328" t="s">
        <v>189</v>
      </c>
      <c r="B19" s="325"/>
      <c r="C19" s="326"/>
      <c r="D19" s="327"/>
      <c r="E19" s="320"/>
      <c r="F19" s="321"/>
      <c r="G19" s="322"/>
      <c r="H19" s="323"/>
      <c r="I19" s="314"/>
      <c r="J19" s="315"/>
      <c r="K19" s="316"/>
      <c r="L19" s="221"/>
      <c r="M19" s="196"/>
      <c r="N19" s="223"/>
      <c r="O19" s="61"/>
      <c r="P19" s="61"/>
      <c r="Q19" s="61"/>
    </row>
    <row r="20" spans="1:17" s="3" customFormat="1" ht="15" customHeight="1">
      <c r="A20" s="328" t="s">
        <v>190</v>
      </c>
      <c r="B20" s="325"/>
      <c r="C20" s="326"/>
      <c r="D20" s="327"/>
      <c r="E20" s="320"/>
      <c r="F20" s="321"/>
      <c r="G20" s="322"/>
      <c r="H20" s="323"/>
      <c r="I20" s="314"/>
      <c r="J20" s="315"/>
      <c r="K20" s="316"/>
      <c r="L20" s="221"/>
      <c r="M20" s="196"/>
      <c r="N20" s="223"/>
      <c r="O20" s="61"/>
      <c r="P20" s="61"/>
      <c r="Q20" s="61"/>
    </row>
    <row r="21" spans="1:17" s="3" customFormat="1" ht="15" customHeight="1" thickBot="1">
      <c r="A21" s="324"/>
      <c r="B21" s="325"/>
      <c r="C21" s="326"/>
      <c r="D21" s="156"/>
      <c r="E21" s="156"/>
      <c r="F21" s="321"/>
      <c r="G21" s="322"/>
      <c r="H21" s="323"/>
      <c r="I21" s="314"/>
      <c r="J21" s="315"/>
      <c r="K21" s="316"/>
      <c r="L21" s="221"/>
      <c r="M21" s="196"/>
      <c r="N21" s="223"/>
      <c r="O21" s="61"/>
      <c r="P21" s="61"/>
      <c r="Q21" s="61"/>
    </row>
    <row r="22" spans="1:17" s="3" customFormat="1" ht="15" customHeight="1">
      <c r="A22" s="329"/>
      <c r="B22" s="898" t="s">
        <v>191</v>
      </c>
      <c r="C22" s="898"/>
      <c r="D22" s="896" t="s">
        <v>192</v>
      </c>
      <c r="E22" s="897"/>
      <c r="F22" s="332"/>
      <c r="G22" s="156"/>
      <c r="H22" s="305"/>
      <c r="I22" s="218"/>
      <c r="J22" s="218"/>
      <c r="K22" s="218"/>
      <c r="L22" s="218"/>
      <c r="M22" s="218"/>
      <c r="N22" s="218"/>
      <c r="O22" s="218"/>
      <c r="P22" s="61"/>
      <c r="Q22" s="61"/>
    </row>
    <row r="23" spans="1:17" s="3" customFormat="1" ht="15.75" customHeight="1" thickBot="1">
      <c r="A23" s="333" t="s">
        <v>193</v>
      </c>
      <c r="B23" s="334" t="s">
        <v>194</v>
      </c>
      <c r="C23" s="334" t="s">
        <v>195</v>
      </c>
      <c r="D23" s="335" t="s">
        <v>196</v>
      </c>
      <c r="E23" s="336" t="s">
        <v>197</v>
      </c>
      <c r="F23" s="337"/>
      <c r="G23" s="156"/>
      <c r="H23" s="305"/>
      <c r="I23" s="218"/>
      <c r="J23" s="218"/>
      <c r="K23" s="218"/>
      <c r="L23" s="218"/>
      <c r="M23" s="218"/>
      <c r="N23" s="218"/>
      <c r="O23" s="218"/>
      <c r="P23" s="61"/>
      <c r="Q23" s="61"/>
    </row>
    <row r="24" spans="1:17" s="345" customFormat="1" ht="15.75" customHeight="1">
      <c r="A24" s="338" t="s">
        <v>198</v>
      </c>
      <c r="B24" s="339"/>
      <c r="C24" s="340">
        <f>IF($B$27=0,0,B24/$B$27)</f>
        <v>0</v>
      </c>
      <c r="D24" s="341"/>
      <c r="E24" s="342">
        <f>ROUNDUP(D24*C24,5)</f>
        <v>0</v>
      </c>
      <c r="F24" s="337"/>
      <c r="G24" s="343"/>
      <c r="H24" s="271"/>
      <c r="I24" s="344"/>
      <c r="J24" s="344"/>
      <c r="K24" s="344"/>
      <c r="L24" s="344"/>
      <c r="M24" s="344"/>
      <c r="N24" s="344"/>
      <c r="O24" s="344"/>
      <c r="P24" s="61"/>
      <c r="Q24" s="61"/>
    </row>
    <row r="25" spans="1:17" s="345" customFormat="1" ht="15.75" customHeight="1">
      <c r="A25" s="346" t="s">
        <v>199</v>
      </c>
      <c r="B25" s="339"/>
      <c r="C25" s="347">
        <f>IF($B$27=0,0,B25/$B$27)</f>
        <v>0</v>
      </c>
      <c r="D25" s="348"/>
      <c r="E25" s="349">
        <f>ROUNDUP(D25*C25,5)</f>
        <v>0</v>
      </c>
      <c r="F25" s="350"/>
      <c r="G25" s="343"/>
      <c r="H25" s="271"/>
      <c r="I25" s="344"/>
      <c r="J25" s="344"/>
      <c r="K25" s="344"/>
      <c r="L25" s="344"/>
      <c r="M25" s="344"/>
      <c r="N25" s="344"/>
      <c r="O25" s="344"/>
      <c r="P25" s="61"/>
      <c r="Q25" s="61"/>
    </row>
    <row r="26" spans="1:17" s="345" customFormat="1" ht="15.75" customHeight="1">
      <c r="A26" s="346" t="s">
        <v>200</v>
      </c>
      <c r="B26" s="339"/>
      <c r="C26" s="347">
        <f>IF($B$27=0,0,B26/$B$27)</f>
        <v>0</v>
      </c>
      <c r="D26" s="348"/>
      <c r="E26" s="349">
        <f>ROUNDUP(D26*C26,5)</f>
        <v>0</v>
      </c>
      <c r="F26" s="350"/>
      <c r="G26" s="343"/>
      <c r="H26" s="271"/>
      <c r="I26" s="344"/>
      <c r="J26" s="344"/>
      <c r="K26" s="344"/>
      <c r="L26" s="344"/>
      <c r="M26" s="344"/>
      <c r="N26" s="344"/>
      <c r="O26" s="344"/>
      <c r="P26" s="61"/>
      <c r="Q26" s="61"/>
    </row>
    <row r="27" spans="1:17" s="3" customFormat="1" ht="15.75" customHeight="1" thickBot="1">
      <c r="A27" s="351" t="s">
        <v>201</v>
      </c>
      <c r="B27" s="352">
        <f>SUM(B24:B26)</f>
        <v>0</v>
      </c>
      <c r="C27" s="353">
        <f>IF($B$27=0,0,B27/$B$27)</f>
        <v>0</v>
      </c>
      <c r="D27" s="354"/>
      <c r="E27" s="355">
        <f>SUM(E24:E26)</f>
        <v>0</v>
      </c>
      <c r="F27" s="337"/>
      <c r="G27" s="356"/>
      <c r="H27" s="305"/>
      <c r="I27" s="218"/>
      <c r="J27" s="218"/>
      <c r="K27" s="218"/>
      <c r="L27" s="218"/>
      <c r="M27" s="218"/>
      <c r="N27" s="218"/>
      <c r="O27" s="218"/>
      <c r="P27" s="61"/>
      <c r="Q27" s="61"/>
    </row>
    <row r="28" spans="1:17" s="3" customFormat="1" ht="15" customHeight="1">
      <c r="A28" s="198"/>
      <c r="B28" s="169"/>
      <c r="C28" s="169"/>
      <c r="D28" s="357"/>
      <c r="E28" s="332"/>
      <c r="F28" s="337"/>
      <c r="G28" s="358"/>
      <c r="H28" s="305"/>
      <c r="I28" s="218"/>
      <c r="J28" s="218"/>
      <c r="K28" s="218"/>
      <c r="L28" s="218"/>
      <c r="M28" s="218"/>
      <c r="N28" s="218"/>
      <c r="O28" s="218"/>
      <c r="P28" s="61"/>
      <c r="Q28" s="61"/>
    </row>
    <row r="29" spans="1:17" s="3" customFormat="1" ht="15" customHeight="1">
      <c r="A29" s="317" t="s">
        <v>202</v>
      </c>
      <c r="B29" s="318"/>
      <c r="C29" s="170"/>
      <c r="D29" s="359"/>
      <c r="E29" s="360"/>
      <c r="F29" s="337"/>
      <c r="G29" s="156"/>
      <c r="H29" s="305"/>
      <c r="I29" s="218"/>
      <c r="J29" s="218"/>
      <c r="K29" s="218"/>
      <c r="L29" s="218"/>
      <c r="M29" s="218"/>
      <c r="N29" s="218"/>
      <c r="O29" s="218"/>
      <c r="P29" s="61"/>
      <c r="Q29" s="61"/>
    </row>
    <row r="30" spans="1:17" s="3" customFormat="1" ht="15" customHeight="1">
      <c r="A30" s="198"/>
      <c r="B30" s="170"/>
      <c r="C30" s="170"/>
      <c r="D30" s="359"/>
      <c r="E30" s="360"/>
      <c r="F30" s="337"/>
      <c r="G30" s="156"/>
      <c r="H30" s="305"/>
      <c r="I30" s="218"/>
      <c r="J30" s="218"/>
      <c r="K30" s="218"/>
      <c r="L30" s="218"/>
      <c r="M30" s="218"/>
      <c r="N30" s="218"/>
      <c r="O30" s="218"/>
      <c r="P30" s="61"/>
      <c r="Q30" s="61"/>
    </row>
    <row r="31" spans="1:17" s="3" customFormat="1" ht="15.75" customHeight="1" thickBot="1">
      <c r="A31" s="317" t="s">
        <v>203</v>
      </c>
      <c r="B31" s="170"/>
      <c r="C31" s="170"/>
      <c r="D31" s="361">
        <v>0.35</v>
      </c>
      <c r="E31" s="156"/>
      <c r="F31" s="332"/>
      <c r="G31" s="362"/>
      <c r="H31" s="305"/>
      <c r="I31" s="218"/>
      <c r="J31" s="218"/>
      <c r="K31" s="218"/>
      <c r="L31" s="218"/>
      <c r="M31" s="218"/>
      <c r="N31" s="218"/>
      <c r="O31" s="218"/>
      <c r="P31" s="61"/>
      <c r="Q31" s="61"/>
    </row>
    <row r="32" spans="1:17" s="3" customFormat="1" ht="15.75" customHeight="1" thickBot="1">
      <c r="A32" s="317" t="s">
        <v>204</v>
      </c>
      <c r="B32" s="170"/>
      <c r="C32" s="170"/>
      <c r="D32" s="170"/>
      <c r="E32" s="363">
        <f>(E27-(E24))*(D31/(1-D31))</f>
        <v>0</v>
      </c>
      <c r="F32" s="364"/>
      <c r="G32" s="156"/>
      <c r="H32" s="305"/>
      <c r="I32" s="218"/>
      <c r="J32" s="218"/>
      <c r="K32" s="218"/>
      <c r="L32" s="218"/>
      <c r="M32" s="218"/>
      <c r="N32" s="218"/>
      <c r="O32" s="218"/>
      <c r="P32" s="61"/>
      <c r="Q32" s="61"/>
    </row>
    <row r="33" spans="1:17" s="3" customFormat="1" ht="15.75" customHeight="1">
      <c r="A33" s="894" t="s">
        <v>205</v>
      </c>
      <c r="B33" s="895"/>
      <c r="C33" s="895"/>
      <c r="D33" s="895"/>
      <c r="E33" s="895"/>
      <c r="F33" s="365"/>
      <c r="G33" s="156"/>
      <c r="H33" s="305"/>
      <c r="I33" s="218"/>
      <c r="J33" s="218"/>
      <c r="K33" s="218"/>
      <c r="L33" s="218"/>
      <c r="M33" s="218"/>
      <c r="N33" s="218"/>
      <c r="O33" s="218"/>
      <c r="P33" s="61"/>
      <c r="Q33" s="61"/>
    </row>
    <row r="34" spans="1:17" s="3" customFormat="1" ht="18" customHeight="1" thickBot="1">
      <c r="A34" s="366"/>
      <c r="B34" s="367"/>
      <c r="C34" s="170"/>
      <c r="D34" s="359"/>
      <c r="E34" s="360"/>
      <c r="F34" s="365"/>
      <c r="G34" s="156"/>
      <c r="H34" s="305"/>
      <c r="I34" s="218"/>
      <c r="J34" s="218"/>
      <c r="K34" s="218"/>
      <c r="L34" s="218"/>
      <c r="M34" s="218"/>
      <c r="N34" s="218"/>
      <c r="O34" s="218"/>
      <c r="P34" s="61"/>
      <c r="Q34" s="61"/>
    </row>
    <row r="35" spans="1:17" s="3" customFormat="1" ht="15.75" customHeight="1" thickBot="1">
      <c r="A35" s="317" t="s">
        <v>206</v>
      </c>
      <c r="B35" s="367"/>
      <c r="C35" s="170"/>
      <c r="D35" s="359"/>
      <c r="E35" s="368">
        <f>E27+E32</f>
        <v>0</v>
      </c>
      <c r="F35" s="365"/>
      <c r="G35" s="156"/>
      <c r="H35" s="305"/>
      <c r="I35" s="218"/>
      <c r="J35" s="218"/>
      <c r="K35" s="218"/>
      <c r="L35" s="218"/>
      <c r="M35" s="218"/>
      <c r="N35" s="218"/>
      <c r="O35" s="218"/>
      <c r="P35" s="61"/>
      <c r="Q35" s="61"/>
    </row>
    <row r="36" spans="1:17" s="3" customFormat="1" ht="15.75" customHeight="1">
      <c r="A36" s="369" t="s">
        <v>207</v>
      </c>
      <c r="B36" s="367"/>
      <c r="C36" s="170"/>
      <c r="D36" s="359"/>
      <c r="E36" s="360"/>
      <c r="F36" s="365"/>
      <c r="G36" s="156"/>
      <c r="H36" s="305"/>
      <c r="I36" s="218"/>
      <c r="J36" s="218"/>
      <c r="K36" s="218"/>
      <c r="L36" s="218"/>
      <c r="M36" s="218"/>
      <c r="N36" s="218"/>
      <c r="O36" s="218"/>
      <c r="P36" s="61"/>
      <c r="Q36" s="61"/>
    </row>
    <row r="37" spans="1:17" s="81" customFormat="1" ht="15" customHeight="1">
      <c r="A37" s="198"/>
      <c r="B37" s="170"/>
      <c r="C37" s="370"/>
      <c r="D37" s="371"/>
      <c r="E37" s="372"/>
      <c r="F37" s="107"/>
      <c r="G37" s="48"/>
      <c r="H37" s="373"/>
      <c r="I37" s="374"/>
      <c r="J37" s="374"/>
      <c r="K37" s="374"/>
      <c r="L37" s="60"/>
      <c r="M37" s="60"/>
      <c r="N37" s="79"/>
      <c r="O37" s="80"/>
      <c r="P37" s="80"/>
      <c r="Q37" s="80"/>
    </row>
    <row r="38" spans="1:8" ht="15.75" customHeight="1" thickBot="1">
      <c r="A38" s="317" t="s">
        <v>208</v>
      </c>
      <c r="B38" s="318"/>
      <c r="C38" s="170"/>
      <c r="D38" s="359"/>
      <c r="E38" s="375"/>
      <c r="F38" s="376"/>
      <c r="G38" s="376"/>
      <c r="H38" s="377"/>
    </row>
    <row r="39" spans="1:8" ht="15.75" customHeight="1">
      <c r="A39" s="317"/>
      <c r="B39" s="318"/>
      <c r="C39" s="170"/>
      <c r="D39" s="359"/>
      <c r="E39" s="378" t="s">
        <v>15</v>
      </c>
      <c r="F39" s="379" t="s">
        <v>16</v>
      </c>
      <c r="G39" s="379" t="s">
        <v>17</v>
      </c>
      <c r="H39" s="380" t="s">
        <v>26</v>
      </c>
    </row>
    <row r="40" spans="1:8" ht="15.75" customHeight="1">
      <c r="A40" s="198" t="s">
        <v>209</v>
      </c>
      <c r="B40" s="170"/>
      <c r="C40" s="170"/>
      <c r="D40" s="170"/>
      <c r="E40" s="381">
        <f>'Sch 1- Rate Base '!G161</f>
        <v>1575915530.375</v>
      </c>
      <c r="F40" s="382">
        <f>'Sch 1- Rate Base '!H161</f>
        <v>771060675.23576</v>
      </c>
      <c r="G40" s="382">
        <f>'Sch 1- Rate Base '!I161</f>
        <v>283542143.7532495</v>
      </c>
      <c r="H40" s="383">
        <f>'Sch 1- Rate Base '!J161</f>
        <v>521312711.3859905</v>
      </c>
    </row>
    <row r="41" spans="1:8" ht="15.75" customHeight="1">
      <c r="A41" s="198" t="s">
        <v>206</v>
      </c>
      <c r="B41" s="170"/>
      <c r="C41" s="170"/>
      <c r="D41" s="170"/>
      <c r="E41" s="384">
        <f>$E$35</f>
        <v>0</v>
      </c>
      <c r="F41" s="385">
        <f>$E$35</f>
        <v>0</v>
      </c>
      <c r="G41" s="385">
        <f>$E$35</f>
        <v>0</v>
      </c>
      <c r="H41" s="386">
        <f>$E$35</f>
        <v>0</v>
      </c>
    </row>
    <row r="42" spans="1:8" ht="15.75" customHeight="1" thickBot="1">
      <c r="A42" s="317" t="s">
        <v>210</v>
      </c>
      <c r="B42" s="318"/>
      <c r="C42" s="318"/>
      <c r="D42" s="318"/>
      <c r="E42" s="387">
        <f>E41*E40</f>
        <v>0</v>
      </c>
      <c r="F42" s="388">
        <f>F41*F40</f>
        <v>0</v>
      </c>
      <c r="G42" s="388">
        <f>G41*G40</f>
        <v>0</v>
      </c>
      <c r="H42" s="389">
        <f>H41*H40</f>
        <v>0</v>
      </c>
    </row>
    <row r="43" spans="1:8" ht="15" customHeight="1">
      <c r="A43" s="390" t="s">
        <v>211</v>
      </c>
      <c r="B43" s="156"/>
      <c r="C43" s="156"/>
      <c r="D43" s="156"/>
      <c r="E43" s="156"/>
      <c r="F43" s="156"/>
      <c r="G43" s="156"/>
      <c r="H43" s="305"/>
    </row>
    <row r="44" spans="1:8" ht="15.75">
      <c r="A44" s="269"/>
      <c r="B44" s="156"/>
      <c r="C44" s="156"/>
      <c r="D44" s="156"/>
      <c r="E44" s="156"/>
      <c r="F44" s="156"/>
      <c r="G44" s="156"/>
      <c r="H44" s="305"/>
    </row>
    <row r="45" spans="1:8" ht="16.5" thickBot="1">
      <c r="A45" s="391"/>
      <c r="B45" s="273"/>
      <c r="C45" s="273"/>
      <c r="D45" s="273"/>
      <c r="E45" s="273"/>
      <c r="F45" s="273"/>
      <c r="G45" s="273"/>
      <c r="H45" s="274"/>
    </row>
    <row r="46" spans="1:8" ht="17.25" thickBot="1" thickTop="1">
      <c r="A46" s="304"/>
      <c r="B46" s="278"/>
      <c r="C46" s="278"/>
      <c r="D46" s="278"/>
      <c r="E46" s="278"/>
      <c r="F46" s="278"/>
      <c r="G46" s="156"/>
      <c r="H46" s="305"/>
    </row>
    <row r="47" spans="1:8" ht="24.75" customHeight="1" thickBot="1">
      <c r="A47" s="306" t="s">
        <v>212</v>
      </c>
      <c r="B47" s="307"/>
      <c r="C47" s="308"/>
      <c r="D47" s="309"/>
      <c r="E47" s="310"/>
      <c r="F47" s="311" t="s">
        <v>30</v>
      </c>
      <c r="G47" s="312"/>
      <c r="H47" s="313"/>
    </row>
    <row r="48" spans="1:9" ht="18.75">
      <c r="A48" s="317" t="s">
        <v>213</v>
      </c>
      <c r="B48" s="318"/>
      <c r="C48" s="319"/>
      <c r="D48" s="320"/>
      <c r="E48" s="320"/>
      <c r="F48" s="321"/>
      <c r="G48" s="322"/>
      <c r="H48" s="323"/>
      <c r="I48" s="392"/>
    </row>
    <row r="49" spans="1:9" ht="15.75">
      <c r="A49" s="324" t="s">
        <v>214</v>
      </c>
      <c r="B49" s="325"/>
      <c r="C49" s="326"/>
      <c r="D49" s="327"/>
      <c r="E49" s="320"/>
      <c r="F49" s="321"/>
      <c r="G49" s="322"/>
      <c r="H49" s="323"/>
      <c r="I49" s="393"/>
    </row>
    <row r="50" spans="1:8" ht="16.5" thickBot="1">
      <c r="A50" s="324"/>
      <c r="B50" s="325"/>
      <c r="C50" s="326"/>
      <c r="D50" s="156"/>
      <c r="E50" s="156"/>
      <c r="F50" s="394"/>
      <c r="G50" s="320"/>
      <c r="H50" s="395"/>
    </row>
    <row r="51" spans="1:8" ht="15.75">
      <c r="A51" s="329" t="s">
        <v>215</v>
      </c>
      <c r="B51" s="898" t="s">
        <v>191</v>
      </c>
      <c r="C51" s="898"/>
      <c r="D51" s="896" t="s">
        <v>192</v>
      </c>
      <c r="E51" s="897"/>
      <c r="F51" s="396" t="s">
        <v>216</v>
      </c>
      <c r="G51" s="397" t="s">
        <v>217</v>
      </c>
      <c r="H51" s="398"/>
    </row>
    <row r="52" spans="1:8" ht="16.5" thickBot="1">
      <c r="A52" s="333" t="s">
        <v>193</v>
      </c>
      <c r="B52" s="334" t="s">
        <v>194</v>
      </c>
      <c r="C52" s="334" t="s">
        <v>195</v>
      </c>
      <c r="D52" s="335" t="s">
        <v>196</v>
      </c>
      <c r="E52" s="336" t="s">
        <v>197</v>
      </c>
      <c r="F52" s="399" t="s">
        <v>218</v>
      </c>
      <c r="G52" s="400" t="s">
        <v>219</v>
      </c>
      <c r="H52" s="401"/>
    </row>
    <row r="53" spans="1:8" ht="16.5" thickBot="1">
      <c r="A53" s="402" t="s">
        <v>198</v>
      </c>
      <c r="B53" s="403"/>
      <c r="C53" s="404">
        <v>0.493</v>
      </c>
      <c r="D53" s="405">
        <v>0.0649</v>
      </c>
      <c r="E53" s="406">
        <f>ROUNDUP(D53*C53,5)</f>
        <v>0.032</v>
      </c>
      <c r="F53" s="407">
        <f>IF(B75=0,"0",B75/$B$78)</f>
        <v>0.6583</v>
      </c>
      <c r="G53" s="408">
        <f>E53*$F$53</f>
        <v>0.0210656</v>
      </c>
      <c r="H53" s="409">
        <f>C53*$F$53</f>
        <v>0.3245419</v>
      </c>
    </row>
    <row r="54" spans="1:8" ht="15.75">
      <c r="A54" s="410" t="s">
        <v>199</v>
      </c>
      <c r="B54" s="411"/>
      <c r="C54" s="340">
        <v>0.047</v>
      </c>
      <c r="D54" s="348">
        <v>0.0658</v>
      </c>
      <c r="E54" s="349">
        <f>ROUNDUP(D54*C54,5)</f>
        <v>0.0031</v>
      </c>
      <c r="F54" s="412"/>
      <c r="G54" s="413">
        <f>E54*$F$53</f>
        <v>0.0020407299999999997</v>
      </c>
      <c r="H54" s="414">
        <f>C54*$F$53</f>
        <v>0.0309401</v>
      </c>
    </row>
    <row r="55" spans="1:8" ht="15.75">
      <c r="A55" s="410" t="s">
        <v>200</v>
      </c>
      <c r="B55" s="411"/>
      <c r="C55" s="340">
        <v>0.46</v>
      </c>
      <c r="D55" s="348">
        <v>0.102</v>
      </c>
      <c r="E55" s="349">
        <f>ROUNDUP(D55*C55,5)</f>
        <v>0.04692</v>
      </c>
      <c r="F55" s="412"/>
      <c r="G55" s="413">
        <f>E55*$F$53</f>
        <v>0.030887436</v>
      </c>
      <c r="H55" s="414">
        <f>C55*$F$53</f>
        <v>0.30281800000000003</v>
      </c>
    </row>
    <row r="56" spans="1:8" ht="16.5" thickBot="1">
      <c r="A56" s="415" t="s">
        <v>201</v>
      </c>
      <c r="B56" s="416">
        <f>SUM(B53:B55)</f>
        <v>0</v>
      </c>
      <c r="C56" s="417">
        <f>SUM(C53:C55)</f>
        <v>1</v>
      </c>
      <c r="D56" s="354"/>
      <c r="E56" s="418">
        <f>SUM(E53:E55)</f>
        <v>0.08202000000000001</v>
      </c>
      <c r="F56" s="419"/>
      <c r="G56" s="420">
        <f>SUM(G53:G55)</f>
        <v>0.053993766</v>
      </c>
      <c r="H56" s="421">
        <f>SUM(H53:H55)</f>
        <v>0.6583000000000001</v>
      </c>
    </row>
    <row r="57" spans="1:8" ht="15.75">
      <c r="A57" s="198"/>
      <c r="B57" s="170"/>
      <c r="C57" s="170"/>
      <c r="D57" s="359"/>
      <c r="E57" s="360"/>
      <c r="F57" s="422"/>
      <c r="G57" s="423"/>
      <c r="H57" s="424"/>
    </row>
    <row r="58" spans="1:8" ht="15.75">
      <c r="A58" s="324" t="s">
        <v>220</v>
      </c>
      <c r="B58" s="325"/>
      <c r="C58" s="326"/>
      <c r="D58" s="327"/>
      <c r="E58" s="320"/>
      <c r="F58" s="422"/>
      <c r="G58" s="423"/>
      <c r="H58" s="424"/>
    </row>
    <row r="59" spans="1:8" ht="16.5" thickBot="1">
      <c r="A59" s="324" t="s">
        <v>221</v>
      </c>
      <c r="B59" s="325"/>
      <c r="C59" s="326"/>
      <c r="D59" s="156"/>
      <c r="E59" s="156"/>
      <c r="F59" s="422"/>
      <c r="G59" s="423"/>
      <c r="H59" s="424"/>
    </row>
    <row r="60" spans="1:8" ht="16.5" thickBot="1">
      <c r="A60" s="425" t="s">
        <v>193</v>
      </c>
      <c r="B60" s="426" t="s">
        <v>194</v>
      </c>
      <c r="C60" s="426" t="s">
        <v>195</v>
      </c>
      <c r="D60" s="427" t="s">
        <v>196</v>
      </c>
      <c r="E60" s="428" t="s">
        <v>197</v>
      </c>
      <c r="F60" s="422"/>
      <c r="G60" s="423"/>
      <c r="H60" s="424"/>
    </row>
    <row r="61" spans="1:8" ht="16.5" thickBot="1">
      <c r="A61" s="429" t="s">
        <v>198</v>
      </c>
      <c r="B61" s="430"/>
      <c r="C61" s="340">
        <v>0.5565</v>
      </c>
      <c r="D61" s="341">
        <v>0.0843</v>
      </c>
      <c r="E61" s="406">
        <f>ROUNDUP(D61*C61,5)</f>
        <v>0.04692</v>
      </c>
      <c r="F61" s="407">
        <f>IF(B76=0,"0",B76/$B$78)</f>
        <v>0.3417</v>
      </c>
      <c r="G61" s="408">
        <f>E61*$F$61</f>
        <v>0.016032564000000003</v>
      </c>
      <c r="H61" s="409">
        <f>C61*$F$61</f>
        <v>0.19015605</v>
      </c>
    </row>
    <row r="62" spans="1:8" ht="15.75">
      <c r="A62" s="431" t="s">
        <v>199</v>
      </c>
      <c r="B62" s="432"/>
      <c r="C62" s="347">
        <v>0.0176</v>
      </c>
      <c r="D62" s="348">
        <v>0.0735</v>
      </c>
      <c r="E62" s="349">
        <f>ROUNDUP(D62*C62,5)</f>
        <v>0.0013</v>
      </c>
      <c r="F62" s="412"/>
      <c r="G62" s="413">
        <f>E62*$F$61</f>
        <v>0.00044421</v>
      </c>
      <c r="H62" s="414">
        <f>C62*$F$61</f>
        <v>0.006013920000000001</v>
      </c>
    </row>
    <row r="63" spans="1:8" ht="15.75">
      <c r="A63" s="431" t="s">
        <v>200</v>
      </c>
      <c r="B63" s="432"/>
      <c r="C63" s="340">
        <v>0.4259</v>
      </c>
      <c r="D63" s="348">
        <v>0.104</v>
      </c>
      <c r="E63" s="349">
        <f>ROUNDUP(D63*C63,5)</f>
        <v>0.044300000000000006</v>
      </c>
      <c r="F63" s="412"/>
      <c r="G63" s="413">
        <f>E63*$F$61</f>
        <v>0.015137310000000003</v>
      </c>
      <c r="H63" s="414">
        <f>C63*$F$61</f>
        <v>0.14553003</v>
      </c>
    </row>
    <row r="64" spans="1:8" ht="16.5" thickBot="1">
      <c r="A64" s="351" t="s">
        <v>201</v>
      </c>
      <c r="B64" s="416">
        <f>SUM(B61:B63)</f>
        <v>0</v>
      </c>
      <c r="C64" s="417">
        <f>SUM(C61:C63)</f>
        <v>1</v>
      </c>
      <c r="D64" s="354"/>
      <c r="E64" s="355">
        <f>SUM(E61:E63)</f>
        <v>0.09252000000000002</v>
      </c>
      <c r="F64" s="419"/>
      <c r="G64" s="420">
        <f>SUM(G61:G63)</f>
        <v>0.03161408400000001</v>
      </c>
      <c r="H64" s="421">
        <f>SUM(H61:H63)</f>
        <v>0.3417</v>
      </c>
    </row>
    <row r="65" spans="1:8" ht="15.75">
      <c r="A65" s="198"/>
      <c r="B65" s="170"/>
      <c r="C65" s="170"/>
      <c r="D65" s="359"/>
      <c r="E65" s="360"/>
      <c r="F65" s="422"/>
      <c r="G65" s="423"/>
      <c r="H65" s="424"/>
    </row>
    <row r="66" spans="1:8" ht="15.75">
      <c r="A66" s="324" t="s">
        <v>222</v>
      </c>
      <c r="B66" s="325"/>
      <c r="C66" s="326"/>
      <c r="D66" s="327"/>
      <c r="E66" s="320"/>
      <c r="F66" s="422"/>
      <c r="G66" s="423"/>
      <c r="H66" s="424"/>
    </row>
    <row r="67" spans="1:8" ht="16.5" thickBot="1">
      <c r="A67" s="324"/>
      <c r="B67" s="325"/>
      <c r="C67" s="326"/>
      <c r="D67" s="156"/>
      <c r="E67" s="156"/>
      <c r="F67" s="422"/>
      <c r="G67" s="423"/>
      <c r="H67" s="424"/>
    </row>
    <row r="68" spans="1:8" ht="16.5" thickBot="1">
      <c r="A68" s="425" t="s">
        <v>193</v>
      </c>
      <c r="B68" s="426" t="s">
        <v>194</v>
      </c>
      <c r="C68" s="426" t="s">
        <v>195</v>
      </c>
      <c r="D68" s="427" t="s">
        <v>196</v>
      </c>
      <c r="E68" s="428" t="s">
        <v>197</v>
      </c>
      <c r="F68" s="422"/>
      <c r="G68" s="423"/>
      <c r="H68" s="424"/>
    </row>
    <row r="69" spans="1:8" ht="16.5" thickBot="1">
      <c r="A69" s="429" t="s">
        <v>198</v>
      </c>
      <c r="B69" s="430"/>
      <c r="C69" s="340">
        <f>IF($B$72=0,0,B69/$B$72)</f>
        <v>0</v>
      </c>
      <c r="D69" s="433"/>
      <c r="E69" s="434">
        <f>ROUNDUP(D69*C69,5)</f>
        <v>0</v>
      </c>
      <c r="F69" s="435" t="str">
        <f>IF(B77=0,"0",B77/$B$78)</f>
        <v>0</v>
      </c>
      <c r="G69" s="436">
        <f>E69*$F$69</f>
        <v>0</v>
      </c>
      <c r="H69" s="437">
        <f>C69*$F$69</f>
        <v>0</v>
      </c>
    </row>
    <row r="70" spans="1:8" ht="15.75">
      <c r="A70" s="431" t="s">
        <v>199</v>
      </c>
      <c r="B70" s="432"/>
      <c r="C70" s="340">
        <f>IF($B$72=0,0,B70/$B$72)</f>
        <v>0</v>
      </c>
      <c r="D70" s="438"/>
      <c r="E70" s="439">
        <f>ROUNDUP(D70*C70,5)</f>
        <v>0</v>
      </c>
      <c r="F70" s="440"/>
      <c r="G70" s="441">
        <f>E70*$F$69</f>
        <v>0</v>
      </c>
      <c r="H70" s="442">
        <f>C70*$F$69</f>
        <v>0</v>
      </c>
    </row>
    <row r="71" spans="1:8" ht="15.75">
      <c r="A71" s="431" t="s">
        <v>200</v>
      </c>
      <c r="B71" s="432"/>
      <c r="C71" s="340">
        <f>IF($B$72=0,0,B71/$B$72)</f>
        <v>0</v>
      </c>
      <c r="D71" s="438"/>
      <c r="E71" s="439">
        <f>ROUNDUP(D71*C71,5)</f>
        <v>0</v>
      </c>
      <c r="F71" s="440"/>
      <c r="G71" s="441">
        <f>E71*$F$69</f>
        <v>0</v>
      </c>
      <c r="H71" s="442">
        <f>C71*$F$69</f>
        <v>0</v>
      </c>
    </row>
    <row r="72" spans="1:8" ht="16.5" thickBot="1">
      <c r="A72" s="351" t="s">
        <v>201</v>
      </c>
      <c r="B72" s="416">
        <f>SUM(B69:B71)</f>
        <v>0</v>
      </c>
      <c r="C72" s="417">
        <f>SUM(C69:C71)</f>
        <v>0</v>
      </c>
      <c r="D72" s="443"/>
      <c r="E72" s="444">
        <f>SUM(E69:E71)</f>
        <v>0</v>
      </c>
      <c r="F72" s="445"/>
      <c r="G72" s="446">
        <f>SUM(G69:G71)</f>
        <v>0</v>
      </c>
      <c r="H72" s="447">
        <f>SUM(H69:H71)</f>
        <v>0</v>
      </c>
    </row>
    <row r="73" spans="1:8" ht="16.5" thickBot="1">
      <c r="A73" s="198"/>
      <c r="B73" s="170"/>
      <c r="C73" s="170"/>
      <c r="D73" s="359"/>
      <c r="E73" s="360"/>
      <c r="F73" s="422"/>
      <c r="G73" s="423"/>
      <c r="H73" s="424"/>
    </row>
    <row r="74" spans="1:8" ht="16.5" thickBot="1">
      <c r="A74" s="448" t="s">
        <v>223</v>
      </c>
      <c r="B74" s="449" t="s">
        <v>224</v>
      </c>
      <c r="C74" s="449" t="s">
        <v>225</v>
      </c>
      <c r="D74" s="450" t="s">
        <v>226</v>
      </c>
      <c r="E74" s="428" t="s">
        <v>227</v>
      </c>
      <c r="F74" s="422"/>
      <c r="G74" s="423"/>
      <c r="H74" s="451"/>
    </row>
    <row r="75" spans="1:8" ht="15.75">
      <c r="A75" s="452" t="s">
        <v>228</v>
      </c>
      <c r="B75" s="453">
        <f>'Sch 1- Rate Base '!G161*0.6583</f>
        <v>1037425193.6458625</v>
      </c>
      <c r="C75" s="341">
        <f>E56</f>
        <v>0.08202000000000001</v>
      </c>
      <c r="D75" s="454">
        <f>C75*F53</f>
        <v>0.053993766000000006</v>
      </c>
      <c r="E75" s="455">
        <f>$D$78*B75</f>
        <v>88811740.36385596</v>
      </c>
      <c r="F75" s="456"/>
      <c r="G75" s="457">
        <f>G56</f>
        <v>0.053993766</v>
      </c>
      <c r="H75" s="458"/>
    </row>
    <row r="76" spans="1:8" ht="15.75">
      <c r="A76" s="459" t="s">
        <v>221</v>
      </c>
      <c r="B76" s="460">
        <f>'Sch 1- Rate Base '!G161*0.3417</f>
        <v>538490336.7291375</v>
      </c>
      <c r="C76" s="348">
        <f>E64</f>
        <v>0.09252000000000002</v>
      </c>
      <c r="D76" s="454">
        <f>C76*F61</f>
        <v>0.03161408400000001</v>
      </c>
      <c r="E76" s="461">
        <f>$D$78*B76</f>
        <v>46098999.9731575</v>
      </c>
      <c r="F76" s="462"/>
      <c r="G76" s="463">
        <f>G64</f>
        <v>0.03161408400000001</v>
      </c>
      <c r="H76" s="464"/>
    </row>
    <row r="77" spans="1:8" ht="16.5" thickBot="1">
      <c r="A77" s="459"/>
      <c r="B77" s="460"/>
      <c r="C77" s="348">
        <f>E72</f>
        <v>0</v>
      </c>
      <c r="D77" s="454">
        <f>C77*F69</f>
        <v>0</v>
      </c>
      <c r="E77" s="461">
        <f>$D$78*B77</f>
        <v>0</v>
      </c>
      <c r="F77" s="462"/>
      <c r="G77" s="463">
        <f>G72</f>
        <v>0</v>
      </c>
      <c r="H77" s="464"/>
    </row>
    <row r="78" spans="1:8" ht="16.5" thickBot="1">
      <c r="A78" s="351" t="s">
        <v>15</v>
      </c>
      <c r="B78" s="465">
        <f>SUM(B75:B77)</f>
        <v>1575915530.375</v>
      </c>
      <c r="C78" s="466"/>
      <c r="D78" s="467">
        <f>SUM(D75:D77)</f>
        <v>0.08560785000000001</v>
      </c>
      <c r="E78" s="468">
        <f>SUM(E75:E77)</f>
        <v>134910740.33701345</v>
      </c>
      <c r="F78" s="469">
        <f>SUM(F53:F77)</f>
        <v>1</v>
      </c>
      <c r="G78" s="470">
        <f>SUM(G75:G77)</f>
        <v>0.08560785000000001</v>
      </c>
      <c r="H78" s="464"/>
    </row>
    <row r="79" spans="1:8" ht="16.5" thickBot="1">
      <c r="A79" s="471"/>
      <c r="B79" s="472"/>
      <c r="C79" s="472"/>
      <c r="D79" s="473"/>
      <c r="E79" s="474"/>
      <c r="F79" s="475"/>
      <c r="G79" s="476"/>
      <c r="H79" s="274"/>
    </row>
    <row r="80" spans="1:8" ht="17.25" thickBot="1" thickTop="1">
      <c r="A80" s="477"/>
      <c r="B80" s="478"/>
      <c r="C80" s="478"/>
      <c r="D80" s="479"/>
      <c r="E80" s="480"/>
      <c r="F80" s="481"/>
      <c r="G80" s="482"/>
      <c r="H80" s="483"/>
    </row>
    <row r="81" spans="1:12" ht="24.75" customHeight="1" thickBot="1">
      <c r="A81" s="306" t="s">
        <v>472</v>
      </c>
      <c r="B81" s="307"/>
      <c r="C81" s="308"/>
      <c r="D81" s="309"/>
      <c r="E81" s="310"/>
      <c r="F81" s="337"/>
      <c r="G81" s="358"/>
      <c r="H81" s="305"/>
      <c r="J81"/>
      <c r="K81"/>
      <c r="L81"/>
    </row>
    <row r="82" spans="1:12" ht="15.75">
      <c r="A82" s="198"/>
      <c r="B82" s="170"/>
      <c r="C82" s="170"/>
      <c r="D82" s="359"/>
      <c r="E82" s="360"/>
      <c r="F82" s="337"/>
      <c r="G82" s="358"/>
      <c r="H82" s="305"/>
      <c r="J82"/>
      <c r="K82"/>
      <c r="L82"/>
    </row>
    <row r="83" spans="1:12" ht="15.75">
      <c r="A83" s="198"/>
      <c r="B83" s="170"/>
      <c r="C83" s="170"/>
      <c r="D83" s="359"/>
      <c r="E83" s="360"/>
      <c r="F83" s="337"/>
      <c r="G83" s="358"/>
      <c r="H83" s="305"/>
      <c r="J83"/>
      <c r="K83"/>
      <c r="L83"/>
    </row>
    <row r="84" spans="1:12" ht="15.75">
      <c r="A84" s="317" t="s">
        <v>202</v>
      </c>
      <c r="B84" s="318"/>
      <c r="C84" s="170"/>
      <c r="D84" s="359"/>
      <c r="E84" s="360"/>
      <c r="F84" s="337"/>
      <c r="G84" s="156"/>
      <c r="H84" s="305"/>
      <c r="J84"/>
      <c r="K84"/>
      <c r="L84"/>
    </row>
    <row r="85" spans="1:12" ht="15.75">
      <c r="A85" s="198"/>
      <c r="B85" s="170"/>
      <c r="C85" s="170"/>
      <c r="D85" s="359"/>
      <c r="E85" s="360"/>
      <c r="F85" s="337"/>
      <c r="G85" s="156"/>
      <c r="H85" s="305"/>
      <c r="J85"/>
      <c r="K85"/>
      <c r="L85"/>
    </row>
    <row r="86" spans="1:12" ht="16.5" thickBot="1">
      <c r="A86" s="317" t="s">
        <v>203</v>
      </c>
      <c r="B86" s="170"/>
      <c r="C86" s="170"/>
      <c r="D86" s="361">
        <v>0.35</v>
      </c>
      <c r="E86" s="270"/>
      <c r="F86" s="332"/>
      <c r="G86" s="362"/>
      <c r="H86" s="305"/>
      <c r="J86"/>
      <c r="K86"/>
      <c r="L86"/>
    </row>
    <row r="87" spans="1:12" ht="16.5" thickBot="1">
      <c r="A87" s="317" t="s">
        <v>204</v>
      </c>
      <c r="B87" s="170"/>
      <c r="C87" s="170"/>
      <c r="D87" s="170"/>
      <c r="E87" s="484">
        <f>(G78-(G53+G61+G69))*(D86/(1-D86))</f>
        <v>0.02612060015384616</v>
      </c>
      <c r="F87" s="3"/>
      <c r="G87" s="156"/>
      <c r="H87" s="305"/>
      <c r="J87"/>
      <c r="K87"/>
      <c r="L87"/>
    </row>
    <row r="88" spans="1:12" ht="15.75">
      <c r="A88" s="894" t="s">
        <v>205</v>
      </c>
      <c r="B88" s="895"/>
      <c r="C88" s="895"/>
      <c r="D88" s="895"/>
      <c r="E88" s="895"/>
      <c r="F88" s="365"/>
      <c r="G88" s="156"/>
      <c r="H88" s="305"/>
      <c r="J88"/>
      <c r="K88"/>
      <c r="L88"/>
    </row>
    <row r="89" spans="1:8" ht="16.5" thickBot="1">
      <c r="A89" s="366"/>
      <c r="B89" s="367"/>
      <c r="C89" s="170"/>
      <c r="D89" s="359"/>
      <c r="E89" s="360"/>
      <c r="F89" s="365"/>
      <c r="G89" s="156"/>
      <c r="H89" s="305"/>
    </row>
    <row r="90" spans="1:8" ht="16.5" thickBot="1">
      <c r="A90" s="198" t="s">
        <v>206</v>
      </c>
      <c r="B90" s="367"/>
      <c r="C90" s="170"/>
      <c r="D90" s="359"/>
      <c r="E90" s="484">
        <f>G78+E87</f>
        <v>0.11172845015384616</v>
      </c>
      <c r="F90" s="3"/>
      <c r="G90" s="156"/>
      <c r="H90" s="305"/>
    </row>
    <row r="91" spans="1:8" ht="15.75">
      <c r="A91" s="485" t="s">
        <v>207</v>
      </c>
      <c r="B91" s="367"/>
      <c r="C91" s="170"/>
      <c r="D91" s="359"/>
      <c r="E91" s="360"/>
      <c r="F91" s="365"/>
      <c r="G91" s="156"/>
      <c r="H91" s="305"/>
    </row>
    <row r="92" spans="1:8" ht="15.75">
      <c r="A92" s="198"/>
      <c r="B92" s="170"/>
      <c r="C92" s="370"/>
      <c r="D92" s="371"/>
      <c r="E92" s="372"/>
      <c r="F92" s="107"/>
      <c r="G92" s="48"/>
      <c r="H92" s="373"/>
    </row>
    <row r="93" spans="1:8" ht="16.5" thickBot="1">
      <c r="A93" s="317" t="s">
        <v>208</v>
      </c>
      <c r="B93" s="318"/>
      <c r="C93" s="170"/>
      <c r="D93" s="359"/>
      <c r="E93" s="375"/>
      <c r="F93" s="376"/>
      <c r="G93" s="376"/>
      <c r="H93" s="377"/>
    </row>
    <row r="94" spans="1:8" ht="15.75">
      <c r="A94" s="317"/>
      <c r="B94" s="318"/>
      <c r="C94" s="170"/>
      <c r="D94" s="359"/>
      <c r="E94" s="378" t="s">
        <v>15</v>
      </c>
      <c r="F94" s="379" t="s">
        <v>16</v>
      </c>
      <c r="G94" s="379" t="s">
        <v>17</v>
      </c>
      <c r="H94" s="380" t="s">
        <v>26</v>
      </c>
    </row>
    <row r="95" spans="1:8" ht="15.75">
      <c r="A95" s="198"/>
      <c r="B95" s="170"/>
      <c r="C95" s="170"/>
      <c r="D95" s="170"/>
      <c r="E95" s="486"/>
      <c r="F95" s="487"/>
      <c r="G95" s="487"/>
      <c r="H95" s="488"/>
    </row>
    <row r="96" spans="1:8" ht="15.75">
      <c r="A96" s="198" t="s">
        <v>209</v>
      </c>
      <c r="B96" s="170"/>
      <c r="C96" s="170"/>
      <c r="D96" s="170"/>
      <c r="E96" s="489">
        <f>'Sch 1- Rate Base '!G161</f>
        <v>1575915530.375</v>
      </c>
      <c r="F96" s="490">
        <f>'Sch 1- Rate Base '!H161</f>
        <v>771060675.23576</v>
      </c>
      <c r="G96" s="490">
        <f>'Sch 1- Rate Base '!I161</f>
        <v>283542143.7532495</v>
      </c>
      <c r="H96" s="491">
        <f>'Sch 1- Rate Base '!J161</f>
        <v>521312711.3859905</v>
      </c>
    </row>
    <row r="97" spans="1:8" ht="15.75">
      <c r="A97" s="198" t="s">
        <v>206</v>
      </c>
      <c r="B97" s="170"/>
      <c r="C97" s="170"/>
      <c r="D97" s="170"/>
      <c r="E97" s="384">
        <f>$E$90</f>
        <v>0.11172845015384616</v>
      </c>
      <c r="F97" s="385">
        <f>$E$90</f>
        <v>0.11172845015384616</v>
      </c>
      <c r="G97" s="385">
        <f>$E$90</f>
        <v>0.11172845015384616</v>
      </c>
      <c r="H97" s="386">
        <f>$E$90</f>
        <v>0.11172845015384616</v>
      </c>
    </row>
    <row r="98" spans="1:8" ht="16.5" thickBot="1">
      <c r="A98" s="317" t="s">
        <v>210</v>
      </c>
      <c r="B98" s="318"/>
      <c r="C98" s="318"/>
      <c r="D98" s="318"/>
      <c r="E98" s="387">
        <f>E97*E96</f>
        <v>176074599.78217524</v>
      </c>
      <c r="F98" s="388">
        <f>F97*F96</f>
        <v>86149414.21866958</v>
      </c>
      <c r="G98" s="388">
        <f>G97*G96</f>
        <v>31679724.274849623</v>
      </c>
      <c r="H98" s="389">
        <f>H97*H96</f>
        <v>58245461.28865603</v>
      </c>
    </row>
    <row r="99" spans="1:8" ht="16.5" thickBot="1">
      <c r="A99" s="492" t="s">
        <v>211</v>
      </c>
      <c r="B99" s="273"/>
      <c r="C99" s="273"/>
      <c r="D99" s="273"/>
      <c r="E99" s="273"/>
      <c r="F99" s="273"/>
      <c r="G99" s="273"/>
      <c r="H99" s="274"/>
    </row>
    <row r="100" spans="1:8" ht="17.25" thickBot="1" thickTop="1">
      <c r="A100" s="304"/>
      <c r="B100" s="278"/>
      <c r="C100" s="278"/>
      <c r="D100" s="278"/>
      <c r="E100" s="278"/>
      <c r="F100" s="278"/>
      <c r="G100" s="156"/>
      <c r="H100" s="305"/>
    </row>
    <row r="101" spans="1:8" ht="24.75" customHeight="1" thickBot="1">
      <c r="A101" s="306" t="s">
        <v>229</v>
      </c>
      <c r="B101" s="307"/>
      <c r="C101" s="308"/>
      <c r="D101" s="309"/>
      <c r="E101" s="310"/>
      <c r="F101" s="311" t="s">
        <v>30</v>
      </c>
      <c r="G101" s="312"/>
      <c r="H101" s="313"/>
    </row>
    <row r="102" spans="1:8" ht="15.75">
      <c r="A102" s="317"/>
      <c r="B102" s="318"/>
      <c r="C102" s="319"/>
      <c r="D102" s="320"/>
      <c r="E102" s="320"/>
      <c r="F102" s="321"/>
      <c r="G102" s="322"/>
      <c r="H102" s="323"/>
    </row>
    <row r="103" spans="1:8" ht="15.75">
      <c r="A103" s="324" t="s">
        <v>230</v>
      </c>
      <c r="B103" s="325"/>
      <c r="C103" s="326"/>
      <c r="D103" s="327"/>
      <c r="E103" s="320"/>
      <c r="F103" s="321"/>
      <c r="G103" s="322"/>
      <c r="H103" s="323"/>
    </row>
    <row r="104" spans="1:8" ht="15.75">
      <c r="A104" s="328"/>
      <c r="B104" s="325"/>
      <c r="C104" s="326"/>
      <c r="D104" s="327"/>
      <c r="E104" s="320"/>
      <c r="F104" s="321"/>
      <c r="G104" s="322"/>
      <c r="H104" s="323"/>
    </row>
    <row r="105" spans="1:8" ht="15.75">
      <c r="A105" s="328"/>
      <c r="B105" s="325"/>
      <c r="C105" s="326"/>
      <c r="D105" s="327"/>
      <c r="E105" s="320"/>
      <c r="F105" s="321"/>
      <c r="G105" s="322"/>
      <c r="H105" s="323"/>
    </row>
    <row r="106" spans="1:8" ht="16.5" thickBot="1">
      <c r="A106" s="324"/>
      <c r="B106" s="325"/>
      <c r="C106" s="326"/>
      <c r="D106" s="156"/>
      <c r="E106" s="156"/>
      <c r="F106" s="321"/>
      <c r="G106" s="322"/>
      <c r="H106" s="323"/>
    </row>
    <row r="107" spans="1:8" ht="15.75">
      <c r="A107" s="329"/>
      <c r="B107" s="330" t="s">
        <v>231</v>
      </c>
      <c r="C107" s="330" t="s">
        <v>232</v>
      </c>
      <c r="D107" s="330" t="s">
        <v>232</v>
      </c>
      <c r="E107" s="331" t="s">
        <v>233</v>
      </c>
      <c r="F107" s="493" t="s">
        <v>234</v>
      </c>
      <c r="G107"/>
      <c r="H107" s="305"/>
    </row>
    <row r="108" spans="1:8" ht="16.5" thickBot="1">
      <c r="A108" s="494" t="s">
        <v>235</v>
      </c>
      <c r="B108" s="334" t="s">
        <v>194</v>
      </c>
      <c r="C108" s="334" t="s">
        <v>236</v>
      </c>
      <c r="D108" s="334" t="s">
        <v>237</v>
      </c>
      <c r="E108" s="335" t="s">
        <v>238</v>
      </c>
      <c r="F108" s="495" t="s">
        <v>239</v>
      </c>
      <c r="G108"/>
      <c r="H108" s="305"/>
    </row>
    <row r="109" spans="1:8" ht="15.75">
      <c r="A109" s="429"/>
      <c r="B109" s="496"/>
      <c r="C109" s="497"/>
      <c r="D109" s="497"/>
      <c r="E109" s="341"/>
      <c r="F109" s="498">
        <f aca="true" t="shared" si="0" ref="F109:F117">E109*B109</f>
        <v>0</v>
      </c>
      <c r="G109"/>
      <c r="H109" s="305"/>
    </row>
    <row r="110" spans="1:8" ht="15.75">
      <c r="A110" s="431"/>
      <c r="B110" s="411"/>
      <c r="C110" s="497"/>
      <c r="D110" s="497"/>
      <c r="E110" s="348"/>
      <c r="F110" s="498">
        <f t="shared" si="0"/>
        <v>0</v>
      </c>
      <c r="G110"/>
      <c r="H110" s="305"/>
    </row>
    <row r="111" spans="1:8" ht="15.75">
      <c r="A111" s="431"/>
      <c r="B111" s="411"/>
      <c r="C111" s="497"/>
      <c r="D111" s="497"/>
      <c r="E111" s="348"/>
      <c r="F111" s="498">
        <f t="shared" si="0"/>
        <v>0</v>
      </c>
      <c r="G111"/>
      <c r="H111" s="305"/>
    </row>
    <row r="112" spans="1:8" ht="15.75">
      <c r="A112" s="431"/>
      <c r="B112" s="411"/>
      <c r="C112" s="497"/>
      <c r="D112" s="497"/>
      <c r="E112" s="348"/>
      <c r="F112" s="498">
        <f t="shared" si="0"/>
        <v>0</v>
      </c>
      <c r="G112"/>
      <c r="H112" s="305"/>
    </row>
    <row r="113" spans="1:8" ht="15.75">
      <c r="A113" s="431"/>
      <c r="B113" s="411"/>
      <c r="C113" s="497"/>
      <c r="D113" s="497"/>
      <c r="E113" s="348"/>
      <c r="F113" s="498">
        <f t="shared" si="0"/>
        <v>0</v>
      </c>
      <c r="G113"/>
      <c r="H113" s="305"/>
    </row>
    <row r="114" spans="1:8" ht="15.75">
      <c r="A114" s="431"/>
      <c r="B114" s="411"/>
      <c r="C114" s="497"/>
      <c r="D114" s="497"/>
      <c r="E114" s="348"/>
      <c r="F114" s="498">
        <f t="shared" si="0"/>
        <v>0</v>
      </c>
      <c r="G114"/>
      <c r="H114" s="305"/>
    </row>
    <row r="115" spans="1:8" ht="15.75">
      <c r="A115" s="431"/>
      <c r="B115" s="411"/>
      <c r="C115" s="497"/>
      <c r="D115" s="497"/>
      <c r="E115" s="348"/>
      <c r="F115" s="498">
        <f t="shared" si="0"/>
        <v>0</v>
      </c>
      <c r="G115"/>
      <c r="H115" s="305"/>
    </row>
    <row r="116" spans="1:8" ht="15.75">
      <c r="A116" s="431"/>
      <c r="B116" s="411"/>
      <c r="C116" s="497"/>
      <c r="D116" s="497"/>
      <c r="E116" s="348"/>
      <c r="F116" s="498">
        <f t="shared" si="0"/>
        <v>0</v>
      </c>
      <c r="G116"/>
      <c r="H116" s="305"/>
    </row>
    <row r="117" spans="1:8" ht="15.75">
      <c r="A117" s="431"/>
      <c r="B117" s="411"/>
      <c r="C117" s="497"/>
      <c r="D117" s="497"/>
      <c r="E117" s="348"/>
      <c r="F117" s="498">
        <f t="shared" si="0"/>
        <v>0</v>
      </c>
      <c r="G117"/>
      <c r="H117" s="305"/>
    </row>
    <row r="118" spans="1:8" ht="16.5" thickBot="1">
      <c r="A118" s="351" t="s">
        <v>240</v>
      </c>
      <c r="B118" s="499">
        <f>SUM(B109:B117)</f>
        <v>0</v>
      </c>
      <c r="C118" s="500"/>
      <c r="D118" s="354"/>
      <c r="E118" s="501">
        <f>IF(B118=0,0,F118/B118)</f>
        <v>0</v>
      </c>
      <c r="F118" s="502">
        <f>SUM(F109:F117)</f>
        <v>0</v>
      </c>
      <c r="G118"/>
      <c r="H118" s="305"/>
    </row>
    <row r="119" spans="1:8" ht="15.75">
      <c r="A119" s="198"/>
      <c r="B119" s="170"/>
      <c r="C119" s="170"/>
      <c r="D119" s="359"/>
      <c r="E119" s="360"/>
      <c r="F119" s="337"/>
      <c r="G119" s="358"/>
      <c r="H119" s="305"/>
    </row>
    <row r="120" spans="1:8" ht="15.75">
      <c r="A120" s="198"/>
      <c r="B120" s="170"/>
      <c r="C120" s="370"/>
      <c r="D120" s="371"/>
      <c r="E120" s="372"/>
      <c r="F120" s="107"/>
      <c r="G120" s="48"/>
      <c r="H120" s="373"/>
    </row>
    <row r="121" spans="1:8" ht="16.5" thickBot="1">
      <c r="A121" s="317" t="s">
        <v>241</v>
      </c>
      <c r="B121" s="318"/>
      <c r="C121" s="170"/>
      <c r="D121" s="359"/>
      <c r="E121" s="375"/>
      <c r="F121" s="376"/>
      <c r="G121" s="376"/>
      <c r="H121" s="377"/>
    </row>
    <row r="122" spans="1:8" ht="15.75">
      <c r="A122" s="317"/>
      <c r="B122" s="318"/>
      <c r="C122" s="170"/>
      <c r="D122" s="359"/>
      <c r="E122" s="378" t="s">
        <v>15</v>
      </c>
      <c r="F122" s="379" t="s">
        <v>16</v>
      </c>
      <c r="G122" s="379" t="s">
        <v>17</v>
      </c>
      <c r="H122" s="380" t="s">
        <v>26</v>
      </c>
    </row>
    <row r="123" spans="1:8" ht="15.75">
      <c r="A123" s="317" t="s">
        <v>209</v>
      </c>
      <c r="B123" s="170"/>
      <c r="C123" s="170"/>
      <c r="D123" s="170"/>
      <c r="E123" s="503">
        <f>'Sch 1- Rate Base '!G161</f>
        <v>1575915530.375</v>
      </c>
      <c r="F123" s="382">
        <f>'Sch 1- Rate Base '!H161</f>
        <v>771060675.23576</v>
      </c>
      <c r="G123" s="504">
        <f>'Sch 1- Rate Base '!I161</f>
        <v>283542143.7532495</v>
      </c>
      <c r="H123" s="383">
        <f>'Sch 1- Rate Base '!J161</f>
        <v>521312711.3859905</v>
      </c>
    </row>
    <row r="124" spans="1:8" ht="15.75">
      <c r="A124" s="317" t="s">
        <v>240</v>
      </c>
      <c r="B124" s="170"/>
      <c r="C124" s="170"/>
      <c r="D124" s="170"/>
      <c r="E124" s="505">
        <f>$E$118</f>
        <v>0</v>
      </c>
      <c r="F124" s="506">
        <f>$E$118</f>
        <v>0</v>
      </c>
      <c r="G124" s="506">
        <f>$E$118</f>
        <v>0</v>
      </c>
      <c r="H124" s="507">
        <f>$E$118</f>
        <v>0</v>
      </c>
    </row>
    <row r="125" spans="1:8" ht="16.5" thickBot="1">
      <c r="A125" s="317" t="s">
        <v>242</v>
      </c>
      <c r="B125" s="318"/>
      <c r="C125" s="318"/>
      <c r="D125" s="318"/>
      <c r="E125" s="387">
        <f>E124*E123</f>
        <v>0</v>
      </c>
      <c r="F125" s="388">
        <f>F124*F123</f>
        <v>0</v>
      </c>
      <c r="G125" s="388">
        <f>G124*G123</f>
        <v>0</v>
      </c>
      <c r="H125" s="389">
        <f>H124*H123</f>
        <v>0</v>
      </c>
    </row>
    <row r="126" spans="1:8" ht="15.75">
      <c r="A126" s="508"/>
      <c r="B126" s="156"/>
      <c r="C126" s="156"/>
      <c r="D126" s="156"/>
      <c r="E126" s="156"/>
      <c r="F126" s="156"/>
      <c r="G126" s="156"/>
      <c r="H126" s="305"/>
    </row>
    <row r="127" spans="1:8" ht="15.75">
      <c r="A127" s="269"/>
      <c r="B127" s="156"/>
      <c r="C127" s="156"/>
      <c r="D127" s="156"/>
      <c r="E127" s="156"/>
      <c r="F127" s="156"/>
      <c r="G127" s="156"/>
      <c r="H127" s="305"/>
    </row>
    <row r="128" spans="1:8" ht="16.5" thickBot="1">
      <c r="A128" s="391"/>
      <c r="B128" s="273"/>
      <c r="C128" s="273"/>
      <c r="D128" s="273"/>
      <c r="E128" s="273"/>
      <c r="F128" s="273"/>
      <c r="G128" s="273"/>
      <c r="H128" s="274"/>
    </row>
    <row r="129" ht="16.5" thickTop="1"/>
  </sheetData>
  <sheetProtection/>
  <mergeCells count="9">
    <mergeCell ref="D5:F5"/>
    <mergeCell ref="D6:F6"/>
    <mergeCell ref="D7:F7"/>
    <mergeCell ref="A88:E88"/>
    <mergeCell ref="D22:E22"/>
    <mergeCell ref="B22:C22"/>
    <mergeCell ref="A33:E33"/>
    <mergeCell ref="B51:C51"/>
    <mergeCell ref="D51:E51"/>
  </mergeCells>
  <printOptions horizontalCentered="1"/>
  <pageMargins left="0.2" right="0.28" top="0.75" bottom="0.75" header="0.25" footer="0.25"/>
  <pageSetup horizontalDpi="600" verticalDpi="600" orientation="landscape" paperSize="9" scale="60" r:id="rId1"/>
  <headerFooter alignWithMargins="0">
    <oddFooter>&amp;L&amp;F&amp;CPage &amp;P of &amp;N&amp;R&amp;D</oddFooter>
  </headerFooter>
  <rowBreaks count="3" manualBreakCount="3">
    <brk id="45" max="7" man="1"/>
    <brk id="79" max="7" man="1"/>
    <brk id="9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113"/>
  <sheetViews>
    <sheetView zoomScale="70" zoomScaleNormal="70" zoomScaleSheetLayoutView="100" workbookViewId="0" topLeftCell="A34">
      <selection activeCell="L77" sqref="L77"/>
    </sheetView>
  </sheetViews>
  <sheetFormatPr defaultColWidth="9.00390625" defaultRowHeight="15.75"/>
  <cols>
    <col min="1" max="1" width="5.375" style="218" customWidth="1"/>
    <col min="2" max="2" width="47.375" style="218" customWidth="1"/>
    <col min="3" max="6" width="9.625" style="218" customWidth="1"/>
    <col min="7" max="7" width="14.625" style="596" bestFit="1" customWidth="1"/>
    <col min="8" max="8" width="14.625" style="218" bestFit="1" customWidth="1"/>
    <col min="9" max="9" width="13.50390625" style="218" bestFit="1" customWidth="1"/>
    <col min="10" max="10" width="13.875" style="218" customWidth="1"/>
    <col min="11" max="11" width="10.125" style="218" bestFit="1" customWidth="1"/>
    <col min="12" max="12" width="10.625" style="218" bestFit="1" customWidth="1"/>
    <col min="13" max="13" width="13.25390625" style="218" bestFit="1" customWidth="1"/>
    <col min="14" max="14" width="12.50390625" style="218" bestFit="1" customWidth="1"/>
    <col min="15" max="16384" width="9.00390625" style="218" customWidth="1"/>
  </cols>
  <sheetData>
    <row r="1" spans="1:10" ht="19.5" thickTop="1">
      <c r="A1" s="241" t="s">
        <v>0</v>
      </c>
      <c r="B1" s="509"/>
      <c r="C1" s="509"/>
      <c r="D1" s="509"/>
      <c r="E1" s="509"/>
      <c r="F1" s="509"/>
      <c r="G1" s="510"/>
      <c r="H1" s="509"/>
      <c r="I1" s="509"/>
      <c r="J1" s="511"/>
    </row>
    <row r="2" spans="1:15" ht="15.75">
      <c r="A2" s="244" t="s">
        <v>168</v>
      </c>
      <c r="B2" s="512"/>
      <c r="C2" s="512"/>
      <c r="D2" s="512"/>
      <c r="E2" s="512"/>
      <c r="F2" s="512"/>
      <c r="G2" s="513"/>
      <c r="H2" s="512"/>
      <c r="I2" s="512"/>
      <c r="J2" s="514"/>
      <c r="L2"/>
      <c r="M2"/>
      <c r="N2"/>
      <c r="O2"/>
    </row>
    <row r="3" spans="1:15" ht="15.75">
      <c r="A3" s="247" t="s">
        <v>169</v>
      </c>
      <c r="B3" s="515"/>
      <c r="C3" s="13"/>
      <c r="D3" s="13"/>
      <c r="E3" s="14"/>
      <c r="F3" s="14"/>
      <c r="G3" s="516"/>
      <c r="H3" s="16"/>
      <c r="I3" s="17"/>
      <c r="J3" s="251"/>
      <c r="L3"/>
      <c r="M3"/>
      <c r="N3"/>
      <c r="O3"/>
    </row>
    <row r="4" spans="1:15" ht="10.5" customHeight="1" thickBot="1">
      <c r="A4" s="247"/>
      <c r="B4" s="515"/>
      <c r="C4" s="13"/>
      <c r="D4" s="13"/>
      <c r="E4" s="14"/>
      <c r="F4" s="14"/>
      <c r="G4" s="516"/>
      <c r="H4" s="16"/>
      <c r="I4" s="17"/>
      <c r="J4" s="251"/>
      <c r="L4"/>
      <c r="M4"/>
      <c r="N4"/>
      <c r="O4"/>
    </row>
    <row r="5" spans="1:15" ht="15.75">
      <c r="A5" s="247"/>
      <c r="B5" s="515"/>
      <c r="C5" s="13"/>
      <c r="D5" s="10" t="s">
        <v>7</v>
      </c>
      <c r="E5" s="866" t="s">
        <v>8</v>
      </c>
      <c r="F5" s="867"/>
      <c r="G5" s="868"/>
      <c r="H5" s="16"/>
      <c r="I5" s="17"/>
      <c r="J5" s="251"/>
      <c r="L5"/>
      <c r="M5"/>
      <c r="N5"/>
      <c r="O5"/>
    </row>
    <row r="6" spans="1:15" ht="15.75">
      <c r="A6" s="247"/>
      <c r="B6" s="515"/>
      <c r="C6" s="13"/>
      <c r="D6" s="10" t="s">
        <v>9</v>
      </c>
      <c r="E6" s="869">
        <v>39082</v>
      </c>
      <c r="F6" s="857"/>
      <c r="G6" s="858"/>
      <c r="H6" s="16"/>
      <c r="I6" s="17"/>
      <c r="J6" s="251"/>
      <c r="L6"/>
      <c r="M6"/>
      <c r="N6"/>
      <c r="O6"/>
    </row>
    <row r="7" spans="1:15" ht="16.5" thickBot="1">
      <c r="A7" s="247"/>
      <c r="B7" s="515"/>
      <c r="C7" s="13"/>
      <c r="D7" s="10" t="s">
        <v>10</v>
      </c>
      <c r="E7" s="859">
        <v>39575</v>
      </c>
      <c r="F7" s="860"/>
      <c r="G7" s="746"/>
      <c r="H7" s="16"/>
      <c r="I7" s="17"/>
      <c r="J7" s="251"/>
      <c r="L7"/>
      <c r="M7"/>
      <c r="N7"/>
      <c r="O7"/>
    </row>
    <row r="8" spans="1:15" s="519" customFormat="1" ht="9" customHeight="1">
      <c r="A8" s="517"/>
      <c r="B8" s="13"/>
      <c r="C8" s="13"/>
      <c r="D8" s="254"/>
      <c r="E8" s="255"/>
      <c r="F8" s="255"/>
      <c r="G8" s="255"/>
      <c r="H8" s="16"/>
      <c r="I8" s="518"/>
      <c r="J8" s="251"/>
      <c r="L8" s="256"/>
      <c r="M8" s="256"/>
      <c r="N8" s="256"/>
      <c r="O8" s="256"/>
    </row>
    <row r="9" spans="1:15" ht="15.75">
      <c r="A9" s="252" t="s">
        <v>243</v>
      </c>
      <c r="B9" s="515"/>
      <c r="C9" s="13"/>
      <c r="D9" s="13"/>
      <c r="E9" s="14"/>
      <c r="F9" s="14"/>
      <c r="G9" s="516"/>
      <c r="H9" s="16"/>
      <c r="I9" s="17"/>
      <c r="J9" s="251"/>
      <c r="L9"/>
      <c r="M9"/>
      <c r="N9"/>
      <c r="O9"/>
    </row>
    <row r="10" spans="1:15" ht="7.5" customHeight="1" thickBot="1">
      <c r="A10" s="252"/>
      <c r="B10" s="515"/>
      <c r="C10" s="13"/>
      <c r="D10" s="13"/>
      <c r="E10" s="14"/>
      <c r="F10" s="14"/>
      <c r="G10" s="516"/>
      <c r="H10" s="16"/>
      <c r="I10" s="17"/>
      <c r="J10" s="251"/>
      <c r="L10"/>
      <c r="M10"/>
      <c r="N10"/>
      <c r="O10"/>
    </row>
    <row r="11" spans="1:15" ht="17.25" thickBot="1" thickTop="1">
      <c r="A11" s="899" t="s">
        <v>12</v>
      </c>
      <c r="B11" s="900"/>
      <c r="C11" s="520" t="s">
        <v>244</v>
      </c>
      <c r="D11" s="520"/>
      <c r="E11" s="521" t="s">
        <v>14</v>
      </c>
      <c r="F11" s="522"/>
      <c r="G11" s="904" t="s">
        <v>15</v>
      </c>
      <c r="H11" s="907" t="s">
        <v>16</v>
      </c>
      <c r="I11" s="907" t="s">
        <v>17</v>
      </c>
      <c r="J11" s="523"/>
      <c r="L11"/>
      <c r="M11"/>
      <c r="N11"/>
      <c r="O11"/>
    </row>
    <row r="12" spans="1:15" ht="16.5" thickBot="1">
      <c r="A12" s="901"/>
      <c r="B12" s="876"/>
      <c r="C12" s="524" t="s">
        <v>18</v>
      </c>
      <c r="D12" s="525" t="s">
        <v>19</v>
      </c>
      <c r="E12" s="33" t="s">
        <v>20</v>
      </c>
      <c r="F12" s="34"/>
      <c r="G12" s="905"/>
      <c r="H12" s="880"/>
      <c r="I12" s="880"/>
      <c r="J12" s="39" t="s">
        <v>21</v>
      </c>
      <c r="L12"/>
      <c r="M12"/>
      <c r="N12"/>
      <c r="O12"/>
    </row>
    <row r="13" spans="1:15" ht="16.5" thickBot="1">
      <c r="A13" s="902"/>
      <c r="B13" s="903"/>
      <c r="C13" s="527" t="s">
        <v>22</v>
      </c>
      <c r="D13" s="528" t="s">
        <v>23</v>
      </c>
      <c r="E13" s="529" t="s">
        <v>24</v>
      </c>
      <c r="F13" s="529" t="s">
        <v>25</v>
      </c>
      <c r="G13" s="906"/>
      <c r="H13" s="908"/>
      <c r="I13" s="908"/>
      <c r="J13" s="531" t="s">
        <v>26</v>
      </c>
      <c r="L13"/>
      <c r="M13"/>
      <c r="N13"/>
      <c r="O13"/>
    </row>
    <row r="14" spans="1:15" ht="16.5" thickTop="1">
      <c r="A14" s="267" t="s">
        <v>245</v>
      </c>
      <c r="B14" s="207"/>
      <c r="C14" s="47"/>
      <c r="D14" s="47"/>
      <c r="E14" s="47"/>
      <c r="F14" s="47"/>
      <c r="G14" s="532"/>
      <c r="H14" s="50"/>
      <c r="I14" s="50"/>
      <c r="J14" s="51"/>
      <c r="L14"/>
      <c r="M14"/>
      <c r="N14"/>
      <c r="O14"/>
    </row>
    <row r="15" spans="1:15" ht="15.75">
      <c r="A15" s="533"/>
      <c r="B15" s="534" t="s">
        <v>246</v>
      </c>
      <c r="C15" s="535"/>
      <c r="D15" s="535"/>
      <c r="E15" s="535"/>
      <c r="F15" s="535"/>
      <c r="G15" s="532"/>
      <c r="H15" s="50"/>
      <c r="I15" s="50"/>
      <c r="J15" s="51"/>
      <c r="L15"/>
      <c r="M15"/>
      <c r="N15"/>
      <c r="O15"/>
    </row>
    <row r="16" spans="1:15" ht="15" customHeight="1">
      <c r="A16" s="536"/>
      <c r="B16" s="537" t="s">
        <v>247</v>
      </c>
      <c r="C16" s="56" t="s">
        <v>248</v>
      </c>
      <c r="D16" s="538">
        <v>501</v>
      </c>
      <c r="E16" s="538" t="s">
        <v>6</v>
      </c>
      <c r="F16" s="538"/>
      <c r="G16" s="539">
        <f>'[1]320-323 Electric O&amp;M'!F6</f>
        <v>25443765</v>
      </c>
      <c r="H16" s="58">
        <f>VLOOKUP($E16,Ratio,2,FALSE)*$G16</f>
        <v>25443765</v>
      </c>
      <c r="I16" s="58">
        <f>VLOOKUP($E16,Ratio,3,FALSE)*$G16</f>
        <v>0</v>
      </c>
      <c r="J16" s="59">
        <f>VLOOKUP($E16,Ratio,4,FALSE)*$G16</f>
        <v>0</v>
      </c>
      <c r="L16"/>
      <c r="M16"/>
      <c r="N16"/>
      <c r="O16"/>
    </row>
    <row r="17" spans="1:10" ht="15" customHeight="1">
      <c r="A17" s="536"/>
      <c r="B17" s="537" t="s">
        <v>249</v>
      </c>
      <c r="C17" s="56" t="s">
        <v>248</v>
      </c>
      <c r="D17" s="538" t="s">
        <v>250</v>
      </c>
      <c r="E17" s="538" t="s">
        <v>6</v>
      </c>
      <c r="F17" s="538"/>
      <c r="G17" s="539">
        <f>'[1]320-323 Electric O&amp;M'!F14-'[1]320-323 Electric O&amp;M'!F6</f>
        <v>4589062</v>
      </c>
      <c r="H17" s="58">
        <f>VLOOKUP($E17,Ratio,2,FALSE)*$G17</f>
        <v>4589062</v>
      </c>
      <c r="I17" s="58">
        <f>VLOOKUP($E17,Ratio,3,FALSE)*$G17</f>
        <v>0</v>
      </c>
      <c r="J17" s="59">
        <f>VLOOKUP($E17,Ratio,4,FALSE)*$G17</f>
        <v>0</v>
      </c>
    </row>
    <row r="18" spans="1:10" ht="15" customHeight="1">
      <c r="A18" s="536"/>
      <c r="B18" s="537" t="s">
        <v>251</v>
      </c>
      <c r="C18" s="56" t="s">
        <v>248</v>
      </c>
      <c r="D18" s="538" t="s">
        <v>252</v>
      </c>
      <c r="E18" s="538" t="s">
        <v>6</v>
      </c>
      <c r="F18" s="538"/>
      <c r="G18" s="539">
        <f>'[1]320-323 Electric O&amp;M'!F21</f>
        <v>8150550</v>
      </c>
      <c r="H18" s="58">
        <f>VLOOKUP($E18,Ratio,2,FALSE)*$G18</f>
        <v>8150550</v>
      </c>
      <c r="I18" s="58">
        <f>VLOOKUP($E18,Ratio,3,FALSE)*$G18</f>
        <v>0</v>
      </c>
      <c r="J18" s="59">
        <f>VLOOKUP($E18,Ratio,4,FALSE)*$G18</f>
        <v>0</v>
      </c>
    </row>
    <row r="19" spans="1:10" ht="15.75">
      <c r="A19" s="536"/>
      <c r="B19" s="540" t="s">
        <v>253</v>
      </c>
      <c r="C19" s="75"/>
      <c r="D19" s="535"/>
      <c r="E19" s="541"/>
      <c r="F19" s="541"/>
      <c r="G19" s="542"/>
      <c r="H19" s="543"/>
      <c r="I19" s="543"/>
      <c r="J19" s="544"/>
    </row>
    <row r="20" spans="1:10" ht="15" customHeight="1">
      <c r="A20" s="536"/>
      <c r="B20" s="537" t="s">
        <v>254</v>
      </c>
      <c r="C20" s="56" t="s">
        <v>248</v>
      </c>
      <c r="D20" s="538">
        <v>518</v>
      </c>
      <c r="E20" s="538" t="s">
        <v>6</v>
      </c>
      <c r="F20" s="538"/>
      <c r="G20" s="539">
        <f>'[1]320-323 Electric O&amp;M'!F26</f>
        <v>0</v>
      </c>
      <c r="H20" s="58">
        <f>VLOOKUP($E20,Ratio,2,FALSE)*$G20</f>
        <v>0</v>
      </c>
      <c r="I20" s="58">
        <f>VLOOKUP($E20,Ratio,3,FALSE)*$G20</f>
        <v>0</v>
      </c>
      <c r="J20" s="59">
        <f>VLOOKUP($E20,Ratio,4,FALSE)*$G20</f>
        <v>0</v>
      </c>
    </row>
    <row r="21" spans="1:10" ht="15" customHeight="1">
      <c r="A21" s="536"/>
      <c r="B21" s="545" t="s">
        <v>255</v>
      </c>
      <c r="C21" s="56" t="s">
        <v>248</v>
      </c>
      <c r="D21" s="538" t="s">
        <v>256</v>
      </c>
      <c r="E21" s="538" t="s">
        <v>6</v>
      </c>
      <c r="F21" s="538"/>
      <c r="G21" s="539">
        <f>'[1]320-323 Electric O&amp;M'!F34</f>
        <v>0</v>
      </c>
      <c r="H21" s="58">
        <f>VLOOKUP($E21,Ratio,2,FALSE)*$G21</f>
        <v>0</v>
      </c>
      <c r="I21" s="58">
        <f>VLOOKUP($E21,Ratio,3,FALSE)*$G21</f>
        <v>0</v>
      </c>
      <c r="J21" s="59">
        <f>VLOOKUP($E21,Ratio,4,FALSE)*$G21</f>
        <v>0</v>
      </c>
    </row>
    <row r="22" spans="1:10" ht="15" customHeight="1">
      <c r="A22" s="536"/>
      <c r="B22" s="546" t="s">
        <v>257</v>
      </c>
      <c r="C22" s="56" t="s">
        <v>248</v>
      </c>
      <c r="D22" s="538" t="s">
        <v>258</v>
      </c>
      <c r="E22" s="547" t="s">
        <v>6</v>
      </c>
      <c r="F22" s="547"/>
      <c r="G22" s="539">
        <f>'[1]320-323 Electric O&amp;M'!F41</f>
        <v>0</v>
      </c>
      <c r="H22" s="58">
        <f>VLOOKUP($E22,Ratio,2,FALSE)*$G22</f>
        <v>0</v>
      </c>
      <c r="I22" s="58">
        <f>VLOOKUP($E22,Ratio,3,FALSE)*$G22</f>
        <v>0</v>
      </c>
      <c r="J22" s="59">
        <f>VLOOKUP($E22,Ratio,4,FALSE)*$G22</f>
        <v>0</v>
      </c>
    </row>
    <row r="23" spans="1:10" ht="15.75">
      <c r="A23" s="536"/>
      <c r="B23" s="540" t="s">
        <v>259</v>
      </c>
      <c r="C23" s="75"/>
      <c r="D23" s="535"/>
      <c r="E23" s="541"/>
      <c r="F23" s="541"/>
      <c r="G23" s="542"/>
      <c r="H23" s="543"/>
      <c r="I23" s="543"/>
      <c r="J23" s="544"/>
    </row>
    <row r="24" spans="1:10" ht="15" customHeight="1">
      <c r="A24" s="536"/>
      <c r="B24" s="545" t="s">
        <v>260</v>
      </c>
      <c r="C24" s="56" t="s">
        <v>248</v>
      </c>
      <c r="D24" s="538" t="s">
        <v>261</v>
      </c>
      <c r="E24" s="547" t="s">
        <v>6</v>
      </c>
      <c r="F24" s="547"/>
      <c r="G24" s="539">
        <f>'[1]320-323 Electric O&amp;M'!F51</f>
        <v>10915413</v>
      </c>
      <c r="H24" s="58">
        <f>VLOOKUP($E24,Ratio,2,FALSE)*$G24</f>
        <v>10915413</v>
      </c>
      <c r="I24" s="58">
        <f>VLOOKUP($E24,Ratio,3,FALSE)*$G24</f>
        <v>0</v>
      </c>
      <c r="J24" s="59">
        <f>VLOOKUP($E24,Ratio,4,FALSE)*$G24</f>
        <v>0</v>
      </c>
    </row>
    <row r="25" spans="1:10" ht="15" customHeight="1">
      <c r="A25" s="536"/>
      <c r="B25" s="545" t="s">
        <v>262</v>
      </c>
      <c r="C25" s="56" t="s">
        <v>248</v>
      </c>
      <c r="D25" s="538" t="s">
        <v>263</v>
      </c>
      <c r="E25" s="547" t="s">
        <v>6</v>
      </c>
      <c r="F25" s="547"/>
      <c r="G25" s="539">
        <f>'[1]320-323 Electric O&amp;M'!F59</f>
        <v>3988076</v>
      </c>
      <c r="H25" s="58">
        <f>VLOOKUP($E25,Ratio,2,FALSE)*$G25</f>
        <v>3988076</v>
      </c>
      <c r="I25" s="58">
        <f>VLOOKUP($E25,Ratio,3,FALSE)*$G25</f>
        <v>0</v>
      </c>
      <c r="J25" s="59">
        <f>VLOOKUP($E25,Ratio,4,FALSE)*$G25</f>
        <v>0</v>
      </c>
    </row>
    <row r="26" spans="1:10" ht="15.75">
      <c r="A26" s="536"/>
      <c r="B26" s="540" t="s">
        <v>264</v>
      </c>
      <c r="C26" s="75"/>
      <c r="D26" s="535"/>
      <c r="E26" s="541"/>
      <c r="F26" s="541"/>
      <c r="G26" s="542"/>
      <c r="H26" s="543"/>
      <c r="I26" s="543"/>
      <c r="J26" s="544"/>
    </row>
    <row r="27" spans="1:13" ht="15" customHeight="1">
      <c r="A27" s="536"/>
      <c r="B27" s="537" t="s">
        <v>265</v>
      </c>
      <c r="C27" s="56" t="s">
        <v>248</v>
      </c>
      <c r="D27" s="538">
        <v>547</v>
      </c>
      <c r="E27" s="538" t="s">
        <v>6</v>
      </c>
      <c r="F27" s="538"/>
      <c r="G27" s="539">
        <f>'[1]320-323 Electric O&amp;M'!F64</f>
        <v>85535646</v>
      </c>
      <c r="H27" s="58">
        <f>VLOOKUP($E27,Ratio,2,FALSE)*$G27</f>
        <v>85535646</v>
      </c>
      <c r="I27" s="58">
        <f>VLOOKUP($E27,Ratio,3,FALSE)*$G27</f>
        <v>0</v>
      </c>
      <c r="J27" s="59">
        <f>VLOOKUP($E27,Ratio,4,FALSE)*$G27</f>
        <v>0</v>
      </c>
      <c r="K27"/>
      <c r="L27"/>
      <c r="M27"/>
    </row>
    <row r="28" spans="1:13" ht="15" customHeight="1">
      <c r="A28" s="536"/>
      <c r="B28" s="545" t="s">
        <v>266</v>
      </c>
      <c r="C28" s="56" t="s">
        <v>248</v>
      </c>
      <c r="D28" s="538" t="s">
        <v>267</v>
      </c>
      <c r="E28" s="547" t="s">
        <v>6</v>
      </c>
      <c r="F28" s="547"/>
      <c r="G28" s="539">
        <f>'[1]320-323 Electric O&amp;M'!F68-'[1]320-323 Electric O&amp;M'!F64</f>
        <v>3397473</v>
      </c>
      <c r="H28" s="58">
        <f>VLOOKUP($E28,Ratio,2,FALSE)*$G28</f>
        <v>3397473</v>
      </c>
      <c r="I28" s="58">
        <f>VLOOKUP($E28,Ratio,3,FALSE)*$G28</f>
        <v>0</v>
      </c>
      <c r="J28" s="59">
        <f>VLOOKUP($E28,Ratio,4,FALSE)*$G28</f>
        <v>0</v>
      </c>
      <c r="K28"/>
      <c r="L28"/>
      <c r="M28"/>
    </row>
    <row r="29" spans="1:13" ht="15" customHeight="1">
      <c r="A29" s="536"/>
      <c r="B29" s="545" t="s">
        <v>268</v>
      </c>
      <c r="C29" s="56" t="s">
        <v>248</v>
      </c>
      <c r="D29" s="538" t="s">
        <v>269</v>
      </c>
      <c r="E29" s="547" t="s">
        <v>6</v>
      </c>
      <c r="F29" s="547"/>
      <c r="G29" s="539">
        <f>'[1]320-323 Electric O&amp;M'!F74</f>
        <v>1033178</v>
      </c>
      <c r="H29" s="58">
        <f>VLOOKUP($E29,Ratio,2,FALSE)*$G29</f>
        <v>1033178</v>
      </c>
      <c r="I29" s="58">
        <f>VLOOKUP($E29,Ratio,3,FALSE)*$G29</f>
        <v>0</v>
      </c>
      <c r="J29" s="59">
        <f>VLOOKUP($E29,Ratio,4,FALSE)*$G29</f>
        <v>0</v>
      </c>
      <c r="K29"/>
      <c r="L29"/>
      <c r="M29"/>
    </row>
    <row r="30" spans="1:13" ht="15.75">
      <c r="A30" s="536"/>
      <c r="B30" s="540" t="s">
        <v>270</v>
      </c>
      <c r="C30" s="75"/>
      <c r="D30" s="535"/>
      <c r="E30" s="541"/>
      <c r="F30" s="541"/>
      <c r="G30" s="542"/>
      <c r="H30" s="543"/>
      <c r="I30" s="543"/>
      <c r="J30" s="544"/>
      <c r="K30"/>
      <c r="L30"/>
      <c r="M30"/>
    </row>
    <row r="31" spans="1:10" ht="15" customHeight="1">
      <c r="A31" s="85"/>
      <c r="B31" s="54" t="s">
        <v>271</v>
      </c>
      <c r="C31" s="56" t="s">
        <v>248</v>
      </c>
      <c r="D31" s="56">
        <v>555</v>
      </c>
      <c r="E31" s="56" t="s">
        <v>6</v>
      </c>
      <c r="F31" s="56"/>
      <c r="G31" s="548">
        <f>'[1]320-323 Electric O&amp;M'!F77</f>
        <v>200083219</v>
      </c>
      <c r="H31" s="58">
        <f>VLOOKUP($E31,Ratio,2,FALSE)*$G31</f>
        <v>200083219</v>
      </c>
      <c r="I31" s="58">
        <f>VLOOKUP($E31,Ratio,3,FALSE)*$G31</f>
        <v>0</v>
      </c>
      <c r="J31" s="59">
        <f>VLOOKUP($E31,Ratio,4,FALSE)*$G31</f>
        <v>0</v>
      </c>
    </row>
    <row r="32" spans="1:10" ht="15" customHeight="1">
      <c r="A32" s="536"/>
      <c r="B32" s="86" t="s">
        <v>272</v>
      </c>
      <c r="C32" s="56" t="s">
        <v>248</v>
      </c>
      <c r="D32" s="56">
        <v>556</v>
      </c>
      <c r="E32" s="57" t="s">
        <v>6</v>
      </c>
      <c r="F32" s="57"/>
      <c r="G32" s="539">
        <f>'[1]320-323 Electric O&amp;M'!F78</f>
        <v>638755</v>
      </c>
      <c r="H32" s="58">
        <f>VLOOKUP($E32,Ratio,2,FALSE)*$G32</f>
        <v>638755</v>
      </c>
      <c r="I32" s="58">
        <f>VLOOKUP($E32,Ratio,3,FALSE)*$G32</f>
        <v>0</v>
      </c>
      <c r="J32" s="59">
        <f>VLOOKUP($E32,Ratio,4,FALSE)*$G32</f>
        <v>0</v>
      </c>
    </row>
    <row r="33" spans="1:10" ht="15" customHeight="1">
      <c r="A33" s="536"/>
      <c r="B33" s="86" t="s">
        <v>273</v>
      </c>
      <c r="C33" s="56" t="s">
        <v>248</v>
      </c>
      <c r="D33" s="56">
        <v>557</v>
      </c>
      <c r="E33" s="57" t="s">
        <v>6</v>
      </c>
      <c r="F33" s="57"/>
      <c r="G33" s="539">
        <f>'[1]320-323 Electric O&amp;M'!F79</f>
        <v>87233654</v>
      </c>
      <c r="H33" s="58">
        <f>VLOOKUP($E33,Ratio,2,FALSE)*$G33</f>
        <v>87233654</v>
      </c>
      <c r="I33" s="58">
        <f>VLOOKUP($E33,Ratio,3,FALSE)*$G33</f>
        <v>0</v>
      </c>
      <c r="J33" s="59">
        <f>VLOOKUP($E33,Ratio,4,FALSE)*$G33</f>
        <v>0</v>
      </c>
    </row>
    <row r="34" spans="1:10" ht="15" customHeight="1">
      <c r="A34" s="85"/>
      <c r="B34" s="54" t="s">
        <v>274</v>
      </c>
      <c r="C34" s="56">
        <v>327</v>
      </c>
      <c r="D34" s="56">
        <v>555</v>
      </c>
      <c r="E34" s="56" t="s">
        <v>6</v>
      </c>
      <c r="F34" s="56"/>
      <c r="G34" s="539"/>
      <c r="H34" s="58">
        <f>VLOOKUP($E34,Ratio,2,FALSE)*$G34</f>
        <v>0</v>
      </c>
      <c r="I34" s="58">
        <f>VLOOKUP($E34,Ratio,3,FALSE)*$G34</f>
        <v>0</v>
      </c>
      <c r="J34" s="59">
        <f>VLOOKUP($E34,Ratio,4,FALSE)*$G34</f>
        <v>0</v>
      </c>
    </row>
    <row r="35" spans="1:10" ht="15" customHeight="1">
      <c r="A35" s="85"/>
      <c r="B35" s="86" t="s">
        <v>275</v>
      </c>
      <c r="C35" s="56"/>
      <c r="D35" s="57"/>
      <c r="E35" s="57" t="s">
        <v>276</v>
      </c>
      <c r="F35" s="57"/>
      <c r="G35" s="539"/>
      <c r="H35" s="58">
        <f>VLOOKUP($E35,Ratio,2,FALSE)*$G35</f>
        <v>0</v>
      </c>
      <c r="I35" s="58">
        <f>VLOOKUP($E35,Ratio,3,FALSE)*$G35</f>
        <v>0</v>
      </c>
      <c r="J35" s="59">
        <f>VLOOKUP($E35,Ratio,4,FALSE)*$G35</f>
        <v>0</v>
      </c>
    </row>
    <row r="36" spans="1:10" ht="15.75">
      <c r="A36" s="268" t="s">
        <v>277</v>
      </c>
      <c r="B36" s="104"/>
      <c r="C36" s="549"/>
      <c r="D36" s="549"/>
      <c r="E36" s="549"/>
      <c r="F36" s="549"/>
      <c r="G36" s="121">
        <f>SUM(G16:G35)</f>
        <v>431008791</v>
      </c>
      <c r="H36" s="121">
        <f>SUM(H16:H35)</f>
        <v>431008791</v>
      </c>
      <c r="I36" s="70">
        <f>SUM(I16:I35)</f>
        <v>0</v>
      </c>
      <c r="J36" s="122">
        <f>SUM(J16:J35)</f>
        <v>0</v>
      </c>
    </row>
    <row r="37" spans="1:10" ht="15" customHeight="1">
      <c r="A37" s="550"/>
      <c r="B37" s="104"/>
      <c r="C37" s="94"/>
      <c r="D37" s="75"/>
      <c r="E37" s="66"/>
      <c r="F37" s="66"/>
      <c r="G37" s="184"/>
      <c r="H37" s="187"/>
      <c r="I37" s="187"/>
      <c r="J37" s="188"/>
    </row>
    <row r="38" spans="1:10" ht="15.75">
      <c r="A38" s="551" t="s">
        <v>278</v>
      </c>
      <c r="B38" s="104"/>
      <c r="C38" s="94"/>
      <c r="D38" s="101"/>
      <c r="E38" s="104"/>
      <c r="F38" s="104"/>
      <c r="G38" s="184"/>
      <c r="H38" s="187"/>
      <c r="I38" s="187"/>
      <c r="J38" s="188"/>
    </row>
    <row r="39" spans="1:10" ht="15" customHeight="1">
      <c r="A39" s="85"/>
      <c r="B39" s="86" t="s">
        <v>279</v>
      </c>
      <c r="C39" s="56" t="s">
        <v>248</v>
      </c>
      <c r="D39" s="57" t="s">
        <v>280</v>
      </c>
      <c r="E39" s="57" t="s">
        <v>47</v>
      </c>
      <c r="F39" s="57"/>
      <c r="G39" s="539">
        <f>'[1]320-323 Electric O&amp;M'!F97</f>
        <v>11881367</v>
      </c>
      <c r="H39" s="58">
        <f>VLOOKUP($E39,Ratio,2,FALSE)*$G39</f>
        <v>0</v>
      </c>
      <c r="I39" s="58">
        <f>VLOOKUP($E39,Ratio,3,FALSE)*$G39</f>
        <v>11881367</v>
      </c>
      <c r="J39" s="59">
        <f>VLOOKUP($E39,Ratio,4,FALSE)*$G39</f>
        <v>0</v>
      </c>
    </row>
    <row r="40" spans="1:10" ht="15" customHeight="1">
      <c r="A40" s="85"/>
      <c r="B40" s="86" t="s">
        <v>281</v>
      </c>
      <c r="C40" s="56" t="s">
        <v>248</v>
      </c>
      <c r="D40" s="57" t="s">
        <v>282</v>
      </c>
      <c r="E40" s="57" t="s">
        <v>47</v>
      </c>
      <c r="F40" s="57"/>
      <c r="G40" s="539">
        <f>'[1]320-323 Electric O&amp;M'!F100-'[1]320-323 Electric O&amp;M'!F97</f>
        <v>4915570</v>
      </c>
      <c r="H40" s="58">
        <f>VLOOKUP($E40,Ratio,2,FALSE)*$G40</f>
        <v>0</v>
      </c>
      <c r="I40" s="58">
        <f>VLOOKUP($E40,Ratio,3,FALSE)*$G40</f>
        <v>4915570</v>
      </c>
      <c r="J40" s="59">
        <f>VLOOKUP($E40,Ratio,4,FALSE)*$G40</f>
        <v>0</v>
      </c>
    </row>
    <row r="41" spans="1:10" ht="15" customHeight="1">
      <c r="A41" s="85"/>
      <c r="B41" s="86" t="s">
        <v>283</v>
      </c>
      <c r="C41" s="56" t="s">
        <v>248</v>
      </c>
      <c r="D41" s="57" t="s">
        <v>284</v>
      </c>
      <c r="E41" s="57" t="s">
        <v>47</v>
      </c>
      <c r="F41" s="57"/>
      <c r="G41" s="539">
        <f>'[1]320-323 Electric O&amp;M'!F112</f>
        <v>2750343</v>
      </c>
      <c r="H41" s="58">
        <f>VLOOKUP($E41,Ratio,2,FALSE)*$G41</f>
        <v>0</v>
      </c>
      <c r="I41" s="58">
        <f>VLOOKUP($E41,Ratio,3,FALSE)*$G41</f>
        <v>2750343</v>
      </c>
      <c r="J41" s="59">
        <f>VLOOKUP($E41,Ratio,4,FALSE)*$G41</f>
        <v>0</v>
      </c>
    </row>
    <row r="42" spans="1:10" ht="15.75">
      <c r="A42" s="268" t="s">
        <v>285</v>
      </c>
      <c r="B42" s="104"/>
      <c r="C42" s="549"/>
      <c r="D42" s="549"/>
      <c r="E42" s="549"/>
      <c r="F42" s="549"/>
      <c r="G42" s="121">
        <f>SUM(G39:G41)</f>
        <v>19547280</v>
      </c>
      <c r="H42" s="121">
        <f>SUM(H39:H41)</f>
        <v>0</v>
      </c>
      <c r="I42" s="121">
        <f>SUM(I39:I41)</f>
        <v>19547280</v>
      </c>
      <c r="J42" s="122">
        <f>SUM(J39:J41)</f>
        <v>0</v>
      </c>
    </row>
    <row r="43" spans="1:10" ht="16.5" thickBot="1">
      <c r="A43" s="552"/>
      <c r="B43" s="553"/>
      <c r="C43" s="554"/>
      <c r="D43" s="555"/>
      <c r="E43" s="127"/>
      <c r="F43" s="127"/>
      <c r="G43" s="556"/>
      <c r="H43" s="556"/>
      <c r="I43" s="556"/>
      <c r="J43" s="557"/>
    </row>
    <row r="44" spans="1:10" ht="15" customHeight="1" thickTop="1">
      <c r="A44" s="551" t="s">
        <v>286</v>
      </c>
      <c r="B44" s="104"/>
      <c r="C44" s="94"/>
      <c r="D44" s="101"/>
      <c r="E44" s="104"/>
      <c r="F44" s="104"/>
      <c r="G44" s="187"/>
      <c r="H44" s="187"/>
      <c r="I44" s="187"/>
      <c r="J44" s="188"/>
    </row>
    <row r="45" spans="1:10" ht="15" customHeight="1">
      <c r="A45" s="85"/>
      <c r="B45" s="86" t="s">
        <v>287</v>
      </c>
      <c r="C45" s="56" t="s">
        <v>248</v>
      </c>
      <c r="D45" s="57" t="s">
        <v>288</v>
      </c>
      <c r="E45" s="57" t="s">
        <v>5</v>
      </c>
      <c r="F45" s="57"/>
      <c r="G45" s="539">
        <f>'[1]320-323 Electric O&amp;M'!F145</f>
        <v>9942254</v>
      </c>
      <c r="H45" s="58">
        <f>VLOOKUP($E45,Ratio,2,FALSE)*$G45</f>
        <v>0</v>
      </c>
      <c r="I45" s="58">
        <f>VLOOKUP($E45,Ratio,3,FALSE)*$G45</f>
        <v>0</v>
      </c>
      <c r="J45" s="59">
        <f>VLOOKUP($E45,Ratio,4,FALSE)*$G45</f>
        <v>9942254</v>
      </c>
    </row>
    <row r="46" spans="1:10" ht="15" customHeight="1">
      <c r="A46" s="85"/>
      <c r="B46" s="86" t="s">
        <v>283</v>
      </c>
      <c r="C46" s="56" t="s">
        <v>248</v>
      </c>
      <c r="D46" s="57" t="s">
        <v>289</v>
      </c>
      <c r="E46" s="57" t="s">
        <v>5</v>
      </c>
      <c r="F46" s="57"/>
      <c r="G46" s="539">
        <f>'[1]320-323 Electric O&amp;M'!F156</f>
        <v>12626804</v>
      </c>
      <c r="H46" s="58">
        <f>VLOOKUP($E46,Ratio,2,FALSE)*$G46</f>
        <v>0</v>
      </c>
      <c r="I46" s="58">
        <f>VLOOKUP($E46,Ratio,3,FALSE)*$G46</f>
        <v>0</v>
      </c>
      <c r="J46" s="59">
        <f>VLOOKUP($E46,Ratio,4,FALSE)*$G46</f>
        <v>12626804</v>
      </c>
    </row>
    <row r="47" spans="1:10" ht="15" customHeight="1">
      <c r="A47" s="268" t="s">
        <v>290</v>
      </c>
      <c r="B47" s="104"/>
      <c r="C47" s="549"/>
      <c r="D47" s="549"/>
      <c r="E47" s="549"/>
      <c r="F47" s="549"/>
      <c r="G47" s="121">
        <f>SUM(G45:G46)</f>
        <v>22569058</v>
      </c>
      <c r="H47" s="121">
        <f>SUM(H45:H46)</f>
        <v>0</v>
      </c>
      <c r="I47" s="121">
        <f>SUM(I45:I46)</f>
        <v>0</v>
      </c>
      <c r="J47" s="122">
        <f>SUM(J45:J46)</f>
        <v>22569058</v>
      </c>
    </row>
    <row r="48" spans="1:10" ht="9.75" customHeight="1">
      <c r="A48" s="558"/>
      <c r="B48" s="104"/>
      <c r="C48" s="75"/>
      <c r="D48" s="75"/>
      <c r="E48" s="75"/>
      <c r="F48" s="75"/>
      <c r="G48" s="77"/>
      <c r="H48" s="77"/>
      <c r="I48" s="77"/>
      <c r="J48" s="119"/>
    </row>
    <row r="49" spans="1:10" ht="15" customHeight="1">
      <c r="A49" s="551" t="s">
        <v>291</v>
      </c>
      <c r="B49" s="104"/>
      <c r="C49" s="75"/>
      <c r="D49" s="75"/>
      <c r="E49" s="75"/>
      <c r="F49" s="75"/>
      <c r="G49" s="77"/>
      <c r="H49" s="77"/>
      <c r="I49" s="77"/>
      <c r="J49" s="119"/>
    </row>
    <row r="50" spans="1:10" ht="15" customHeight="1">
      <c r="A50" s="85"/>
      <c r="B50" s="86" t="s">
        <v>292</v>
      </c>
      <c r="C50" s="56" t="s">
        <v>248</v>
      </c>
      <c r="D50" s="538" t="s">
        <v>293</v>
      </c>
      <c r="E50" s="538" t="s">
        <v>5</v>
      </c>
      <c r="F50" s="538"/>
      <c r="G50" s="539">
        <f>'[1]320-323 Electric O&amp;M'!F165</f>
        <v>13364554</v>
      </c>
      <c r="H50" s="58">
        <f>VLOOKUP($E50,Ratio,2,FALSE)*$G50</f>
        <v>0</v>
      </c>
      <c r="I50" s="58">
        <f>VLOOKUP($E50,Ratio,3,FALSE)*$G50</f>
        <v>0</v>
      </c>
      <c r="J50" s="59">
        <f>VLOOKUP($E50,Ratio,4,FALSE)*$G50</f>
        <v>13364554</v>
      </c>
    </row>
    <row r="51" spans="1:10" ht="15" customHeight="1">
      <c r="A51" s="85"/>
      <c r="B51" s="86" t="s">
        <v>294</v>
      </c>
      <c r="C51" s="56" t="s">
        <v>248</v>
      </c>
      <c r="D51" s="538" t="s">
        <v>295</v>
      </c>
      <c r="E51" s="538" t="s">
        <v>5</v>
      </c>
      <c r="F51" s="559"/>
      <c r="G51" s="539">
        <f>'[1]320-323 Electric O&amp;M'!F168</f>
        <v>0</v>
      </c>
      <c r="H51" s="58">
        <f>VLOOKUP($E51,Ratio,2,FALSE)*$G51</f>
        <v>0</v>
      </c>
      <c r="I51" s="58">
        <f>VLOOKUP($E51,Ratio,3,FALSE)*$G51</f>
        <v>0</v>
      </c>
      <c r="J51" s="59">
        <f>VLOOKUP($E51,Ratio,4,FALSE)*$G51</f>
        <v>0</v>
      </c>
    </row>
    <row r="52" spans="1:10" ht="15" customHeight="1">
      <c r="A52" s="85"/>
      <c r="B52" s="86" t="s">
        <v>296</v>
      </c>
      <c r="C52" s="56" t="s">
        <v>248</v>
      </c>
      <c r="D52" s="538">
        <v>908</v>
      </c>
      <c r="E52" s="538" t="s">
        <v>1</v>
      </c>
      <c r="F52" s="538" t="s">
        <v>1</v>
      </c>
      <c r="G52" s="539">
        <f>'[1]320-323 Electric O&amp;M'!F169</f>
        <v>11397769</v>
      </c>
      <c r="H52" s="58">
        <v>10184229</v>
      </c>
      <c r="I52" s="58"/>
      <c r="J52" s="59">
        <f>G52-H52</f>
        <v>1213540</v>
      </c>
    </row>
    <row r="53" spans="1:10" ht="15" customHeight="1">
      <c r="A53" s="85"/>
      <c r="B53" s="86" t="s">
        <v>294</v>
      </c>
      <c r="C53" s="56" t="s">
        <v>248</v>
      </c>
      <c r="D53" s="538" t="s">
        <v>297</v>
      </c>
      <c r="E53" s="538" t="s">
        <v>5</v>
      </c>
      <c r="F53" s="559"/>
      <c r="G53" s="539">
        <f>'[1]320-323 Electric O&amp;M'!F170+'[1]320-323 Electric O&amp;M'!F171</f>
        <v>166937</v>
      </c>
      <c r="H53" s="58">
        <f>VLOOKUP($E53,Ratio,2,FALSE)*$G53</f>
        <v>0</v>
      </c>
      <c r="I53" s="58">
        <f>VLOOKUP($E53,Ratio,3,FALSE)*$G53</f>
        <v>0</v>
      </c>
      <c r="J53" s="59">
        <f>VLOOKUP($E53,Ratio,4,FALSE)*$G53</f>
        <v>166937</v>
      </c>
    </row>
    <row r="54" spans="1:10" ht="15" customHeight="1">
      <c r="A54" s="85"/>
      <c r="B54" s="86" t="s">
        <v>298</v>
      </c>
      <c r="C54" s="56" t="s">
        <v>248</v>
      </c>
      <c r="D54" s="538" t="s">
        <v>299</v>
      </c>
      <c r="E54" s="547" t="s">
        <v>5</v>
      </c>
      <c r="F54" s="547"/>
      <c r="G54" s="539">
        <f>'[1]320-323 Electric O&amp;M'!F179</f>
        <v>930862</v>
      </c>
      <c r="H54" s="58">
        <f>VLOOKUP($E54,Ratio,2,FALSE)*$G54</f>
        <v>0</v>
      </c>
      <c r="I54" s="58">
        <f>VLOOKUP($E54,Ratio,3,FALSE)*$G54</f>
        <v>0</v>
      </c>
      <c r="J54" s="59">
        <f>VLOOKUP($E54,Ratio,4,FALSE)*$G54</f>
        <v>930862</v>
      </c>
    </row>
    <row r="55" spans="1:10" ht="15" customHeight="1">
      <c r="A55" s="268" t="s">
        <v>300</v>
      </c>
      <c r="B55" s="104"/>
      <c r="C55" s="549"/>
      <c r="D55" s="549"/>
      <c r="E55" s="549"/>
      <c r="F55" s="549"/>
      <c r="G55" s="121">
        <f>SUM(G50:G54)</f>
        <v>25860122</v>
      </c>
      <c r="H55" s="121">
        <f>SUM(H50:H54)</f>
        <v>10184229</v>
      </c>
      <c r="I55" s="121">
        <f>SUM(I50:I54)</f>
        <v>0</v>
      </c>
      <c r="J55" s="122">
        <f>SUM(J50:J54)</f>
        <v>15675893</v>
      </c>
    </row>
    <row r="56" spans="1:10" ht="9.75" customHeight="1">
      <c r="A56" s="550"/>
      <c r="B56" s="104"/>
      <c r="C56" s="75"/>
      <c r="D56" s="101"/>
      <c r="E56" s="101"/>
      <c r="F56" s="101"/>
      <c r="G56" s="77"/>
      <c r="H56" s="77"/>
      <c r="I56" s="77"/>
      <c r="J56" s="119"/>
    </row>
    <row r="57" spans="1:10" ht="15" customHeight="1">
      <c r="A57" s="551" t="s">
        <v>301</v>
      </c>
      <c r="B57" s="104"/>
      <c r="C57" s="94"/>
      <c r="D57" s="101"/>
      <c r="E57" s="104"/>
      <c r="F57" s="104"/>
      <c r="G57" s="187"/>
      <c r="H57" s="187"/>
      <c r="I57" s="187"/>
      <c r="J57" s="188"/>
    </row>
    <row r="58" spans="1:10" ht="15" customHeight="1">
      <c r="A58" s="560"/>
      <c r="B58" s="561" t="s">
        <v>302</v>
      </c>
      <c r="C58" s="94"/>
      <c r="D58" s="101"/>
      <c r="E58" s="104"/>
      <c r="F58" s="104"/>
      <c r="G58" s="187"/>
      <c r="H58" s="187"/>
      <c r="I58" s="187"/>
      <c r="J58" s="188"/>
    </row>
    <row r="59" spans="1:10" ht="15" customHeight="1">
      <c r="A59" s="85"/>
      <c r="B59" s="545" t="s">
        <v>303</v>
      </c>
      <c r="C59" s="56" t="s">
        <v>248</v>
      </c>
      <c r="D59" s="538">
        <v>920</v>
      </c>
      <c r="E59" s="538" t="s">
        <v>57</v>
      </c>
      <c r="F59" s="538"/>
      <c r="G59" s="539">
        <f>'[1]320-323 Electric O&amp;M'!F182</f>
        <v>17412679</v>
      </c>
      <c r="H59" s="58">
        <f aca="true" t="shared" si="0" ref="H59:H72">VLOOKUP($E59,Ratio,2,FALSE)*$G59</f>
        <v>6723091.457309577</v>
      </c>
      <c r="I59" s="58">
        <f aca="true" t="shared" si="1" ref="I59:I72">VLOOKUP($E59,Ratio,3,FALSE)*$G59</f>
        <v>1996592.4699595545</v>
      </c>
      <c r="J59" s="59">
        <f aca="true" t="shared" si="2" ref="J59:J72">VLOOKUP($E59,Ratio,4,FALSE)*$G59</f>
        <v>8692995.072730869</v>
      </c>
    </row>
    <row r="60" spans="1:10" ht="15" customHeight="1">
      <c r="A60" s="85"/>
      <c r="B60" s="545" t="s">
        <v>304</v>
      </c>
      <c r="C60" s="56" t="s">
        <v>248</v>
      </c>
      <c r="D60" s="538">
        <v>921</v>
      </c>
      <c r="E60" s="538" t="s">
        <v>57</v>
      </c>
      <c r="F60" s="538"/>
      <c r="G60" s="539">
        <f>'[1]320-323 Electric O&amp;M'!F183</f>
        <v>4217501</v>
      </c>
      <c r="H60" s="58">
        <f t="shared" si="0"/>
        <v>1628390.7228918995</v>
      </c>
      <c r="I60" s="58">
        <f t="shared" si="1"/>
        <v>483591.91245912766</v>
      </c>
      <c r="J60" s="59">
        <f t="shared" si="2"/>
        <v>2105518.364648973</v>
      </c>
    </row>
    <row r="61" spans="1:10" ht="15" customHeight="1">
      <c r="A61" s="85"/>
      <c r="B61" s="545" t="s">
        <v>305</v>
      </c>
      <c r="C61" s="56" t="s">
        <v>248</v>
      </c>
      <c r="D61" s="538">
        <v>922</v>
      </c>
      <c r="E61" s="547" t="s">
        <v>57</v>
      </c>
      <c r="F61" s="547"/>
      <c r="G61" s="539">
        <f>'[1]320-323 Electric O&amp;M'!F184</f>
        <v>28056</v>
      </c>
      <c r="H61" s="58">
        <f t="shared" si="0"/>
        <v>10832.511983151902</v>
      </c>
      <c r="I61" s="58">
        <f t="shared" si="1"/>
        <v>3216.98908807687</v>
      </c>
      <c r="J61" s="59">
        <f t="shared" si="2"/>
        <v>14006.498928771229</v>
      </c>
    </row>
    <row r="62" spans="1:10" ht="15" customHeight="1">
      <c r="A62" s="85"/>
      <c r="B62" s="545" t="s">
        <v>306</v>
      </c>
      <c r="C62" s="56" t="s">
        <v>248</v>
      </c>
      <c r="D62" s="538">
        <v>923</v>
      </c>
      <c r="E62" s="547" t="s">
        <v>57</v>
      </c>
      <c r="F62" s="547"/>
      <c r="G62" s="539">
        <f>'[1]320-323 Electric O&amp;M'!F185</f>
        <v>9988121</v>
      </c>
      <c r="H62" s="58">
        <f t="shared" si="0"/>
        <v>3856445.6950980597</v>
      </c>
      <c r="I62" s="58">
        <f t="shared" si="1"/>
        <v>1145269.3280364783</v>
      </c>
      <c r="J62" s="59">
        <f t="shared" si="2"/>
        <v>4986405.976865462</v>
      </c>
    </row>
    <row r="63" spans="1:10" ht="15" customHeight="1">
      <c r="A63" s="85"/>
      <c r="B63" s="545" t="s">
        <v>307</v>
      </c>
      <c r="C63" s="56" t="s">
        <v>248</v>
      </c>
      <c r="D63" s="538">
        <v>924</v>
      </c>
      <c r="E63" s="538" t="s">
        <v>131</v>
      </c>
      <c r="F63" s="538"/>
      <c r="G63" s="539">
        <f>'[1]320-323 Electric O&amp;M'!F186</f>
        <v>1191391</v>
      </c>
      <c r="H63" s="58">
        <f t="shared" si="0"/>
        <v>532513.4275907364</v>
      </c>
      <c r="I63" s="58">
        <f t="shared" si="1"/>
        <v>208645.19420028853</v>
      </c>
      <c r="J63" s="59">
        <f t="shared" si="2"/>
        <v>450232.37820897513</v>
      </c>
    </row>
    <row r="64" spans="1:10" ht="15" customHeight="1">
      <c r="A64" s="85"/>
      <c r="B64" s="545" t="s">
        <v>308</v>
      </c>
      <c r="C64" s="56" t="s">
        <v>248</v>
      </c>
      <c r="D64" s="538">
        <v>925</v>
      </c>
      <c r="E64" s="547" t="s">
        <v>57</v>
      </c>
      <c r="F64" s="547"/>
      <c r="G64" s="539">
        <f>'[1]320-323 Electric O&amp;M'!F187</f>
        <v>3769353</v>
      </c>
      <c r="H64" s="58">
        <f t="shared" si="0"/>
        <v>1455359.336371171</v>
      </c>
      <c r="I64" s="58">
        <f t="shared" si="1"/>
        <v>432205.85507947725</v>
      </c>
      <c r="J64" s="59">
        <f t="shared" si="2"/>
        <v>1881787.808549352</v>
      </c>
    </row>
    <row r="65" spans="1:10" ht="15" customHeight="1">
      <c r="A65" s="85"/>
      <c r="B65" s="545" t="s">
        <v>309</v>
      </c>
      <c r="C65" s="56" t="s">
        <v>248</v>
      </c>
      <c r="D65" s="538">
        <v>926</v>
      </c>
      <c r="E65" s="538" t="s">
        <v>57</v>
      </c>
      <c r="F65" s="538"/>
      <c r="G65" s="539">
        <f>'[1]320-323 Electric O&amp;M'!F188</f>
        <v>1106169</v>
      </c>
      <c r="H65" s="58">
        <f t="shared" si="0"/>
        <v>427095.4144529212</v>
      </c>
      <c r="I65" s="58">
        <f t="shared" si="1"/>
        <v>126836.81218166891</v>
      </c>
      <c r="J65" s="59">
        <f t="shared" si="2"/>
        <v>552236.7733654099</v>
      </c>
    </row>
    <row r="66" spans="1:10" ht="15" customHeight="1">
      <c r="A66" s="85"/>
      <c r="B66" s="545" t="s">
        <v>310</v>
      </c>
      <c r="C66" s="56" t="s">
        <v>248</v>
      </c>
      <c r="D66" s="538">
        <v>927</v>
      </c>
      <c r="E66" s="538" t="s">
        <v>5</v>
      </c>
      <c r="F66" s="538"/>
      <c r="G66" s="539">
        <f>'[1]320-323 Electric O&amp;M'!F189</f>
        <v>6230</v>
      </c>
      <c r="H66" s="58">
        <f t="shared" si="0"/>
        <v>0</v>
      </c>
      <c r="I66" s="58">
        <f t="shared" si="1"/>
        <v>0</v>
      </c>
      <c r="J66" s="59">
        <f t="shared" si="2"/>
        <v>6230</v>
      </c>
    </row>
    <row r="67" spans="1:10" ht="15" customHeight="1">
      <c r="A67" s="85"/>
      <c r="B67" s="545" t="s">
        <v>311</v>
      </c>
      <c r="C67" s="56" t="s">
        <v>248</v>
      </c>
      <c r="D67" s="538">
        <v>928</v>
      </c>
      <c r="E67" s="547" t="s">
        <v>5</v>
      </c>
      <c r="F67" s="547"/>
      <c r="G67" s="539">
        <f>'[1]320-323 Electric O&amp;M'!F190</f>
        <v>1887178</v>
      </c>
      <c r="H67" s="58">
        <f t="shared" si="0"/>
        <v>0</v>
      </c>
      <c r="I67" s="58">
        <f t="shared" si="1"/>
        <v>0</v>
      </c>
      <c r="J67" s="59">
        <f t="shared" si="2"/>
        <v>1887178</v>
      </c>
    </row>
    <row r="68" spans="1:10" ht="15" customHeight="1">
      <c r="A68" s="85"/>
      <c r="B68" s="545" t="s">
        <v>312</v>
      </c>
      <c r="C68" s="56" t="s">
        <v>248</v>
      </c>
      <c r="D68" s="538">
        <v>929</v>
      </c>
      <c r="E68" s="538" t="s">
        <v>131</v>
      </c>
      <c r="F68" s="538"/>
      <c r="G68" s="539">
        <f>'[1]320-323 Electric O&amp;M'!F191</f>
        <v>0</v>
      </c>
      <c r="H68" s="58">
        <f t="shared" si="0"/>
        <v>0</v>
      </c>
      <c r="I68" s="58">
        <f t="shared" si="1"/>
        <v>0</v>
      </c>
      <c r="J68" s="59">
        <f t="shared" si="2"/>
        <v>0</v>
      </c>
    </row>
    <row r="69" spans="1:10" ht="15" customHeight="1">
      <c r="A69" s="85"/>
      <c r="B69" s="545" t="s">
        <v>313</v>
      </c>
      <c r="C69" s="56" t="s">
        <v>248</v>
      </c>
      <c r="D69" s="538">
        <v>930.1</v>
      </c>
      <c r="E69" s="538" t="s">
        <v>5</v>
      </c>
      <c r="F69" s="538"/>
      <c r="G69" s="539">
        <f>'[1]320-323 Electric O&amp;M'!F192</f>
        <v>8678</v>
      </c>
      <c r="H69" s="58">
        <f t="shared" si="0"/>
        <v>0</v>
      </c>
      <c r="I69" s="58">
        <f t="shared" si="1"/>
        <v>0</v>
      </c>
      <c r="J69" s="59">
        <f t="shared" si="2"/>
        <v>8678</v>
      </c>
    </row>
    <row r="70" spans="1:10" ht="15" customHeight="1">
      <c r="A70" s="85"/>
      <c r="B70" s="545" t="s">
        <v>314</v>
      </c>
      <c r="C70" s="56" t="s">
        <v>248</v>
      </c>
      <c r="D70" s="538">
        <v>930.2</v>
      </c>
      <c r="E70" s="547" t="s">
        <v>5</v>
      </c>
      <c r="F70" s="547"/>
      <c r="G70" s="539">
        <f>'[1]320-323 Electric O&amp;M'!F193</f>
        <v>2950213</v>
      </c>
      <c r="H70" s="58">
        <f t="shared" si="0"/>
        <v>0</v>
      </c>
      <c r="I70" s="58">
        <f t="shared" si="1"/>
        <v>0</v>
      </c>
      <c r="J70" s="59">
        <f t="shared" si="2"/>
        <v>2950213</v>
      </c>
    </row>
    <row r="71" spans="1:10" ht="15" customHeight="1">
      <c r="A71" s="85"/>
      <c r="B71" s="545" t="s">
        <v>315</v>
      </c>
      <c r="C71" s="56" t="s">
        <v>248</v>
      </c>
      <c r="D71" s="538">
        <v>931</v>
      </c>
      <c r="E71" s="538" t="s">
        <v>5</v>
      </c>
      <c r="F71" s="538"/>
      <c r="G71" s="539">
        <f>'[1]320-323 Electric O&amp;M'!F194</f>
        <v>1068064</v>
      </c>
      <c r="H71" s="58">
        <f t="shared" si="0"/>
        <v>0</v>
      </c>
      <c r="I71" s="58">
        <f t="shared" si="1"/>
        <v>0</v>
      </c>
      <c r="J71" s="59">
        <f t="shared" si="2"/>
        <v>1068064</v>
      </c>
    </row>
    <row r="72" spans="1:10" ht="15" customHeight="1">
      <c r="A72" s="85"/>
      <c r="B72" s="545" t="s">
        <v>316</v>
      </c>
      <c r="C72" s="56" t="s">
        <v>317</v>
      </c>
      <c r="D72" s="538">
        <v>933</v>
      </c>
      <c r="E72" s="538" t="s">
        <v>5</v>
      </c>
      <c r="F72" s="538"/>
      <c r="G72" s="539">
        <v>0</v>
      </c>
      <c r="H72" s="58">
        <f t="shared" si="0"/>
        <v>0</v>
      </c>
      <c r="I72" s="58">
        <f t="shared" si="1"/>
        <v>0</v>
      </c>
      <c r="J72" s="59">
        <f t="shared" si="2"/>
        <v>0</v>
      </c>
    </row>
    <row r="73" spans="1:10" ht="15" customHeight="1">
      <c r="A73" s="85"/>
      <c r="B73" s="561" t="s">
        <v>318</v>
      </c>
      <c r="C73" s="75"/>
      <c r="D73" s="101"/>
      <c r="E73" s="101"/>
      <c r="F73" s="101"/>
      <c r="G73" s="562"/>
      <c r="H73" s="563"/>
      <c r="I73" s="563"/>
      <c r="J73" s="564"/>
    </row>
    <row r="74" spans="1:10" ht="15" customHeight="1">
      <c r="A74" s="85"/>
      <c r="B74" s="86" t="s">
        <v>319</v>
      </c>
      <c r="C74" s="56" t="s">
        <v>248</v>
      </c>
      <c r="D74" s="538">
        <v>935</v>
      </c>
      <c r="E74" s="538" t="s">
        <v>320</v>
      </c>
      <c r="F74" s="538"/>
      <c r="G74" s="539">
        <f>'[1]320-323 Electric O&amp;M'!F197</f>
        <v>5940101</v>
      </c>
      <c r="H74" s="58">
        <f>VLOOKUP($E74,Ratio,2,FALSE)*$G74</f>
        <v>2666508.748067446</v>
      </c>
      <c r="I74" s="58">
        <f>VLOOKUP($E74,Ratio,3,FALSE)*$G74</f>
        <v>1031013.0012710621</v>
      </c>
      <c r="J74" s="59">
        <f>VLOOKUP($E74,Ratio,4,FALSE)*$G74</f>
        <v>2242579.2506614923</v>
      </c>
    </row>
    <row r="75" spans="1:10" ht="15" customHeight="1">
      <c r="A75" s="268" t="s">
        <v>321</v>
      </c>
      <c r="B75" s="106"/>
      <c r="C75" s="549"/>
      <c r="D75" s="549"/>
      <c r="E75" s="549"/>
      <c r="F75" s="549"/>
      <c r="G75" s="121">
        <f>SUM(G59:G60,G62:G67,G69:G72,G74)-G61-G68</f>
        <v>49517622</v>
      </c>
      <c r="H75" s="121">
        <f>SUM(H59:H60,H62:H67,H69:H72,H74)-H61-H68</f>
        <v>17278572.28979866</v>
      </c>
      <c r="I75" s="121">
        <f>SUM(I59:I60,I62:I67,I69:I72,I74)-I61-I68</f>
        <v>5420937.584099581</v>
      </c>
      <c r="J75" s="121">
        <f>SUM(J59:J60,J62:J67,J69:J72,J74)-J61-J68</f>
        <v>26818112.126101762</v>
      </c>
    </row>
    <row r="76" spans="1:10" s="519" customFormat="1" ht="9.75" customHeight="1" thickBot="1">
      <c r="A76" s="471"/>
      <c r="B76" s="565"/>
      <c r="C76" s="126"/>
      <c r="D76" s="566"/>
      <c r="E76" s="566"/>
      <c r="F76" s="566"/>
      <c r="G76" s="567"/>
      <c r="H76" s="567"/>
      <c r="I76" s="567"/>
      <c r="J76" s="568"/>
    </row>
    <row r="77" spans="1:10" s="519" customFormat="1" ht="16.5" thickTop="1">
      <c r="A77" s="268" t="s">
        <v>322</v>
      </c>
      <c r="B77" s="106"/>
      <c r="C77" s="569"/>
      <c r="D77" s="569"/>
      <c r="E77" s="569"/>
      <c r="F77" s="569"/>
      <c r="G77" s="570">
        <f>G36+G42+G47+G55+G75</f>
        <v>548502873</v>
      </c>
      <c r="H77" s="570">
        <f>H36+H42+H47+H55+H75</f>
        <v>458471592.2897987</v>
      </c>
      <c r="I77" s="570">
        <f>I36+I42+I47+I55+I75</f>
        <v>24968217.584099583</v>
      </c>
      <c r="J77" s="571">
        <f>J36+J42+J47+J55+J75</f>
        <v>65063063.12610176</v>
      </c>
    </row>
    <row r="78" spans="1:14" s="519" customFormat="1" ht="15.75">
      <c r="A78" s="572" t="s">
        <v>323</v>
      </c>
      <c r="B78" s="573"/>
      <c r="C78" s="574"/>
      <c r="D78" s="575"/>
      <c r="E78" s="86"/>
      <c r="F78" s="86"/>
      <c r="G78" s="576"/>
      <c r="H78" s="576"/>
      <c r="I78" s="576"/>
      <c r="J78" s="577"/>
      <c r="L78" s="256"/>
      <c r="M78" s="256"/>
      <c r="N78" s="256"/>
    </row>
    <row r="79" spans="1:14" ht="15.75">
      <c r="A79" s="578"/>
      <c r="B79" s="579"/>
      <c r="C79" s="574"/>
      <c r="D79" s="580"/>
      <c r="E79" s="580"/>
      <c r="F79" s="580"/>
      <c r="G79" s="581"/>
      <c r="H79" s="582"/>
      <c r="I79" s="582"/>
      <c r="J79" s="583"/>
      <c r="L79"/>
      <c r="M79"/>
      <c r="N79"/>
    </row>
    <row r="80" spans="1:14" ht="15.75">
      <c r="A80" s="551" t="s">
        <v>324</v>
      </c>
      <c r="B80" s="584"/>
      <c r="C80" s="585"/>
      <c r="D80" s="585"/>
      <c r="E80" s="585"/>
      <c r="F80" s="585"/>
      <c r="G80" s="586"/>
      <c r="H80" s="582"/>
      <c r="I80" s="582"/>
      <c r="J80" s="583"/>
      <c r="L80"/>
      <c r="M80"/>
      <c r="N80"/>
    </row>
    <row r="81" spans="1:14" ht="15.75">
      <c r="A81" s="85"/>
      <c r="B81" s="86" t="s">
        <v>82</v>
      </c>
      <c r="C81" s="56">
        <v>336</v>
      </c>
      <c r="D81" s="587">
        <v>404</v>
      </c>
      <c r="E81" s="57" t="s">
        <v>5</v>
      </c>
      <c r="F81" s="133" t="s">
        <v>30</v>
      </c>
      <c r="G81" s="539"/>
      <c r="H81" s="58">
        <f>VLOOKUP($E81,Ratio,2,FALSE)*$G81</f>
        <v>0</v>
      </c>
      <c r="I81" s="58">
        <f>VLOOKUP($E81,Ratio,3,FALSE)*$G81</f>
        <v>0</v>
      </c>
      <c r="J81" s="59">
        <f>VLOOKUP($E81,Ratio,4,FALSE)*$G81</f>
        <v>0</v>
      </c>
      <c r="L81"/>
      <c r="M81"/>
      <c r="N81"/>
    </row>
    <row r="82" spans="1:14" ht="15.75">
      <c r="A82" s="85"/>
      <c r="B82" s="86" t="s">
        <v>83</v>
      </c>
      <c r="C82" s="56">
        <v>336</v>
      </c>
      <c r="D82" s="587">
        <v>404</v>
      </c>
      <c r="E82" s="57" t="s">
        <v>1</v>
      </c>
      <c r="F82" s="133" t="s">
        <v>4</v>
      </c>
      <c r="G82" s="539">
        <f>SUM(H82:J82)</f>
        <v>337773</v>
      </c>
      <c r="H82" s="58">
        <f>IF($E82="DIRECT",$L82,VLOOKUP($E82,Ratio,2,FALSE)*$G82)</f>
        <v>325457</v>
      </c>
      <c r="I82" s="58">
        <f>IF($E82="DIRECT",$M82,VLOOKUP($E82,Ratio,3,FALSE)*$G82)</f>
        <v>12316</v>
      </c>
      <c r="J82" s="59">
        <f>IF($E82="DIRECT",$N82,VLOOKUP($E82,Ratio,4,FALSE)*$G82)</f>
        <v>0</v>
      </c>
      <c r="L82">
        <v>325457</v>
      </c>
      <c r="M82">
        <v>12316</v>
      </c>
      <c r="N82"/>
    </row>
    <row r="83" spans="1:14" ht="15.75">
      <c r="A83" s="85"/>
      <c r="B83" s="86" t="s">
        <v>84</v>
      </c>
      <c r="C83" s="56">
        <v>336</v>
      </c>
      <c r="D83" s="587">
        <v>404</v>
      </c>
      <c r="E83" s="57" t="s">
        <v>1</v>
      </c>
      <c r="F83" s="133" t="s">
        <v>5</v>
      </c>
      <c r="G83" s="539">
        <f>SUM(H83:J83)</f>
        <v>1413353</v>
      </c>
      <c r="H83" s="58">
        <f>IF($E83="DIRECT",$L83,VLOOKUP($E83,Ratio,2,FALSE)*$G83)</f>
        <v>614738.25</v>
      </c>
      <c r="I83" s="58">
        <f>IF($E83="DIRECT",$M83,VLOOKUP($E83,Ratio,3,FALSE)*$G83)</f>
        <v>279502.45</v>
      </c>
      <c r="J83" s="59">
        <f>IF($E83="DIRECT",$N83,VLOOKUP($E83,Ratio,4,FALSE)*$G83)</f>
        <v>519112.3</v>
      </c>
      <c r="L83">
        <v>614738.25</v>
      </c>
      <c r="M83">
        <f>44483+2785+232234.45</f>
        <v>279502.45</v>
      </c>
      <c r="N83">
        <v>519112.3</v>
      </c>
    </row>
    <row r="84" spans="1:14" ht="15.75">
      <c r="A84" s="85"/>
      <c r="B84" s="86" t="s">
        <v>74</v>
      </c>
      <c r="C84" s="56">
        <v>336</v>
      </c>
      <c r="D84" s="587">
        <v>403</v>
      </c>
      <c r="E84" s="538" t="s">
        <v>6</v>
      </c>
      <c r="F84" s="538"/>
      <c r="G84" s="539">
        <f>'[1]336 Elec Plnt Depr &amp; Amort'!J3</f>
        <v>11388514</v>
      </c>
      <c r="H84" s="58">
        <f aca="true" t="shared" si="3" ref="H84:H91">VLOOKUP($E84,Ratio,2,FALSE)*$G84</f>
        <v>11388514</v>
      </c>
      <c r="I84" s="58">
        <f aca="true" t="shared" si="4" ref="I84:I91">VLOOKUP($E84,Ratio,3,FALSE)*$G84</f>
        <v>0</v>
      </c>
      <c r="J84" s="59">
        <f aca="true" t="shared" si="5" ref="J84:J91">VLOOKUP($E84,Ratio,4,FALSE)*$G84</f>
        <v>0</v>
      </c>
      <c r="L84"/>
      <c r="M84"/>
      <c r="N84"/>
    </row>
    <row r="85" spans="1:10" ht="15.75">
      <c r="A85" s="85"/>
      <c r="B85" s="86" t="s">
        <v>75</v>
      </c>
      <c r="C85" s="56">
        <v>336</v>
      </c>
      <c r="D85" s="587">
        <v>403</v>
      </c>
      <c r="E85" s="538" t="s">
        <v>6</v>
      </c>
      <c r="F85" s="538"/>
      <c r="G85" s="539">
        <f>'[1]336 Elec Plnt Depr &amp; Amort'!J4</f>
        <v>0</v>
      </c>
      <c r="H85" s="58">
        <f t="shared" si="3"/>
        <v>0</v>
      </c>
      <c r="I85" s="58">
        <f t="shared" si="4"/>
        <v>0</v>
      </c>
      <c r="J85" s="59">
        <f t="shared" si="5"/>
        <v>0</v>
      </c>
    </row>
    <row r="86" spans="1:10" ht="15.75">
      <c r="A86" s="85"/>
      <c r="B86" s="86" t="s">
        <v>325</v>
      </c>
      <c r="C86" s="56">
        <v>336</v>
      </c>
      <c r="D86" s="587">
        <v>403</v>
      </c>
      <c r="E86" s="538" t="s">
        <v>6</v>
      </c>
      <c r="F86" s="538"/>
      <c r="G86" s="539">
        <f>'[1]336 Elec Plnt Depr &amp; Amort'!J5</f>
        <v>6208520</v>
      </c>
      <c r="H86" s="58">
        <f t="shared" si="3"/>
        <v>6208520</v>
      </c>
      <c r="I86" s="58">
        <f t="shared" si="4"/>
        <v>0</v>
      </c>
      <c r="J86" s="59">
        <f t="shared" si="5"/>
        <v>0</v>
      </c>
    </row>
    <row r="87" spans="1:10" ht="15.75">
      <c r="A87" s="85"/>
      <c r="B87" s="86" t="s">
        <v>326</v>
      </c>
      <c r="C87" s="56">
        <v>336</v>
      </c>
      <c r="D87" s="587">
        <v>403</v>
      </c>
      <c r="E87" s="538" t="s">
        <v>6</v>
      </c>
      <c r="F87" s="538"/>
      <c r="G87" s="539">
        <f>'[1]336 Elec Plnt Depr &amp; Amort'!J6</f>
        <v>0</v>
      </c>
      <c r="H87" s="58">
        <f t="shared" si="3"/>
        <v>0</v>
      </c>
      <c r="I87" s="58">
        <f t="shared" si="4"/>
        <v>0</v>
      </c>
      <c r="J87" s="59">
        <f t="shared" si="5"/>
        <v>0</v>
      </c>
    </row>
    <row r="88" spans="1:10" ht="15.75">
      <c r="A88" s="85"/>
      <c r="B88" s="86" t="s">
        <v>77</v>
      </c>
      <c r="C88" s="56">
        <v>336</v>
      </c>
      <c r="D88" s="587">
        <v>403</v>
      </c>
      <c r="E88" s="538" t="s">
        <v>6</v>
      </c>
      <c r="F88" s="538"/>
      <c r="G88" s="539">
        <f>'[1]336 Elec Plnt Depr &amp; Amort'!J7</f>
        <v>13075208</v>
      </c>
      <c r="H88" s="58">
        <f t="shared" si="3"/>
        <v>13075208</v>
      </c>
      <c r="I88" s="58">
        <f t="shared" si="4"/>
        <v>0</v>
      </c>
      <c r="J88" s="59">
        <f t="shared" si="5"/>
        <v>0</v>
      </c>
    </row>
    <row r="89" spans="1:10" ht="15.75">
      <c r="A89" s="85"/>
      <c r="B89" s="86" t="s">
        <v>78</v>
      </c>
      <c r="C89" s="56">
        <v>336</v>
      </c>
      <c r="D89" s="587">
        <v>403</v>
      </c>
      <c r="E89" s="538" t="s">
        <v>47</v>
      </c>
      <c r="F89" s="538"/>
      <c r="G89" s="539">
        <f>'[1]336 Elec Plnt Depr &amp; Amort'!J8</f>
        <v>9049748</v>
      </c>
      <c r="H89" s="58">
        <f t="shared" si="3"/>
        <v>0</v>
      </c>
      <c r="I89" s="58">
        <f t="shared" si="4"/>
        <v>9049748</v>
      </c>
      <c r="J89" s="59">
        <f t="shared" si="5"/>
        <v>0</v>
      </c>
    </row>
    <row r="90" spans="1:10" ht="15.75">
      <c r="A90" s="85"/>
      <c r="B90" s="86" t="s">
        <v>79</v>
      </c>
      <c r="C90" s="56">
        <v>336</v>
      </c>
      <c r="D90" s="587">
        <v>403</v>
      </c>
      <c r="E90" s="538" t="s">
        <v>5</v>
      </c>
      <c r="F90" s="538"/>
      <c r="G90" s="539">
        <f>'[1]336 Elec Plnt Depr &amp; Amort'!J9</f>
        <v>17457435</v>
      </c>
      <c r="H90" s="58">
        <f t="shared" si="3"/>
        <v>0</v>
      </c>
      <c r="I90" s="58">
        <f t="shared" si="4"/>
        <v>0</v>
      </c>
      <c r="J90" s="59">
        <f t="shared" si="5"/>
        <v>17457435</v>
      </c>
    </row>
    <row r="91" spans="1:10" ht="15.75">
      <c r="A91" s="85"/>
      <c r="B91" s="86" t="s">
        <v>80</v>
      </c>
      <c r="C91" s="56">
        <v>336</v>
      </c>
      <c r="D91" s="587">
        <v>403</v>
      </c>
      <c r="E91" s="538" t="s">
        <v>81</v>
      </c>
      <c r="F91" s="538"/>
      <c r="G91" s="539">
        <f>'[1]336 Elec Plnt Depr &amp; Amort'!J10</f>
        <v>3166338</v>
      </c>
      <c r="H91" s="58">
        <f t="shared" si="3"/>
        <v>807889.5784411689</v>
      </c>
      <c r="I91" s="58">
        <f t="shared" si="4"/>
        <v>743952.9100734995</v>
      </c>
      <c r="J91" s="59">
        <f t="shared" si="5"/>
        <v>1614495.511485332</v>
      </c>
    </row>
    <row r="92" spans="1:10" ht="15.75">
      <c r="A92" s="85"/>
      <c r="B92" s="86" t="s">
        <v>327</v>
      </c>
      <c r="C92" s="56">
        <v>336</v>
      </c>
      <c r="D92" s="588">
        <v>403</v>
      </c>
      <c r="E92" s="538" t="s">
        <v>1</v>
      </c>
      <c r="F92" s="538" t="s">
        <v>1</v>
      </c>
      <c r="G92" s="539">
        <f>'[1]336 Elec Plnt Depr &amp; Amort'!J11</f>
        <v>5293863</v>
      </c>
      <c r="H92" s="58">
        <v>2378219</v>
      </c>
      <c r="I92" s="58">
        <v>920369</v>
      </c>
      <c r="J92" s="59">
        <v>1995275</v>
      </c>
    </row>
    <row r="93" spans="1:10" ht="15.75">
      <c r="A93" s="85"/>
      <c r="B93" s="589" t="s">
        <v>327</v>
      </c>
      <c r="C93" s="56">
        <v>336</v>
      </c>
      <c r="D93" s="588">
        <v>404</v>
      </c>
      <c r="E93" s="538" t="s">
        <v>1</v>
      </c>
      <c r="F93" s="538" t="s">
        <v>1</v>
      </c>
      <c r="G93" s="539">
        <v>0</v>
      </c>
      <c r="H93" s="58"/>
      <c r="I93" s="58"/>
      <c r="J93" s="59"/>
    </row>
    <row r="94" spans="1:10" ht="15.75">
      <c r="A94" s="85"/>
      <c r="B94" s="86" t="s">
        <v>328</v>
      </c>
      <c r="C94" s="56">
        <v>336</v>
      </c>
      <c r="D94" s="588">
        <v>403.1</v>
      </c>
      <c r="E94" s="538" t="s">
        <v>1</v>
      </c>
      <c r="F94" s="538" t="s">
        <v>1</v>
      </c>
      <c r="G94" s="539">
        <f>'[1]336 Elec Plnt Depr &amp; Amort'!J13</f>
        <v>0</v>
      </c>
      <c r="H94" s="58"/>
      <c r="I94" s="58"/>
      <c r="J94" s="59"/>
    </row>
    <row r="95" spans="1:10" ht="15.75">
      <c r="A95" s="85"/>
      <c r="B95" s="86" t="s">
        <v>329</v>
      </c>
      <c r="C95" s="56">
        <v>336</v>
      </c>
      <c r="D95" s="588">
        <v>404</v>
      </c>
      <c r="E95" s="538" t="s">
        <v>1</v>
      </c>
      <c r="F95" s="538" t="s">
        <v>1</v>
      </c>
      <c r="G95" s="539">
        <f>'[1]336 Elec Plnt Depr &amp; Amort'!J14</f>
        <v>0</v>
      </c>
      <c r="H95" s="58"/>
      <c r="I95" s="58"/>
      <c r="J95" s="59"/>
    </row>
    <row r="96" spans="1:10" ht="15.75">
      <c r="A96" s="85"/>
      <c r="B96" s="86" t="s">
        <v>330</v>
      </c>
      <c r="C96" s="56" t="s">
        <v>89</v>
      </c>
      <c r="D96" s="588">
        <v>114</v>
      </c>
      <c r="E96" s="538" t="s">
        <v>1</v>
      </c>
      <c r="F96" s="538" t="s">
        <v>1</v>
      </c>
      <c r="G96" s="539">
        <f>'[1]336 Elec Plnt Depr &amp; Amort'!J15</f>
        <v>0</v>
      </c>
      <c r="H96" s="58"/>
      <c r="I96" s="58"/>
      <c r="J96" s="59"/>
    </row>
    <row r="97" spans="1:10" ht="15.75">
      <c r="A97" s="268" t="s">
        <v>331</v>
      </c>
      <c r="B97" s="106"/>
      <c r="C97" s="590"/>
      <c r="D97" s="590"/>
      <c r="E97" s="590"/>
      <c r="F97" s="590"/>
      <c r="G97" s="121">
        <f>SUM(G81:G96)</f>
        <v>67390752</v>
      </c>
      <c r="H97" s="121">
        <f>SUM(H81:H96)</f>
        <v>34798545.82844117</v>
      </c>
      <c r="I97" s="121">
        <f>SUM(I81:I96)</f>
        <v>11005888.3600735</v>
      </c>
      <c r="J97" s="122">
        <f>SUM(J81:J96)</f>
        <v>21586317.81148533</v>
      </c>
    </row>
    <row r="98" spans="1:10" ht="15.75">
      <c r="A98" s="591"/>
      <c r="B98" s="106"/>
      <c r="C98" s="592"/>
      <c r="D98" s="107"/>
      <c r="E98" s="104"/>
      <c r="F98" s="104"/>
      <c r="G98" s="91"/>
      <c r="H98" s="91"/>
      <c r="I98" s="91"/>
      <c r="J98" s="199"/>
    </row>
    <row r="99" spans="1:10" ht="15.75">
      <c r="A99" s="198"/>
      <c r="B99" s="170"/>
      <c r="C99" s="170"/>
      <c r="D99" s="170"/>
      <c r="E99" s="170"/>
      <c r="F99" s="170"/>
      <c r="G99" s="270"/>
      <c r="H99" s="270"/>
      <c r="I99" s="270"/>
      <c r="J99" s="271"/>
    </row>
    <row r="100" spans="1:10" ht="15.75">
      <c r="A100" s="111" t="s">
        <v>332</v>
      </c>
      <c r="B100" s="112"/>
      <c r="C100" s="590"/>
      <c r="D100" s="590"/>
      <c r="E100" s="590"/>
      <c r="F100" s="590"/>
      <c r="G100" s="121">
        <f>G77+G97</f>
        <v>615893625</v>
      </c>
      <c r="H100" s="121">
        <f>H77+H97</f>
        <v>493270138.1182399</v>
      </c>
      <c r="I100" s="121">
        <f>I77+I97</f>
        <v>35974105.94417308</v>
      </c>
      <c r="J100" s="122">
        <f>J77+J97</f>
        <v>86649380.9375871</v>
      </c>
    </row>
    <row r="101" spans="1:10" ht="16.5" thickBot="1">
      <c r="A101" s="124" t="s">
        <v>333</v>
      </c>
      <c r="B101" s="125"/>
      <c r="C101" s="126"/>
      <c r="D101" s="126"/>
      <c r="E101" s="126"/>
      <c r="F101" s="126"/>
      <c r="G101" s="593"/>
      <c r="H101" s="594"/>
      <c r="I101" s="594"/>
      <c r="J101" s="595"/>
    </row>
    <row r="102" spans="1:6" ht="16.5" thickTop="1">
      <c r="A102" s="519"/>
      <c r="B102" s="519"/>
      <c r="C102" s="519"/>
      <c r="D102" s="519"/>
      <c r="E102" s="519"/>
      <c r="F102" s="519"/>
    </row>
    <row r="103" spans="1:6" ht="15.75">
      <c r="A103" s="519"/>
      <c r="B103" s="519"/>
      <c r="C103" s="519"/>
      <c r="D103" s="519"/>
      <c r="E103" s="519"/>
      <c r="F103" s="519"/>
    </row>
    <row r="104" spans="1:6" ht="15.75">
      <c r="A104" s="519"/>
      <c r="B104" s="519"/>
      <c r="C104" s="519"/>
      <c r="D104" s="519"/>
      <c r="E104" s="519"/>
      <c r="F104" s="519"/>
    </row>
    <row r="105" spans="1:6" ht="15.75">
      <c r="A105" s="519"/>
      <c r="B105" s="519"/>
      <c r="C105" s="519"/>
      <c r="D105" s="519"/>
      <c r="E105" s="519"/>
      <c r="F105" s="519"/>
    </row>
    <row r="106" spans="1:6" ht="15.75">
      <c r="A106" s="519"/>
      <c r="B106" s="519"/>
      <c r="C106" s="519"/>
      <c r="D106" s="519"/>
      <c r="E106" s="519"/>
      <c r="F106" s="519"/>
    </row>
    <row r="107" spans="1:6" ht="15.75">
      <c r="A107" s="519"/>
      <c r="B107" s="519"/>
      <c r="C107" s="519"/>
      <c r="D107" s="519"/>
      <c r="E107" s="519"/>
      <c r="F107" s="519"/>
    </row>
    <row r="108" spans="1:6" ht="15.75">
      <c r="A108" s="519"/>
      <c r="B108" s="519"/>
      <c r="C108" s="519"/>
      <c r="D108" s="519"/>
      <c r="E108" s="519"/>
      <c r="F108" s="519"/>
    </row>
    <row r="109" spans="1:6" ht="15.75">
      <c r="A109" s="519"/>
      <c r="B109" s="519"/>
      <c r="C109" s="519"/>
      <c r="D109" s="519"/>
      <c r="E109" s="519"/>
      <c r="F109" s="519"/>
    </row>
    <row r="110" spans="1:6" ht="15.75">
      <c r="A110" s="519"/>
      <c r="B110" s="519"/>
      <c r="C110" s="519"/>
      <c r="D110" s="519"/>
      <c r="E110" s="519"/>
      <c r="F110" s="519"/>
    </row>
    <row r="111" spans="1:6" ht="15.75">
      <c r="A111" s="519"/>
      <c r="B111" s="519"/>
      <c r="C111" s="519"/>
      <c r="D111" s="519"/>
      <c r="E111" s="519"/>
      <c r="F111" s="519"/>
    </row>
    <row r="112" spans="1:6" ht="15.75">
      <c r="A112" s="519"/>
      <c r="B112" s="519"/>
      <c r="C112" s="519"/>
      <c r="D112" s="519"/>
      <c r="E112" s="519"/>
      <c r="F112" s="519"/>
    </row>
    <row r="113" spans="1:6" ht="15.75">
      <c r="A113" s="519"/>
      <c r="B113" s="519"/>
      <c r="C113" s="519"/>
      <c r="D113" s="519"/>
      <c r="E113" s="519"/>
      <c r="F113" s="519"/>
    </row>
  </sheetData>
  <mergeCells count="7">
    <mergeCell ref="H11:H13"/>
    <mergeCell ref="I11:I13"/>
    <mergeCell ref="E5:G5"/>
    <mergeCell ref="E6:G6"/>
    <mergeCell ref="E7:G7"/>
    <mergeCell ref="A11:B13"/>
    <mergeCell ref="G11:G13"/>
  </mergeCells>
  <dataValidations count="2">
    <dataValidation type="list" allowBlank="1" showInputMessage="1" showErrorMessage="1" sqref="E83">
      <formula1>DIST</formula1>
    </dataValidation>
    <dataValidation type="list" allowBlank="1" showInputMessage="1" showErrorMessage="1" sqref="E82">
      <formula1>PTD</formula1>
    </dataValidation>
  </dataValidations>
  <printOptions horizontalCentered="1"/>
  <pageMargins left="0.2" right="0.28" top="0.75" bottom="0.75" header="0.25" footer="0.25"/>
  <pageSetup fitToHeight="3" horizontalDpi="600" verticalDpi="600" orientation="landscape" paperSize="9" scale="78" r:id="rId3"/>
  <headerFooter alignWithMargins="0">
    <oddFooter>&amp;L&amp;F&amp;CPage &amp;P of &amp;N&amp;R&amp;D</oddFooter>
  </headerFooter>
  <rowBreaks count="2" manualBreakCount="2">
    <brk id="43" max="255" man="1"/>
    <brk id="7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zoomScale="60" zoomScaleNormal="60" workbookViewId="0" topLeftCell="A1">
      <selection activeCell="L161" sqref="L161"/>
    </sheetView>
  </sheetViews>
  <sheetFormatPr defaultColWidth="9.00390625" defaultRowHeight="15.75"/>
  <cols>
    <col min="2" max="2" width="15.875" style="0" customWidth="1"/>
    <col min="3" max="3" width="13.625" style="0" customWidth="1"/>
    <col min="4" max="4" width="20.50390625" style="0" customWidth="1"/>
    <col min="5" max="5" width="18.875" style="0" customWidth="1"/>
  </cols>
  <sheetData>
    <row r="1" spans="1:5" ht="19.5" thickTop="1">
      <c r="A1" s="917" t="s">
        <v>0</v>
      </c>
      <c r="B1" s="918"/>
      <c r="C1" s="918"/>
      <c r="D1" s="918"/>
      <c r="E1" s="919"/>
    </row>
    <row r="2" spans="1:5" ht="15.75">
      <c r="A2" s="920" t="s">
        <v>168</v>
      </c>
      <c r="B2" s="864"/>
      <c r="C2" s="864"/>
      <c r="D2" s="864"/>
      <c r="E2" s="921"/>
    </row>
    <row r="3" spans="1:5" ht="16.5" thickBot="1">
      <c r="A3" s="922" t="s">
        <v>169</v>
      </c>
      <c r="B3" s="861"/>
      <c r="C3" s="861"/>
      <c r="D3" s="861"/>
      <c r="E3" s="923"/>
    </row>
    <row r="4" spans="1:5" ht="15.75">
      <c r="A4" s="597"/>
      <c r="B4" s="10" t="s">
        <v>7</v>
      </c>
      <c r="C4" s="866" t="s">
        <v>8</v>
      </c>
      <c r="D4" s="867"/>
      <c r="E4" s="868"/>
    </row>
    <row r="5" spans="1:5" ht="15.75">
      <c r="A5" s="597"/>
      <c r="B5" s="10" t="s">
        <v>9</v>
      </c>
      <c r="C5" s="869">
        <v>39082</v>
      </c>
      <c r="D5" s="857"/>
      <c r="E5" s="858"/>
    </row>
    <row r="6" spans="1:5" ht="16.5" thickBot="1">
      <c r="A6" s="597"/>
      <c r="B6" s="10" t="s">
        <v>10</v>
      </c>
      <c r="C6" s="859">
        <v>39575</v>
      </c>
      <c r="D6" s="860"/>
      <c r="E6" s="746"/>
    </row>
    <row r="7" spans="1:5" ht="16.5" thickBot="1">
      <c r="A7" s="924" t="s">
        <v>334</v>
      </c>
      <c r="B7" s="925"/>
      <c r="C7" s="925"/>
      <c r="D7" s="925"/>
      <c r="E7" s="926"/>
    </row>
    <row r="8" spans="1:5" ht="16.5" thickBot="1">
      <c r="A8" s="602"/>
      <c r="B8" s="23" t="s">
        <v>13</v>
      </c>
      <c r="C8" s="23"/>
      <c r="D8" s="911" t="s">
        <v>335</v>
      </c>
      <c r="E8" s="912"/>
    </row>
    <row r="9" spans="1:5" ht="16.5" thickBot="1">
      <c r="A9" s="603"/>
      <c r="B9" s="524" t="s">
        <v>336</v>
      </c>
      <c r="C9" s="524" t="s">
        <v>18</v>
      </c>
      <c r="D9" s="913"/>
      <c r="E9" s="914"/>
    </row>
    <row r="10" spans="1:5" ht="16.5" thickBot="1">
      <c r="A10" s="604"/>
      <c r="B10" s="40" t="s">
        <v>337</v>
      </c>
      <c r="C10" s="605" t="s">
        <v>22</v>
      </c>
      <c r="D10" s="606" t="s">
        <v>338</v>
      </c>
      <c r="E10" s="607" t="s">
        <v>339</v>
      </c>
    </row>
    <row r="11" spans="1:5" ht="15.75">
      <c r="A11" s="603"/>
      <c r="B11" s="608" t="s">
        <v>340</v>
      </c>
      <c r="C11" s="609" t="s">
        <v>341</v>
      </c>
      <c r="D11" s="610">
        <f>'[1]326 Purch power'!R53</f>
        <v>6183</v>
      </c>
      <c r="E11" s="611">
        <f>'[1]326 Purch power'!L53</f>
        <v>124</v>
      </c>
    </row>
    <row r="12" spans="1:5" ht="15.75">
      <c r="A12" s="603"/>
      <c r="B12" s="612" t="s">
        <v>342</v>
      </c>
      <c r="C12" s="613" t="s">
        <v>341</v>
      </c>
      <c r="D12" s="490">
        <f>'[1]326 Purch power'!R30</f>
        <v>12903902</v>
      </c>
      <c r="E12" s="59">
        <f>'[1]326 Purch power'!L30</f>
        <v>362075</v>
      </c>
    </row>
    <row r="13" spans="1:5" ht="15.75">
      <c r="A13" s="603"/>
      <c r="B13" s="612" t="s">
        <v>343</v>
      </c>
      <c r="C13" s="613" t="s">
        <v>341</v>
      </c>
      <c r="D13" s="490">
        <f>'[1]326 Purch power'!R24</f>
        <v>26191912</v>
      </c>
      <c r="E13" s="59">
        <f>'[1]326 Purch power'!L24</f>
        <v>878284</v>
      </c>
    </row>
    <row r="14" spans="1:7" ht="15.75">
      <c r="A14" s="603"/>
      <c r="B14" s="612" t="s">
        <v>344</v>
      </c>
      <c r="C14" s="613" t="s">
        <v>341</v>
      </c>
      <c r="D14" s="59">
        <f>'[1]326 Purch power'!R128</f>
        <v>113803605</v>
      </c>
      <c r="E14" s="614">
        <f>'[1]326 Purch power'!L128</f>
        <v>2418310</v>
      </c>
      <c r="G14" s="153"/>
    </row>
    <row r="15" spans="1:5" ht="15.75">
      <c r="A15" s="603"/>
      <c r="B15" s="612" t="s">
        <v>345</v>
      </c>
      <c r="C15" s="613" t="s">
        <v>341</v>
      </c>
      <c r="D15" s="490">
        <f>'[1]326 Purch power'!R47</f>
        <v>41336441</v>
      </c>
      <c r="E15" s="59">
        <f>'[1]326 Purch power'!L47</f>
        <v>1627926</v>
      </c>
    </row>
    <row r="16" spans="1:5" ht="15.75">
      <c r="A16" s="603"/>
      <c r="B16" s="612" t="s">
        <v>346</v>
      </c>
      <c r="C16" s="613" t="s">
        <v>341</v>
      </c>
      <c r="D16" s="490">
        <f>'[1]326 Purch power'!R27</f>
        <v>1532242</v>
      </c>
      <c r="E16" s="59">
        <f>'[1]326 Purch power'!L27</f>
        <v>36513</v>
      </c>
    </row>
    <row r="17" spans="1:5" ht="15.75">
      <c r="A17" s="603"/>
      <c r="B17" s="612" t="s">
        <v>347</v>
      </c>
      <c r="C17" s="613" t="s">
        <v>341</v>
      </c>
      <c r="D17" s="490">
        <f>'[1]326 Purch power'!R51</f>
        <v>702316</v>
      </c>
      <c r="E17" s="59">
        <v>0</v>
      </c>
    </row>
    <row r="18" spans="1:5" ht="15.75">
      <c r="A18" s="603"/>
      <c r="B18" s="612" t="s">
        <v>348</v>
      </c>
      <c r="C18" s="613" t="s">
        <v>341</v>
      </c>
      <c r="D18" s="490">
        <f>'[1]326 Purch power'!R18</f>
        <v>3606618</v>
      </c>
      <c r="E18" s="59">
        <f>'[1]326 Purch power'!L18</f>
        <v>0</v>
      </c>
    </row>
    <row r="19" spans="1:5" ht="15.75">
      <c r="A19" s="603"/>
      <c r="B19" s="612" t="s">
        <v>349</v>
      </c>
      <c r="C19" s="613" t="s">
        <v>341</v>
      </c>
      <c r="D19" s="490"/>
      <c r="E19" s="59"/>
    </row>
    <row r="20" spans="1:5" ht="15.75">
      <c r="A20" s="603"/>
      <c r="B20" s="612" t="s">
        <v>350</v>
      </c>
      <c r="C20" s="613" t="s">
        <v>341</v>
      </c>
      <c r="D20" s="490"/>
      <c r="E20" s="59"/>
    </row>
    <row r="21" spans="1:5" ht="15.75">
      <c r="A21" s="603"/>
      <c r="B21" s="915" t="s">
        <v>351</v>
      </c>
      <c r="C21" s="916"/>
      <c r="D21" s="615">
        <f>SUM(D11:D20)</f>
        <v>200083219</v>
      </c>
      <c r="E21" s="616">
        <f>SUM(E11:E20)</f>
        <v>5323232</v>
      </c>
    </row>
    <row r="22" spans="1:5" ht="16.5" thickBot="1">
      <c r="A22" s="603"/>
      <c r="B22" s="282"/>
      <c r="C22" s="617"/>
      <c r="D22" s="156"/>
      <c r="E22" s="305"/>
    </row>
    <row r="23" spans="1:5" ht="16.5" thickBot="1">
      <c r="A23" s="602"/>
      <c r="B23" s="23" t="s">
        <v>13</v>
      </c>
      <c r="C23" s="23"/>
      <c r="D23" s="911" t="s">
        <v>352</v>
      </c>
      <c r="E23" s="912"/>
    </row>
    <row r="24" spans="1:5" ht="16.5" thickBot="1">
      <c r="A24" s="603"/>
      <c r="B24" s="524" t="s">
        <v>336</v>
      </c>
      <c r="C24" s="524" t="s">
        <v>18</v>
      </c>
      <c r="D24" s="913"/>
      <c r="E24" s="914"/>
    </row>
    <row r="25" spans="1:5" ht="16.5" thickBot="1">
      <c r="A25" s="604"/>
      <c r="B25" s="40" t="s">
        <v>337</v>
      </c>
      <c r="C25" s="40" t="s">
        <v>22</v>
      </c>
      <c r="D25" s="606" t="s">
        <v>338</v>
      </c>
      <c r="E25" s="607" t="s">
        <v>339</v>
      </c>
    </row>
    <row r="26" spans="1:5" ht="15.75">
      <c r="A26" s="603"/>
      <c r="B26" s="608" t="s">
        <v>340</v>
      </c>
      <c r="C26" s="609" t="s">
        <v>353</v>
      </c>
      <c r="D26" s="610"/>
      <c r="E26" s="611"/>
    </row>
    <row r="27" spans="1:5" ht="15.75">
      <c r="A27" s="603"/>
      <c r="B27" s="612" t="s">
        <v>342</v>
      </c>
      <c r="C27" s="613" t="s">
        <v>353</v>
      </c>
      <c r="D27" s="490">
        <f>'[1]310-311 Sales for Resale'!P21</f>
        <v>9039526</v>
      </c>
      <c r="E27" s="59">
        <f>'[1]310-311 Sales for Resale'!L21</f>
        <v>188111</v>
      </c>
    </row>
    <row r="28" spans="1:5" ht="15.75">
      <c r="A28" s="603"/>
      <c r="B28" s="612" t="s">
        <v>343</v>
      </c>
      <c r="C28" s="613" t="s">
        <v>353</v>
      </c>
      <c r="D28" s="490">
        <f>'[1]310-311 Sales for Resale'!P8</f>
        <v>3449688</v>
      </c>
      <c r="E28" s="59">
        <f>'[1]310-311 Sales for Resale'!L8</f>
        <v>32833</v>
      </c>
    </row>
    <row r="29" spans="1:5" ht="15.75">
      <c r="A29" s="603"/>
      <c r="B29" s="612" t="s">
        <v>344</v>
      </c>
      <c r="C29" s="613" t="s">
        <v>353</v>
      </c>
      <c r="D29" s="490">
        <f>'[1]310-311 Sales for Resale'!P97</f>
        <v>163105424</v>
      </c>
      <c r="E29" s="59">
        <f>'[1]310-311 Sales for Resale'!L97</f>
        <v>3397421</v>
      </c>
    </row>
    <row r="30" spans="1:5" ht="15.75">
      <c r="A30" s="603"/>
      <c r="B30" s="612" t="s">
        <v>345</v>
      </c>
      <c r="C30" s="613" t="s">
        <v>353</v>
      </c>
      <c r="D30" s="490"/>
      <c r="E30" s="59"/>
    </row>
    <row r="31" spans="1:5" ht="15.75">
      <c r="A31" s="603"/>
      <c r="B31" s="612" t="s">
        <v>346</v>
      </c>
      <c r="C31" s="613" t="s">
        <v>353</v>
      </c>
      <c r="D31" s="490"/>
      <c r="E31" s="59"/>
    </row>
    <row r="32" spans="1:5" ht="15.75">
      <c r="A32" s="603"/>
      <c r="B32" s="612" t="s">
        <v>347</v>
      </c>
      <c r="C32" s="613" t="s">
        <v>353</v>
      </c>
      <c r="D32" s="490"/>
      <c r="E32" s="59"/>
    </row>
    <row r="33" spans="1:5" ht="15.75">
      <c r="A33" s="603"/>
      <c r="B33" s="612" t="s">
        <v>348</v>
      </c>
      <c r="C33" s="613" t="s">
        <v>353</v>
      </c>
      <c r="D33" s="490"/>
      <c r="E33" s="59"/>
    </row>
    <row r="34" spans="1:5" ht="15.75">
      <c r="A34" s="603"/>
      <c r="B34" s="612" t="s">
        <v>349</v>
      </c>
      <c r="C34" s="613" t="s">
        <v>353</v>
      </c>
      <c r="D34" s="490"/>
      <c r="E34" s="59"/>
    </row>
    <row r="35" spans="1:5" ht="15.75">
      <c r="A35" s="603"/>
      <c r="B35" s="612" t="s">
        <v>350</v>
      </c>
      <c r="C35" s="613" t="s">
        <v>353</v>
      </c>
      <c r="D35" s="490">
        <f>'[1]310-311 Sales for Resale'!P2</f>
        <v>-22043</v>
      </c>
      <c r="E35" s="59">
        <f>'[1]310-311 Sales for Resale'!L2</f>
        <v>-337</v>
      </c>
    </row>
    <row r="36" spans="1:5" ht="16.5" thickBot="1">
      <c r="A36" s="618"/>
      <c r="B36" s="909" t="s">
        <v>351</v>
      </c>
      <c r="C36" s="910"/>
      <c r="D36" s="619">
        <f>SUM(D26:D35)</f>
        <v>175572595</v>
      </c>
      <c r="E36" s="620">
        <f>SUM(E26:E35)</f>
        <v>3618028</v>
      </c>
    </row>
    <row r="37" ht="16.5" thickTop="1"/>
    <row r="39" ht="15.75">
      <c r="E39" s="256"/>
    </row>
  </sheetData>
  <sheetProtection/>
  <mergeCells count="11">
    <mergeCell ref="A1:E1"/>
    <mergeCell ref="A2:E2"/>
    <mergeCell ref="A3:E3"/>
    <mergeCell ref="A7:E7"/>
    <mergeCell ref="C4:E4"/>
    <mergeCell ref="C5:E5"/>
    <mergeCell ref="C6:E6"/>
    <mergeCell ref="B36:C36"/>
    <mergeCell ref="D23:E24"/>
    <mergeCell ref="D8:E9"/>
    <mergeCell ref="B21:C21"/>
  </mergeCells>
  <printOptions horizontalCentered="1"/>
  <pageMargins left="0.7" right="0.7" top="0.75" bottom="0.75" header="0.3" footer="0.3"/>
  <pageSetup horizontalDpi="600" verticalDpi="600" orientation="portrait" scale="90" r:id="rId1"/>
  <headerFooter alignWithMargins="0">
    <oddFooter>&amp;L&amp;F&amp;CPage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41"/>
  <sheetViews>
    <sheetView zoomScale="70" zoomScaleNormal="70" zoomScaleSheetLayoutView="100" workbookViewId="0" topLeftCell="A1">
      <selection activeCell="L161" sqref="L161"/>
    </sheetView>
  </sheetViews>
  <sheetFormatPr defaultColWidth="9.00390625" defaultRowHeight="15.75"/>
  <cols>
    <col min="1" max="1" width="5.375" style="0" customWidth="1"/>
    <col min="2" max="2" width="30.625" style="0" customWidth="1"/>
    <col min="3" max="4" width="8.625" style="0" customWidth="1"/>
    <col min="5" max="5" width="10.625" style="0" customWidth="1"/>
    <col min="6" max="9" width="12.625" style="0" customWidth="1"/>
    <col min="10" max="10" width="10.50390625" style="0" customWidth="1"/>
  </cols>
  <sheetData>
    <row r="1" spans="1:9" ht="19.5" customHeight="1" thickTop="1">
      <c r="A1" s="917" t="s">
        <v>0</v>
      </c>
      <c r="B1" s="918"/>
      <c r="C1" s="918"/>
      <c r="D1" s="918"/>
      <c r="E1" s="918"/>
      <c r="F1" s="918"/>
      <c r="G1" s="918"/>
      <c r="H1" s="918"/>
      <c r="I1" s="919"/>
    </row>
    <row r="2" spans="1:9" ht="19.5" customHeight="1">
      <c r="A2" s="920" t="s">
        <v>168</v>
      </c>
      <c r="B2" s="864"/>
      <c r="C2" s="864"/>
      <c r="D2" s="864"/>
      <c r="E2" s="864"/>
      <c r="F2" s="864"/>
      <c r="G2" s="864"/>
      <c r="H2" s="864"/>
      <c r="I2" s="921"/>
    </row>
    <row r="3" spans="1:9" ht="19.5" customHeight="1">
      <c r="A3" s="922" t="s">
        <v>169</v>
      </c>
      <c r="B3" s="861"/>
      <c r="C3" s="861"/>
      <c r="D3" s="861"/>
      <c r="E3" s="861"/>
      <c r="F3" s="861"/>
      <c r="G3" s="861"/>
      <c r="H3" s="861"/>
      <c r="I3" s="923"/>
    </row>
    <row r="4" spans="1:9" ht="12" customHeight="1" thickBot="1">
      <c r="A4" s="597"/>
      <c r="B4" s="8"/>
      <c r="C4" s="8"/>
      <c r="D4" s="8"/>
      <c r="E4" s="8"/>
      <c r="F4" s="8"/>
      <c r="G4" s="8"/>
      <c r="H4" s="8"/>
      <c r="I4" s="598"/>
    </row>
    <row r="5" spans="1:9" ht="15.75" customHeight="1">
      <c r="A5" s="597"/>
      <c r="B5" s="8"/>
      <c r="C5" s="8"/>
      <c r="D5" s="10" t="s">
        <v>7</v>
      </c>
      <c r="E5" s="866" t="s">
        <v>8</v>
      </c>
      <c r="F5" s="867"/>
      <c r="G5" s="868"/>
      <c r="H5" s="8"/>
      <c r="I5" s="598"/>
    </row>
    <row r="6" spans="1:9" ht="15.75" customHeight="1">
      <c r="A6" s="597"/>
      <c r="B6" s="8"/>
      <c r="C6" s="8"/>
      <c r="D6" s="10" t="s">
        <v>9</v>
      </c>
      <c r="E6" s="869">
        <v>39082</v>
      </c>
      <c r="F6" s="857"/>
      <c r="G6" s="858"/>
      <c r="H6" s="8"/>
      <c r="I6" s="598"/>
    </row>
    <row r="7" spans="1:9" ht="15.75" customHeight="1" thickBot="1">
      <c r="A7" s="597"/>
      <c r="B7" s="8"/>
      <c r="C7" s="8"/>
      <c r="D7" s="10" t="s">
        <v>10</v>
      </c>
      <c r="E7" s="859">
        <v>39575</v>
      </c>
      <c r="F7" s="860"/>
      <c r="G7" s="746"/>
      <c r="H7" s="8"/>
      <c r="I7" s="598"/>
    </row>
    <row r="8" spans="1:9" ht="11.25" customHeight="1">
      <c r="A8" s="597"/>
      <c r="B8" s="8"/>
      <c r="C8" s="8"/>
      <c r="D8" s="8"/>
      <c r="E8" s="8"/>
      <c r="F8" s="8"/>
      <c r="G8" s="8"/>
      <c r="H8" s="8"/>
      <c r="I8" s="598"/>
    </row>
    <row r="9" spans="1:9" ht="19.5" customHeight="1">
      <c r="A9" s="930" t="s">
        <v>354</v>
      </c>
      <c r="B9" s="931"/>
      <c r="C9" s="931"/>
      <c r="D9" s="931"/>
      <c r="E9" s="931"/>
      <c r="F9" s="931"/>
      <c r="G9" s="931"/>
      <c r="H9" s="931"/>
      <c r="I9" s="932"/>
    </row>
    <row r="10" spans="1:9" ht="9.75" customHeight="1" thickBot="1">
      <c r="A10" s="621"/>
      <c r="B10" s="622"/>
      <c r="C10" s="624"/>
      <c r="D10" s="624"/>
      <c r="E10" s="622"/>
      <c r="F10" s="622"/>
      <c r="G10" s="622"/>
      <c r="H10" s="622"/>
      <c r="I10" s="623"/>
    </row>
    <row r="11" spans="1:9" ht="16.5" thickBot="1">
      <c r="A11" s="892" t="s">
        <v>12</v>
      </c>
      <c r="B11" s="874"/>
      <c r="C11" s="625" t="s">
        <v>13</v>
      </c>
      <c r="D11" s="625"/>
      <c r="E11" s="927" t="s">
        <v>355</v>
      </c>
      <c r="F11" s="882" t="s">
        <v>15</v>
      </c>
      <c r="G11" s="879" t="s">
        <v>16</v>
      </c>
      <c r="H11" s="879" t="s">
        <v>17</v>
      </c>
      <c r="I11" s="626"/>
    </row>
    <row r="12" spans="1:9" ht="15.75">
      <c r="A12" s="901"/>
      <c r="B12" s="876"/>
      <c r="C12" s="524" t="s">
        <v>18</v>
      </c>
      <c r="D12" s="525" t="s">
        <v>19</v>
      </c>
      <c r="E12" s="928"/>
      <c r="F12" s="883"/>
      <c r="G12" s="880"/>
      <c r="H12" s="880"/>
      <c r="I12" s="39" t="s">
        <v>21</v>
      </c>
    </row>
    <row r="13" spans="1:9" ht="16.5" thickBot="1">
      <c r="A13" s="893"/>
      <c r="B13" s="878"/>
      <c r="C13" s="40" t="s">
        <v>22</v>
      </c>
      <c r="D13" s="41" t="s">
        <v>23</v>
      </c>
      <c r="E13" s="929"/>
      <c r="F13" s="884"/>
      <c r="G13" s="881"/>
      <c r="H13" s="881"/>
      <c r="I13" s="44" t="s">
        <v>26</v>
      </c>
    </row>
    <row r="14" spans="1:9" ht="15.75">
      <c r="A14" s="627"/>
      <c r="B14" s="370"/>
      <c r="C14" s="8"/>
      <c r="D14" s="255"/>
      <c r="E14" s="255"/>
      <c r="F14" s="375"/>
      <c r="G14" s="376"/>
      <c r="H14" s="376"/>
      <c r="I14" s="377"/>
    </row>
    <row r="15" spans="1:9" ht="15.75" customHeight="1">
      <c r="A15" s="628" t="s">
        <v>356</v>
      </c>
      <c r="B15" s="629"/>
      <c r="C15" s="360"/>
      <c r="D15" s="630"/>
      <c r="E15" s="631"/>
      <c r="F15" s="632"/>
      <c r="G15" s="633"/>
      <c r="H15" s="633"/>
      <c r="I15" s="634"/>
    </row>
    <row r="16" spans="1:9" ht="15.75" customHeight="1">
      <c r="A16" s="198"/>
      <c r="B16" s="357" t="s">
        <v>357</v>
      </c>
      <c r="C16" s="635">
        <v>262</v>
      </c>
      <c r="D16" s="636">
        <v>409.1</v>
      </c>
      <c r="E16" s="57" t="s">
        <v>5</v>
      </c>
      <c r="F16" s="539">
        <v>47345130</v>
      </c>
      <c r="G16" s="58">
        <f>VLOOKUP($E16,Ratio,2,FALSE)*$F16</f>
        <v>0</v>
      </c>
      <c r="H16" s="58">
        <f>VLOOKUP($E16,Ratio,3,FALSE)*$F16</f>
        <v>0</v>
      </c>
      <c r="I16" s="59">
        <f>VLOOKUP($E16,Ratio,4,FALSE)*$F16</f>
        <v>47345130</v>
      </c>
    </row>
    <row r="17" spans="1:9" ht="15.75" customHeight="1">
      <c r="A17" s="198"/>
      <c r="B17" s="357" t="s">
        <v>358</v>
      </c>
      <c r="C17" s="637">
        <v>262</v>
      </c>
      <c r="D17" s="638">
        <v>408.1</v>
      </c>
      <c r="E17" s="57" t="s">
        <v>57</v>
      </c>
      <c r="F17" s="539">
        <v>8193094</v>
      </c>
      <c r="G17" s="58">
        <f>VLOOKUP($E17,Ratio,2,FALSE)*$F17</f>
        <v>3163379.9876707285</v>
      </c>
      <c r="H17" s="58">
        <f>VLOOKUP($E17,Ratio,3,FALSE)*$F17</f>
        <v>939445.8937691785</v>
      </c>
      <c r="I17" s="59">
        <f>VLOOKUP($E17,Ratio,4,FALSE)*$F17</f>
        <v>4090268.1185600935</v>
      </c>
    </row>
    <row r="18" spans="1:9" ht="15.75" customHeight="1">
      <c r="A18" s="198"/>
      <c r="B18" s="357" t="s">
        <v>359</v>
      </c>
      <c r="C18" s="637">
        <v>262</v>
      </c>
      <c r="D18" s="638">
        <v>408.1</v>
      </c>
      <c r="E18" s="57" t="s">
        <v>5</v>
      </c>
      <c r="F18" s="539"/>
      <c r="G18" s="58">
        <f>VLOOKUP($E18,Ratio,2,FALSE)*$F18</f>
        <v>0</v>
      </c>
      <c r="H18" s="58">
        <f>VLOOKUP($E18,Ratio,3,FALSE)*$F18</f>
        <v>0</v>
      </c>
      <c r="I18" s="59">
        <f>VLOOKUP($E18,Ratio,4,FALSE)*$F18</f>
        <v>0</v>
      </c>
    </row>
    <row r="19" spans="1:9" ht="15.75" customHeight="1">
      <c r="A19" s="639" t="s">
        <v>360</v>
      </c>
      <c r="B19" s="640"/>
      <c r="C19" s="641"/>
      <c r="D19" s="642"/>
      <c r="E19" s="643"/>
      <c r="F19" s="121">
        <f>SUM(F16:F18)</f>
        <v>55538224</v>
      </c>
      <c r="G19" s="121">
        <f>SUM(G16:G18)</f>
        <v>3163379.9876707285</v>
      </c>
      <c r="H19" s="121">
        <f>SUM(H16:H18)</f>
        <v>939445.8937691785</v>
      </c>
      <c r="I19" s="122">
        <f>SUM(I16:I18)</f>
        <v>51435398.11856009</v>
      </c>
    </row>
    <row r="20" spans="1:9" ht="15.75" customHeight="1">
      <c r="A20" s="639"/>
      <c r="B20" s="640"/>
      <c r="C20" s="360"/>
      <c r="D20" s="630"/>
      <c r="E20" s="631"/>
      <c r="F20" s="644"/>
      <c r="G20" s="644"/>
      <c r="H20" s="644"/>
      <c r="I20" s="645"/>
    </row>
    <row r="21" spans="1:11" ht="15.75" customHeight="1">
      <c r="A21" s="317" t="s">
        <v>361</v>
      </c>
      <c r="B21" s="359"/>
      <c r="C21" s="646"/>
      <c r="D21" s="647"/>
      <c r="E21" s="631"/>
      <c r="F21" s="648"/>
      <c r="G21" s="648"/>
      <c r="H21" s="648"/>
      <c r="I21" s="649"/>
      <c r="K21" s="650"/>
    </row>
    <row r="22" spans="1:9" ht="15.75" customHeight="1">
      <c r="A22" s="198"/>
      <c r="B22" s="357" t="s">
        <v>362</v>
      </c>
      <c r="C22" s="635">
        <v>262</v>
      </c>
      <c r="D22" s="636">
        <v>408.1</v>
      </c>
      <c r="E22" s="57" t="s">
        <v>131</v>
      </c>
      <c r="F22" s="539">
        <f>4276812+6629310+1685588+9255128</f>
        <v>21846838</v>
      </c>
      <c r="G22" s="58">
        <f aca="true" t="shared" si="0" ref="G22:G28">VLOOKUP($E22,Ratio,2,FALSE)*$F22</f>
        <v>9764833.363186013</v>
      </c>
      <c r="H22" s="58">
        <f aca="true" t="shared" si="1" ref="H22:H28">VLOOKUP($E22,Ratio,3,FALSE)*$F22</f>
        <v>3825979.680199232</v>
      </c>
      <c r="I22" s="59">
        <f aca="true" t="shared" si="2" ref="I22:I28">VLOOKUP($E22,Ratio,4,FALSE)*$F22</f>
        <v>8256024.956614755</v>
      </c>
    </row>
    <row r="23" spans="1:9" ht="15.75" customHeight="1">
      <c r="A23" s="198"/>
      <c r="B23" s="357" t="s">
        <v>363</v>
      </c>
      <c r="C23" s="637">
        <v>262</v>
      </c>
      <c r="D23" s="638">
        <v>408.1</v>
      </c>
      <c r="E23" s="57" t="s">
        <v>57</v>
      </c>
      <c r="F23" s="539"/>
      <c r="G23" s="58">
        <f t="shared" si="0"/>
        <v>0</v>
      </c>
      <c r="H23" s="58">
        <f t="shared" si="1"/>
        <v>0</v>
      </c>
      <c r="I23" s="59">
        <f t="shared" si="2"/>
        <v>0</v>
      </c>
    </row>
    <row r="24" spans="1:9" ht="15.75" customHeight="1">
      <c r="A24" s="198"/>
      <c r="B24" s="357" t="s">
        <v>364</v>
      </c>
      <c r="C24" s="637">
        <v>262</v>
      </c>
      <c r="D24" s="638">
        <v>409.1</v>
      </c>
      <c r="E24" s="57" t="s">
        <v>5</v>
      </c>
      <c r="F24" s="539">
        <f>1205797+368000+19601315+22521699+2058+1246546+3812688</f>
        <v>48758103</v>
      </c>
      <c r="G24" s="58">
        <f t="shared" si="0"/>
        <v>0</v>
      </c>
      <c r="H24" s="58">
        <f t="shared" si="1"/>
        <v>0</v>
      </c>
      <c r="I24" s="59">
        <f t="shared" si="2"/>
        <v>48758103</v>
      </c>
    </row>
    <row r="25" spans="1:9" ht="15.75" customHeight="1">
      <c r="A25" s="198"/>
      <c r="B25" s="357" t="s">
        <v>365</v>
      </c>
      <c r="C25" s="635">
        <v>262</v>
      </c>
      <c r="D25" s="636">
        <v>408.1</v>
      </c>
      <c r="E25" s="57" t="s">
        <v>5</v>
      </c>
      <c r="F25" s="539">
        <f>33124+4083570</f>
        <v>4116694</v>
      </c>
      <c r="G25" s="58">
        <f t="shared" si="0"/>
        <v>0</v>
      </c>
      <c r="H25" s="58">
        <f t="shared" si="1"/>
        <v>0</v>
      </c>
      <c r="I25" s="59">
        <f t="shared" si="2"/>
        <v>4116694</v>
      </c>
    </row>
    <row r="26" spans="1:9" ht="15.75" customHeight="1">
      <c r="A26" s="198"/>
      <c r="B26" s="357" t="s">
        <v>366</v>
      </c>
      <c r="C26" s="637">
        <v>262</v>
      </c>
      <c r="D26" s="638">
        <v>408.1</v>
      </c>
      <c r="E26" s="57" t="s">
        <v>5</v>
      </c>
      <c r="F26" s="539">
        <f>10310</f>
        <v>10310</v>
      </c>
      <c r="G26" s="58">
        <f t="shared" si="0"/>
        <v>0</v>
      </c>
      <c r="H26" s="58">
        <f t="shared" si="1"/>
        <v>0</v>
      </c>
      <c r="I26" s="59">
        <f t="shared" si="2"/>
        <v>10310</v>
      </c>
    </row>
    <row r="27" spans="1:9" ht="15.75" customHeight="1">
      <c r="A27" s="198"/>
      <c r="B27" s="357" t="s">
        <v>367</v>
      </c>
      <c r="C27" s="635">
        <v>262</v>
      </c>
      <c r="D27" s="636">
        <v>408.1</v>
      </c>
      <c r="E27" s="57" t="s">
        <v>5</v>
      </c>
      <c r="F27" s="539">
        <v>11907</v>
      </c>
      <c r="G27" s="58">
        <f t="shared" si="0"/>
        <v>0</v>
      </c>
      <c r="H27" s="58">
        <f t="shared" si="1"/>
        <v>0</v>
      </c>
      <c r="I27" s="59">
        <f t="shared" si="2"/>
        <v>11907</v>
      </c>
    </row>
    <row r="28" spans="1:9" ht="15.75" customHeight="1">
      <c r="A28" s="198"/>
      <c r="B28" s="357" t="s">
        <v>26</v>
      </c>
      <c r="C28" s="637">
        <v>262</v>
      </c>
      <c r="D28" s="638">
        <v>408.1</v>
      </c>
      <c r="E28" s="57" t="s">
        <v>5</v>
      </c>
      <c r="F28" s="539">
        <f>1165137+364832</f>
        <v>1529969</v>
      </c>
      <c r="G28" s="58">
        <f t="shared" si="0"/>
        <v>0</v>
      </c>
      <c r="H28" s="58">
        <f t="shared" si="1"/>
        <v>0</v>
      </c>
      <c r="I28" s="59">
        <f t="shared" si="2"/>
        <v>1529969</v>
      </c>
    </row>
    <row r="29" spans="1:9" ht="15.75" customHeight="1">
      <c r="A29" s="639" t="s">
        <v>368</v>
      </c>
      <c r="B29" s="359"/>
      <c r="C29" s="641"/>
      <c r="D29" s="642"/>
      <c r="E29" s="643"/>
      <c r="F29" s="121">
        <f>SUM(F22:F28)</f>
        <v>76273821</v>
      </c>
      <c r="G29" s="121">
        <f>SUM(G22:G28)</f>
        <v>9764833.363186013</v>
      </c>
      <c r="H29" s="121">
        <f>SUM(H22:H28)</f>
        <v>3825979.680199232</v>
      </c>
      <c r="I29" s="122">
        <f>SUM(I22:I28)</f>
        <v>62683007.956614755</v>
      </c>
    </row>
    <row r="30" spans="1:9" ht="15.75" customHeight="1">
      <c r="A30" s="639"/>
      <c r="B30" s="359"/>
      <c r="C30" s="646"/>
      <c r="D30" s="647"/>
      <c r="E30" s="631"/>
      <c r="F30" s="651"/>
      <c r="G30" s="651"/>
      <c r="H30" s="651"/>
      <c r="I30" s="652"/>
    </row>
    <row r="31" spans="1:9" ht="15.75" customHeight="1">
      <c r="A31" s="639" t="s">
        <v>369</v>
      </c>
      <c r="B31" s="359"/>
      <c r="C31" s="641"/>
      <c r="D31" s="642"/>
      <c r="E31" s="643"/>
      <c r="F31" s="121">
        <f>F29+F19</f>
        <v>131812045</v>
      </c>
      <c r="G31" s="121">
        <f>G29+G19</f>
        <v>12928213.350856742</v>
      </c>
      <c r="H31" s="121">
        <f>H29+H19</f>
        <v>4765425.5739684105</v>
      </c>
      <c r="I31" s="122">
        <f>I29+I19</f>
        <v>114118406.07517484</v>
      </c>
    </row>
    <row r="32" spans="1:9" ht="15.75" customHeight="1">
      <c r="A32" s="639"/>
      <c r="B32" s="359"/>
      <c r="C32" s="646"/>
      <c r="D32" s="647"/>
      <c r="E32" s="631"/>
      <c r="F32" s="653"/>
      <c r="G32" s="653"/>
      <c r="H32" s="653"/>
      <c r="I32" s="654"/>
    </row>
    <row r="33" spans="1:11" ht="15.75" customHeight="1" thickBot="1">
      <c r="A33" s="272"/>
      <c r="B33" s="273"/>
      <c r="C33" s="273"/>
      <c r="D33" s="273"/>
      <c r="E33" s="273"/>
      <c r="F33" s="657"/>
      <c r="G33" s="273"/>
      <c r="H33" s="273"/>
      <c r="I33" s="274"/>
      <c r="K33" s="344"/>
    </row>
    <row r="34" spans="1:11" ht="16.5" thickTop="1">
      <c r="A34" s="344"/>
      <c r="B34" s="344"/>
      <c r="C34" s="344"/>
      <c r="D34" s="344"/>
      <c r="E34" s="344"/>
      <c r="F34" s="344"/>
      <c r="G34" s="344"/>
      <c r="H34" s="344"/>
      <c r="I34" s="344"/>
      <c r="K34" s="344"/>
    </row>
    <row r="35" spans="1:11" ht="15.75">
      <c r="A35" s="344"/>
      <c r="B35" s="344"/>
      <c r="C35" s="344"/>
      <c r="D35" s="344"/>
      <c r="E35" s="344"/>
      <c r="F35" s="344"/>
      <c r="G35" s="344"/>
      <c r="H35" s="344"/>
      <c r="I35" s="344"/>
      <c r="K35" s="344"/>
    </row>
    <row r="36" spans="1:11" ht="15.75">
      <c r="A36" s="344"/>
      <c r="B36" s="344"/>
      <c r="C36" s="344"/>
      <c r="D36" s="344"/>
      <c r="E36" s="344"/>
      <c r="F36" s="344"/>
      <c r="G36" s="344"/>
      <c r="H36" s="344"/>
      <c r="I36" s="344"/>
      <c r="K36" s="344"/>
    </row>
    <row r="37" spans="1:11" ht="15.75">
      <c r="A37" s="344"/>
      <c r="B37" s="344"/>
      <c r="C37" s="344"/>
      <c r="D37" s="344"/>
      <c r="E37" s="344"/>
      <c r="F37" s="344"/>
      <c r="G37" s="344"/>
      <c r="H37" s="344"/>
      <c r="I37" s="344"/>
      <c r="K37" s="344"/>
    </row>
    <row r="38" spans="1:11" ht="15.75">
      <c r="A38" s="344"/>
      <c r="B38" s="344"/>
      <c r="C38" s="344"/>
      <c r="D38" s="344"/>
      <c r="E38" s="344"/>
      <c r="F38" s="344"/>
      <c r="G38" s="344"/>
      <c r="H38" s="344"/>
      <c r="I38" s="344"/>
      <c r="K38" s="344"/>
    </row>
    <row r="39" spans="1:11" ht="15.75">
      <c r="A39" s="344"/>
      <c r="B39" s="344"/>
      <c r="C39" s="344"/>
      <c r="D39" s="344"/>
      <c r="E39" s="344"/>
      <c r="F39" s="344"/>
      <c r="G39" s="344"/>
      <c r="H39" s="344"/>
      <c r="I39" s="344"/>
      <c r="K39" s="344"/>
    </row>
    <row r="40" spans="1:11" ht="15.75">
      <c r="A40" s="344"/>
      <c r="B40" s="344"/>
      <c r="C40" s="344"/>
      <c r="D40" s="344"/>
      <c r="E40" s="344"/>
      <c r="F40" s="344"/>
      <c r="G40" s="344"/>
      <c r="H40" s="344"/>
      <c r="I40" s="344"/>
      <c r="K40" s="344"/>
    </row>
    <row r="41" spans="1:11" ht="15.75">
      <c r="A41" s="344"/>
      <c r="B41" s="344"/>
      <c r="C41" s="344"/>
      <c r="D41" s="344"/>
      <c r="E41" s="344"/>
      <c r="F41" s="344"/>
      <c r="G41" s="344"/>
      <c r="H41" s="344"/>
      <c r="I41" s="344"/>
      <c r="K41" s="344"/>
    </row>
  </sheetData>
  <mergeCells count="12">
    <mergeCell ref="A1:I1"/>
    <mergeCell ref="A2:I2"/>
    <mergeCell ref="A3:I3"/>
    <mergeCell ref="A9:I9"/>
    <mergeCell ref="E5:G5"/>
    <mergeCell ref="E6:G6"/>
    <mergeCell ref="E7:G7"/>
    <mergeCell ref="A11:B13"/>
    <mergeCell ref="F11:F13"/>
    <mergeCell ref="G11:G13"/>
    <mergeCell ref="H11:H13"/>
    <mergeCell ref="E11:E13"/>
  </mergeCells>
  <printOptions horizontalCentered="1"/>
  <pageMargins left="0.2" right="0.28" top="0.54" bottom="0.66" header="0.25" footer="0.25"/>
  <pageSetup fitToHeight="2" horizontalDpi="600" verticalDpi="600" orientation="landscape" paperSize="9" scale="83" r:id="rId1"/>
  <headerFooter alignWithMargins="0">
    <oddFooter>&amp;L&amp;F
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71"/>
  <sheetViews>
    <sheetView zoomScale="60" zoomScaleNormal="60" workbookViewId="0" topLeftCell="A1">
      <selection activeCell="L161" sqref="L161"/>
    </sheetView>
  </sheetViews>
  <sheetFormatPr defaultColWidth="9.00390625" defaultRowHeight="15.75"/>
  <cols>
    <col min="1" max="1" width="5.375" style="218" customWidth="1"/>
    <col min="2" max="2" width="46.125" style="218" customWidth="1"/>
    <col min="3" max="4" width="10.625" style="218" customWidth="1"/>
    <col min="5" max="5" width="10.00390625" style="218" customWidth="1"/>
    <col min="6" max="6" width="9.375" style="218" customWidth="1"/>
    <col min="7" max="7" width="16.125" style="218" bestFit="1" customWidth="1"/>
    <col min="8" max="8" width="16.625" style="218" bestFit="1" customWidth="1"/>
    <col min="9" max="10" width="14.50390625" style="218" customWidth="1"/>
    <col min="11" max="11" width="9.00390625" style="218" customWidth="1"/>
    <col min="12" max="12" width="10.625" style="218" bestFit="1" customWidth="1"/>
    <col min="13" max="13" width="13.25390625" style="218" bestFit="1" customWidth="1"/>
    <col min="14" max="14" width="12.50390625" style="218" bestFit="1" customWidth="1"/>
    <col min="15" max="16384" width="9.00390625" style="218" customWidth="1"/>
  </cols>
  <sheetData>
    <row r="1" spans="1:10" ht="19.5" thickTop="1">
      <c r="A1" s="241" t="s">
        <v>0</v>
      </c>
      <c r="B1" s="242"/>
      <c r="C1" s="509"/>
      <c r="D1" s="509"/>
      <c r="E1" s="509"/>
      <c r="F1" s="509"/>
      <c r="G1" s="509"/>
      <c r="H1" s="509"/>
      <c r="I1" s="509"/>
      <c r="J1" s="511"/>
    </row>
    <row r="2" spans="1:10" ht="15.75">
      <c r="A2" s="244" t="s">
        <v>168</v>
      </c>
      <c r="B2" s="245"/>
      <c r="C2" s="512"/>
      <c r="D2" s="512"/>
      <c r="E2" s="512"/>
      <c r="F2" s="512"/>
      <c r="G2" s="512"/>
      <c r="H2" s="512"/>
      <c r="I2" s="512"/>
      <c r="J2" s="514"/>
    </row>
    <row r="3" spans="1:10" ht="15.75">
      <c r="A3" s="247" t="s">
        <v>169</v>
      </c>
      <c r="B3" s="12"/>
      <c r="C3" s="13"/>
      <c r="D3" s="13"/>
      <c r="E3" s="14"/>
      <c r="F3" s="14"/>
      <c r="G3" s="15"/>
      <c r="H3" s="16"/>
      <c r="I3" s="17"/>
      <c r="J3" s="251"/>
    </row>
    <row r="4" spans="1:10" ht="13.5" customHeight="1" thickBot="1">
      <c r="A4" s="247"/>
      <c r="B4" s="12"/>
      <c r="C4" s="13"/>
      <c r="D4" s="13"/>
      <c r="E4" s="14"/>
      <c r="F4" s="14"/>
      <c r="G4" s="15"/>
      <c r="H4" s="16"/>
      <c r="I4" s="17"/>
      <c r="J4" s="251"/>
    </row>
    <row r="5" spans="1:10" ht="15.75" customHeight="1">
      <c r="A5" s="247"/>
      <c r="B5" s="12"/>
      <c r="C5" s="13"/>
      <c r="D5" s="10" t="s">
        <v>7</v>
      </c>
      <c r="E5" s="866" t="s">
        <v>8</v>
      </c>
      <c r="F5" s="867"/>
      <c r="G5" s="868"/>
      <c r="H5" s="16"/>
      <c r="I5" s="17"/>
      <c r="J5" s="251"/>
    </row>
    <row r="6" spans="1:10" ht="15.75" customHeight="1">
      <c r="A6" s="247"/>
      <c r="B6" s="12"/>
      <c r="C6" s="13"/>
      <c r="D6" s="10" t="s">
        <v>9</v>
      </c>
      <c r="E6" s="869">
        <v>39082</v>
      </c>
      <c r="F6" s="857"/>
      <c r="G6" s="858"/>
      <c r="H6" s="16"/>
      <c r="I6" s="17"/>
      <c r="J6" s="251"/>
    </row>
    <row r="7" spans="1:10" ht="15.75" customHeight="1" thickBot="1">
      <c r="A7" s="247"/>
      <c r="B7" s="12"/>
      <c r="C7" s="13"/>
      <c r="D7" s="10" t="s">
        <v>10</v>
      </c>
      <c r="E7" s="859">
        <v>39575</v>
      </c>
      <c r="F7" s="860"/>
      <c r="G7" s="746"/>
      <c r="H7" s="16"/>
      <c r="I7" s="17"/>
      <c r="J7" s="251"/>
    </row>
    <row r="8" spans="1:10" ht="9.75" customHeight="1">
      <c r="A8" s="247"/>
      <c r="B8" s="12"/>
      <c r="C8" s="13"/>
      <c r="D8" s="13"/>
      <c r="E8" s="14"/>
      <c r="F8" s="14"/>
      <c r="G8" s="15"/>
      <c r="H8" s="16"/>
      <c r="I8" s="17"/>
      <c r="J8" s="251"/>
    </row>
    <row r="9" spans="1:14" ht="15.75">
      <c r="A9" s="252" t="s">
        <v>370</v>
      </c>
      <c r="B9" s="12"/>
      <c r="C9" s="13"/>
      <c r="D9" s="13"/>
      <c r="E9" s="14"/>
      <c r="F9" s="14"/>
      <c r="G9" s="15"/>
      <c r="H9" s="16"/>
      <c r="I9" s="17"/>
      <c r="J9" s="251"/>
      <c r="L9"/>
      <c r="M9"/>
      <c r="N9"/>
    </row>
    <row r="10" spans="1:14" ht="9" customHeight="1" thickBot="1">
      <c r="A10" s="658"/>
      <c r="B10" s="12"/>
      <c r="C10" s="13"/>
      <c r="D10" s="13"/>
      <c r="E10" s="14"/>
      <c r="F10" s="14"/>
      <c r="G10" s="15"/>
      <c r="H10" s="16"/>
      <c r="I10" s="17"/>
      <c r="J10" s="251"/>
      <c r="L10"/>
      <c r="M10"/>
      <c r="N10"/>
    </row>
    <row r="11" spans="1:14" ht="16.5" thickBot="1">
      <c r="A11" s="892" t="s">
        <v>12</v>
      </c>
      <c r="B11" s="874"/>
      <c r="C11" s="659" t="s">
        <v>13</v>
      </c>
      <c r="D11" s="660"/>
      <c r="E11" s="25" t="s">
        <v>14</v>
      </c>
      <c r="F11" s="26"/>
      <c r="G11" s="661"/>
      <c r="H11" s="662"/>
      <c r="I11" s="662"/>
      <c r="J11" s="29"/>
      <c r="L11"/>
      <c r="M11"/>
      <c r="N11"/>
    </row>
    <row r="12" spans="1:14" ht="16.5" thickBot="1">
      <c r="A12" s="901"/>
      <c r="B12" s="876"/>
      <c r="C12" s="31" t="s">
        <v>18</v>
      </c>
      <c r="D12" s="30" t="s">
        <v>19</v>
      </c>
      <c r="E12" s="33" t="s">
        <v>20</v>
      </c>
      <c r="F12" s="34"/>
      <c r="G12" s="35" t="s">
        <v>30</v>
      </c>
      <c r="H12" s="36"/>
      <c r="I12" s="36"/>
      <c r="J12" s="39" t="s">
        <v>21</v>
      </c>
      <c r="L12"/>
      <c r="M12"/>
      <c r="N12"/>
    </row>
    <row r="13" spans="1:14" ht="16.5" thickBot="1">
      <c r="A13" s="902"/>
      <c r="B13" s="903"/>
      <c r="C13" s="527" t="s">
        <v>22</v>
      </c>
      <c r="D13" s="526" t="s">
        <v>23</v>
      </c>
      <c r="E13" s="529" t="s">
        <v>24</v>
      </c>
      <c r="F13" s="529" t="s">
        <v>25</v>
      </c>
      <c r="G13" s="663" t="s">
        <v>15</v>
      </c>
      <c r="H13" s="530" t="s">
        <v>16</v>
      </c>
      <c r="I13" s="530" t="s">
        <v>17</v>
      </c>
      <c r="J13" s="531" t="s">
        <v>26</v>
      </c>
      <c r="L13"/>
      <c r="M13"/>
      <c r="N13"/>
    </row>
    <row r="14" spans="1:14" ht="16.5" thickTop="1">
      <c r="A14" s="664" t="s">
        <v>371</v>
      </c>
      <c r="B14" s="665"/>
      <c r="C14" s="666"/>
      <c r="D14" s="667"/>
      <c r="E14" s="48"/>
      <c r="F14" s="48"/>
      <c r="G14" s="374"/>
      <c r="H14" s="374"/>
      <c r="I14" s="374"/>
      <c r="J14" s="373"/>
      <c r="L14"/>
      <c r="M14"/>
      <c r="N14"/>
    </row>
    <row r="15" spans="1:14" s="344" customFormat="1" ht="12.75">
      <c r="A15" s="668"/>
      <c r="B15" s="546" t="s">
        <v>372</v>
      </c>
      <c r="C15" s="669">
        <v>114</v>
      </c>
      <c r="D15" s="547">
        <v>407.4</v>
      </c>
      <c r="E15" s="57" t="s">
        <v>1</v>
      </c>
      <c r="F15" s="57" t="s">
        <v>5</v>
      </c>
      <c r="G15" s="670">
        <f>'[1]114-117 Statement of Income'!J14</f>
        <v>17989452</v>
      </c>
      <c r="H15" s="58">
        <f>IF($E15="DIRECT",$L15,VLOOKUP($E15,Ratio,2,FALSE)*$G15)</f>
        <v>238789</v>
      </c>
      <c r="I15" s="58">
        <f>IF($E15="DIRECT",$M15,VLOOKUP($E15,Ratio,3,FALSE)*$G15)</f>
        <v>0</v>
      </c>
      <c r="J15" s="59">
        <f>IF($E15="DIRECT",$N15,VLOOKUP($E15,Ratio,4,FALSE)*$G15)</f>
        <v>17750663</v>
      </c>
      <c r="L15" s="344">
        <v>238789</v>
      </c>
      <c r="N15" s="344">
        <f>17989452-238789</f>
        <v>17750663</v>
      </c>
    </row>
    <row r="16" spans="1:12" s="344" customFormat="1" ht="13.5">
      <c r="A16" s="668"/>
      <c r="B16" s="671" t="s">
        <v>473</v>
      </c>
      <c r="C16" s="669">
        <v>114</v>
      </c>
      <c r="D16" s="547">
        <v>407.3</v>
      </c>
      <c r="E16" s="57" t="s">
        <v>1</v>
      </c>
      <c r="F16" s="57" t="s">
        <v>5</v>
      </c>
      <c r="G16" s="670">
        <f>'[1]114-117 Statement of Income'!J13</f>
        <v>337368</v>
      </c>
      <c r="H16" s="58">
        <f>IF($E16="DIRECT",$L16,VLOOKUP($E16,Ratio,2,FALSE)*$G16)</f>
        <v>337368</v>
      </c>
      <c r="I16" s="58">
        <f>IF($E16="DIRECT",$M16,VLOOKUP($E16,Ratio,3,FALSE)*$G16)</f>
        <v>0</v>
      </c>
      <c r="J16" s="59">
        <f>IF($E16="DIRECT",$N16,VLOOKUP($E16,Ratio,4,FALSE)*$G16)</f>
        <v>0</v>
      </c>
      <c r="L16" s="344">
        <v>337368</v>
      </c>
    </row>
    <row r="17" spans="1:10" s="344" customFormat="1" ht="12.75">
      <c r="A17" s="533"/>
      <c r="B17" s="545" t="s">
        <v>373</v>
      </c>
      <c r="C17" s="669">
        <v>114</v>
      </c>
      <c r="D17" s="547">
        <v>411.6</v>
      </c>
      <c r="E17" s="57" t="s">
        <v>1</v>
      </c>
      <c r="F17" s="57" t="s">
        <v>5</v>
      </c>
      <c r="G17" s="670">
        <f>'[1]114-117 Statement of Income'!K21</f>
        <v>0</v>
      </c>
      <c r="H17" s="58">
        <f>IF($E17="DIRECT",$L17,VLOOKUP($E17,Ratio,2,FALSE)*$G17)</f>
        <v>0</v>
      </c>
      <c r="I17" s="58">
        <f>IF($E17="DIRECT",$M17,VLOOKUP($E17,Ratio,3,FALSE)*$G17)</f>
        <v>0</v>
      </c>
      <c r="J17" s="59">
        <f>IF($E17="DIRECT",$N17,VLOOKUP($E17,Ratio,4,FALSE)*$G17)</f>
        <v>0</v>
      </c>
    </row>
    <row r="18" spans="1:10" s="344" customFormat="1" ht="13.5">
      <c r="A18" s="533"/>
      <c r="B18" s="672" t="s">
        <v>474</v>
      </c>
      <c r="C18" s="669">
        <v>114</v>
      </c>
      <c r="D18" s="547" t="s">
        <v>374</v>
      </c>
      <c r="E18" s="57" t="s">
        <v>1</v>
      </c>
      <c r="F18" s="57" t="s">
        <v>5</v>
      </c>
      <c r="G18" s="670">
        <f>'[1]114-117 Statement of Income'!K22</f>
        <v>0</v>
      </c>
      <c r="H18" s="58">
        <f>IF($E18="DIRECT",$L18,VLOOKUP($E18,Ratio,2,FALSE)*$G18)</f>
        <v>0</v>
      </c>
      <c r="I18" s="58">
        <f>IF($E18="DIRECT",$M18,VLOOKUP($E18,Ratio,3,FALSE)*$G18)</f>
        <v>0</v>
      </c>
      <c r="J18" s="59">
        <f>IF($E18="DIRECT",$N18,VLOOKUP($E18,Ratio,4,FALSE)*$G18)</f>
        <v>0</v>
      </c>
    </row>
    <row r="19" spans="1:10" s="344" customFormat="1" ht="12.75">
      <c r="A19" s="533"/>
      <c r="B19" s="545" t="s">
        <v>375</v>
      </c>
      <c r="C19" s="669">
        <v>114</v>
      </c>
      <c r="D19" s="547">
        <v>411.8</v>
      </c>
      <c r="E19" s="56" t="s">
        <v>6</v>
      </c>
      <c r="F19" s="56"/>
      <c r="G19" s="670">
        <f>'[1]114-117 Statement of Income'!K23</f>
        <v>0</v>
      </c>
      <c r="H19" s="670">
        <f>VLOOKUP($E19,Ratio,2,FALSE)*$G19</f>
        <v>0</v>
      </c>
      <c r="I19" s="670">
        <f>VLOOKUP($E19,Ratio,3,FALSE)*$G19</f>
        <v>0</v>
      </c>
      <c r="J19" s="673">
        <f>VLOOKUP($E19,Ratio,4,FALSE)*$G19</f>
        <v>0</v>
      </c>
    </row>
    <row r="20" spans="1:10" s="344" customFormat="1" ht="13.5">
      <c r="A20" s="533"/>
      <c r="B20" s="672" t="s">
        <v>475</v>
      </c>
      <c r="C20" s="669">
        <v>114</v>
      </c>
      <c r="D20" s="547">
        <v>411.9</v>
      </c>
      <c r="E20" s="56" t="s">
        <v>6</v>
      </c>
      <c r="F20" s="56"/>
      <c r="G20" s="670">
        <f>'[1]114-117 Statement of Income'!K24</f>
        <v>0</v>
      </c>
      <c r="H20" s="670">
        <f>VLOOKUP($E20,Ratio,2,FALSE)*$G20</f>
        <v>0</v>
      </c>
      <c r="I20" s="670">
        <f>VLOOKUP($E20,Ratio,3,FALSE)*$G20</f>
        <v>0</v>
      </c>
      <c r="J20" s="673">
        <f>VLOOKUP($E20,Ratio,4,FALSE)*$G20</f>
        <v>0</v>
      </c>
    </row>
    <row r="21" spans="1:10" s="344" customFormat="1" ht="12.75">
      <c r="A21" s="533"/>
      <c r="B21" s="545" t="s">
        <v>376</v>
      </c>
      <c r="C21" s="669">
        <v>114</v>
      </c>
      <c r="D21" s="547">
        <v>421</v>
      </c>
      <c r="E21" s="56" t="s">
        <v>1</v>
      </c>
      <c r="F21" s="56" t="s">
        <v>6</v>
      </c>
      <c r="G21" s="670">
        <f>'[1]114-117 Statement of Income'!K25</f>
        <v>0</v>
      </c>
      <c r="H21" s="58">
        <f>IF($E21="DIRECT",$L21,VLOOKUP($E21,Ratio,2,FALSE)*$G21)</f>
        <v>0</v>
      </c>
      <c r="I21" s="58">
        <f>IF($E21="DIRECT",$M21,VLOOKUP($E21,Ratio,3,FALSE)*$G21)</f>
        <v>0</v>
      </c>
      <c r="J21" s="59">
        <f>IF($E21="DIRECT",$N21,VLOOKUP($E21,Ratio,4,FALSE)*$G21)</f>
        <v>0</v>
      </c>
    </row>
    <row r="22" spans="1:14" ht="15.75">
      <c r="A22" s="97" t="s">
        <v>377</v>
      </c>
      <c r="B22" s="674"/>
      <c r="C22" s="675"/>
      <c r="D22" s="676"/>
      <c r="E22" s="677"/>
      <c r="F22" s="677"/>
      <c r="G22" s="678">
        <f>G15-G16+G17-G18+G19-G20+G21</f>
        <v>17652084</v>
      </c>
      <c r="H22" s="678">
        <f>H15-H16+H17-H18+H19-H20+H21</f>
        <v>-98579</v>
      </c>
      <c r="I22" s="678">
        <f>I15-I16+I17-I18+I19-I20+I21</f>
        <v>0</v>
      </c>
      <c r="J22" s="679">
        <f>J15-J16+J17-J18+J19-J20+J21</f>
        <v>17750663</v>
      </c>
      <c r="L22"/>
      <c r="M22"/>
      <c r="N22"/>
    </row>
    <row r="23" spans="1:14" ht="15.75">
      <c r="A23" s="680"/>
      <c r="B23" s="674"/>
      <c r="C23" s="681"/>
      <c r="D23" s="681"/>
      <c r="E23" s="681"/>
      <c r="F23" s="681"/>
      <c r="G23" s="682"/>
      <c r="H23" s="682"/>
      <c r="I23" s="682"/>
      <c r="J23" s="683"/>
      <c r="L23"/>
      <c r="M23"/>
      <c r="N23"/>
    </row>
    <row r="24" spans="1:14" ht="15.75">
      <c r="A24" s="45" t="s">
        <v>378</v>
      </c>
      <c r="B24" s="674"/>
      <c r="C24" s="681"/>
      <c r="D24" s="681"/>
      <c r="E24" s="681"/>
      <c r="F24" s="681"/>
      <c r="G24" s="682"/>
      <c r="H24" s="682"/>
      <c r="I24" s="682"/>
      <c r="J24" s="683"/>
      <c r="L24"/>
      <c r="M24"/>
      <c r="N24"/>
    </row>
    <row r="25" spans="1:10" s="344" customFormat="1" ht="12.75">
      <c r="A25" s="684"/>
      <c r="B25" s="86" t="s">
        <v>352</v>
      </c>
      <c r="C25" s="685">
        <v>310</v>
      </c>
      <c r="D25" s="57">
        <v>447</v>
      </c>
      <c r="E25" s="56" t="s">
        <v>6</v>
      </c>
      <c r="F25" s="56"/>
      <c r="G25" s="686">
        <f>'PP &amp; OSS WorkSheet'!D36</f>
        <v>175572595</v>
      </c>
      <c r="H25" s="670">
        <f>VLOOKUP($E25,Ratio,2,FALSE)*$G25</f>
        <v>175572595</v>
      </c>
      <c r="I25" s="670">
        <f>VLOOKUP($E25,Ratio,3,FALSE)*$G25</f>
        <v>0</v>
      </c>
      <c r="J25" s="673">
        <f>VLOOKUP($E25,Ratio,4,FALSE)*$G25</f>
        <v>0</v>
      </c>
    </row>
    <row r="26" spans="1:14" ht="15.75">
      <c r="A26" s="111" t="s">
        <v>379</v>
      </c>
      <c r="B26" s="687"/>
      <c r="C26" s="675"/>
      <c r="D26" s="676"/>
      <c r="E26" s="677"/>
      <c r="F26" s="677"/>
      <c r="G26" s="678">
        <f>SUM(G25)</f>
        <v>175572595</v>
      </c>
      <c r="H26" s="678">
        <f>SUM(H25)</f>
        <v>175572595</v>
      </c>
      <c r="I26" s="678">
        <f>SUM(I25)</f>
        <v>0</v>
      </c>
      <c r="J26" s="679">
        <f>SUM(J25)</f>
        <v>0</v>
      </c>
      <c r="L26"/>
      <c r="M26"/>
      <c r="N26"/>
    </row>
    <row r="27" spans="1:14" ht="15.75">
      <c r="A27" s="688"/>
      <c r="B27" s="687"/>
      <c r="C27" s="681"/>
      <c r="D27" s="681"/>
      <c r="E27" s="681"/>
      <c r="F27" s="681"/>
      <c r="G27" s="682"/>
      <c r="H27" s="682"/>
      <c r="I27" s="682"/>
      <c r="J27" s="683"/>
      <c r="L27"/>
      <c r="M27"/>
      <c r="N27"/>
    </row>
    <row r="28" spans="1:14" ht="15.75">
      <c r="A28" s="146" t="s">
        <v>380</v>
      </c>
      <c r="B28" s="687"/>
      <c r="C28" s="681"/>
      <c r="D28" s="681"/>
      <c r="E28" s="681"/>
      <c r="F28" s="681"/>
      <c r="G28" s="682"/>
      <c r="H28" s="682"/>
      <c r="I28" s="682"/>
      <c r="J28" s="683"/>
      <c r="L28"/>
      <c r="M28"/>
      <c r="N28"/>
    </row>
    <row r="29" spans="1:10" s="344" customFormat="1" ht="12.75">
      <c r="A29" s="689"/>
      <c r="B29" s="169" t="s">
        <v>381</v>
      </c>
      <c r="C29" s="685">
        <v>300</v>
      </c>
      <c r="D29" s="57">
        <v>450</v>
      </c>
      <c r="E29" s="56" t="s">
        <v>5</v>
      </c>
      <c r="F29" s="56"/>
      <c r="G29" s="670">
        <f>'[1]300-301 Elect Oper Revenues'!G17</f>
        <v>0</v>
      </c>
      <c r="H29" s="670">
        <f>VLOOKUP($E29,Ratio,2,FALSE)*$G29</f>
        <v>0</v>
      </c>
      <c r="I29" s="670">
        <f>VLOOKUP($E29,Ratio,3,FALSE)*$G29</f>
        <v>0</v>
      </c>
      <c r="J29" s="673">
        <f>VLOOKUP($E29,Ratio,4,FALSE)*$G29</f>
        <v>0</v>
      </c>
    </row>
    <row r="30" spans="1:10" s="344" customFormat="1" ht="12.75">
      <c r="A30" s="689"/>
      <c r="B30" s="169" t="s">
        <v>382</v>
      </c>
      <c r="C30" s="685">
        <v>300</v>
      </c>
      <c r="D30" s="57" t="s">
        <v>383</v>
      </c>
      <c r="E30" s="56" t="s">
        <v>5</v>
      </c>
      <c r="F30" s="56"/>
      <c r="G30" s="670">
        <f>'[1]300-301 Elect Oper Revenues'!G18</f>
        <v>447333</v>
      </c>
      <c r="H30" s="670">
        <f>VLOOKUP($E30,Ratio,2,FALSE)*$G30</f>
        <v>0</v>
      </c>
      <c r="I30" s="670">
        <f>VLOOKUP($E30,Ratio,3,FALSE)*$G30</f>
        <v>0</v>
      </c>
      <c r="J30" s="673">
        <f>VLOOKUP($E30,Ratio,4,FALSE)*$G30</f>
        <v>447333</v>
      </c>
    </row>
    <row r="31" spans="1:10" s="344" customFormat="1" ht="12.75">
      <c r="A31" s="689"/>
      <c r="B31" s="169" t="s">
        <v>384</v>
      </c>
      <c r="C31" s="685">
        <v>300</v>
      </c>
      <c r="D31" s="57" t="s">
        <v>385</v>
      </c>
      <c r="E31" s="56" t="s">
        <v>6</v>
      </c>
      <c r="F31" s="56"/>
      <c r="G31" s="670">
        <f>'[1]300-301 Elect Oper Revenues'!G19</f>
        <v>230504</v>
      </c>
      <c r="H31" s="670">
        <f>VLOOKUP($E31,Ratio,2,FALSE)*$G31</f>
        <v>230504</v>
      </c>
      <c r="I31" s="670">
        <f>VLOOKUP($E31,Ratio,3,FALSE)*$G31</f>
        <v>0</v>
      </c>
      <c r="J31" s="673">
        <f>VLOOKUP($E31,Ratio,4,FALSE)*$G31</f>
        <v>0</v>
      </c>
    </row>
    <row r="32" spans="1:10" s="344" customFormat="1" ht="12.75">
      <c r="A32" s="689"/>
      <c r="B32" s="169" t="s">
        <v>386</v>
      </c>
      <c r="C32" s="685">
        <v>300</v>
      </c>
      <c r="D32" s="57" t="s">
        <v>387</v>
      </c>
      <c r="E32" s="56" t="s">
        <v>59</v>
      </c>
      <c r="F32" s="56"/>
      <c r="G32" s="670">
        <f>'[1]300-301 Elect Oper Revenues'!G20</f>
        <v>2592254</v>
      </c>
      <c r="H32" s="670">
        <f>VLOOKUP($E32,Ratio,2,FALSE)*$G32</f>
        <v>0</v>
      </c>
      <c r="I32" s="670">
        <f>VLOOKUP($E32,Ratio,3,FALSE)*$G32</f>
        <v>818285.9786149393</v>
      </c>
      <c r="J32" s="673">
        <f>VLOOKUP($E32,Ratio,4,FALSE)*$G32</f>
        <v>1773968.0213850609</v>
      </c>
    </row>
    <row r="33" spans="1:10" s="344" customFormat="1" ht="12.75">
      <c r="A33" s="689"/>
      <c r="B33" s="169" t="s">
        <v>388</v>
      </c>
      <c r="C33" s="685">
        <v>300</v>
      </c>
      <c r="D33" s="57">
        <v>455</v>
      </c>
      <c r="E33" s="56" t="s">
        <v>5</v>
      </c>
      <c r="F33" s="56"/>
      <c r="G33" s="670">
        <f>'[1]300-301 Elect Oper Revenues'!G21</f>
        <v>0</v>
      </c>
      <c r="H33" s="670">
        <f>VLOOKUP($E33,Ratio,2,FALSE)*$G33</f>
        <v>0</v>
      </c>
      <c r="I33" s="670">
        <f>VLOOKUP($E33,Ratio,3,FALSE)*$G33</f>
        <v>0</v>
      </c>
      <c r="J33" s="673">
        <f>VLOOKUP($E33,Ratio,4,FALSE)*$G33</f>
        <v>0</v>
      </c>
    </row>
    <row r="34" spans="1:14" s="344" customFormat="1" ht="12.75">
      <c r="A34" s="689"/>
      <c r="B34" s="169" t="s">
        <v>389</v>
      </c>
      <c r="C34" s="685">
        <v>300</v>
      </c>
      <c r="D34" s="57" t="s">
        <v>390</v>
      </c>
      <c r="E34" s="56" t="s">
        <v>1</v>
      </c>
      <c r="F34" s="56" t="s">
        <v>6</v>
      </c>
      <c r="G34" s="670">
        <v>53187494</v>
      </c>
      <c r="H34" s="58">
        <f>IF($E34="DIRECT",$L34,VLOOKUP($E34,Ratio,2,FALSE)*$G34)</f>
        <v>49084005</v>
      </c>
      <c r="I34" s="58">
        <f>IF($E34="DIRECT",$M34,VLOOKUP($E34,Ratio,3,FALSE)*$G34)</f>
        <v>0</v>
      </c>
      <c r="J34" s="59">
        <f>IF($E34="DIRECT",$N34,VLOOKUP($E34,Ratio,4,FALSE)*$G34)</f>
        <v>4103489</v>
      </c>
      <c r="L34" s="344">
        <v>49084005</v>
      </c>
      <c r="N34" s="344">
        <v>4103489</v>
      </c>
    </row>
    <row r="35" spans="1:10" s="344" customFormat="1" ht="12.75">
      <c r="A35" s="689"/>
      <c r="B35" s="169" t="s">
        <v>391</v>
      </c>
      <c r="C35" s="685">
        <v>330</v>
      </c>
      <c r="D35" s="56">
        <v>456.1</v>
      </c>
      <c r="E35" s="56" t="s">
        <v>47</v>
      </c>
      <c r="F35" s="56"/>
      <c r="G35" s="670">
        <v>10539323</v>
      </c>
      <c r="H35" s="670">
        <f>VLOOKUP($E35,Ratio,2,FALSE)*$G35</f>
        <v>0</v>
      </c>
      <c r="I35" s="670">
        <f>VLOOKUP($E35,Ratio,3,FALSE)*$G35</f>
        <v>10539323</v>
      </c>
      <c r="J35" s="673">
        <f>VLOOKUP($E35,Ratio,4,FALSE)*$G35</f>
        <v>0</v>
      </c>
    </row>
    <row r="36" spans="1:10" s="344" customFormat="1" ht="12.75">
      <c r="A36" s="684"/>
      <c r="B36" s="169"/>
      <c r="C36" s="94"/>
      <c r="D36" s="101"/>
      <c r="E36" s="75"/>
      <c r="F36" s="75"/>
      <c r="G36" s="77"/>
      <c r="H36" s="77"/>
      <c r="I36" s="77"/>
      <c r="J36" s="119"/>
    </row>
    <row r="37" spans="1:10" ht="15.75">
      <c r="A37" s="111" t="s">
        <v>392</v>
      </c>
      <c r="B37" s="687"/>
      <c r="C37" s="690"/>
      <c r="D37" s="691"/>
      <c r="E37" s="691"/>
      <c r="F37" s="692"/>
      <c r="G37" s="678">
        <f>SUM(G29:G36)</f>
        <v>66996908</v>
      </c>
      <c r="H37" s="678">
        <f>SUM(H29:H36)</f>
        <v>49314509</v>
      </c>
      <c r="I37" s="678">
        <f>SUM(I29:I36)</f>
        <v>11357608.97861494</v>
      </c>
      <c r="J37" s="679">
        <f>SUM(J29:J36)</f>
        <v>6324790.021385061</v>
      </c>
    </row>
    <row r="38" spans="1:10" ht="15.75">
      <c r="A38" s="693"/>
      <c r="B38" s="687"/>
      <c r="C38" s="681"/>
      <c r="D38" s="681"/>
      <c r="E38" s="681"/>
      <c r="F38" s="681"/>
      <c r="G38" s="682"/>
      <c r="H38" s="682"/>
      <c r="I38" s="682"/>
      <c r="J38" s="683"/>
    </row>
    <row r="39" spans="1:10" ht="15.75">
      <c r="A39" s="111" t="s">
        <v>377</v>
      </c>
      <c r="B39" s="687"/>
      <c r="C39" s="690"/>
      <c r="D39" s="691"/>
      <c r="E39" s="691"/>
      <c r="F39" s="691"/>
      <c r="G39" s="694">
        <f>+G37+G26+G22</f>
        <v>260221587</v>
      </c>
      <c r="H39" s="678">
        <f>+H37+H26+H22</f>
        <v>224788525</v>
      </c>
      <c r="I39" s="678">
        <f>+I37+I26+I22</f>
        <v>11357608.97861494</v>
      </c>
      <c r="J39" s="679">
        <f>+J37+J26+J22</f>
        <v>24075453.02138506</v>
      </c>
    </row>
    <row r="40" spans="1:10" s="344" customFormat="1" ht="12.75">
      <c r="A40" s="142" t="s">
        <v>393</v>
      </c>
      <c r="B40" s="66"/>
      <c r="C40" s="169"/>
      <c r="D40" s="169"/>
      <c r="E40" s="169"/>
      <c r="F40" s="169"/>
      <c r="G40" s="270"/>
      <c r="H40" s="270"/>
      <c r="I40" s="270"/>
      <c r="J40" s="271"/>
    </row>
    <row r="41" spans="1:10" ht="15.75">
      <c r="A41" s="695"/>
      <c r="B41" s="81"/>
      <c r="C41" s="81"/>
      <c r="D41" s="81"/>
      <c r="E41" s="81"/>
      <c r="F41" s="81"/>
      <c r="G41" s="3"/>
      <c r="H41" s="3"/>
      <c r="I41" s="3"/>
      <c r="J41" s="696"/>
    </row>
    <row r="42" spans="1:10" ht="16.5" thickBot="1">
      <c r="A42" s="697"/>
      <c r="B42" s="698"/>
      <c r="C42" s="698"/>
      <c r="D42" s="698"/>
      <c r="E42" s="698"/>
      <c r="F42" s="698"/>
      <c r="G42" s="699"/>
      <c r="H42" s="699"/>
      <c r="I42" s="699"/>
      <c r="J42" s="700"/>
    </row>
    <row r="43" ht="16.5" thickTop="1"/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</sheetData>
  <mergeCells count="4">
    <mergeCell ref="A11:B13"/>
    <mergeCell ref="E5:G5"/>
    <mergeCell ref="E6:G6"/>
    <mergeCell ref="E7:G7"/>
  </mergeCells>
  <dataValidations count="2">
    <dataValidation type="list" allowBlank="1" showInputMessage="1" showErrorMessage="1" sqref="E15:E18">
      <formula1>DIST</formula1>
    </dataValidation>
    <dataValidation type="list" allowBlank="1" showInputMessage="1" showErrorMessage="1" sqref="E21 E34">
      <formula1>PROD</formula1>
    </dataValidation>
  </dataValidations>
  <printOptions horizontalCentered="1"/>
  <pageMargins left="0.2" right="0.28" top="0.75" bottom="0.75" header="0.25" footer="0.25"/>
  <pageSetup horizontalDpi="600" verticalDpi="600" orientation="landscape" paperSize="9" scale="80" r:id="rId1"/>
  <headerFooter alignWithMargins="0">
    <oddFooter>&amp;L&amp;F&amp;CPage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Q71"/>
  <sheetViews>
    <sheetView tabSelected="1" zoomScale="60" zoomScaleNormal="60" workbookViewId="0" topLeftCell="A10">
      <selection activeCell="L161" sqref="L161"/>
    </sheetView>
  </sheetViews>
  <sheetFormatPr defaultColWidth="9.00390625" defaultRowHeight="15.75"/>
  <cols>
    <col min="1" max="1" width="35.00390625" style="218" customWidth="1"/>
    <col min="2" max="2" width="11.00390625" style="0" customWidth="1"/>
    <col min="3" max="6" width="18.625" style="0" customWidth="1"/>
    <col min="7" max="7" width="16.625" style="0" customWidth="1"/>
  </cols>
  <sheetData>
    <row r="1" spans="1:17" s="218" customFormat="1" ht="19.5" customHeight="1" thickTop="1">
      <c r="A1" s="917" t="s">
        <v>0</v>
      </c>
      <c r="B1" s="918"/>
      <c r="C1" s="918"/>
      <c r="D1" s="918"/>
      <c r="E1" s="918"/>
      <c r="F1" s="919"/>
      <c r="G1"/>
      <c r="H1"/>
      <c r="I1"/>
      <c r="J1"/>
      <c r="K1"/>
      <c r="L1"/>
      <c r="M1"/>
      <c r="N1"/>
      <c r="O1"/>
      <c r="P1"/>
      <c r="Q1"/>
    </row>
    <row r="2" spans="1:17" s="218" customFormat="1" ht="19.5" customHeight="1">
      <c r="A2" s="920" t="s">
        <v>168</v>
      </c>
      <c r="B2" s="864"/>
      <c r="C2" s="864"/>
      <c r="D2" s="864"/>
      <c r="E2" s="864"/>
      <c r="F2" s="921"/>
      <c r="G2"/>
      <c r="H2"/>
      <c r="I2"/>
      <c r="J2"/>
      <c r="K2"/>
      <c r="L2"/>
      <c r="M2"/>
      <c r="N2"/>
      <c r="O2"/>
      <c r="P2"/>
      <c r="Q2"/>
    </row>
    <row r="3" spans="1:17" s="218" customFormat="1" ht="19.5" customHeight="1">
      <c r="A3" s="922" t="s">
        <v>169</v>
      </c>
      <c r="B3" s="861"/>
      <c r="C3" s="861"/>
      <c r="D3" s="861"/>
      <c r="E3" s="861"/>
      <c r="F3" s="923"/>
      <c r="G3"/>
      <c r="H3"/>
      <c r="I3"/>
      <c r="J3"/>
      <c r="K3"/>
      <c r="L3"/>
      <c r="M3"/>
      <c r="N3"/>
      <c r="O3"/>
      <c r="P3"/>
      <c r="Q3"/>
    </row>
    <row r="4" spans="1:17" s="218" customFormat="1" ht="11.25" customHeight="1" thickBot="1">
      <c r="A4" s="597"/>
      <c r="B4" s="8"/>
      <c r="C4" s="8"/>
      <c r="D4" s="8"/>
      <c r="E4" s="8"/>
      <c r="F4" s="598"/>
      <c r="G4"/>
      <c r="H4"/>
      <c r="I4"/>
      <c r="J4"/>
      <c r="K4"/>
      <c r="L4"/>
      <c r="M4"/>
      <c r="N4"/>
      <c r="O4"/>
      <c r="P4"/>
      <c r="Q4"/>
    </row>
    <row r="5" spans="1:17" s="218" customFormat="1" ht="15.75" customHeight="1">
      <c r="A5" s="597"/>
      <c r="B5" s="10" t="s">
        <v>7</v>
      </c>
      <c r="C5" s="866" t="s">
        <v>8</v>
      </c>
      <c r="D5" s="867"/>
      <c r="E5" s="868"/>
      <c r="F5" s="598"/>
      <c r="G5"/>
      <c r="H5"/>
      <c r="I5"/>
      <c r="J5"/>
      <c r="K5"/>
      <c r="L5"/>
      <c r="M5"/>
      <c r="N5"/>
      <c r="O5"/>
      <c r="P5"/>
      <c r="Q5"/>
    </row>
    <row r="6" spans="1:17" s="218" customFormat="1" ht="15.75" customHeight="1">
      <c r="A6" s="701"/>
      <c r="B6" s="10" t="s">
        <v>9</v>
      </c>
      <c r="C6" s="869">
        <v>39082</v>
      </c>
      <c r="D6" s="857"/>
      <c r="E6" s="858"/>
      <c r="F6" s="598"/>
      <c r="G6"/>
      <c r="H6"/>
      <c r="I6"/>
      <c r="J6"/>
      <c r="K6"/>
      <c r="L6"/>
      <c r="M6"/>
      <c r="N6"/>
      <c r="O6"/>
      <c r="P6"/>
      <c r="Q6"/>
    </row>
    <row r="7" spans="1:17" s="218" customFormat="1" ht="15.75" customHeight="1" thickBot="1">
      <c r="A7" s="597"/>
      <c r="B7" s="10" t="s">
        <v>10</v>
      </c>
      <c r="C7" s="859">
        <v>39575</v>
      </c>
      <c r="D7" s="860"/>
      <c r="E7" s="746"/>
      <c r="F7" s="598"/>
      <c r="G7"/>
      <c r="H7"/>
      <c r="I7"/>
      <c r="J7"/>
      <c r="K7"/>
      <c r="L7"/>
      <c r="M7"/>
      <c r="N7"/>
      <c r="O7"/>
      <c r="P7"/>
      <c r="Q7"/>
    </row>
    <row r="8" spans="1:17" s="519" customFormat="1" ht="15.75" customHeight="1">
      <c r="A8" s="702"/>
      <c r="B8" s="254"/>
      <c r="C8" s="255"/>
      <c r="D8" s="255"/>
      <c r="E8" s="255"/>
      <c r="F8" s="703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18" customFormat="1" ht="19.5" customHeight="1">
      <c r="A9" s="933" t="s">
        <v>394</v>
      </c>
      <c r="B9" s="934"/>
      <c r="C9" s="934"/>
      <c r="D9" s="934"/>
      <c r="E9" s="934"/>
      <c r="F9" s="935"/>
      <c r="G9"/>
      <c r="H9"/>
      <c r="I9"/>
      <c r="J9"/>
      <c r="K9"/>
      <c r="L9"/>
      <c r="M9"/>
      <c r="N9"/>
      <c r="O9"/>
      <c r="P9"/>
      <c r="Q9"/>
    </row>
    <row r="10" spans="1:17" s="218" customFormat="1" ht="10.5" customHeight="1" thickBot="1">
      <c r="A10" s="599"/>
      <c r="B10" s="600"/>
      <c r="C10" s="600"/>
      <c r="D10" s="600"/>
      <c r="E10" s="600"/>
      <c r="F10" s="601"/>
      <c r="G10"/>
      <c r="H10"/>
      <c r="I10"/>
      <c r="J10"/>
      <c r="K10"/>
      <c r="L10"/>
      <c r="M10"/>
      <c r="N10"/>
      <c r="O10"/>
      <c r="P10"/>
      <c r="Q10"/>
    </row>
    <row r="11" spans="1:17" s="218" customFormat="1" ht="16.5" thickBot="1">
      <c r="A11" s="707"/>
      <c r="B11" s="280"/>
      <c r="C11" s="280"/>
      <c r="D11" s="280"/>
      <c r="E11" s="280"/>
      <c r="F11" s="281"/>
      <c r="G11"/>
      <c r="H11"/>
      <c r="I11"/>
      <c r="J11"/>
      <c r="K11"/>
      <c r="L11"/>
      <c r="M11"/>
      <c r="N11"/>
      <c r="O11"/>
      <c r="P11"/>
      <c r="Q11"/>
    </row>
    <row r="12" spans="1:6" s="218" customFormat="1" ht="16.5" thickBot="1">
      <c r="A12" s="269"/>
      <c r="B12" s="3"/>
      <c r="C12" s="708" t="s">
        <v>15</v>
      </c>
      <c r="D12" s="709" t="s">
        <v>16</v>
      </c>
      <c r="E12" s="709" t="s">
        <v>17</v>
      </c>
      <c r="F12" s="710" t="s">
        <v>395</v>
      </c>
    </row>
    <row r="13" spans="1:6" s="218" customFormat="1" ht="16.5" thickBot="1">
      <c r="A13" s="265" t="s">
        <v>332</v>
      </c>
      <c r="B13" s="711"/>
      <c r="C13" s="712">
        <f>'Sch 3 - Expenses'!G100</f>
        <v>615893625</v>
      </c>
      <c r="D13" s="712">
        <f>'Sch 3 - Expenses'!H100</f>
        <v>493270138.1182399</v>
      </c>
      <c r="E13" s="712">
        <f>'Sch 3 - Expenses'!I100</f>
        <v>35974105.94417308</v>
      </c>
      <c r="F13" s="713">
        <f>'Sch 3 - Expenses'!J100</f>
        <v>86649380.9375871</v>
      </c>
    </row>
    <row r="14" spans="1:6" s="218" customFormat="1" ht="15.75">
      <c r="A14" s="206" t="s">
        <v>396</v>
      </c>
      <c r="B14" s="711"/>
      <c r="C14" s="77"/>
      <c r="D14" s="77"/>
      <c r="E14" s="77"/>
      <c r="F14" s="119"/>
    </row>
    <row r="15" spans="1:6" s="218" customFormat="1" ht="16.5" thickBot="1">
      <c r="A15" s="714"/>
      <c r="B15" s="711"/>
      <c r="C15" s="77"/>
      <c r="D15" s="77"/>
      <c r="E15" s="77"/>
      <c r="F15" s="119"/>
    </row>
    <row r="16" spans="1:6" s="218" customFormat="1" ht="16.5" thickBot="1">
      <c r="A16" s="265" t="s">
        <v>210</v>
      </c>
      <c r="B16" s="711"/>
      <c r="C16" s="712">
        <f>IF('Sch 2 -Rate of Return'!E42&gt;0,'Sch 2 -Rate of Return'!E42,IF('Sch 2 -Rate of Return'!E98&gt;0,'Sch 2 -Rate of Return'!E98,IF('Sch 2 -Rate of Return'!E125&gt;0,'Sch 2 -Rate of Return'!E125,0)))</f>
        <v>176074599.78217524</v>
      </c>
      <c r="D16" s="712">
        <f>IF('Sch 2 -Rate of Return'!F42&gt;0,'Sch 2 -Rate of Return'!F42,IF('Sch 2 -Rate of Return'!F98&gt;0,'Sch 2 -Rate of Return'!F98,IF('Sch 2 -Rate of Return'!F125&gt;0,'Sch 2 -Rate of Return'!F125,0)))</f>
        <v>86149414.21866958</v>
      </c>
      <c r="E16" s="712">
        <f>IF('Sch 2 -Rate of Return'!G42&gt;0,'Sch 2 -Rate of Return'!G42,IF('Sch 2 -Rate of Return'!G98&gt;0,'Sch 2 -Rate of Return'!G98,IF('Sch 2 -Rate of Return'!G125&gt;0,'Sch 2 -Rate of Return'!G125,0)))</f>
        <v>31679724.274849623</v>
      </c>
      <c r="F16" s="713">
        <f>IF('Sch 2 -Rate of Return'!H42&gt;0,'Sch 2 -Rate of Return'!H42,IF('Sch 2 -Rate of Return'!H98&gt;0,'Sch 2 -Rate of Return'!H98,IF('Sch 2 -Rate of Return'!H125&gt;0,'Sch 2 -Rate of Return'!H125,0)))</f>
        <v>58245461.28865603</v>
      </c>
    </row>
    <row r="17" spans="1:6" s="218" customFormat="1" ht="15.75">
      <c r="A17" s="206" t="s">
        <v>397</v>
      </c>
      <c r="B17" s="711"/>
      <c r="C17" s="77"/>
      <c r="D17" s="77"/>
      <c r="E17" s="77"/>
      <c r="F17" s="119"/>
    </row>
    <row r="18" spans="1:6" s="218" customFormat="1" ht="16.5" thickBot="1">
      <c r="A18" s="714"/>
      <c r="B18" s="711"/>
      <c r="C18" s="77"/>
      <c r="D18" s="77"/>
      <c r="E18" s="77"/>
      <c r="F18" s="119"/>
    </row>
    <row r="19" spans="1:6" s="218" customFormat="1" ht="16.5" thickBot="1">
      <c r="A19" s="265" t="s">
        <v>398</v>
      </c>
      <c r="B19" s="711"/>
      <c r="C19" s="712">
        <f>'Sch 3A - Taxes'!F31</f>
        <v>131812045</v>
      </c>
      <c r="D19" s="712">
        <f>'Sch 3A - Taxes'!G31</f>
        <v>12928213.350856742</v>
      </c>
      <c r="E19" s="712">
        <f>'Sch 3A - Taxes'!H31</f>
        <v>4765425.5739684105</v>
      </c>
      <c r="F19" s="713">
        <f>'Sch 3A - Taxes'!I31</f>
        <v>114118406.07517484</v>
      </c>
    </row>
    <row r="20" spans="1:6" s="218" customFormat="1" ht="15.75">
      <c r="A20" s="206" t="s">
        <v>399</v>
      </c>
      <c r="B20" s="711"/>
      <c r="C20" s="77"/>
      <c r="D20" s="77"/>
      <c r="E20" s="77"/>
      <c r="F20" s="119"/>
    </row>
    <row r="21" spans="1:6" s="218" customFormat="1" ht="16.5" thickBot="1">
      <c r="A21" s="714"/>
      <c r="B21" s="711"/>
      <c r="C21" s="77"/>
      <c r="D21" s="77"/>
      <c r="E21" s="77"/>
      <c r="F21" s="119"/>
    </row>
    <row r="22" spans="1:6" s="218" customFormat="1" ht="16.5" thickBot="1">
      <c r="A22" s="265" t="s">
        <v>377</v>
      </c>
      <c r="B22" s="711"/>
      <c r="C22" s="712">
        <f>'Sch 3B - Other Items'!G39</f>
        <v>260221587</v>
      </c>
      <c r="D22" s="712">
        <f>'Sch 3B - Other Items'!H39</f>
        <v>224788525</v>
      </c>
      <c r="E22" s="712">
        <f>'Sch 3B - Other Items'!I39</f>
        <v>11357608.97861494</v>
      </c>
      <c r="F22" s="713">
        <f>'Sch 3B - Other Items'!J39</f>
        <v>24075453.02138506</v>
      </c>
    </row>
    <row r="23" spans="1:6" s="218" customFormat="1" ht="15.75">
      <c r="A23" s="206" t="s">
        <v>400</v>
      </c>
      <c r="B23" s="711"/>
      <c r="C23" s="77"/>
      <c r="D23" s="77"/>
      <c r="E23" s="77"/>
      <c r="F23" s="119"/>
    </row>
    <row r="24" spans="1:6" s="218" customFormat="1" ht="16.5" thickBot="1">
      <c r="A24" s="714"/>
      <c r="B24" s="711"/>
      <c r="C24" s="77"/>
      <c r="D24" s="77"/>
      <c r="E24" s="77"/>
      <c r="F24" s="119"/>
    </row>
    <row r="25" spans="1:6" s="218" customFormat="1" ht="16.5" thickBot="1">
      <c r="A25" s="265" t="s">
        <v>401</v>
      </c>
      <c r="B25" s="711"/>
      <c r="C25" s="715">
        <f>C13+C16+C19-C22</f>
        <v>663558682.7821753</v>
      </c>
      <c r="D25" s="715">
        <f>D13+D16+D19-D22</f>
        <v>367559240.6877662</v>
      </c>
      <c r="E25" s="715">
        <f>E13+E16+E19-E22</f>
        <v>61061646.814376175</v>
      </c>
      <c r="F25" s="717">
        <f>F13+F16+F19-F22</f>
        <v>234937795.28003293</v>
      </c>
    </row>
    <row r="26" spans="1:9" s="218" customFormat="1" ht="15.75">
      <c r="A26" s="206" t="s">
        <v>402</v>
      </c>
      <c r="B26" s="207"/>
      <c r="C26" s="718"/>
      <c r="D26" s="718"/>
      <c r="E26" s="681"/>
      <c r="F26" s="683"/>
      <c r="G26" s="374"/>
      <c r="H26" s="374"/>
      <c r="I26" s="374"/>
    </row>
    <row r="27" spans="1:6" s="218" customFormat="1" ht="15.75">
      <c r="A27" s="269"/>
      <c r="B27" s="3"/>
      <c r="C27" s="3"/>
      <c r="D27" s="3"/>
      <c r="E27" s="3"/>
      <c r="F27" s="696"/>
    </row>
    <row r="28" spans="1:6" s="218" customFormat="1" ht="16.5" thickBot="1">
      <c r="A28" s="272"/>
      <c r="B28" s="699"/>
      <c r="C28" s="699"/>
      <c r="D28" s="699"/>
      <c r="E28" s="699"/>
      <c r="F28" s="700"/>
    </row>
    <row r="29" spans="1:6" s="218" customFormat="1" ht="16.5" thickTop="1">
      <c r="A29" s="719"/>
      <c r="B29" s="720"/>
      <c r="C29" s="720"/>
      <c r="D29" s="720"/>
      <c r="E29" s="720"/>
      <c r="F29" s="721"/>
    </row>
    <row r="30" spans="1:6" s="218" customFormat="1" ht="16.5" thickBot="1">
      <c r="A30" s="269"/>
      <c r="B30" s="3"/>
      <c r="C30" s="3"/>
      <c r="D30" s="3"/>
      <c r="E30" s="3"/>
      <c r="F30" s="696"/>
    </row>
    <row r="31" spans="1:6" s="218" customFormat="1" ht="16.5" thickBot="1">
      <c r="A31" s="722" t="s">
        <v>403</v>
      </c>
      <c r="B31" s="666"/>
      <c r="C31" s="723"/>
      <c r="D31" s="724"/>
      <c r="E31" s="724"/>
      <c r="F31" s="696"/>
    </row>
    <row r="32" spans="1:9" s="218" customFormat="1" ht="15.75">
      <c r="A32" s="725" t="s">
        <v>404</v>
      </c>
      <c r="B32" s="666"/>
      <c r="C32" s="723"/>
      <c r="D32" s="726">
        <f>D25</f>
        <v>367559240.6877662</v>
      </c>
      <c r="E32" s="724"/>
      <c r="F32" s="727"/>
      <c r="G32" s="728"/>
      <c r="H32" s="728"/>
      <c r="I32" s="728"/>
    </row>
    <row r="33" spans="1:9" s="218" customFormat="1" ht="15.75">
      <c r="A33" s="725" t="s">
        <v>17</v>
      </c>
      <c r="B33" s="666"/>
      <c r="C33" s="723"/>
      <c r="D33" s="729">
        <f>+E25</f>
        <v>61061646.814376175</v>
      </c>
      <c r="E33" s="724"/>
      <c r="F33" s="730"/>
      <c r="G33"/>
      <c r="H33"/>
      <c r="I33" s="731"/>
    </row>
    <row r="34" spans="1:9" s="218" customFormat="1" ht="16.5" thickBot="1">
      <c r="A34" s="725" t="s">
        <v>405</v>
      </c>
      <c r="B34" s="666"/>
      <c r="C34" s="723"/>
      <c r="D34" s="732"/>
      <c r="E34" s="724"/>
      <c r="F34" s="730"/>
      <c r="G34"/>
      <c r="H34"/>
      <c r="I34" s="731"/>
    </row>
    <row r="35" spans="1:9" s="218" customFormat="1" ht="16.5" thickBot="1">
      <c r="A35" s="267" t="s">
        <v>406</v>
      </c>
      <c r="B35" s="666"/>
      <c r="C35" s="723"/>
      <c r="D35" s="715">
        <f>D32+D33-D34</f>
        <v>428620887.50214237</v>
      </c>
      <c r="E35" s="724"/>
      <c r="F35" s="730"/>
      <c r="G35"/>
      <c r="H35"/>
      <c r="I35" s="731"/>
    </row>
    <row r="36" spans="1:9" s="218" customFormat="1" ht="16.5" thickBot="1">
      <c r="A36" s="725"/>
      <c r="B36" s="666"/>
      <c r="C36" s="723"/>
      <c r="D36" s="733"/>
      <c r="E36" s="724"/>
      <c r="F36" s="730"/>
      <c r="G36"/>
      <c r="H36"/>
      <c r="I36" s="734"/>
    </row>
    <row r="37" spans="1:9" s="218" customFormat="1" ht="16.5" thickBot="1">
      <c r="A37" s="722" t="s">
        <v>407</v>
      </c>
      <c r="B37" s="666"/>
      <c r="C37" s="723"/>
      <c r="D37" s="733"/>
      <c r="E37" s="724"/>
      <c r="F37" s="730"/>
      <c r="G37"/>
      <c r="H37"/>
      <c r="I37" s="240"/>
    </row>
    <row r="38" spans="1:9" s="218" customFormat="1" ht="15.75">
      <c r="A38" s="725" t="s">
        <v>408</v>
      </c>
      <c r="B38" s="666"/>
      <c r="C38" s="723"/>
      <c r="D38" s="735">
        <v>8787002</v>
      </c>
      <c r="E38" s="736"/>
      <c r="F38" s="730"/>
      <c r="G38"/>
      <c r="H38"/>
      <c r="I38" s="737"/>
    </row>
    <row r="39" spans="1:9" s="218" customFormat="1" ht="15.75">
      <c r="A39" s="725" t="s">
        <v>409</v>
      </c>
      <c r="B39" s="666"/>
      <c r="C39" s="723"/>
      <c r="D39" s="738"/>
      <c r="E39" s="736"/>
      <c r="F39" s="730"/>
      <c r="G39"/>
      <c r="H39"/>
      <c r="I39" s="739"/>
    </row>
    <row r="40" spans="1:9" s="218" customFormat="1" ht="15.75">
      <c r="A40" s="725" t="s">
        <v>410</v>
      </c>
      <c r="B40" s="666"/>
      <c r="C40" s="723"/>
      <c r="D40" s="738">
        <f>D38-D39</f>
        <v>8787002</v>
      </c>
      <c r="E40" s="736"/>
      <c r="F40" s="730"/>
      <c r="G40"/>
      <c r="H40"/>
      <c r="I40" s="737"/>
    </row>
    <row r="41" spans="1:9" s="218" customFormat="1" ht="16.5" thickBot="1">
      <c r="A41" s="725" t="s">
        <v>411</v>
      </c>
      <c r="B41" s="666"/>
      <c r="C41" s="723"/>
      <c r="D41" s="740">
        <f>D40*0.05</f>
        <v>439350.10000000003</v>
      </c>
      <c r="E41" s="741"/>
      <c r="F41" s="730"/>
      <c r="G41"/>
      <c r="H41"/>
      <c r="I41" s="737"/>
    </row>
    <row r="42" spans="1:9" s="218" customFormat="1" ht="16.5" thickBot="1">
      <c r="A42" s="267" t="s">
        <v>412</v>
      </c>
      <c r="B42" s="666"/>
      <c r="C42" s="723"/>
      <c r="D42" s="742">
        <f>D40+D41</f>
        <v>9226352.1</v>
      </c>
      <c r="E42" s="724"/>
      <c r="F42" s="743"/>
      <c r="G42"/>
      <c r="H42"/>
      <c r="I42" s="50"/>
    </row>
    <row r="43" spans="1:6" s="218" customFormat="1" ht="16.5" thickBot="1">
      <c r="A43" s="744"/>
      <c r="B43" s="666"/>
      <c r="C43" s="723"/>
      <c r="D43" s="745"/>
      <c r="E43" s="724"/>
      <c r="F43" s="696"/>
    </row>
    <row r="44" spans="1:6" s="218" customFormat="1" ht="19.5" thickBot="1">
      <c r="A44" s="747" t="s">
        <v>413</v>
      </c>
      <c r="B44" s="748"/>
      <c r="C44" s="749"/>
      <c r="D44" s="750">
        <f>IF(D42=0,"$0",D35/D42)</f>
        <v>46.45615979712528</v>
      </c>
      <c r="E44" s="724"/>
      <c r="F44" s="696"/>
    </row>
    <row r="45" spans="1:6" s="218" customFormat="1" ht="16.5" thickBot="1">
      <c r="A45" s="272"/>
      <c r="B45" s="699"/>
      <c r="C45" s="699"/>
      <c r="D45" s="699"/>
      <c r="E45" s="699"/>
      <c r="F45" s="700"/>
    </row>
    <row r="46" ht="16.5" thickTop="1">
      <c r="A46" s="751"/>
    </row>
    <row r="47" ht="15.75">
      <c r="A47" s="751"/>
    </row>
    <row r="48" ht="15.75">
      <c r="A48" s="751"/>
    </row>
    <row r="49" ht="15.75">
      <c r="A49" s="751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</sheetData>
  <mergeCells count="7">
    <mergeCell ref="A1:F1"/>
    <mergeCell ref="A2:F2"/>
    <mergeCell ref="A3:F3"/>
    <mergeCell ref="A9:F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4">
      <selection activeCell="L161" sqref="L161"/>
    </sheetView>
  </sheetViews>
  <sheetFormatPr defaultColWidth="9.00390625" defaultRowHeight="15.75"/>
  <cols>
    <col min="1" max="1" width="3.875" style="344" customWidth="1"/>
    <col min="2" max="2" width="48.125" style="344" customWidth="1"/>
    <col min="3" max="3" width="14.75390625" style="779" customWidth="1"/>
    <col min="4" max="4" width="24.375" style="344" customWidth="1"/>
    <col min="5" max="5" width="0.12890625" style="344" customWidth="1"/>
    <col min="6" max="16384" width="9.00390625" style="344" customWidth="1"/>
  </cols>
  <sheetData>
    <row r="1" spans="1:4" ht="19.5" thickTop="1">
      <c r="A1" s="917" t="s">
        <v>0</v>
      </c>
      <c r="B1" s="918"/>
      <c r="C1" s="918"/>
      <c r="D1" s="919"/>
    </row>
    <row r="2" spans="1:4" ht="15.75">
      <c r="A2" s="920" t="s">
        <v>168</v>
      </c>
      <c r="B2" s="864"/>
      <c r="C2" s="864"/>
      <c r="D2" s="921"/>
    </row>
    <row r="3" spans="1:4" ht="15.75">
      <c r="A3" s="922" t="s">
        <v>169</v>
      </c>
      <c r="B3" s="861"/>
      <c r="C3" s="861"/>
      <c r="D3" s="923"/>
    </row>
    <row r="4" spans="1:4" ht="12.75" customHeight="1" thickBot="1">
      <c r="A4" s="597"/>
      <c r="B4" s="8"/>
      <c r="C4" s="8"/>
      <c r="D4" s="598"/>
    </row>
    <row r="5" spans="1:5" ht="15.75">
      <c r="A5" s="597"/>
      <c r="B5" s="10" t="s">
        <v>7</v>
      </c>
      <c r="C5" s="752" t="s">
        <v>8</v>
      </c>
      <c r="D5" s="753"/>
      <c r="E5" s="754"/>
    </row>
    <row r="6" spans="1:5" ht="15.75">
      <c r="A6" s="597"/>
      <c r="B6" s="10" t="s">
        <v>9</v>
      </c>
      <c r="C6" s="755">
        <v>39082</v>
      </c>
      <c r="D6" s="753"/>
      <c r="E6" s="756"/>
    </row>
    <row r="7" spans="1:5" ht="16.5" thickBot="1">
      <c r="A7" s="597"/>
      <c r="B7" s="10" t="s">
        <v>10</v>
      </c>
      <c r="C7" s="757">
        <v>39575</v>
      </c>
      <c r="D7" s="753"/>
      <c r="E7" s="758"/>
    </row>
    <row r="8" spans="1:4" ht="15.75">
      <c r="A8" s="597"/>
      <c r="B8" s="8"/>
      <c r="C8" s="8"/>
      <c r="D8" s="598"/>
    </row>
    <row r="9" spans="1:5" ht="15.75">
      <c r="A9" s="933" t="s">
        <v>414</v>
      </c>
      <c r="B9" s="934"/>
      <c r="C9" s="934"/>
      <c r="D9" s="935"/>
      <c r="E9"/>
    </row>
    <row r="10" spans="1:5" s="345" customFormat="1" ht="9" customHeight="1" thickBot="1">
      <c r="A10" s="704"/>
      <c r="B10" s="705"/>
      <c r="C10" s="705"/>
      <c r="D10" s="706"/>
      <c r="E10" s="282"/>
    </row>
    <row r="11" spans="1:5" ht="15.75">
      <c r="A11" s="939" t="s">
        <v>415</v>
      </c>
      <c r="B11" s="940"/>
      <c r="C11" s="759" t="s">
        <v>244</v>
      </c>
      <c r="D11" s="936" t="s">
        <v>194</v>
      </c>
      <c r="E11"/>
    </row>
    <row r="12" spans="1:5" ht="15.75">
      <c r="A12" s="941"/>
      <c r="B12" s="942"/>
      <c r="C12" s="760" t="s">
        <v>18</v>
      </c>
      <c r="D12" s="937"/>
      <c r="E12"/>
    </row>
    <row r="13" spans="1:5" ht="16.5" thickBot="1">
      <c r="A13" s="943"/>
      <c r="B13" s="944"/>
      <c r="C13" s="761" t="s">
        <v>22</v>
      </c>
      <c r="D13" s="938"/>
      <c r="E13"/>
    </row>
    <row r="14" spans="1:5" ht="15.75">
      <c r="A14" s="762" t="s">
        <v>416</v>
      </c>
      <c r="B14" s="763"/>
      <c r="C14" s="8"/>
      <c r="D14" s="703"/>
      <c r="E14"/>
    </row>
    <row r="15" spans="1:4" ht="15.75">
      <c r="A15" s="762" t="s">
        <v>302</v>
      </c>
      <c r="B15" s="763"/>
      <c r="C15" s="764"/>
      <c r="D15" s="765"/>
    </row>
    <row r="16" spans="1:4" ht="12.75">
      <c r="A16" s="766"/>
      <c r="B16" s="767" t="s">
        <v>16</v>
      </c>
      <c r="C16" s="768" t="s">
        <v>417</v>
      </c>
      <c r="D16" s="769">
        <f>'[1]354 Labor'!G4</f>
        <v>8032540</v>
      </c>
    </row>
    <row r="17" spans="1:4" ht="12.75">
      <c r="A17" s="766"/>
      <c r="B17" s="767" t="s">
        <v>17</v>
      </c>
      <c r="C17" s="768" t="s">
        <v>417</v>
      </c>
      <c r="D17" s="769">
        <f>'[1]354 Labor'!G5</f>
        <v>1996647</v>
      </c>
    </row>
    <row r="18" spans="1:4" ht="12.75">
      <c r="A18" s="766"/>
      <c r="B18" s="767" t="s">
        <v>418</v>
      </c>
      <c r="C18" s="768" t="s">
        <v>417</v>
      </c>
      <c r="D18" s="769">
        <f>'[1]354 Labor'!G6</f>
        <v>5300368</v>
      </c>
    </row>
    <row r="19" spans="1:4" ht="12.75">
      <c r="A19" s="766"/>
      <c r="B19" s="767" t="s">
        <v>419</v>
      </c>
      <c r="C19" s="768" t="s">
        <v>417</v>
      </c>
      <c r="D19" s="769">
        <f>'[1]354 Labor'!G7</f>
        <v>5329149</v>
      </c>
    </row>
    <row r="20" spans="1:4" ht="12.75">
      <c r="A20" s="766"/>
      <c r="B20" s="767" t="s">
        <v>294</v>
      </c>
      <c r="C20" s="768" t="s">
        <v>417</v>
      </c>
      <c r="D20" s="769">
        <f>'[1]354 Labor'!G8</f>
        <v>300182</v>
      </c>
    </row>
    <row r="21" spans="1:4" ht="12.75">
      <c r="A21" s="766"/>
      <c r="B21" s="767" t="s">
        <v>420</v>
      </c>
      <c r="C21" s="768" t="s">
        <v>417</v>
      </c>
      <c r="D21" s="769">
        <f>'[1]354 Labor'!G9</f>
        <v>428000</v>
      </c>
    </row>
    <row r="22" spans="1:4" ht="12.75">
      <c r="A22" s="766"/>
      <c r="B22" s="767" t="s">
        <v>421</v>
      </c>
      <c r="C22" s="768" t="s">
        <v>417</v>
      </c>
      <c r="D22" s="769">
        <f>'[1]354 Labor'!G10</f>
        <v>11299946</v>
      </c>
    </row>
    <row r="23" spans="1:9" ht="15.75">
      <c r="A23" s="762" t="s">
        <v>422</v>
      </c>
      <c r="B23" s="770"/>
      <c r="C23" s="771"/>
      <c r="D23" s="772">
        <f>SUM(D16:D22)</f>
        <v>32686832</v>
      </c>
      <c r="I23" s="345"/>
    </row>
    <row r="24" spans="1:9" ht="15.75">
      <c r="A24" s="766"/>
      <c r="B24" s="770"/>
      <c r="C24" s="773"/>
      <c r="D24" s="271"/>
      <c r="I24" s="345"/>
    </row>
    <row r="25" spans="1:9" ht="15.75">
      <c r="A25" s="762" t="s">
        <v>318</v>
      </c>
      <c r="B25" s="763"/>
      <c r="C25" s="774"/>
      <c r="D25" s="271"/>
      <c r="I25" s="345"/>
    </row>
    <row r="26" spans="1:9" ht="12.75">
      <c r="A26" s="766"/>
      <c r="B26" s="767" t="s">
        <v>16</v>
      </c>
      <c r="C26" s="768" t="s">
        <v>417</v>
      </c>
      <c r="D26" s="769">
        <f>'[1]354 Labor'!G13</f>
        <v>2494282</v>
      </c>
      <c r="I26" s="345"/>
    </row>
    <row r="27" spans="1:9" ht="12.75">
      <c r="A27" s="766"/>
      <c r="B27" s="767" t="s">
        <v>17</v>
      </c>
      <c r="C27" s="768" t="s">
        <v>417</v>
      </c>
      <c r="D27" s="769">
        <f>'[1]354 Labor'!G14</f>
        <v>672562</v>
      </c>
      <c r="I27" s="345"/>
    </row>
    <row r="28" spans="1:9" ht="12.75">
      <c r="A28" s="766"/>
      <c r="B28" s="767" t="s">
        <v>418</v>
      </c>
      <c r="C28" s="768" t="s">
        <v>417</v>
      </c>
      <c r="D28" s="769">
        <f>'[1]354 Labor'!G15</f>
        <v>4558361</v>
      </c>
      <c r="I28" s="345"/>
    </row>
    <row r="29" spans="1:9" ht="12.75">
      <c r="A29" s="766"/>
      <c r="B29" s="767" t="s">
        <v>421</v>
      </c>
      <c r="C29" s="768" t="s">
        <v>417</v>
      </c>
      <c r="D29" s="769">
        <f>'[1]354 Labor'!G16</f>
        <v>0</v>
      </c>
      <c r="I29" s="345"/>
    </row>
    <row r="30" spans="1:9" ht="15.75">
      <c r="A30" s="762" t="s">
        <v>423</v>
      </c>
      <c r="B30" s="763"/>
      <c r="C30" s="771"/>
      <c r="D30" s="772">
        <f>SUM(D26:D29)</f>
        <v>7725205</v>
      </c>
      <c r="I30" s="345"/>
    </row>
    <row r="31" spans="1:9" ht="15.75">
      <c r="A31" s="762"/>
      <c r="B31" s="763"/>
      <c r="C31" s="774"/>
      <c r="D31" s="271"/>
      <c r="I31" s="345"/>
    </row>
    <row r="32" spans="1:4" ht="15.75">
      <c r="A32" s="762" t="s">
        <v>424</v>
      </c>
      <c r="B32" s="763"/>
      <c r="C32" s="774"/>
      <c r="D32" s="271"/>
    </row>
    <row r="33" spans="1:4" ht="12.75">
      <c r="A33" s="766"/>
      <c r="B33" s="767" t="s">
        <v>425</v>
      </c>
      <c r="C33" s="768" t="s">
        <v>417</v>
      </c>
      <c r="D33" s="769">
        <f>'[1]354 Labor'!G19</f>
        <v>10526822</v>
      </c>
    </row>
    <row r="34" spans="1:4" ht="12.75">
      <c r="A34" s="766"/>
      <c r="B34" s="767" t="s">
        <v>426</v>
      </c>
      <c r="C34" s="768" t="s">
        <v>417</v>
      </c>
      <c r="D34" s="769">
        <f>'[1]354 Labor'!G20</f>
        <v>2669209</v>
      </c>
    </row>
    <row r="35" spans="1:4" ht="12.75">
      <c r="A35" s="766"/>
      <c r="B35" s="767" t="s">
        <v>427</v>
      </c>
      <c r="C35" s="768" t="s">
        <v>417</v>
      </c>
      <c r="D35" s="769">
        <f>'[1]354 Labor'!G21</f>
        <v>9858729</v>
      </c>
    </row>
    <row r="36" spans="1:4" ht="12.75">
      <c r="A36" s="766"/>
      <c r="B36" s="767" t="s">
        <v>428</v>
      </c>
      <c r="C36" s="768" t="s">
        <v>417</v>
      </c>
      <c r="D36" s="769">
        <f>'[1]354 Labor'!G22</f>
        <v>5329149</v>
      </c>
    </row>
    <row r="37" spans="1:4" ht="12.75">
      <c r="A37" s="766"/>
      <c r="B37" s="767" t="s">
        <v>429</v>
      </c>
      <c r="C37" s="768" t="s">
        <v>417</v>
      </c>
      <c r="D37" s="769">
        <f>'[1]354 Labor'!G23</f>
        <v>300182</v>
      </c>
    </row>
    <row r="38" spans="1:4" ht="12.75">
      <c r="A38" s="766"/>
      <c r="B38" s="767" t="s">
        <v>430</v>
      </c>
      <c r="C38" s="768" t="s">
        <v>417</v>
      </c>
      <c r="D38" s="769">
        <f>'[1]354 Labor'!G24</f>
        <v>428000</v>
      </c>
    </row>
    <row r="39" spans="1:4" ht="12.75">
      <c r="A39" s="766"/>
      <c r="B39" s="767" t="s">
        <v>431</v>
      </c>
      <c r="C39" s="768" t="s">
        <v>417</v>
      </c>
      <c r="D39" s="769">
        <f>'[1]354 Labor'!G25</f>
        <v>11299946</v>
      </c>
    </row>
    <row r="40" spans="1:4" ht="15.75">
      <c r="A40" s="762" t="s">
        <v>432</v>
      </c>
      <c r="B40" s="770"/>
      <c r="C40" s="771"/>
      <c r="D40" s="772">
        <f>SUM(D33:D39)</f>
        <v>40412037</v>
      </c>
    </row>
    <row r="41" spans="1:4" ht="13.5" thickBot="1">
      <c r="A41" s="775"/>
      <c r="B41" s="776"/>
      <c r="C41" s="777"/>
      <c r="D41" s="778"/>
    </row>
    <row r="42" ht="13.5" thickTop="1"/>
  </sheetData>
  <mergeCells count="6">
    <mergeCell ref="D11:D13"/>
    <mergeCell ref="A11:B13"/>
    <mergeCell ref="A1:D1"/>
    <mergeCell ref="A2:D2"/>
    <mergeCell ref="A3:D3"/>
    <mergeCell ref="A9:D9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Schuh</dc:creator>
  <cp:keywords/>
  <dc:description/>
  <cp:lastModifiedBy>Randy Russell</cp:lastModifiedBy>
  <cp:lastPrinted>2008-05-07T23:26:06Z</cp:lastPrinted>
  <dcterms:created xsi:type="dcterms:W3CDTF">2008-05-07T23:24:33Z</dcterms:created>
  <dcterms:modified xsi:type="dcterms:W3CDTF">2008-05-16T15:51:24Z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