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28155" windowHeight="14055" activeTab="4"/>
  </bookViews>
  <sheets>
    <sheet name="MedSurg (Inpatient) Summary" sheetId="1" r:id="rId1"/>
    <sheet name="Medicare" sheetId="2" r:id="rId2"/>
    <sheet name="Medicaid" sheetId="3" r:id="rId3"/>
    <sheet name="Humana" sheetId="4" r:id="rId4"/>
    <sheet name="Other" sheetId="5" r:id="rId5"/>
  </sheets>
  <externalReferences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Deputy Clerk</author>
  </authors>
  <commentList>
    <comment ref="M46" authorId="0">
      <text>
        <r>
          <rPr>
            <b/>
            <sz val="8"/>
            <rFont val="Tahoma"/>
            <family val="0"/>
          </rPr>
          <t>Deputy Clerk:</t>
        </r>
        <r>
          <rPr>
            <sz val="8"/>
            <rFont val="Tahoma"/>
            <family val="0"/>
          </rPr>
          <t xml:space="preserve">
Figures from 1997 are used as a proxy for end period numbers for "stump period" in 1998.</t>
        </r>
      </text>
    </comment>
    <comment ref="U46" authorId="0">
      <text>
        <r>
          <rPr>
            <b/>
            <sz val="8"/>
            <rFont val="Tahoma"/>
            <family val="0"/>
          </rPr>
          <t>Deputy Clerk:</t>
        </r>
        <r>
          <rPr>
            <sz val="8"/>
            <rFont val="Tahoma"/>
            <family val="0"/>
          </rPr>
          <t xml:space="preserve">
Figures from 1997 are used as a proxy for end period numbers for "stump period" in 1998.</t>
        </r>
      </text>
    </comment>
  </commentList>
</comments>
</file>

<file path=xl/comments2.xml><?xml version="1.0" encoding="utf-8"?>
<comments xmlns="http://schemas.openxmlformats.org/spreadsheetml/2006/main">
  <authors>
    <author>Deputy Clerk</author>
  </authors>
  <commentList>
    <comment ref="M361" authorId="0">
      <text>
        <r>
          <rPr>
            <sz val="8"/>
            <rFont val="Tahoma"/>
            <family val="0"/>
          </rPr>
          <t>Per 42 C.F.R. § 412.105.</t>
        </r>
      </text>
    </comment>
    <comment ref="I94" authorId="0">
      <text>
        <r>
          <rPr>
            <sz val="8"/>
            <rFont val="Tahoma"/>
            <family val="0"/>
          </rPr>
          <t>Adjusted to reflect delay in achievement of Strategic Assumptions regarding growth in obstetrics, pediatrics, and cardiac catherizations.</t>
        </r>
      </text>
    </comment>
    <comment ref="I87" authorId="0">
      <text>
        <r>
          <rPr>
            <sz val="8"/>
            <rFont val="Tahoma"/>
            <family val="0"/>
          </rPr>
          <t>Unless otherwise noted, adjustments are made to reflect the delay in achieving the Reese Management Team's Strategic Assumptions.</t>
        </r>
      </text>
    </comment>
    <comment ref="G172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M276" authorId="0">
      <text>
        <r>
          <rPr>
            <sz val="8"/>
            <rFont val="Tahoma"/>
            <family val="0"/>
          </rPr>
          <t>Per 42 C.F.R. § 412.105.</t>
        </r>
      </text>
    </comment>
    <comment ref="M191" authorId="0">
      <text>
        <r>
          <rPr>
            <sz val="8"/>
            <rFont val="Tahoma"/>
            <family val="0"/>
          </rPr>
          <t>Per 42 C.F.R. § 412.105.</t>
        </r>
      </text>
    </comment>
    <comment ref="M106" authorId="0">
      <text>
        <r>
          <rPr>
            <sz val="8"/>
            <rFont val="Tahoma"/>
            <family val="0"/>
          </rPr>
          <t>Per 42 C.F.R. section 412.105.</t>
        </r>
      </text>
    </comment>
    <comment ref="G257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G342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I264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285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296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321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322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349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370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381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406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407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</commentList>
</comments>
</file>

<file path=xl/comments3.xml><?xml version="1.0" encoding="utf-8"?>
<comments xmlns="http://schemas.openxmlformats.org/spreadsheetml/2006/main">
  <authors>
    <author>Deputy Clerk</author>
  </authors>
  <commentList>
    <comment ref="I94" authorId="0">
      <text>
        <r>
          <rPr>
            <sz val="8"/>
            <rFont val="Tahoma"/>
            <family val="0"/>
          </rPr>
          <t>Unless otherwise noted, adjustments are made to reflect the delay in achieving the Reese Management Team's Strategic Assumptions.</t>
        </r>
      </text>
    </comment>
    <comment ref="G109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G124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G139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I130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133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145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I148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</commentList>
</comments>
</file>

<file path=xl/comments4.xml><?xml version="1.0" encoding="utf-8"?>
<comments xmlns="http://schemas.openxmlformats.org/spreadsheetml/2006/main">
  <authors>
    <author>Deputy Clerk</author>
  </authors>
  <commentList>
    <comment ref="H10" authorId="0">
      <text>
        <r>
          <rPr>
            <sz val="8"/>
            <rFont val="Tahoma"/>
            <family val="0"/>
          </rPr>
          <t>Adjusted to reflect delay in implementation of Strategic Assumptions regarding growth in obstetrics, pediatrics, and cardiac catherizations.</t>
        </r>
      </text>
    </comment>
    <comment ref="F14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H22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H28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</commentList>
</comments>
</file>

<file path=xl/comments5.xml><?xml version="1.0" encoding="utf-8"?>
<comments xmlns="http://schemas.openxmlformats.org/spreadsheetml/2006/main">
  <authors>
    <author>Deputy Clerk</author>
  </authors>
  <commentList>
    <comment ref="H14" authorId="0">
      <text>
        <r>
          <rPr>
            <sz val="8"/>
            <rFont val="Tahoma"/>
            <family val="0"/>
          </rPr>
          <t>Unless otherwise noted, adjustments are made to reflect the delay in achieving the Reese Management Team's Strategic Assumptions.</t>
        </r>
      </text>
    </comment>
    <comment ref="F24" authorId="0">
      <text>
        <r>
          <rPr>
            <sz val="8"/>
            <rFont val="Tahoma"/>
            <family val="0"/>
          </rPr>
          <t>Unless otherwise noted, adjustment made to reflect difference between end date performance of Reese Hospital in 1999 and average of Reese Hospital performance over the course of 1999.</t>
        </r>
      </text>
    </comment>
    <comment ref="H36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  <comment ref="H46" authorId="0">
      <text>
        <r>
          <rPr>
            <sz val="8"/>
            <rFont val="Tahoma"/>
            <family val="0"/>
          </rPr>
          <t>Long-term growth rate derived from Reese Management Team Strategic Assumptions.  (Pl. Ex. 115.)</t>
        </r>
      </text>
    </comment>
  </commentList>
</comments>
</file>

<file path=xl/sharedStrings.xml><?xml version="1.0" encoding="utf-8"?>
<sst xmlns="http://schemas.openxmlformats.org/spreadsheetml/2006/main" count="666" uniqueCount="137">
  <si>
    <t>MEDICARE</t>
  </si>
  <si>
    <t>Growth from '96 to '97</t>
  </si>
  <si>
    <t>Growth from '97 to '98</t>
  </si>
  <si>
    <t>Growth from '98 to '99</t>
  </si>
  <si>
    <t>Growth from '96 to'98</t>
  </si>
  <si>
    <t>Growth from '96 to '99</t>
  </si>
  <si>
    <t>Growth from '97 to '99</t>
  </si>
  <si>
    <t>DRG Payments</t>
  </si>
  <si>
    <t>DRG of 1.0 (Operating)</t>
  </si>
  <si>
    <t>DRG of 1.0 (Capital)</t>
  </si>
  <si>
    <t>Total DRG of 1.0</t>
  </si>
  <si>
    <t>Acute Medicare Discharges</t>
  </si>
  <si>
    <t>Unadjusted DRG Payments</t>
  </si>
  <si>
    <t>Medicare Case Index</t>
  </si>
  <si>
    <t>Adjusted DRG Payments</t>
  </si>
  <si>
    <t>Outlier Payments</t>
  </si>
  <si>
    <t>Operating DRGs</t>
  </si>
  <si>
    <t>Outlier Payments (Percentage of Operating DRGs)</t>
  </si>
  <si>
    <t>Indirect Medical Education Payments (Operating)</t>
  </si>
  <si>
    <t>Operating DRG w/Outlier Payments</t>
  </si>
  <si>
    <t>IME Adjustment Factor (per 42 CFR 412.105)</t>
  </si>
  <si>
    <t>Reimbursement</t>
  </si>
  <si>
    <t>Indirect Medical Education Payments (Managed Care)</t>
  </si>
  <si>
    <t>Medicare Managed Care Percentage</t>
  </si>
  <si>
    <t>Phase-In Percentage</t>
  </si>
  <si>
    <t>Indirect Medical Education Payments (Capital)</t>
  </si>
  <si>
    <t>Total Patient Days</t>
  </si>
  <si>
    <t>Average Daily Census</t>
  </si>
  <si>
    <t>Intern &amp; Resident FTEs</t>
  </si>
  <si>
    <t>Intern &amp; Resident FTEs:Average Daily Census</t>
  </si>
  <si>
    <t>Capital IME Adjustment Factor</t>
  </si>
  <si>
    <t>Total Federal Specific Payments</t>
  </si>
  <si>
    <t>Capital IME Payments</t>
  </si>
  <si>
    <t>DSH Payments (Operating)</t>
  </si>
  <si>
    <t>Medicare Patient Days</t>
  </si>
  <si>
    <t>Medicare Patient Days:Total Patient Days</t>
  </si>
  <si>
    <t>SSI Percentage</t>
  </si>
  <si>
    <t>DSH Patient Percentage</t>
  </si>
  <si>
    <t>Minimum DSH (Urban &amp; &gt;100 Beds)</t>
  </si>
  <si>
    <t>Excess DSH</t>
  </si>
  <si>
    <t>Minimum DSH Percentage</t>
  </si>
  <si>
    <t>Excess over Minimum DSH Percentage Factor</t>
  </si>
  <si>
    <t>Excess over Minimum DSH</t>
  </si>
  <si>
    <t>Total DSH Adjustment Percentage</t>
  </si>
  <si>
    <t>DSH Amount</t>
  </si>
  <si>
    <t>DSH Reduction</t>
  </si>
  <si>
    <t>Total DSH Amount</t>
  </si>
  <si>
    <t>DSH Payments (Capital)</t>
  </si>
  <si>
    <t>Capital DSH Adjustment Factor</t>
  </si>
  <si>
    <t>Capital DSH Payments</t>
  </si>
  <si>
    <t>Inpatient Direct GME Payments</t>
  </si>
  <si>
    <t>Blended GME Rate Per Resident (w/inflation)</t>
  </si>
  <si>
    <t>Estimated Aggregate GME Reimbursement Amount</t>
  </si>
  <si>
    <t>Total Medicare Days (including Psych &amp; Rehab)</t>
  </si>
  <si>
    <t>Total Patient Days (including Psych &amp; Rehab)</t>
  </si>
  <si>
    <t>Program Days:Patient Days</t>
  </si>
  <si>
    <t>Estimated GME Managed Care Reimbursement</t>
  </si>
  <si>
    <t>Estimated GME Reimbursement Amount</t>
  </si>
  <si>
    <t>Percentage Related to Inpatient</t>
  </si>
  <si>
    <t>Total Inpatient GME Reimbursement</t>
  </si>
  <si>
    <t>Paramedical Education Pass Through</t>
  </si>
  <si>
    <t>Primary Payors</t>
  </si>
  <si>
    <t>Bad Debts</t>
  </si>
  <si>
    <t>Bad Debt Recovery Percentage</t>
  </si>
  <si>
    <t>Bad Debt</t>
  </si>
  <si>
    <t>Bad Debt Recoveries</t>
  </si>
  <si>
    <t>Net Inpatient Medicare Reimbursement</t>
  </si>
  <si>
    <t>Adjusted Growth Rate</t>
  </si>
  <si>
    <t>Adjusted Cases/Patient Days</t>
  </si>
  <si>
    <t>Operational Growth</t>
  </si>
  <si>
    <t>Long Term Growth</t>
  </si>
  <si>
    <t>MEDICAID</t>
  </si>
  <si>
    <t>Acute Medicaid Discharges</t>
  </si>
  <si>
    <t>Medicaid Case Index</t>
  </si>
  <si>
    <t>Total Patient Days Less Nursery &amp; Observation</t>
  </si>
  <si>
    <t>Medicaid Patient Days</t>
  </si>
  <si>
    <t>Medicaid Patient Days:Total Patient Days</t>
  </si>
  <si>
    <t>Total Medicaid Days (including Psych &amp; Rehab)</t>
  </si>
  <si>
    <t>Totals</t>
  </si>
  <si>
    <t>Total Payments</t>
  </si>
  <si>
    <t>Medicaid Overrides</t>
  </si>
  <si>
    <t>DSH Add-On Per Day</t>
  </si>
  <si>
    <t>MHVA Adjustment Per Day</t>
  </si>
  <si>
    <t>Total Per Diem Adjustment</t>
  </si>
  <si>
    <t>Days</t>
  </si>
  <si>
    <t>Inpatient Acute</t>
  </si>
  <si>
    <t>Average Reimbursement Per Case</t>
  </si>
  <si>
    <t>Inpatient Acute Reimbursement</t>
  </si>
  <si>
    <t>Net Inpatient Medicaid Reimbursement</t>
  </si>
  <si>
    <t>HUMANA</t>
  </si>
  <si>
    <t>Number of Cases</t>
  </si>
  <si>
    <t>Total Inpatient Acute Reimbursement</t>
  </si>
  <si>
    <t>Adjusted Cases</t>
  </si>
  <si>
    <t>OTHER</t>
  </si>
  <si>
    <t>Number of Patient Days</t>
  </si>
  <si>
    <t>Average Patient Days Per Case</t>
  </si>
  <si>
    <t>Other Charges</t>
  </si>
  <si>
    <t>Average Charge Per Patient Day</t>
  </si>
  <si>
    <t>Average Charge Per Case</t>
  </si>
  <si>
    <t>Average Reimbursement Percentage</t>
  </si>
  <si>
    <t>Total Inpatient Reimbursement</t>
  </si>
  <si>
    <t>Net Medicare Reimbursement</t>
  </si>
  <si>
    <t>Operating IME Payments</t>
  </si>
  <si>
    <t>Managed Care IME Payments</t>
  </si>
  <si>
    <t>Operating DSH Payments</t>
  </si>
  <si>
    <t>Direct GME Reimbursement</t>
  </si>
  <si>
    <t>Total</t>
  </si>
  <si>
    <t>Net Medicaid Reimbursement</t>
  </si>
  <si>
    <t>Medicaid Acute Payments (Override)</t>
  </si>
  <si>
    <t>Medicaid Acute Reimbursement (Override)</t>
  </si>
  <si>
    <t>Total Acute Humana Reimbursement</t>
  </si>
  <si>
    <t>Humana Acute Reimbursement</t>
  </si>
  <si>
    <t>Total Other Reimbursement</t>
  </si>
  <si>
    <t>Other Inpatient Reimbursement</t>
  </si>
  <si>
    <t>Total Inpatient Revenue</t>
  </si>
  <si>
    <t>Growth from '99 to '00</t>
  </si>
  <si>
    <t>Growth from '00 to '01</t>
  </si>
  <si>
    <t>Growth from '01 to '02</t>
  </si>
  <si>
    <t>Growth from '99 to '02</t>
  </si>
  <si>
    <t>MED/SURG (INPATIENT) SUMMARY</t>
  </si>
  <si>
    <t>Growth from '97 to '02</t>
  </si>
  <si>
    <t>Reese Projected 1998</t>
  </si>
  <si>
    <t>Reese Projected 1999</t>
  </si>
  <si>
    <t>Final Projections</t>
  </si>
  <si>
    <t>1999 Final Projections</t>
  </si>
  <si>
    <t>Final 1999 Projections</t>
  </si>
  <si>
    <t>2000 Final Projections</t>
  </si>
  <si>
    <t>Final 2000 Projections</t>
  </si>
  <si>
    <t>2001 Final Projections</t>
  </si>
  <si>
    <t>Final 2001 Projections</t>
  </si>
  <si>
    <t>2002 Final Projections</t>
  </si>
  <si>
    <t>Final 2002 Projections</t>
  </si>
  <si>
    <t>Reese 1999 Projections</t>
  </si>
  <si>
    <t>(Pl. Ex. 300 at TRUST/HCA-007589-TRUST/HCA-007592.)</t>
  </si>
  <si>
    <t>(Pl. Ex. 300 at TRUST/HCA-007605-TRUST/HCA-007608.)</t>
  </si>
  <si>
    <t>(Pl. Ex. No. 300 at TRUST/HCA-007619.)</t>
  </si>
  <si>
    <t>(Pl. Ex. 300 at TRUST/HCA-007625.)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</si>
</sst>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64" fontId="0" fillId="3" borderId="2" xfId="0" applyNumberForma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10" fontId="0" fillId="3" borderId="2" xfId="0" applyNumberFormat="1" applyFill="1" applyBorder="1" applyAlignment="1">
      <alignment/>
    </xf>
    <xf numFmtId="10" fontId="0" fillId="3" borderId="3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64" fontId="0" fillId="4" borderId="2" xfId="0" applyNumberFormat="1" applyFill="1" applyBorder="1" applyAlignment="1">
      <alignment/>
    </xf>
    <xf numFmtId="10" fontId="0" fillId="4" borderId="1" xfId="0" applyNumberFormat="1" applyFont="1" applyFill="1" applyBorder="1" applyAlignment="1">
      <alignment/>
    </xf>
    <xf numFmtId="10" fontId="0" fillId="4" borderId="2" xfId="0" applyNumberFormat="1" applyFill="1" applyBorder="1" applyAlignment="1">
      <alignment/>
    </xf>
    <xf numFmtId="10" fontId="0" fillId="4" borderId="3" xfId="0" applyNumberForma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3" borderId="2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164" fontId="0" fillId="5" borderId="2" xfId="0" applyNumberFormat="1" applyFill="1" applyBorder="1" applyAlignment="1">
      <alignment/>
    </xf>
    <xf numFmtId="10" fontId="0" fillId="5" borderId="1" xfId="0" applyNumberFormat="1" applyFont="1" applyFill="1" applyBorder="1" applyAlignment="1">
      <alignment/>
    </xf>
    <xf numFmtId="10" fontId="0" fillId="5" borderId="2" xfId="0" applyNumberFormat="1" applyFill="1" applyBorder="1" applyAlignment="1">
      <alignment/>
    </xf>
    <xf numFmtId="10" fontId="0" fillId="5" borderId="3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64" fontId="0" fillId="3" borderId="2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5" borderId="1" xfId="0" applyFill="1" applyBorder="1" applyAlignment="1">
      <alignment/>
    </xf>
    <xf numFmtId="164" fontId="0" fillId="5" borderId="3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4" borderId="6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berts%20v.%20HCA%20Spreadsheets\Spreadsheets%20Assuming%20Eighteen-Month%20Delay\Alberts%20v.%20Tuft_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cmst1\Desktop\Excel%20Files\Alberts%20v.%20Tuft_volu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lume Summary"/>
      <sheetName val="MedSurg (Inpatient)"/>
      <sheetName val="Psych"/>
      <sheetName val="Rehab"/>
      <sheetName val="Outpati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lume Summary"/>
      <sheetName val="MedSurg (Inpatient)"/>
      <sheetName val="Psych"/>
      <sheetName val="Rehab"/>
      <sheetName val="Outpatient"/>
    </sheetNames>
    <sheetDataSet>
      <sheetData sheetId="0">
        <row r="6">
          <cell r="F6">
            <v>3491</v>
          </cell>
          <cell r="H6">
            <v>3076</v>
          </cell>
          <cell r="J6">
            <v>3277</v>
          </cell>
          <cell r="L6">
            <v>3525</v>
          </cell>
        </row>
        <row r="7">
          <cell r="F7">
            <v>5660</v>
          </cell>
          <cell r="H7">
            <v>4419</v>
          </cell>
          <cell r="J7">
            <v>5509</v>
          </cell>
          <cell r="L7">
            <v>5925</v>
          </cell>
        </row>
        <row r="8">
          <cell r="F8">
            <v>9073</v>
          </cell>
          <cell r="H8">
            <v>8816</v>
          </cell>
          <cell r="J8">
            <v>9393</v>
          </cell>
          <cell r="L8">
            <v>10102</v>
          </cell>
        </row>
        <row r="72">
          <cell r="F72">
            <v>83087</v>
          </cell>
          <cell r="H72">
            <v>70876</v>
          </cell>
          <cell r="J72">
            <v>88371</v>
          </cell>
          <cell r="L72">
            <v>95018</v>
          </cell>
        </row>
        <row r="100">
          <cell r="F100">
            <v>107075</v>
          </cell>
          <cell r="H100">
            <v>92192</v>
          </cell>
          <cell r="J100">
            <v>97238</v>
          </cell>
          <cell r="L100">
            <v>104740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9.00390625" style="0" bestFit="1" customWidth="1"/>
    <col min="2" max="2" width="32.140625" style="0" bestFit="1" customWidth="1"/>
    <col min="3" max="3" width="42.7109375" style="0" bestFit="1" customWidth="1"/>
    <col min="5" max="5" width="14.8515625" style="0" bestFit="1" customWidth="1"/>
    <col min="7" max="7" width="14.8515625" style="0" bestFit="1" customWidth="1"/>
    <col min="9" max="9" width="19.7109375" style="0" bestFit="1" customWidth="1"/>
    <col min="11" max="11" width="19.7109375" style="0" bestFit="1" customWidth="1"/>
    <col min="13" max="13" width="19.421875" style="0" bestFit="1" customWidth="1"/>
    <col min="15" max="15" width="19.421875" style="0" bestFit="1" customWidth="1"/>
    <col min="17" max="17" width="19.421875" style="0" bestFit="1" customWidth="1"/>
    <col min="19" max="19" width="19.140625" style="0" bestFit="1" customWidth="1"/>
    <col min="21" max="21" width="19.421875" style="9" bestFit="1" customWidth="1"/>
    <col min="23" max="23" width="19.421875" style="0" bestFit="1" customWidth="1"/>
  </cols>
  <sheetData>
    <row r="1" spans="1:23" ht="12.75">
      <c r="A1" s="1" t="s">
        <v>119</v>
      </c>
      <c r="E1" s="2">
        <v>1996</v>
      </c>
      <c r="G1" s="2">
        <v>1997</v>
      </c>
      <c r="I1" s="2" t="s">
        <v>121</v>
      </c>
      <c r="K1" s="2" t="s">
        <v>122</v>
      </c>
      <c r="L1" s="3"/>
      <c r="M1" s="4" t="s">
        <v>1</v>
      </c>
      <c r="N1" s="5"/>
      <c r="O1" s="2" t="s">
        <v>2</v>
      </c>
      <c r="Q1" s="2" t="s">
        <v>3</v>
      </c>
      <c r="S1" s="2" t="s">
        <v>4</v>
      </c>
      <c r="T1" s="5"/>
      <c r="U1" s="2" t="s">
        <v>5</v>
      </c>
      <c r="W1" s="2" t="s">
        <v>6</v>
      </c>
    </row>
    <row r="2" spans="12:21" ht="12.75">
      <c r="L2" s="59"/>
      <c r="M2" s="6"/>
      <c r="U2"/>
    </row>
    <row r="3" spans="2:21" ht="12.75">
      <c r="B3" t="s">
        <v>101</v>
      </c>
      <c r="L3" s="59"/>
      <c r="M3" s="6"/>
      <c r="U3"/>
    </row>
    <row r="4" spans="3:23" ht="12.75">
      <c r="C4" t="s">
        <v>14</v>
      </c>
      <c r="E4" s="7">
        <f>Medicare!E11</f>
        <v>21358415.568799995</v>
      </c>
      <c r="F4" s="7"/>
      <c r="G4" s="7">
        <f>Medicare!G11</f>
        <v>18819388.7968</v>
      </c>
      <c r="H4" s="7"/>
      <c r="I4" s="7">
        <f>Medicare!I11</f>
        <v>20407360.203999996</v>
      </c>
      <c r="J4" s="7"/>
      <c r="K4" s="7">
        <f>Medicare!K11</f>
        <v>21951768.299999997</v>
      </c>
      <c r="L4" s="59"/>
      <c r="M4" s="8">
        <f>(G4/E4)-1</f>
        <v>-0.11887711257519318</v>
      </c>
      <c r="N4" s="9"/>
      <c r="O4" s="9">
        <f>(I4/G4)-1</f>
        <v>0.08437954198969577</v>
      </c>
      <c r="P4" s="9"/>
      <c r="Q4" s="9">
        <f>(K4/I4)-1</f>
        <v>0.07567897467195617</v>
      </c>
      <c r="S4" s="9">
        <f>(I4/E4)-1</f>
        <v>-0.04452836689764961</v>
      </c>
      <c r="T4" s="9"/>
      <c r="U4" s="9">
        <f>(K4/E4)-1</f>
        <v>0.02778074662367569</v>
      </c>
      <c r="W4" s="9">
        <f>(K4/G4)-1</f>
        <v>0.16644427388272143</v>
      </c>
    </row>
    <row r="5" spans="3:23" ht="12.75">
      <c r="C5" t="s">
        <v>15</v>
      </c>
      <c r="E5" s="7">
        <f>Medicare!E16</f>
        <v>491796.71959999995</v>
      </c>
      <c r="F5" s="7"/>
      <c r="G5" s="7">
        <f>Medicare!G16</f>
        <v>433333.34560000006</v>
      </c>
      <c r="H5" s="7"/>
      <c r="I5" s="7">
        <f>Medicare!I16</f>
        <v>534155.4436119999</v>
      </c>
      <c r="J5" s="7"/>
      <c r="K5" s="7">
        <f>Medicare!K16</f>
        <v>574579.7798999998</v>
      </c>
      <c r="L5" s="59"/>
      <c r="M5" s="8">
        <f aca="true" t="shared" si="0" ref="M5:M14">(G5/E5)-1</f>
        <v>-0.11887711257519318</v>
      </c>
      <c r="N5" s="9"/>
      <c r="O5" s="9">
        <f aca="true" t="shared" si="1" ref="O5:O14">(I5/G5)-1</f>
        <v>0.2326663734414438</v>
      </c>
      <c r="P5" s="9"/>
      <c r="Q5" s="9">
        <f aca="true" t="shared" si="2" ref="Q5:Q14">(K5/I5)-1</f>
        <v>0.07567897467195617</v>
      </c>
      <c r="S5" s="9">
        <f>(I5/E5)-1</f>
        <v>0.08613055419819005</v>
      </c>
      <c r="T5" s="9"/>
      <c r="U5" s="9">
        <f>(K5/E5)-1</f>
        <v>0.1683278008997926</v>
      </c>
      <c r="W5" s="9">
        <f>(K5/G5)-1</f>
        <v>0.32595330069609063</v>
      </c>
    </row>
    <row r="6" spans="3:23" ht="12.75">
      <c r="C6" t="s">
        <v>102</v>
      </c>
      <c r="E6" s="7">
        <f>Medicare!E21</f>
        <v>7204477.684436279</v>
      </c>
      <c r="F6" s="7"/>
      <c r="G6" s="7">
        <f>Medicare!G21</f>
        <v>6348030.179698081</v>
      </c>
      <c r="H6" s="7"/>
      <c r="I6" s="7">
        <f>Medicare!I21</f>
        <v>6896811.5005586725</v>
      </c>
      <c r="J6" s="7"/>
      <c r="K6" s="7">
        <f>Medicare!K21</f>
        <v>6880585.298661268</v>
      </c>
      <c r="L6" s="59"/>
      <c r="M6" s="8">
        <f t="shared" si="0"/>
        <v>-0.11887711257519318</v>
      </c>
      <c r="N6" s="9"/>
      <c r="O6" s="9">
        <f t="shared" si="1"/>
        <v>0.0864490724407192</v>
      </c>
      <c r="P6" s="9"/>
      <c r="Q6" s="9">
        <f t="shared" si="2"/>
        <v>-0.002352710654204393</v>
      </c>
      <c r="S6" s="9">
        <f>(I6/E6)-1</f>
        <v>-0.042704856251030265</v>
      </c>
      <c r="T6" s="9"/>
      <c r="U6" s="9">
        <f>(K6/E6)-1</f>
        <v>-0.04495709473494669</v>
      </c>
      <c r="W6" s="9">
        <f>(K6/G6)-1</f>
        <v>0.0838929721327375</v>
      </c>
    </row>
    <row r="7" spans="3:23" ht="12.75">
      <c r="C7" t="s">
        <v>103</v>
      </c>
      <c r="E7" s="7">
        <f>Medicare!E26</f>
        <v>0</v>
      </c>
      <c r="F7" s="7"/>
      <c r="G7" s="7">
        <f>Medicare!G26</f>
        <v>0</v>
      </c>
      <c r="H7" s="7"/>
      <c r="I7" s="7">
        <f>Medicare!I26</f>
        <v>142162.69139167416</v>
      </c>
      <c r="J7" s="7"/>
      <c r="K7" s="7">
        <f>Medicare!K26</f>
        <v>220717.47884820472</v>
      </c>
      <c r="L7" s="59"/>
      <c r="M7" s="8">
        <v>0</v>
      </c>
      <c r="N7" s="9"/>
      <c r="O7" s="9">
        <v>0</v>
      </c>
      <c r="P7" s="9"/>
      <c r="Q7" s="9">
        <f t="shared" si="2"/>
        <v>0.5525696417782588</v>
      </c>
      <c r="S7" s="9">
        <v>0</v>
      </c>
      <c r="T7" s="9"/>
      <c r="U7" s="9">
        <v>0</v>
      </c>
      <c r="W7" s="9">
        <v>0</v>
      </c>
    </row>
    <row r="8" spans="3:23" ht="12.75">
      <c r="C8" t="s">
        <v>32</v>
      </c>
      <c r="E8" s="7">
        <f>Medicare!E37</f>
        <v>396513.2060307245</v>
      </c>
      <c r="F8" s="7"/>
      <c r="G8" s="7">
        <f>Medicare!G37</f>
        <v>412469.332422187</v>
      </c>
      <c r="H8" s="7"/>
      <c r="I8" s="7">
        <f>Medicare!I37</f>
        <v>289192.53130676306</v>
      </c>
      <c r="J8" s="7"/>
      <c r="K8" s="7">
        <f>Medicare!K37</f>
        <v>327715.9371124819</v>
      </c>
      <c r="L8" s="59"/>
      <c r="M8" s="8">
        <f t="shared" si="0"/>
        <v>0.040241097014625415</v>
      </c>
      <c r="N8" s="9"/>
      <c r="O8" s="9">
        <f t="shared" si="1"/>
        <v>-0.2988750712483099</v>
      </c>
      <c r="P8" s="9"/>
      <c r="Q8" s="9">
        <f t="shared" si="2"/>
        <v>0.13321023759377404</v>
      </c>
      <c r="S8" s="9">
        <f aca="true" t="shared" si="3" ref="S8:S14">(I8/E8)-1</f>
        <v>-0.2706610349710409</v>
      </c>
      <c r="T8" s="9"/>
      <c r="U8" s="9">
        <f aca="true" t="shared" si="4" ref="U8:U14">(K8/E8)-1</f>
        <v>-0.17350561815313592</v>
      </c>
      <c r="W8" s="9">
        <f aca="true" t="shared" si="5" ref="W8:W14">(K8/G8)-1</f>
        <v>-0.20547805290637933</v>
      </c>
    </row>
    <row r="9" spans="3:23" ht="12.75">
      <c r="C9" t="s">
        <v>104</v>
      </c>
      <c r="E9" s="7">
        <f>Medicare!E55</f>
        <v>5348319.474679087</v>
      </c>
      <c r="F9" s="7"/>
      <c r="G9" s="7">
        <f>Medicare!G55</f>
        <v>3629167.996079846</v>
      </c>
      <c r="H9" s="7"/>
      <c r="I9" s="7">
        <f>Medicare!I55</f>
        <v>6654978.185872411</v>
      </c>
      <c r="J9" s="7"/>
      <c r="K9" s="7">
        <f>Medicare!K55</f>
        <v>7755421.199059993</v>
      </c>
      <c r="L9" s="59"/>
      <c r="M9" s="8">
        <f t="shared" si="0"/>
        <v>-0.3214376939781435</v>
      </c>
      <c r="N9" s="9"/>
      <c r="O9" s="9">
        <f t="shared" si="1"/>
        <v>0.8337476228879415</v>
      </c>
      <c r="P9" s="9"/>
      <c r="Q9" s="9">
        <f t="shared" si="2"/>
        <v>0.16535636668556908</v>
      </c>
      <c r="S9" s="9">
        <f t="shared" si="3"/>
        <v>0.24431201564893934</v>
      </c>
      <c r="T9" s="9"/>
      <c r="U9" s="9">
        <f t="shared" si="4"/>
        <v>0.45006692957984495</v>
      </c>
      <c r="W9" s="9">
        <f t="shared" si="5"/>
        <v>1.1369694672269905</v>
      </c>
    </row>
    <row r="10" spans="3:23" ht="12.75">
      <c r="C10" t="s">
        <v>49</v>
      </c>
      <c r="E10" s="7">
        <f>Medicare!E59</f>
        <v>130264.26609237779</v>
      </c>
      <c r="F10" s="7"/>
      <c r="G10" s="7">
        <f>Medicare!G59</f>
        <v>95217.25091890275</v>
      </c>
      <c r="H10" s="7"/>
      <c r="I10" s="7">
        <f>Medicare!I59</f>
        <v>125630.43696598528</v>
      </c>
      <c r="J10" s="7"/>
      <c r="K10" s="7">
        <f>Medicare!K59</f>
        <v>166196.49728464294</v>
      </c>
      <c r="L10" s="59"/>
      <c r="M10" s="8">
        <f t="shared" si="0"/>
        <v>-0.26904550437969854</v>
      </c>
      <c r="N10" s="9"/>
      <c r="O10" s="9">
        <f t="shared" si="1"/>
        <v>0.31940836091755753</v>
      </c>
      <c r="P10" s="9"/>
      <c r="Q10" s="9">
        <f t="shared" si="2"/>
        <v>0.32289993809096607</v>
      </c>
      <c r="S10" s="9">
        <f t="shared" si="3"/>
        <v>-0.03557252702829794</v>
      </c>
      <c r="T10" s="9"/>
      <c r="U10" s="9">
        <f t="shared" si="4"/>
        <v>0.27584104428749145</v>
      </c>
      <c r="W10" s="9">
        <f t="shared" si="5"/>
        <v>0.7454452389745401</v>
      </c>
    </row>
    <row r="11" spans="3:23" ht="12.75">
      <c r="C11" t="s">
        <v>105</v>
      </c>
      <c r="E11" s="7">
        <f>Medicare!E73</f>
        <v>2177233.505536535</v>
      </c>
      <c r="F11" s="7"/>
      <c r="G11" s="7">
        <f>Medicare!G73</f>
        <v>2711380.3839459405</v>
      </c>
      <c r="H11" s="7"/>
      <c r="I11" s="7">
        <f>Medicare!I73</f>
        <v>3079856.2243945864</v>
      </c>
      <c r="J11" s="7"/>
      <c r="K11" s="7">
        <f>Medicare!K73</f>
        <v>3240795.2551032626</v>
      </c>
      <c r="L11" s="59"/>
      <c r="M11" s="8">
        <f t="shared" si="0"/>
        <v>0.2453328396109613</v>
      </c>
      <c r="N11" s="9"/>
      <c r="O11" s="9">
        <f t="shared" si="1"/>
        <v>0.13589972201259104</v>
      </c>
      <c r="P11" s="9"/>
      <c r="Q11" s="9">
        <f t="shared" si="2"/>
        <v>0.052255371349457125</v>
      </c>
      <c r="S11" s="9">
        <f t="shared" si="3"/>
        <v>0.4145732263272417</v>
      </c>
      <c r="T11" s="9"/>
      <c r="U11" s="9">
        <f t="shared" si="4"/>
        <v>0.48849227556997143</v>
      </c>
      <c r="W11" s="9">
        <f t="shared" si="5"/>
        <v>0.1952565838021043</v>
      </c>
    </row>
    <row r="12" spans="3:23" ht="12.75">
      <c r="C12" t="s">
        <v>60</v>
      </c>
      <c r="E12" s="7">
        <f>Medicare!E75</f>
        <v>315000</v>
      </c>
      <c r="F12" s="7"/>
      <c r="G12" s="7">
        <f>Medicare!G75</f>
        <v>315000</v>
      </c>
      <c r="H12" s="7"/>
      <c r="I12" s="7">
        <f>Medicare!I75</f>
        <v>315000</v>
      </c>
      <c r="J12" s="7"/>
      <c r="K12" s="7">
        <f>Medicare!K75</f>
        <v>315000</v>
      </c>
      <c r="L12" s="59"/>
      <c r="M12" s="8">
        <f t="shared" si="0"/>
        <v>0</v>
      </c>
      <c r="N12" s="9"/>
      <c r="O12" s="9">
        <f t="shared" si="1"/>
        <v>0</v>
      </c>
      <c r="P12" s="9"/>
      <c r="Q12" s="9">
        <f t="shared" si="2"/>
        <v>0</v>
      </c>
      <c r="S12" s="9">
        <f t="shared" si="3"/>
        <v>0</v>
      </c>
      <c r="T12" s="9"/>
      <c r="U12" s="9">
        <f t="shared" si="4"/>
        <v>0</v>
      </c>
      <c r="W12" s="9">
        <f t="shared" si="5"/>
        <v>0</v>
      </c>
    </row>
    <row r="13" spans="3:23" ht="12.75">
      <c r="C13" t="s">
        <v>61</v>
      </c>
      <c r="E13" s="7">
        <f>Medicare!E77</f>
        <v>-19671.100738864796</v>
      </c>
      <c r="F13" s="7"/>
      <c r="G13" s="7">
        <f>Medicare!G77</f>
        <v>-17332.6570818528</v>
      </c>
      <c r="H13" s="7"/>
      <c r="I13" s="7">
        <f>Medicare!I77</f>
        <v>-19009.456030026</v>
      </c>
      <c r="J13" s="7"/>
      <c r="K13" s="7">
        <f>Medicare!K77</f>
        <v>-20448.072171449996</v>
      </c>
      <c r="L13" s="59"/>
      <c r="M13" s="8">
        <f t="shared" si="0"/>
        <v>-0.11887711257519307</v>
      </c>
      <c r="N13" s="9"/>
      <c r="O13" s="9">
        <f t="shared" si="1"/>
        <v>0.09674217520456208</v>
      </c>
      <c r="P13" s="9"/>
      <c r="Q13" s="9">
        <f t="shared" si="2"/>
        <v>0.07567897467195595</v>
      </c>
      <c r="S13" s="9">
        <f t="shared" si="3"/>
        <v>-0.033635367823192874</v>
      </c>
      <c r="T13" s="9"/>
      <c r="U13" s="9">
        <f t="shared" si="4"/>
        <v>0.03949811669918968</v>
      </c>
      <c r="W13" s="9">
        <f t="shared" si="5"/>
        <v>0.17974249850353385</v>
      </c>
    </row>
    <row r="14" spans="3:23" ht="12.75">
      <c r="C14" t="s">
        <v>65</v>
      </c>
      <c r="E14" s="7">
        <f>Medicare!E82</f>
        <v>731250</v>
      </c>
      <c r="F14" s="7"/>
      <c r="G14" s="7">
        <f>Medicare!G82</f>
        <v>731250</v>
      </c>
      <c r="H14" s="7"/>
      <c r="I14" s="7">
        <f>Medicare!I82</f>
        <v>731250</v>
      </c>
      <c r="J14" s="7"/>
      <c r="K14" s="7">
        <f>Medicare!K82</f>
        <v>570000</v>
      </c>
      <c r="L14" s="59"/>
      <c r="M14" s="8">
        <f t="shared" si="0"/>
        <v>0</v>
      </c>
      <c r="N14" s="9"/>
      <c r="O14" s="9">
        <f t="shared" si="1"/>
        <v>0</v>
      </c>
      <c r="P14" s="9"/>
      <c r="Q14" s="9">
        <f t="shared" si="2"/>
        <v>-0.2205128205128205</v>
      </c>
      <c r="S14" s="9">
        <f t="shared" si="3"/>
        <v>0</v>
      </c>
      <c r="T14" s="9"/>
      <c r="U14" s="9">
        <f t="shared" si="4"/>
        <v>-0.2205128205128205</v>
      </c>
      <c r="W14" s="9">
        <f t="shared" si="5"/>
        <v>-0.2205128205128205</v>
      </c>
    </row>
    <row r="15" spans="5:23" ht="13.5" thickBot="1">
      <c r="E15" s="7"/>
      <c r="F15" s="7"/>
      <c r="G15" s="7"/>
      <c r="H15" s="7"/>
      <c r="I15" s="7"/>
      <c r="J15" s="7"/>
      <c r="K15" s="7"/>
      <c r="L15" s="59"/>
      <c r="M15" s="8"/>
      <c r="N15" s="9"/>
      <c r="O15" s="9"/>
      <c r="P15" s="9"/>
      <c r="Q15" s="9"/>
      <c r="S15" s="9"/>
      <c r="T15" s="9"/>
      <c r="W15" s="9"/>
    </row>
    <row r="16" spans="3:23" ht="13.5" thickBot="1">
      <c r="C16" s="21" t="s">
        <v>106</v>
      </c>
      <c r="D16" s="22"/>
      <c r="E16" s="23">
        <f>SUM(E4:E14)</f>
        <v>38133599.32443613</v>
      </c>
      <c r="F16" s="23"/>
      <c r="G16" s="23">
        <f>SUM(G4:G14)</f>
        <v>33477904.628383104</v>
      </c>
      <c r="H16" s="23"/>
      <c r="I16" s="23">
        <f>SUM(I4:I14)</f>
        <v>39157387.762072064</v>
      </c>
      <c r="J16" s="23"/>
      <c r="K16" s="31">
        <f>SUM(K4:K14)</f>
        <v>41982331.6737984</v>
      </c>
      <c r="L16" s="59"/>
      <c r="M16" s="24">
        <f>(G16/E16)-1</f>
        <v>-0.12208904426888545</v>
      </c>
      <c r="N16" s="25"/>
      <c r="O16" s="25">
        <f>(I16/G16)-1</f>
        <v>0.16964870402533516</v>
      </c>
      <c r="P16" s="25"/>
      <c r="Q16" s="25">
        <f>(K16/I16)-1</f>
        <v>0.07214331887742986</v>
      </c>
      <c r="R16" s="22"/>
      <c r="S16" s="25">
        <f>(I16/E16)-1</f>
        <v>0.026847411620541495</v>
      </c>
      <c r="T16" s="25"/>
      <c r="U16" s="25">
        <f>(K16/E16)-1</f>
        <v>0.10092759187554545</v>
      </c>
      <c r="V16" s="22"/>
      <c r="W16" s="26">
        <f>(K16/G16)-1</f>
        <v>0.2540310434544073</v>
      </c>
    </row>
    <row r="17" spans="5:23" ht="12.75">
      <c r="E17" s="7"/>
      <c r="F17" s="7"/>
      <c r="G17" s="7"/>
      <c r="H17" s="7"/>
      <c r="I17" s="7"/>
      <c r="J17" s="7"/>
      <c r="K17" s="7"/>
      <c r="L17" s="59"/>
      <c r="M17" s="8"/>
      <c r="N17" s="9"/>
      <c r="O17" s="9"/>
      <c r="P17" s="9"/>
      <c r="Q17" s="9"/>
      <c r="S17" s="9"/>
      <c r="T17" s="9"/>
      <c r="W17" s="9"/>
    </row>
    <row r="18" spans="2:23" ht="12.75">
      <c r="B18" t="s">
        <v>107</v>
      </c>
      <c r="E18" s="7"/>
      <c r="F18" s="7"/>
      <c r="G18" s="7"/>
      <c r="H18" s="7"/>
      <c r="I18" s="7"/>
      <c r="J18" s="7"/>
      <c r="K18" s="7"/>
      <c r="L18" s="59"/>
      <c r="M18" s="8"/>
      <c r="N18" s="9"/>
      <c r="O18" s="9"/>
      <c r="P18" s="9"/>
      <c r="Q18" s="9"/>
      <c r="S18" s="9"/>
      <c r="T18" s="9"/>
      <c r="W18" s="9"/>
    </row>
    <row r="19" spans="3:23" ht="12.75">
      <c r="C19" s="41" t="s">
        <v>14</v>
      </c>
      <c r="E19" s="7">
        <f>Medicaid!E11</f>
        <v>34565072.112</v>
      </c>
      <c r="F19" s="7"/>
      <c r="G19" s="7">
        <f>Medicaid!G11</f>
        <v>26986405.240800004</v>
      </c>
      <c r="H19" s="7"/>
      <c r="I19" s="7">
        <f>Medicaid!I11</f>
        <v>24737448.33</v>
      </c>
      <c r="J19" s="7"/>
      <c r="K19" s="7">
        <f>Medicaid!K11</f>
        <v>26639807.25</v>
      </c>
      <c r="L19" s="59"/>
      <c r="M19" s="8">
        <f aca="true" t="shared" si="6" ref="M19:M27">(G19/E19)-1</f>
        <v>-0.21925795053003527</v>
      </c>
      <c r="N19" s="9"/>
      <c r="O19" s="9">
        <f aca="true" t="shared" si="7" ref="O19:O27">(I19/G19)-1</f>
        <v>-0.08333666120895089</v>
      </c>
      <c r="P19" s="9"/>
      <c r="Q19" s="9">
        <f>(K19/I19)-1</f>
        <v>0.07690198660032954</v>
      </c>
      <c r="S19" s="9">
        <f aca="true" t="shared" si="8" ref="S19:S25">(I19/E19)-1</f>
        <v>-0.28432238619829575</v>
      </c>
      <c r="T19" s="9"/>
      <c r="U19" s="9">
        <f aca="true" t="shared" si="9" ref="U19:U25">(K19/E19)-1</f>
        <v>-0.2292853559315613</v>
      </c>
      <c r="W19" s="9">
        <f aca="true" t="shared" si="10" ref="W19:W25">(K19/G19)-1</f>
        <v>-0.01284342941222838</v>
      </c>
    </row>
    <row r="20" spans="3:23" ht="12.75">
      <c r="C20" s="41" t="s">
        <v>15</v>
      </c>
      <c r="E20" s="7">
        <f>Medicaid!E16</f>
        <v>472075</v>
      </c>
      <c r="F20" s="7"/>
      <c r="G20" s="7">
        <f>Medicaid!G16</f>
        <v>472075</v>
      </c>
      <c r="H20" s="7"/>
      <c r="I20" s="7">
        <f>Medicaid!I16</f>
        <v>0</v>
      </c>
      <c r="J20" s="7"/>
      <c r="K20" s="7">
        <f>Medicaid!K16</f>
        <v>0</v>
      </c>
      <c r="L20" s="59"/>
      <c r="M20" s="8">
        <f t="shared" si="6"/>
        <v>0</v>
      </c>
      <c r="N20" s="9"/>
      <c r="O20" s="9">
        <f t="shared" si="7"/>
        <v>-1</v>
      </c>
      <c r="P20" s="9"/>
      <c r="Q20" s="9">
        <v>0</v>
      </c>
      <c r="S20" s="9">
        <f t="shared" si="8"/>
        <v>-1</v>
      </c>
      <c r="T20" s="9"/>
      <c r="U20" s="9">
        <f t="shared" si="9"/>
        <v>-1</v>
      </c>
      <c r="W20" s="9">
        <f t="shared" si="10"/>
        <v>-1</v>
      </c>
    </row>
    <row r="21" spans="3:23" ht="12.75">
      <c r="C21" s="41" t="s">
        <v>18</v>
      </c>
      <c r="E21" s="7">
        <f>Medicaid!E21</f>
        <v>6915568.2975</v>
      </c>
      <c r="F21" s="7"/>
      <c r="G21" s="7">
        <f>Medicaid!G21</f>
        <v>6915568.2975</v>
      </c>
      <c r="H21" s="7"/>
      <c r="I21" s="7">
        <f>Medicaid!I21</f>
        <v>7914417.3285</v>
      </c>
      <c r="J21" s="7"/>
      <c r="K21" s="7">
        <f>Medicaid!K21</f>
        <v>7895372.2992</v>
      </c>
      <c r="L21" s="59"/>
      <c r="M21" s="8">
        <f t="shared" si="6"/>
        <v>0</v>
      </c>
      <c r="N21" s="9"/>
      <c r="O21" s="9">
        <f t="shared" si="7"/>
        <v>0.14443484440188192</v>
      </c>
      <c r="P21" s="9"/>
      <c r="Q21" s="9">
        <f>(K21/I21)-1</f>
        <v>-0.0024063716265527724</v>
      </c>
      <c r="S21" s="9">
        <f t="shared" si="8"/>
        <v>0.14443484440188192</v>
      </c>
      <c r="T21" s="9"/>
      <c r="U21" s="9">
        <f t="shared" si="9"/>
        <v>0.14168090886387485</v>
      </c>
      <c r="W21" s="9">
        <f t="shared" si="10"/>
        <v>0.14168090886387485</v>
      </c>
    </row>
    <row r="22" spans="3:23" ht="12.75">
      <c r="C22" s="41" t="s">
        <v>25</v>
      </c>
      <c r="E22" s="7">
        <f>Medicaid!E32</f>
        <v>420889.3199656964</v>
      </c>
      <c r="F22" s="7"/>
      <c r="G22" s="7">
        <f>Medicaid!G32</f>
        <v>414155.077008087</v>
      </c>
      <c r="H22" s="7"/>
      <c r="I22" s="7">
        <f>Medicaid!I32</f>
        <v>489222.91419953416</v>
      </c>
      <c r="J22" s="7"/>
      <c r="K22" s="7">
        <f>Medicaid!K32</f>
        <v>612854.8236829711</v>
      </c>
      <c r="L22" s="59"/>
      <c r="M22" s="8">
        <f t="shared" si="6"/>
        <v>-0.016000032878378256</v>
      </c>
      <c r="N22" s="9"/>
      <c r="O22" s="9">
        <f t="shared" si="7"/>
        <v>0.18125538320994994</v>
      </c>
      <c r="P22" s="9"/>
      <c r="Q22" s="9">
        <f>(K22/I22)-1</f>
        <v>0.25271079071535985</v>
      </c>
      <c r="S22" s="9">
        <f t="shared" si="8"/>
        <v>0.16235525824082941</v>
      </c>
      <c r="T22" s="9"/>
      <c r="U22" s="9">
        <f t="shared" si="9"/>
        <v>0.4560949746430256</v>
      </c>
      <c r="W22" s="9">
        <f t="shared" si="10"/>
        <v>0.4797713651377118</v>
      </c>
    </row>
    <row r="23" spans="3:23" ht="12.75">
      <c r="C23" s="41" t="s">
        <v>33</v>
      </c>
      <c r="E23" s="7">
        <f>Medicaid!E51</f>
        <v>5276159.9597597085</v>
      </c>
      <c r="F23" s="7"/>
      <c r="G23" s="7">
        <f>Medicaid!G51</f>
        <v>5276159.9597597085</v>
      </c>
      <c r="H23" s="7"/>
      <c r="I23" s="7">
        <f>Medicaid!I51</f>
        <v>8269716.154369063</v>
      </c>
      <c r="J23" s="7"/>
      <c r="K23" s="7">
        <f>Medicaid!K51</f>
        <v>8803697.504986532</v>
      </c>
      <c r="L23" s="59"/>
      <c r="M23" s="8">
        <f t="shared" si="6"/>
        <v>0</v>
      </c>
      <c r="N23" s="9"/>
      <c r="O23" s="9">
        <f t="shared" si="7"/>
        <v>0.5673740404841117</v>
      </c>
      <c r="P23" s="9"/>
      <c r="Q23" s="9">
        <f>(K23/I23)-1</f>
        <v>0.06457069875794419</v>
      </c>
      <c r="S23" s="9">
        <f t="shared" si="8"/>
        <v>0.5673740404841117</v>
      </c>
      <c r="T23" s="9"/>
      <c r="U23" s="9">
        <f t="shared" si="9"/>
        <v>0.6685804774932331</v>
      </c>
      <c r="W23" s="9">
        <f t="shared" si="10"/>
        <v>0.6685804774932331</v>
      </c>
    </row>
    <row r="24" spans="3:23" ht="12.75">
      <c r="C24" s="41" t="s">
        <v>47</v>
      </c>
      <c r="E24" s="7">
        <f>Medicaid!E55</f>
        <v>123914.45592855437</v>
      </c>
      <c r="F24" s="7"/>
      <c r="G24" s="7">
        <f>Medicaid!G55</f>
        <v>123914.45592855437</v>
      </c>
      <c r="H24" s="7"/>
      <c r="I24" s="7">
        <f>Medicaid!I55</f>
        <v>187345.61801541146</v>
      </c>
      <c r="J24" s="7"/>
      <c r="K24" s="7">
        <f>Medicaid!K55</f>
        <v>230265.88861564553</v>
      </c>
      <c r="L24" s="59"/>
      <c r="M24" s="8">
        <f t="shared" si="6"/>
        <v>0</v>
      </c>
      <c r="N24" s="9"/>
      <c r="O24" s="9">
        <f t="shared" si="7"/>
        <v>0.5118947713689654</v>
      </c>
      <c r="P24" s="9"/>
      <c r="Q24" s="9">
        <f>(K24/I24)-1</f>
        <v>0.22909674138577052</v>
      </c>
      <c r="S24" s="9">
        <f t="shared" si="8"/>
        <v>0.5118947713689654</v>
      </c>
      <c r="T24" s="9"/>
      <c r="U24" s="9">
        <f t="shared" si="9"/>
        <v>0.8582649368077802</v>
      </c>
      <c r="W24" s="9">
        <f t="shared" si="10"/>
        <v>0.8582649368077802</v>
      </c>
    </row>
    <row r="25" spans="3:23" ht="12.75">
      <c r="C25" s="41" t="s">
        <v>50</v>
      </c>
      <c r="E25" s="7">
        <f>Medicaid!E67</f>
        <v>3375249.8658184544</v>
      </c>
      <c r="F25" s="7"/>
      <c r="G25" s="7">
        <f>Medicaid!G67</f>
        <v>3428111.2819677405</v>
      </c>
      <c r="H25" s="7"/>
      <c r="I25" s="7">
        <f>Medicaid!I67</f>
        <v>3460479.9152191505</v>
      </c>
      <c r="J25" s="7"/>
      <c r="K25" s="7">
        <f>Medicaid!K67</f>
        <v>3585882.8802555185</v>
      </c>
      <c r="L25" s="59"/>
      <c r="M25" s="8">
        <f t="shared" si="6"/>
        <v>0.015661482334869525</v>
      </c>
      <c r="N25" s="9"/>
      <c r="O25" s="9">
        <f t="shared" si="7"/>
        <v>0.009442118586310944</v>
      </c>
      <c r="P25" s="9"/>
      <c r="Q25" s="9">
        <f>(K25/I25)-1</f>
        <v>0.036238605080424646</v>
      </c>
      <c r="S25" s="9">
        <f t="shared" si="8"/>
        <v>0.025251478494623614</v>
      </c>
      <c r="T25" s="9"/>
      <c r="U25" s="9">
        <f t="shared" si="9"/>
        <v>0.0624051619319117</v>
      </c>
      <c r="W25" s="9">
        <f t="shared" si="10"/>
        <v>0.04602289287330752</v>
      </c>
    </row>
    <row r="26" spans="3:23" ht="12.75">
      <c r="C26" s="42" t="s">
        <v>60</v>
      </c>
      <c r="E26" s="7">
        <f>Medicaid!E77</f>
        <v>0</v>
      </c>
      <c r="F26" s="7"/>
      <c r="G26" s="7">
        <f>Medicaid!G77</f>
        <v>0</v>
      </c>
      <c r="H26" s="7"/>
      <c r="I26" s="7">
        <f>Medicaid!I77</f>
        <v>0</v>
      </c>
      <c r="J26" s="7"/>
      <c r="K26" s="7">
        <f>Medicaid!K77</f>
        <v>0</v>
      </c>
      <c r="L26" s="59"/>
      <c r="M26" s="8">
        <v>0</v>
      </c>
      <c r="N26" s="9"/>
      <c r="O26" s="9">
        <v>0</v>
      </c>
      <c r="P26" s="9"/>
      <c r="Q26" s="9">
        <v>0</v>
      </c>
      <c r="S26" s="9">
        <v>0</v>
      </c>
      <c r="T26" s="9"/>
      <c r="U26" s="9">
        <v>0</v>
      </c>
      <c r="W26" s="9">
        <v>0</v>
      </c>
    </row>
    <row r="27" spans="3:23" ht="12.75">
      <c r="C27" s="43" t="s">
        <v>61</v>
      </c>
      <c r="E27" s="7">
        <f>Medicaid!E78</f>
        <v>-18833</v>
      </c>
      <c r="F27" s="7"/>
      <c r="G27" s="7">
        <f>Medicaid!G78</f>
        <v>-18833</v>
      </c>
      <c r="H27" s="7"/>
      <c r="I27" s="7">
        <f>Medicaid!I78</f>
        <v>-22828</v>
      </c>
      <c r="J27" s="7"/>
      <c r="K27" s="7">
        <f>Medicaid!K78</f>
        <v>-24550</v>
      </c>
      <c r="L27" s="59"/>
      <c r="M27" s="8">
        <f t="shared" si="6"/>
        <v>0</v>
      </c>
      <c r="N27" s="9"/>
      <c r="O27" s="9">
        <f t="shared" si="7"/>
        <v>0.21212764827696073</v>
      </c>
      <c r="P27" s="9"/>
      <c r="Q27" s="9">
        <f>(K27/I27)-1</f>
        <v>0.07543367793937272</v>
      </c>
      <c r="S27" s="9">
        <f>(I27/E27)-1</f>
        <v>0.21212764827696073</v>
      </c>
      <c r="T27" s="9"/>
      <c r="U27" s="9">
        <f>(K27/E27)-1</f>
        <v>0.3035628949184941</v>
      </c>
      <c r="W27" s="9">
        <f>(K27/G27)-1</f>
        <v>0.3035628949184941</v>
      </c>
    </row>
    <row r="28" spans="5:23" ht="13.5" thickBot="1">
      <c r="E28" s="7"/>
      <c r="F28" s="7"/>
      <c r="G28" s="7"/>
      <c r="H28" s="7"/>
      <c r="I28" s="7"/>
      <c r="J28" s="7"/>
      <c r="K28" s="7"/>
      <c r="L28" s="59"/>
      <c r="M28" s="8"/>
      <c r="N28" s="9"/>
      <c r="O28" s="9"/>
      <c r="P28" s="9"/>
      <c r="Q28" s="9"/>
      <c r="S28" s="9"/>
      <c r="T28" s="9"/>
      <c r="W28" s="9"/>
    </row>
    <row r="29" spans="3:23" ht="13.5" thickBot="1">
      <c r="C29" s="60" t="s">
        <v>106</v>
      </c>
      <c r="D29" s="45"/>
      <c r="E29" s="46">
        <f>SUM(E19:E27)</f>
        <v>51130096.01097242</v>
      </c>
      <c r="F29" s="46"/>
      <c r="G29" s="46">
        <f>SUM(G19:G27)</f>
        <v>43597556.3129641</v>
      </c>
      <c r="H29" s="46"/>
      <c r="I29" s="46">
        <f>SUM(I19:I27)</f>
        <v>45035802.260303155</v>
      </c>
      <c r="J29" s="46"/>
      <c r="K29" s="61">
        <f>SUM(K19:K27)</f>
        <v>47743330.64674067</v>
      </c>
      <c r="L29" s="59"/>
      <c r="M29" s="47">
        <f>(G29/E29)-1</f>
        <v>-0.14732105522336303</v>
      </c>
      <c r="N29" s="48"/>
      <c r="O29" s="48">
        <f>(I29/G29)-1</f>
        <v>0.03298914134119446</v>
      </c>
      <c r="P29" s="48"/>
      <c r="Q29" s="48">
        <f>(K29/I29)-1</f>
        <v>0.06011946608141283</v>
      </c>
      <c r="R29" s="45"/>
      <c r="S29" s="48">
        <f>(I29/E29)-1</f>
        <v>-0.11919190899546594</v>
      </c>
      <c r="T29" s="48"/>
      <c r="U29" s="48">
        <f>(K29/E29)-1</f>
        <v>-0.06623819684408494</v>
      </c>
      <c r="V29" s="45"/>
      <c r="W29" s="49">
        <f>(K29/G29)-1</f>
        <v>0.0950918969865242</v>
      </c>
    </row>
    <row r="30" spans="5:23" ht="12.75">
      <c r="E30" s="7"/>
      <c r="F30" s="7"/>
      <c r="G30" s="7"/>
      <c r="H30" s="7"/>
      <c r="I30" s="7"/>
      <c r="J30" s="7"/>
      <c r="K30" s="7"/>
      <c r="L30" s="59"/>
      <c r="M30" s="8"/>
      <c r="N30" s="9"/>
      <c r="O30" s="9"/>
      <c r="P30" s="9"/>
      <c r="Q30" s="9"/>
      <c r="S30" s="9"/>
      <c r="T30" s="9"/>
      <c r="W30" s="9"/>
    </row>
    <row r="31" spans="3:23" ht="12.75">
      <c r="C31" t="s">
        <v>108</v>
      </c>
      <c r="E31" s="7">
        <f>Medicaid!E86</f>
        <v>2302342.48</v>
      </c>
      <c r="F31" s="7"/>
      <c r="G31" s="7">
        <f>Medicaid!G86</f>
        <v>1948365.2999999998</v>
      </c>
      <c r="H31" s="7"/>
      <c r="I31" s="7">
        <f>Medicaid!I86</f>
        <v>3743870.2199999997</v>
      </c>
      <c r="J31" s="7"/>
      <c r="K31" s="7">
        <f>Medicaid!K86</f>
        <v>4221106.99</v>
      </c>
      <c r="L31" s="59"/>
      <c r="M31" s="8">
        <f>(G31/E31)-1</f>
        <v>-0.15374653557189288</v>
      </c>
      <c r="N31" s="9"/>
      <c r="O31" s="9">
        <f>(I31/G31)-1</f>
        <v>0.9215442915145329</v>
      </c>
      <c r="P31" s="9"/>
      <c r="Q31" s="9">
        <f>(K31/I31)-1</f>
        <v>0.12747150460787093</v>
      </c>
      <c r="S31" s="9">
        <f>(I31/E31)-1</f>
        <v>0.6261135137462259</v>
      </c>
      <c r="T31" s="9"/>
      <c r="U31" s="9">
        <f>(K31/E31)-1</f>
        <v>0.833396650006649</v>
      </c>
      <c r="W31" s="9">
        <f>(K31/G31)-1</f>
        <v>1.1664864335245553</v>
      </c>
    </row>
    <row r="32" spans="3:23" ht="12.75">
      <c r="C32" t="s">
        <v>109</v>
      </c>
      <c r="E32" s="7">
        <f>Medicaid!E89</f>
        <v>22527479.2</v>
      </c>
      <c r="F32" s="7"/>
      <c r="G32" s="7">
        <f>Medicaid!G89</f>
        <v>17588150.28</v>
      </c>
      <c r="H32" s="7"/>
      <c r="I32" s="7">
        <f>Medicaid!I89</f>
        <v>24966292.189999998</v>
      </c>
      <c r="J32" s="7"/>
      <c r="K32" s="7">
        <f>Medicaid!K89</f>
        <v>27657129.75</v>
      </c>
      <c r="L32" s="59"/>
      <c r="M32" s="8">
        <f>(G32/E32)-1</f>
        <v>-0.21925795053003527</v>
      </c>
      <c r="N32" s="9"/>
      <c r="O32" s="9">
        <f>(I32/G32)-1</f>
        <v>0.41949504595658915</v>
      </c>
      <c r="P32" s="9"/>
      <c r="Q32" s="9">
        <f>(K32/I32)-1</f>
        <v>0.10777882192205501</v>
      </c>
      <c r="S32" s="9">
        <f>(I32/E32)-1</f>
        <v>0.10825947139260927</v>
      </c>
      <c r="T32" s="9"/>
      <c r="U32" s="9">
        <f>(K32/E32)-1</f>
        <v>0.22770637160326412</v>
      </c>
      <c r="W32" s="9">
        <f>(K32/G32)-1</f>
        <v>0.5724865497339837</v>
      </c>
    </row>
    <row r="33" spans="5:23" ht="13.5" thickBot="1">
      <c r="E33" s="7"/>
      <c r="F33" s="7"/>
      <c r="G33" s="7"/>
      <c r="H33" s="7"/>
      <c r="I33" s="7"/>
      <c r="J33" s="7"/>
      <c r="K33" s="7"/>
      <c r="L33" s="59"/>
      <c r="M33" s="8"/>
      <c r="N33" s="9"/>
      <c r="O33" s="9"/>
      <c r="P33" s="9"/>
      <c r="Q33" s="9"/>
      <c r="S33" s="9"/>
      <c r="T33" s="9"/>
      <c r="W33" s="9"/>
    </row>
    <row r="34" spans="3:23" ht="13.5" thickBot="1">
      <c r="C34" s="21" t="s">
        <v>106</v>
      </c>
      <c r="D34" s="22"/>
      <c r="E34" s="23">
        <f>SUM(E31:E32)</f>
        <v>24829821.68</v>
      </c>
      <c r="F34" s="23"/>
      <c r="G34" s="23">
        <f>SUM(G31:G32)</f>
        <v>19536515.580000002</v>
      </c>
      <c r="H34" s="23"/>
      <c r="I34" s="23">
        <f>SUM(I31:I32)</f>
        <v>28710162.409999996</v>
      </c>
      <c r="J34" s="23"/>
      <c r="K34" s="31">
        <f>SUM(K31:K32)</f>
        <v>31878236.740000002</v>
      </c>
      <c r="L34" s="59"/>
      <c r="M34" s="24">
        <f>(G34/E34)-1</f>
        <v>-0.21318341179484446</v>
      </c>
      <c r="N34" s="25"/>
      <c r="O34" s="25">
        <f>(I34/G34)-1</f>
        <v>0.46956412428996686</v>
      </c>
      <c r="P34" s="25"/>
      <c r="Q34" s="25">
        <f>(K34/I34)-1</f>
        <v>0.11034679235727829</v>
      </c>
      <c r="R34" s="22"/>
      <c r="S34" s="25">
        <f>(I34/E34)-1</f>
        <v>0.15627743042252873</v>
      </c>
      <c r="T34" s="25"/>
      <c r="U34" s="25">
        <f>(K34/E34)-1</f>
        <v>0.2838689359447708</v>
      </c>
      <c r="V34" s="22"/>
      <c r="W34" s="26">
        <f>(K34/G34)-1</f>
        <v>0.6317258115686972</v>
      </c>
    </row>
    <row r="35" spans="5:23" ht="12.75">
      <c r="E35" s="7"/>
      <c r="F35" s="7"/>
      <c r="G35" s="7"/>
      <c r="H35" s="7"/>
      <c r="I35" s="7"/>
      <c r="J35" s="7"/>
      <c r="K35" s="7"/>
      <c r="L35" s="59"/>
      <c r="M35" s="8"/>
      <c r="N35" s="9"/>
      <c r="O35" s="9"/>
      <c r="P35" s="9"/>
      <c r="Q35" s="9"/>
      <c r="S35" s="9"/>
      <c r="T35" s="9"/>
      <c r="W35" s="9"/>
    </row>
    <row r="36" spans="2:23" ht="13.5" thickBot="1">
      <c r="B36" t="s">
        <v>110</v>
      </c>
      <c r="E36" s="7"/>
      <c r="F36" s="7"/>
      <c r="G36" s="7"/>
      <c r="H36" s="7"/>
      <c r="I36" s="7"/>
      <c r="J36" s="7"/>
      <c r="K36" s="7"/>
      <c r="L36" s="59"/>
      <c r="M36" s="8"/>
      <c r="N36" s="9"/>
      <c r="O36" s="9"/>
      <c r="P36" s="9"/>
      <c r="Q36" s="9"/>
      <c r="S36" s="9"/>
      <c r="T36" s="9"/>
      <c r="W36" s="9"/>
    </row>
    <row r="37" spans="3:23" ht="13.5" thickBot="1">
      <c r="C37" s="21" t="s">
        <v>111</v>
      </c>
      <c r="D37" s="22"/>
      <c r="E37" s="23">
        <f>Humana!D5</f>
        <v>43804897.65</v>
      </c>
      <c r="F37" s="23"/>
      <c r="G37" s="23">
        <f>Humana!F5</f>
        <v>42564088.800000004</v>
      </c>
      <c r="H37" s="23"/>
      <c r="I37" s="23">
        <f>Humana!H5</f>
        <v>45349873.65</v>
      </c>
      <c r="J37" s="23"/>
      <c r="K37" s="31">
        <f>Humana!J5</f>
        <v>48772961.1</v>
      </c>
      <c r="L37" s="59"/>
      <c r="M37" s="24">
        <f>(G37/E37)-1</f>
        <v>-0.028325801829604202</v>
      </c>
      <c r="N37" s="25"/>
      <c r="O37" s="25">
        <f>(I37/G37)-1</f>
        <v>0.06544918330308525</v>
      </c>
      <c r="P37" s="25"/>
      <c r="Q37" s="25">
        <f>(K37/I37)-1</f>
        <v>0.0754817417225595</v>
      </c>
      <c r="R37" s="22"/>
      <c r="S37" s="25">
        <f>(I37/E37)-1</f>
        <v>0.035269480877328396</v>
      </c>
      <c r="T37" s="25"/>
      <c r="U37" s="25">
        <f>(K37/E37)-1</f>
        <v>0.1134134244461591</v>
      </c>
      <c r="V37" s="22"/>
      <c r="W37" s="26">
        <f>(K37/G37)-1</f>
        <v>0.14587114337568052</v>
      </c>
    </row>
    <row r="38" spans="5:23" ht="12.75">
      <c r="E38" s="7"/>
      <c r="F38" s="7"/>
      <c r="G38" s="7"/>
      <c r="H38" s="7"/>
      <c r="I38" s="7"/>
      <c r="J38" s="7"/>
      <c r="K38" s="7"/>
      <c r="L38" s="59"/>
      <c r="M38" s="8"/>
      <c r="N38" s="9"/>
      <c r="O38" s="9"/>
      <c r="P38" s="9"/>
      <c r="Q38" s="9"/>
      <c r="S38" s="9"/>
      <c r="T38" s="9"/>
      <c r="W38" s="9"/>
    </row>
    <row r="39" spans="2:23" ht="13.5" thickBot="1">
      <c r="B39" t="s">
        <v>112</v>
      </c>
      <c r="E39" s="7"/>
      <c r="F39" s="7"/>
      <c r="G39" s="7"/>
      <c r="H39" s="7"/>
      <c r="I39" s="7"/>
      <c r="J39" s="7"/>
      <c r="K39" s="7"/>
      <c r="L39" s="59"/>
      <c r="M39" s="8"/>
      <c r="N39" s="9"/>
      <c r="O39" s="9"/>
      <c r="P39" s="9"/>
      <c r="Q39" s="9"/>
      <c r="S39" s="9"/>
      <c r="T39" s="9"/>
      <c r="W39" s="9"/>
    </row>
    <row r="40" spans="3:23" ht="13.5" thickBot="1">
      <c r="C40" s="21" t="s">
        <v>113</v>
      </c>
      <c r="D40" s="22"/>
      <c r="E40" s="23">
        <f>Other!D11</f>
        <v>8392136.3576</v>
      </c>
      <c r="F40" s="23"/>
      <c r="G40" s="23">
        <f>Other!F11</f>
        <v>7396374.398800001</v>
      </c>
      <c r="H40" s="23"/>
      <c r="I40" s="23">
        <f>Other!H11</f>
        <v>7887102.2244</v>
      </c>
      <c r="J40" s="23"/>
      <c r="K40" s="31">
        <f>Other!J11</f>
        <v>8487391.4152</v>
      </c>
      <c r="L40" s="59"/>
      <c r="M40" s="24">
        <f>(G40/E40)-1</f>
        <v>-0.11865416818427021</v>
      </c>
      <c r="N40" s="25"/>
      <c r="O40" s="25">
        <f>(I40/G40)-1</f>
        <v>0.06634707751944191</v>
      </c>
      <c r="P40" s="25"/>
      <c r="Q40" s="25">
        <f>(K40/I40)-1</f>
        <v>0.07611023335578326</v>
      </c>
      <c r="R40" s="22"/>
      <c r="S40" s="25">
        <f>(I40/E40)-1</f>
        <v>-0.060179447959354926</v>
      </c>
      <c r="T40" s="25"/>
      <c r="U40" s="25">
        <f>(K40/E40)-1</f>
        <v>0.011350513569019505</v>
      </c>
      <c r="V40" s="22"/>
      <c r="W40" s="26">
        <f>(K40/G40)-1</f>
        <v>0.1475070024277041</v>
      </c>
    </row>
    <row r="41" spans="5:23" ht="12.75">
      <c r="E41" s="7"/>
      <c r="F41" s="7"/>
      <c r="G41" s="7"/>
      <c r="H41" s="7"/>
      <c r="I41" s="7"/>
      <c r="J41" s="7"/>
      <c r="K41" s="7"/>
      <c r="L41" s="59"/>
      <c r="M41" s="8"/>
      <c r="N41" s="9"/>
      <c r="O41" s="9"/>
      <c r="P41" s="9"/>
      <c r="Q41" s="9"/>
      <c r="S41" s="9"/>
      <c r="T41" s="9"/>
      <c r="W41" s="9"/>
    </row>
    <row r="42" spans="12:23" ht="13.5" thickBot="1">
      <c r="L42" s="59"/>
      <c r="M42" s="8"/>
      <c r="N42" s="9"/>
      <c r="O42" s="9"/>
      <c r="P42" s="9"/>
      <c r="Q42" s="9"/>
      <c r="S42" s="9"/>
      <c r="T42" s="9"/>
      <c r="W42" s="9"/>
    </row>
    <row r="43" spans="2:23" ht="13.5" thickBot="1">
      <c r="B43" s="12" t="s">
        <v>114</v>
      </c>
      <c r="C43" s="13"/>
      <c r="D43" s="13"/>
      <c r="E43" s="14">
        <f>SUM(E16,E34,E37,E40)</f>
        <v>115160455.01203613</v>
      </c>
      <c r="F43" s="13"/>
      <c r="G43" s="14">
        <f>SUM(G16,G34,G37,G40)</f>
        <v>102974883.40718311</v>
      </c>
      <c r="H43" s="13"/>
      <c r="I43" s="14">
        <f>SUM(I16,I34,I37,I40)</f>
        <v>121104526.04647206</v>
      </c>
      <c r="J43" s="13"/>
      <c r="K43" s="30">
        <f>SUM(K16,K34,K37,K40)</f>
        <v>131120920.92899838</v>
      </c>
      <c r="L43" s="59"/>
      <c r="M43" s="15">
        <f>(G43/E43)-1</f>
        <v>-0.10581385427471113</v>
      </c>
      <c r="N43" s="16"/>
      <c r="O43" s="16">
        <f>(I43/G43)-1</f>
        <v>0.17605887998533332</v>
      </c>
      <c r="P43" s="16"/>
      <c r="Q43" s="16">
        <f>(K43/I43)-1</f>
        <v>0.0827086749729129</v>
      </c>
      <c r="R43" s="13"/>
      <c r="S43" s="16">
        <f>(I43/E43)-1</f>
        <v>0.05161555704008536</v>
      </c>
      <c r="T43" s="16"/>
      <c r="U43" s="16">
        <f>(K43/E43)-1</f>
        <v>0.13859328634377244</v>
      </c>
      <c r="V43" s="13"/>
      <c r="W43" s="17">
        <f>(K43/G43)-1</f>
        <v>0.27332915163904836</v>
      </c>
    </row>
    <row r="44" spans="1:2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27" t="s">
        <v>123</v>
      </c>
      <c r="E46" s="2">
        <v>1999</v>
      </c>
      <c r="F46" s="5"/>
      <c r="G46" s="2">
        <v>2000</v>
      </c>
      <c r="H46" s="5"/>
      <c r="I46" s="2">
        <v>2001</v>
      </c>
      <c r="J46" s="5"/>
      <c r="K46" s="2">
        <v>2002</v>
      </c>
      <c r="L46" s="3"/>
      <c r="M46" s="2" t="s">
        <v>6</v>
      </c>
      <c r="O46" s="2" t="s">
        <v>115</v>
      </c>
      <c r="P46" s="5"/>
      <c r="Q46" s="2" t="s">
        <v>116</v>
      </c>
      <c r="R46" s="5"/>
      <c r="S46" s="2" t="s">
        <v>117</v>
      </c>
      <c r="T46" s="5"/>
      <c r="U46" s="2" t="s">
        <v>120</v>
      </c>
      <c r="V46" s="5"/>
      <c r="W46" s="2" t="s">
        <v>118</v>
      </c>
    </row>
    <row r="47" spans="12:21" ht="12.75">
      <c r="L47" s="3"/>
      <c r="U47"/>
    </row>
    <row r="48" spans="2:21" ht="12.75">
      <c r="B48" t="s">
        <v>101</v>
      </c>
      <c r="L48" s="3"/>
      <c r="U48"/>
    </row>
    <row r="49" spans="3:23" ht="12.75">
      <c r="C49" t="s">
        <v>14</v>
      </c>
      <c r="E49" s="7">
        <f>Medicare!$M$97</f>
        <v>20087684.334666662</v>
      </c>
      <c r="F49" s="7"/>
      <c r="G49" s="7">
        <f>Medicare!$M$182</f>
        <v>21553771.829183135</v>
      </c>
      <c r="H49" s="7"/>
      <c r="I49" s="7">
        <f>Medicare!$M$267</f>
        <v>23623604.268576976</v>
      </c>
      <c r="J49" s="7"/>
      <c r="K49" s="7">
        <f>Medicare!$M$352</f>
        <v>25277256.567377366</v>
      </c>
      <c r="L49" s="58"/>
      <c r="M49" s="9">
        <f>(E49/G4)-1</f>
        <v>0.06739302490431154</v>
      </c>
      <c r="O49" s="9">
        <f aca="true" t="shared" si="11" ref="O49:O59">(G49/E49)-1</f>
        <v>0.07298439531859557</v>
      </c>
      <c r="P49" s="9"/>
      <c r="Q49" s="9">
        <f aca="true" t="shared" si="12" ref="Q49:Q59">(I49/G49)-1</f>
        <v>0.09603110099696566</v>
      </c>
      <c r="R49" s="9"/>
      <c r="S49" s="9">
        <f aca="true" t="shared" si="13" ref="S49:S59">(K49/I49)-1</f>
        <v>0.07000000000000006</v>
      </c>
      <c r="T49" s="9"/>
      <c r="U49" s="9">
        <f>(K49/G4)-1</f>
        <v>0.34314970801152933</v>
      </c>
      <c r="W49" s="9">
        <f aca="true" t="shared" si="14" ref="W49:W59">(K49/E49)-1</f>
        <v>0.2583459669243564</v>
      </c>
    </row>
    <row r="50" spans="3:23" ht="12.75">
      <c r="C50" t="s">
        <v>15</v>
      </c>
      <c r="E50" s="7">
        <f>Medicare!$M$102</f>
        <v>525788.0406706666</v>
      </c>
      <c r="F50" s="7"/>
      <c r="G50" s="7">
        <f>Medicare!$M$187</f>
        <v>564162.3628847643</v>
      </c>
      <c r="H50" s="7"/>
      <c r="I50" s="7">
        <f>Medicare!$M$272</f>
        <v>618339.4957336381</v>
      </c>
      <c r="J50" s="7"/>
      <c r="K50" s="7">
        <f>Medicare!$M$357</f>
        <v>661623.2604349927</v>
      </c>
      <c r="L50" s="58"/>
      <c r="M50" s="9">
        <f>(E50/G5)-1</f>
        <v>0.21335698258497127</v>
      </c>
      <c r="O50" s="9">
        <f t="shared" si="11"/>
        <v>0.07298439531859557</v>
      </c>
      <c r="P50" s="9"/>
      <c r="Q50" s="9">
        <f t="shared" si="12"/>
        <v>0.09603110099696588</v>
      </c>
      <c r="R50" s="9"/>
      <c r="S50" s="9">
        <f t="shared" si="13"/>
        <v>0.07000000000000006</v>
      </c>
      <c r="T50" s="9"/>
      <c r="U50" s="9">
        <f>(K50/G5)-1</f>
        <v>0.5268228654753049</v>
      </c>
      <c r="W50" s="9">
        <f t="shared" si="14"/>
        <v>0.2583459669243562</v>
      </c>
    </row>
    <row r="51" spans="3:23" ht="12.75">
      <c r="C51" t="s">
        <v>102</v>
      </c>
      <c r="E51" s="7">
        <f>Medicare!$M$107</f>
        <v>6296304.863843508</v>
      </c>
      <c r="F51" s="7"/>
      <c r="G51" s="7">
        <f>Medicare!$M$192</f>
        <v>6579326.016986795</v>
      </c>
      <c r="H51" s="7"/>
      <c r="I51" s="7">
        <f>Medicare!$M$277</f>
        <v>7829881.622595996</v>
      </c>
      <c r="J51" s="7"/>
      <c r="K51" s="7">
        <f>Medicare!$M$362</f>
        <v>7971849.522703787</v>
      </c>
      <c r="L51" s="58"/>
      <c r="M51" s="9">
        <f>(E51/G6)-1</f>
        <v>-0.008148246682884053</v>
      </c>
      <c r="O51" s="9">
        <f t="shared" si="11"/>
        <v>0.04495035727519081</v>
      </c>
      <c r="P51" s="9"/>
      <c r="Q51" s="9">
        <f t="shared" si="12"/>
        <v>0.19007351245104154</v>
      </c>
      <c r="R51" s="9"/>
      <c r="S51" s="9">
        <f t="shared" si="13"/>
        <v>0.018131551273788293</v>
      </c>
      <c r="T51" s="9"/>
      <c r="U51" s="9">
        <f>(K51/G6)-1</f>
        <v>0.25579893243086893</v>
      </c>
      <c r="W51" s="9">
        <f t="shared" si="14"/>
        <v>0.26611555429631184</v>
      </c>
    </row>
    <row r="52" spans="3:23" ht="12.75">
      <c r="C52" t="s">
        <v>103</v>
      </c>
      <c r="E52" s="7">
        <f>Medicare!$M$112</f>
        <v>201974.75582166214</v>
      </c>
      <c r="F52" s="7"/>
      <c r="G52" s="7">
        <f>Medicare!$M$197</f>
        <v>211053.5932564153</v>
      </c>
      <c r="H52" s="7"/>
      <c r="I52" s="7">
        <f>Medicare!$M$282</f>
        <v>251169.29104207555</v>
      </c>
      <c r="J52" s="7"/>
      <c r="K52" s="7">
        <f>Medicare!$M$367</f>
        <v>255723.379921006</v>
      </c>
      <c r="L52" s="58"/>
      <c r="M52" s="9">
        <v>0</v>
      </c>
      <c r="O52" s="9">
        <f t="shared" si="11"/>
        <v>0.04495035727519103</v>
      </c>
      <c r="P52" s="9"/>
      <c r="Q52" s="9">
        <f t="shared" si="12"/>
        <v>0.19007351245104132</v>
      </c>
      <c r="R52" s="9"/>
      <c r="S52" s="9">
        <f t="shared" si="13"/>
        <v>0.018131551273788293</v>
      </c>
      <c r="T52" s="9"/>
      <c r="U52" s="9">
        <v>0</v>
      </c>
      <c r="W52" s="9">
        <f t="shared" si="14"/>
        <v>0.26611555429631184</v>
      </c>
    </row>
    <row r="53" spans="3:23" ht="12.75">
      <c r="C53" t="s">
        <v>32</v>
      </c>
      <c r="E53" s="7">
        <f>Medicare!$M$123</f>
        <v>403981.9001458994</v>
      </c>
      <c r="F53" s="7"/>
      <c r="G53" s="7">
        <f>Medicare!$M$208</f>
        <v>338249.9644852212</v>
      </c>
      <c r="H53" s="7"/>
      <c r="I53" s="7">
        <f>Medicare!$M$293</f>
        <v>295063.016330869</v>
      </c>
      <c r="J53" s="7"/>
      <c r="K53" s="7">
        <f>Medicare!$M$378</f>
        <v>273879.19879858167</v>
      </c>
      <c r="L53" s="58"/>
      <c r="M53" s="9">
        <f aca="true" t="shared" si="15" ref="M53:M59">(E53/G8)-1</f>
        <v>-0.020577123216521387</v>
      </c>
      <c r="O53" s="9">
        <f t="shared" si="11"/>
        <v>-0.16271010071723235</v>
      </c>
      <c r="P53" s="9"/>
      <c r="Q53" s="9">
        <f t="shared" si="12"/>
        <v>-0.1276776132706412</v>
      </c>
      <c r="R53" s="9"/>
      <c r="S53" s="9">
        <f t="shared" si="13"/>
        <v>-0.07179421465865055</v>
      </c>
      <c r="T53" s="9"/>
      <c r="U53" s="9">
        <f aca="true" t="shared" si="16" ref="U53:U59">(K53/G8)-1</f>
        <v>-0.33600106172681476</v>
      </c>
      <c r="W53" s="9">
        <f t="shared" si="14"/>
        <v>-0.32205081787161927</v>
      </c>
    </row>
    <row r="54" spans="3:23" ht="12.75">
      <c r="C54" t="s">
        <v>104</v>
      </c>
      <c r="E54" s="7">
        <f>Medicare!$M$141</f>
        <v>5176783.535873777</v>
      </c>
      <c r="F54" s="7"/>
      <c r="G54" s="7">
        <f>Medicare!$M$226</f>
        <v>8214786.008263873</v>
      </c>
      <c r="H54" s="7"/>
      <c r="I54" s="7">
        <f>Medicare!$M$311</f>
        <v>10617101.786046106</v>
      </c>
      <c r="J54" s="7"/>
      <c r="K54" s="7">
        <f>Medicare!$M$396</f>
        <v>11360298.911069334</v>
      </c>
      <c r="L54" s="58"/>
      <c r="M54" s="9">
        <f t="shared" si="15"/>
        <v>0.4264381096343941</v>
      </c>
      <c r="O54" s="9">
        <f t="shared" si="11"/>
        <v>0.5868513626922047</v>
      </c>
      <c r="P54" s="9"/>
      <c r="Q54" s="9">
        <f t="shared" si="12"/>
        <v>0.2924380227757075</v>
      </c>
      <c r="R54" s="9"/>
      <c r="S54" s="9">
        <f t="shared" si="13"/>
        <v>0.07000000000000006</v>
      </c>
      <c r="T54" s="9"/>
      <c r="U54" s="9">
        <f t="shared" si="16"/>
        <v>2.130276394848764</v>
      </c>
      <c r="W54" s="9">
        <f t="shared" si="14"/>
        <v>1.1944705302714294</v>
      </c>
    </row>
    <row r="55" spans="3:23" ht="12.75">
      <c r="C55" t="s">
        <v>49</v>
      </c>
      <c r="E55" s="7">
        <f>Medicare!$M$145</f>
        <v>129562.24232115882</v>
      </c>
      <c r="F55" s="7"/>
      <c r="G55" s="7">
        <f>Medicare!$M$230</f>
        <v>177038.9337062712</v>
      </c>
      <c r="H55" s="7"/>
      <c r="I55" s="7">
        <f>Medicare!$M$315</f>
        <v>203979.25702526158</v>
      </c>
      <c r="J55" s="7"/>
      <c r="K55" s="7">
        <f>Medicare!$M$400</f>
        <v>203979.25702526158</v>
      </c>
      <c r="L55" s="58"/>
      <c r="M55" s="9">
        <f t="shared" si="15"/>
        <v>0.3607013547524909</v>
      </c>
      <c r="O55" s="9">
        <f t="shared" si="11"/>
        <v>0.3664392537096355</v>
      </c>
      <c r="P55" s="9"/>
      <c r="Q55" s="9">
        <f t="shared" si="12"/>
        <v>0.15217174411865586</v>
      </c>
      <c r="R55" s="9"/>
      <c r="S55" s="9">
        <f t="shared" si="13"/>
        <v>0</v>
      </c>
      <c r="T55" s="9"/>
      <c r="U55" s="9">
        <f t="shared" si="16"/>
        <v>1.1422510632972616</v>
      </c>
      <c r="W55" s="9">
        <f t="shared" si="14"/>
        <v>0.5743726981788253</v>
      </c>
    </row>
    <row r="56" spans="3:23" ht="12.75">
      <c r="C56" t="s">
        <v>105</v>
      </c>
      <c r="E56" s="7">
        <f>Medicare!$M$159</f>
        <v>3275106.477996185</v>
      </c>
      <c r="F56" s="7"/>
      <c r="G56" s="7">
        <f>Medicare!$M$244</f>
        <v>3344085.9533927245</v>
      </c>
      <c r="H56" s="7"/>
      <c r="I56" s="7">
        <f>Medicare!$M$329</f>
        <v>3434016.4322098596</v>
      </c>
      <c r="J56" s="7"/>
      <c r="K56" s="7">
        <f>Medicare!$M$414</f>
        <v>3537036.9251761558</v>
      </c>
      <c r="L56" s="58"/>
      <c r="M56" s="9">
        <f t="shared" si="15"/>
        <v>0.20791110586624506</v>
      </c>
      <c r="O56" s="9">
        <f t="shared" si="11"/>
        <v>0.021061750468260643</v>
      </c>
      <c r="P56" s="9"/>
      <c r="Q56" s="9">
        <f t="shared" si="12"/>
        <v>0.02689239453486425</v>
      </c>
      <c r="R56" s="9"/>
      <c r="S56" s="9">
        <f t="shared" si="13"/>
        <v>0.030000000000000027</v>
      </c>
      <c r="T56" s="9"/>
      <c r="U56" s="9">
        <f t="shared" si="16"/>
        <v>0.3045152004930478</v>
      </c>
      <c r="W56" s="9">
        <f t="shared" si="14"/>
        <v>0.0799761622835018</v>
      </c>
    </row>
    <row r="57" spans="3:23" ht="12.75">
      <c r="C57" t="s">
        <v>60</v>
      </c>
      <c r="E57" s="7">
        <f>Medicare!$M$161</f>
        <v>315000</v>
      </c>
      <c r="F57" s="7"/>
      <c r="G57" s="7">
        <f>Medicare!$M$246</f>
        <v>315000</v>
      </c>
      <c r="H57" s="7"/>
      <c r="I57" s="7">
        <f>Medicare!$M$331</f>
        <v>315000</v>
      </c>
      <c r="J57" s="7"/>
      <c r="K57" s="7">
        <f>Medicare!$M$416</f>
        <v>315000</v>
      </c>
      <c r="L57" s="58"/>
      <c r="M57" s="9">
        <f t="shared" si="15"/>
        <v>0</v>
      </c>
      <c r="O57" s="9">
        <f t="shared" si="11"/>
        <v>0</v>
      </c>
      <c r="P57" s="9"/>
      <c r="Q57" s="9">
        <f t="shared" si="12"/>
        <v>0</v>
      </c>
      <c r="R57" s="9"/>
      <c r="S57" s="9">
        <f t="shared" si="13"/>
        <v>0</v>
      </c>
      <c r="T57" s="9"/>
      <c r="U57" s="9">
        <f t="shared" si="16"/>
        <v>0</v>
      </c>
      <c r="W57" s="9">
        <f t="shared" si="14"/>
        <v>0</v>
      </c>
    </row>
    <row r="58" spans="3:23" ht="12.75">
      <c r="C58" t="s">
        <v>61</v>
      </c>
      <c r="E58" s="7">
        <f>Medicare!$M$163</f>
        <v>-18711.677957741995</v>
      </c>
      <c r="F58" s="7"/>
      <c r="G58" s="7">
        <f>Medicare!$M$248</f>
        <v>-20077.33845888409</v>
      </c>
      <c r="H58" s="7"/>
      <c r="I58" s="7">
        <f>Medicare!$M$333</f>
        <v>-22005.387376179453</v>
      </c>
      <c r="J58" s="7"/>
      <c r="K58" s="7">
        <f>Medicare!$M$418</f>
        <v>-23545.76449251202</v>
      </c>
      <c r="L58" s="58"/>
      <c r="M58" s="9">
        <f t="shared" si="15"/>
        <v>0.07956200075826914</v>
      </c>
      <c r="O58" s="9">
        <f t="shared" si="11"/>
        <v>0.07298439531859557</v>
      </c>
      <c r="P58" s="9"/>
      <c r="Q58" s="9">
        <f t="shared" si="12"/>
        <v>0.09603110099696588</v>
      </c>
      <c r="R58" s="9"/>
      <c r="S58" s="9">
        <f t="shared" si="13"/>
        <v>0.07000000000000006</v>
      </c>
      <c r="T58" s="9"/>
      <c r="U58" s="9">
        <f t="shared" si="16"/>
        <v>0.3584624896989572</v>
      </c>
      <c r="W58" s="9">
        <f t="shared" si="14"/>
        <v>0.2583459669243564</v>
      </c>
    </row>
    <row r="59" spans="3:23" ht="12.75">
      <c r="C59" t="s">
        <v>65</v>
      </c>
      <c r="E59" s="7">
        <f>Medicare!$M$168</f>
        <v>570000</v>
      </c>
      <c r="F59" s="7"/>
      <c r="G59" s="7">
        <f>Medicare!$M$253</f>
        <v>570000</v>
      </c>
      <c r="H59" s="7"/>
      <c r="I59" s="7">
        <f>Medicare!$M$338</f>
        <v>570000</v>
      </c>
      <c r="J59" s="7"/>
      <c r="K59" s="7">
        <f>Medicare!$M$423</f>
        <v>570000</v>
      </c>
      <c r="L59" s="58"/>
      <c r="M59" s="9">
        <f t="shared" si="15"/>
        <v>-0.2205128205128205</v>
      </c>
      <c r="O59" s="9">
        <f t="shared" si="11"/>
        <v>0</v>
      </c>
      <c r="P59" s="9"/>
      <c r="Q59" s="9">
        <f t="shared" si="12"/>
        <v>0</v>
      </c>
      <c r="R59" s="9"/>
      <c r="S59" s="9">
        <f t="shared" si="13"/>
        <v>0</v>
      </c>
      <c r="T59" s="9"/>
      <c r="U59" s="9">
        <f t="shared" si="16"/>
        <v>-0.2205128205128205</v>
      </c>
      <c r="W59" s="9">
        <f t="shared" si="14"/>
        <v>0</v>
      </c>
    </row>
    <row r="60" spans="5:23" ht="13.5" thickBot="1">
      <c r="E60" s="7"/>
      <c r="F60" s="7"/>
      <c r="G60" s="7"/>
      <c r="H60" s="7"/>
      <c r="I60" s="7"/>
      <c r="J60" s="7"/>
      <c r="K60" s="7"/>
      <c r="L60" s="58"/>
      <c r="M60" s="9"/>
      <c r="O60" s="9"/>
      <c r="P60" s="9"/>
      <c r="Q60" s="9"/>
      <c r="R60" s="9"/>
      <c r="S60" s="9"/>
      <c r="T60" s="9"/>
      <c r="W60" s="9"/>
    </row>
    <row r="61" spans="3:23" ht="13.5" thickBot="1">
      <c r="C61" s="21" t="s">
        <v>106</v>
      </c>
      <c r="D61" s="22"/>
      <c r="E61" s="23">
        <f>SUM(E49:E59)</f>
        <v>36963474.47338178</v>
      </c>
      <c r="F61" s="23"/>
      <c r="G61" s="23">
        <f>SUM(G49:G59)</f>
        <v>41847397.32370031</v>
      </c>
      <c r="H61" s="23"/>
      <c r="I61" s="23">
        <f>SUM(I49:I59)</f>
        <v>47736149.78218459</v>
      </c>
      <c r="J61" s="23"/>
      <c r="K61" s="23">
        <f>SUM(K49:K59)</f>
        <v>50403101.25801398</v>
      </c>
      <c r="L61" s="58"/>
      <c r="M61" s="62">
        <f>(E61/G16)-1</f>
        <v>0.10411553183180877</v>
      </c>
      <c r="N61" s="22"/>
      <c r="O61" s="25">
        <f>(G61/E61)-1</f>
        <v>0.13212834886059066</v>
      </c>
      <c r="P61" s="25"/>
      <c r="Q61" s="25">
        <f>(I61/G61)-1</f>
        <v>0.14071968234806298</v>
      </c>
      <c r="R61" s="25"/>
      <c r="S61" s="25">
        <f>(K61/I61)-1</f>
        <v>0.0558685919999502</v>
      </c>
      <c r="T61" s="25"/>
      <c r="U61" s="25">
        <f>(K61/G16)-1</f>
        <v>0.5055632010876039</v>
      </c>
      <c r="V61" s="22"/>
      <c r="W61" s="26">
        <f>(K61/E61)-1</f>
        <v>0.3635920858660182</v>
      </c>
    </row>
    <row r="62" spans="5:23" ht="12.75">
      <c r="E62" s="7"/>
      <c r="F62" s="7"/>
      <c r="G62" s="7"/>
      <c r="H62" s="7"/>
      <c r="I62" s="7"/>
      <c r="J62" s="7"/>
      <c r="K62" s="7"/>
      <c r="L62" s="58"/>
      <c r="M62" s="9"/>
      <c r="O62" s="9"/>
      <c r="P62" s="9"/>
      <c r="Q62" s="9"/>
      <c r="R62" s="9"/>
      <c r="S62" s="9"/>
      <c r="T62" s="9"/>
      <c r="W62" s="9"/>
    </row>
    <row r="63" spans="2:23" ht="12.75">
      <c r="B63" t="s">
        <v>107</v>
      </c>
      <c r="E63" s="7"/>
      <c r="F63" s="7"/>
      <c r="G63" s="7"/>
      <c r="H63" s="7"/>
      <c r="I63" s="7"/>
      <c r="J63" s="7"/>
      <c r="K63" s="7"/>
      <c r="L63" s="58"/>
      <c r="M63" s="9"/>
      <c r="O63" s="9"/>
      <c r="P63" s="9"/>
      <c r="Q63" s="9"/>
      <c r="R63" s="9"/>
      <c r="S63" s="9"/>
      <c r="T63" s="9"/>
      <c r="W63" s="9"/>
    </row>
    <row r="64" spans="3:23" ht="12.75">
      <c r="C64" t="s">
        <v>108</v>
      </c>
      <c r="E64" s="7">
        <f>Medicaid!$M$101</f>
        <v>2838023.2233333336</v>
      </c>
      <c r="F64" s="7"/>
      <c r="G64" s="7">
        <f>Medicaid!$M$116</f>
        <v>4403797.742110438</v>
      </c>
      <c r="H64" s="7"/>
      <c r="I64" s="7">
        <f>Medicaid!$M$131</f>
        <v>5712466.030841</v>
      </c>
      <c r="J64" s="7"/>
      <c r="K64" s="7">
        <f>Medicaid!$M$146</f>
        <v>5953814.749883061</v>
      </c>
      <c r="L64" s="58"/>
      <c r="M64" s="9">
        <f>(E64/G31)-1</f>
        <v>0.4566176185406987</v>
      </c>
      <c r="O64" s="9">
        <f>(G64/E64)-1</f>
        <v>0.5517130747570347</v>
      </c>
      <c r="P64" s="9"/>
      <c r="Q64" s="9">
        <f>(I64/G64)-1</f>
        <v>0.2971681183758017</v>
      </c>
      <c r="R64" s="9"/>
      <c r="S64" s="9">
        <f>(K64/I64)-1</f>
        <v>0.04224947995122319</v>
      </c>
      <c r="T64" s="9"/>
      <c r="U64" s="9">
        <f>(K64/G31)-1</f>
        <v>2.055800033947978</v>
      </c>
      <c r="W64" s="9">
        <f>(K64/E64)-1</f>
        <v>1.0978738654894262</v>
      </c>
    </row>
    <row r="65" spans="3:23" ht="12.75">
      <c r="C65" t="s">
        <v>109</v>
      </c>
      <c r="E65" s="7">
        <f>Medicaid!$M$105</f>
        <v>22970588.27</v>
      </c>
      <c r="F65" s="7"/>
      <c r="G65" s="7">
        <f>Medicaid!$M$120</f>
        <v>27691332.65635058</v>
      </c>
      <c r="H65" s="7"/>
      <c r="I65" s="7">
        <f>Medicaid!$M$135</f>
        <v>32252080.73207372</v>
      </c>
      <c r="J65" s="7"/>
      <c r="K65" s="7">
        <f>Medicaid!$M$150</f>
        <v>33219643.154035933</v>
      </c>
      <c r="L65" s="58"/>
      <c r="M65" s="9">
        <f>(E65/G32)-1</f>
        <v>0.3060263816440394</v>
      </c>
      <c r="O65" s="9">
        <f>(G65/E65)-1</f>
        <v>0.20551255940257995</v>
      </c>
      <c r="P65" s="9"/>
      <c r="Q65" s="9">
        <f>(I65/G65)-1</f>
        <v>0.16469947952025366</v>
      </c>
      <c r="R65" s="9"/>
      <c r="S65" s="9">
        <f>(K65/I65)-1</f>
        <v>0.030000000000000027</v>
      </c>
      <c r="T65" s="9"/>
      <c r="U65" s="9">
        <f>(K65/G32)-1</f>
        <v>0.8887513823333064</v>
      </c>
      <c r="W65" s="9">
        <f>(K65/E65)-1</f>
        <v>0.44618164600605303</v>
      </c>
    </row>
    <row r="66" spans="5:23" ht="13.5" thickBot="1">
      <c r="E66" s="7"/>
      <c r="F66" s="7"/>
      <c r="G66" s="7"/>
      <c r="H66" s="7"/>
      <c r="I66" s="7"/>
      <c r="J66" s="7"/>
      <c r="K66" s="7"/>
      <c r="L66" s="58"/>
      <c r="M66" s="9"/>
      <c r="O66" s="9"/>
      <c r="P66" s="9"/>
      <c r="Q66" s="9"/>
      <c r="R66" s="9"/>
      <c r="S66" s="9"/>
      <c r="T66" s="9"/>
      <c r="W66" s="9"/>
    </row>
    <row r="67" spans="3:23" ht="13.5" thickBot="1">
      <c r="C67" s="21" t="s">
        <v>106</v>
      </c>
      <c r="D67" s="22"/>
      <c r="E67" s="23">
        <f>SUM(E64:E65)</f>
        <v>25808611.493333332</v>
      </c>
      <c r="F67" s="23"/>
      <c r="G67" s="23">
        <f>SUM(G64:G65)</f>
        <v>32095130.398461018</v>
      </c>
      <c r="H67" s="23"/>
      <c r="I67" s="23">
        <f>SUM(I64:I65)</f>
        <v>37964546.76291472</v>
      </c>
      <c r="J67" s="23"/>
      <c r="K67" s="31">
        <f>SUM(K64:K65)</f>
        <v>39173457.903919</v>
      </c>
      <c r="L67" s="58"/>
      <c r="M67" s="62">
        <f>(E67/G34)-1</f>
        <v>0.321044757835641</v>
      </c>
      <c r="N67" s="22"/>
      <c r="O67" s="25">
        <f>(G67/E67)-1</f>
        <v>0.2435822208704086</v>
      </c>
      <c r="P67" s="25"/>
      <c r="Q67" s="25">
        <f>(I67/G67)-1</f>
        <v>0.18287560422982874</v>
      </c>
      <c r="R67" s="25"/>
      <c r="S67" s="25">
        <f>(K67/I67)-1</f>
        <v>0.03184316010813526</v>
      </c>
      <c r="T67" s="25"/>
      <c r="U67" s="25">
        <f>(K67/G34)-1</f>
        <v>1.0051404634315548</v>
      </c>
      <c r="V67" s="22"/>
      <c r="W67" s="26">
        <f>(K67/E67)-1</f>
        <v>0.5178444572284704</v>
      </c>
    </row>
    <row r="68" spans="5:23" ht="12.75">
      <c r="E68" s="7"/>
      <c r="F68" s="7"/>
      <c r="G68" s="7"/>
      <c r="H68" s="7"/>
      <c r="I68" s="7"/>
      <c r="J68" s="7"/>
      <c r="K68" s="7"/>
      <c r="L68" s="58"/>
      <c r="M68" s="9"/>
      <c r="O68" s="9"/>
      <c r="P68" s="9"/>
      <c r="Q68" s="9"/>
      <c r="R68" s="9"/>
      <c r="S68" s="9"/>
      <c r="T68" s="9"/>
      <c r="W68" s="9"/>
    </row>
    <row r="69" spans="2:23" ht="13.5" thickBot="1">
      <c r="B69" t="s">
        <v>110</v>
      </c>
      <c r="E69" s="7"/>
      <c r="F69" s="7"/>
      <c r="G69" s="7"/>
      <c r="H69" s="7"/>
      <c r="I69" s="7"/>
      <c r="J69" s="7"/>
      <c r="K69" s="7"/>
      <c r="L69" s="58"/>
      <c r="M69" s="9"/>
      <c r="O69" s="9"/>
      <c r="P69" s="9"/>
      <c r="Q69" s="9"/>
      <c r="R69" s="9"/>
      <c r="S69" s="9"/>
      <c r="T69" s="9"/>
      <c r="W69" s="9"/>
    </row>
    <row r="70" spans="3:23" ht="13.5" thickBot="1">
      <c r="C70" s="21" t="s">
        <v>111</v>
      </c>
      <c r="D70" s="22"/>
      <c r="E70" s="23">
        <f>Humana!$L$12</f>
        <v>44633712.9</v>
      </c>
      <c r="F70" s="23"/>
      <c r="G70" s="23">
        <f>Humana!$L$18</f>
        <v>47889098.26691244</v>
      </c>
      <c r="H70" s="23"/>
      <c r="I70" s="23">
        <f>Humana!$L$24</f>
        <v>52487107.16989374</v>
      </c>
      <c r="J70" s="23"/>
      <c r="K70" s="23">
        <f>Humana!$L$30</f>
        <v>56161204.67178631</v>
      </c>
      <c r="L70" s="58"/>
      <c r="M70" s="62">
        <f>(E70/G37)-1</f>
        <v>0.04862371445855995</v>
      </c>
      <c r="N70" s="22"/>
      <c r="O70" s="25">
        <f>(G70/E70)-1</f>
        <v>0.07293557168784037</v>
      </c>
      <c r="P70" s="25"/>
      <c r="Q70" s="25">
        <f>(I70/G70)-1</f>
        <v>0.09601368723532966</v>
      </c>
      <c r="R70" s="25"/>
      <c r="S70" s="25">
        <f>(K70/I70)-1</f>
        <v>0.07000000000000006</v>
      </c>
      <c r="T70" s="25"/>
      <c r="U70" s="25">
        <f>(K70/G37)-1</f>
        <v>0.31945041595219825</v>
      </c>
      <c r="V70" s="22"/>
      <c r="W70" s="26">
        <f>(K70/E70)-1</f>
        <v>0.2582687171379441</v>
      </c>
    </row>
    <row r="71" spans="5:23" ht="12.75">
      <c r="E71" s="7"/>
      <c r="F71" s="7"/>
      <c r="G71" s="7"/>
      <c r="H71" s="7"/>
      <c r="I71" s="7"/>
      <c r="J71" s="7"/>
      <c r="K71" s="7"/>
      <c r="L71" s="58"/>
      <c r="M71" s="9"/>
      <c r="O71" s="9"/>
      <c r="P71" s="9"/>
      <c r="Q71" s="9"/>
      <c r="R71" s="9"/>
      <c r="S71" s="9"/>
      <c r="T71" s="9"/>
      <c r="W71" s="9"/>
    </row>
    <row r="72" spans="2:23" ht="13.5" thickBot="1">
      <c r="B72" t="s">
        <v>112</v>
      </c>
      <c r="E72" s="7"/>
      <c r="F72" s="7"/>
      <c r="G72" s="7"/>
      <c r="H72" s="7"/>
      <c r="I72" s="7"/>
      <c r="J72" s="7"/>
      <c r="K72" s="7"/>
      <c r="L72" s="58"/>
      <c r="M72" s="9"/>
      <c r="O72" s="9"/>
      <c r="P72" s="9"/>
      <c r="Q72" s="9"/>
      <c r="R72" s="9"/>
      <c r="S72" s="9"/>
      <c r="T72" s="9"/>
      <c r="W72" s="9"/>
    </row>
    <row r="73" spans="3:23" ht="13.5" thickBot="1">
      <c r="C73" s="63" t="s">
        <v>113</v>
      </c>
      <c r="D73" s="64"/>
      <c r="E73" s="65">
        <f>Other!$L$22</f>
        <v>8024295.719683966</v>
      </c>
      <c r="F73" s="65"/>
      <c r="G73" s="65">
        <f>Other!$L$32</f>
        <v>8592921.58422214</v>
      </c>
      <c r="H73" s="65"/>
      <c r="I73" s="65">
        <f>Other!$L$42</f>
        <v>9411607.70913538</v>
      </c>
      <c r="J73" s="65"/>
      <c r="K73" s="66">
        <f>Other!$L$52</f>
        <v>10070420.248774858</v>
      </c>
      <c r="L73" s="58"/>
      <c r="M73" s="62">
        <f>(E73/G40)-1</f>
        <v>0.08489582693188713</v>
      </c>
      <c r="N73" s="22"/>
      <c r="O73" s="25">
        <f>(G73/E73)-1</f>
        <v>0.07086302454473459</v>
      </c>
      <c r="P73" s="25"/>
      <c r="Q73" s="25">
        <f>(I73/G73)-1</f>
        <v>0.09527447875428852</v>
      </c>
      <c r="R73" s="25"/>
      <c r="S73" s="25">
        <f>(K73/I73)-1</f>
        <v>0.07000000000000028</v>
      </c>
      <c r="T73" s="25"/>
      <c r="U73" s="25">
        <f>(K73/G40)-1</f>
        <v>0.3615346798032153</v>
      </c>
      <c r="V73" s="22"/>
      <c r="W73" s="26">
        <f>(K73/E73)-1</f>
        <v>0.25499116689725865</v>
      </c>
    </row>
    <row r="74" spans="5:23" ht="12.75">
      <c r="E74" s="7"/>
      <c r="F74" s="7"/>
      <c r="G74" s="7"/>
      <c r="H74" s="7"/>
      <c r="I74" s="7"/>
      <c r="J74" s="7"/>
      <c r="K74" s="7"/>
      <c r="L74" s="58"/>
      <c r="M74" s="9"/>
      <c r="O74" s="9"/>
      <c r="P74" s="9"/>
      <c r="Q74" s="9"/>
      <c r="R74" s="9"/>
      <c r="S74" s="9"/>
      <c r="T74" s="9"/>
      <c r="W74" s="9"/>
    </row>
    <row r="75" spans="5:23" ht="13.5" thickBot="1">
      <c r="E75" s="7"/>
      <c r="F75" s="7"/>
      <c r="G75" s="7"/>
      <c r="H75" s="7"/>
      <c r="I75" s="7"/>
      <c r="J75" s="7"/>
      <c r="K75" s="7"/>
      <c r="L75" s="58"/>
      <c r="M75" s="9"/>
      <c r="O75" s="9"/>
      <c r="P75" s="9"/>
      <c r="Q75" s="9"/>
      <c r="R75" s="9"/>
      <c r="S75" s="9"/>
      <c r="T75" s="9"/>
      <c r="W75" s="9"/>
    </row>
    <row r="76" spans="2:23" ht="13.5" thickBot="1">
      <c r="B76" s="12" t="s">
        <v>114</v>
      </c>
      <c r="C76" s="13"/>
      <c r="D76" s="13"/>
      <c r="E76" s="14">
        <f>SUM(E61,E67,E70,E73)</f>
        <v>115430094.58639906</v>
      </c>
      <c r="F76" s="14"/>
      <c r="G76" s="14">
        <f>SUM(G61,G67,G70,G73)</f>
        <v>130424547.57329589</v>
      </c>
      <c r="H76" s="14"/>
      <c r="I76" s="14">
        <f>SUM(I61,I67,I70,I73)</f>
        <v>147599411.42412844</v>
      </c>
      <c r="J76" s="14"/>
      <c r="K76" s="30">
        <f>SUM(K61,K67,K70,K73)</f>
        <v>155808184.08249414</v>
      </c>
      <c r="L76" s="58"/>
      <c r="M76" s="67">
        <f>(E76/G43)-1</f>
        <v>0.12095387503344468</v>
      </c>
      <c r="N76" s="13"/>
      <c r="O76" s="16">
        <f>(G76/E76)-1</f>
        <v>0.12990072511526463</v>
      </c>
      <c r="P76" s="16"/>
      <c r="Q76" s="16">
        <f>(I76/G76)-1</f>
        <v>0.13168428927216058</v>
      </c>
      <c r="R76" s="16"/>
      <c r="S76" s="16">
        <f>(K76/I76)-1</f>
        <v>0.0556152126838616</v>
      </c>
      <c r="T76" s="16"/>
      <c r="U76" s="16">
        <f>(K76/G43)-1</f>
        <v>0.5130697790294909</v>
      </c>
      <c r="V76" s="13"/>
      <c r="W76" s="17">
        <f>(K76/E76)-1</f>
        <v>0.3498055653577603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00390625" style="0" bestFit="1" customWidth="1"/>
    <col min="2" max="2" width="49.140625" style="0" bestFit="1" customWidth="1"/>
    <col min="3" max="3" width="47.28125" style="0" bestFit="1" customWidth="1"/>
    <col min="5" max="5" width="22.00390625" style="0" bestFit="1" customWidth="1"/>
    <col min="7" max="7" width="21.8515625" style="0" bestFit="1" customWidth="1"/>
    <col min="9" max="9" width="27.28125" style="0" bestFit="1" customWidth="1"/>
    <col min="11" max="11" width="27.28125" style="0" bestFit="1" customWidth="1"/>
    <col min="13" max="13" width="22.00390625" style="0" bestFit="1" customWidth="1"/>
    <col min="15" max="15" width="21.8515625" style="0" bestFit="1" customWidth="1"/>
    <col min="17" max="17" width="22.00390625" style="0" bestFit="1" customWidth="1"/>
    <col min="19" max="19" width="21.57421875" style="0" bestFit="1" customWidth="1"/>
    <col min="21" max="21" width="22.00390625" style="0" bestFit="1" customWidth="1"/>
    <col min="23" max="23" width="21.8515625" style="0" bestFit="1" customWidth="1"/>
  </cols>
  <sheetData>
    <row r="1" spans="1:23" ht="12.75">
      <c r="A1" s="1" t="s">
        <v>0</v>
      </c>
      <c r="E1" s="2">
        <v>1996</v>
      </c>
      <c r="G1" s="2">
        <v>1997</v>
      </c>
      <c r="I1" s="2" t="s">
        <v>121</v>
      </c>
      <c r="K1" s="2" t="s">
        <v>122</v>
      </c>
      <c r="L1" s="3"/>
      <c r="M1" s="4" t="s">
        <v>1</v>
      </c>
      <c r="N1" s="5"/>
      <c r="O1" s="2" t="s">
        <v>2</v>
      </c>
      <c r="Q1" s="2" t="s">
        <v>3</v>
      </c>
      <c r="S1" s="2" t="s">
        <v>4</v>
      </c>
      <c r="T1" s="5"/>
      <c r="U1" s="2" t="s">
        <v>5</v>
      </c>
      <c r="W1" s="2" t="s">
        <v>6</v>
      </c>
    </row>
    <row r="2" spans="1:13" ht="12.75">
      <c r="A2" s="42" t="s">
        <v>133</v>
      </c>
      <c r="L2" s="3"/>
      <c r="M2" s="6"/>
    </row>
    <row r="3" spans="2:13" ht="12.75">
      <c r="B3" t="s">
        <v>7</v>
      </c>
      <c r="L3" s="3"/>
      <c r="M3" s="6"/>
    </row>
    <row r="4" spans="3:23" ht="12.75">
      <c r="C4" t="s">
        <v>8</v>
      </c>
      <c r="E4" s="7">
        <v>4143.4</v>
      </c>
      <c r="F4" s="7"/>
      <c r="G4" s="7">
        <v>4143.4</v>
      </c>
      <c r="H4" s="7"/>
      <c r="I4" s="7">
        <v>4143.4</v>
      </c>
      <c r="J4" s="7"/>
      <c r="K4" s="7">
        <v>4143.4</v>
      </c>
      <c r="L4" s="3"/>
      <c r="M4" s="8">
        <f>(G4/E4)-1</f>
        <v>0</v>
      </c>
      <c r="N4" s="9"/>
      <c r="O4" s="9">
        <f>(I4/G4)-1</f>
        <v>0</v>
      </c>
      <c r="P4" s="9"/>
      <c r="Q4" s="9">
        <f>(K4/I4)-1</f>
        <v>0</v>
      </c>
      <c r="S4" s="9">
        <f>(I4/E4)-1</f>
        <v>0</v>
      </c>
      <c r="T4" s="9"/>
      <c r="U4" s="9">
        <f>(K4/E4)-1</f>
        <v>0</v>
      </c>
      <c r="W4" s="9">
        <f>(K4/G4)-1</f>
        <v>0</v>
      </c>
    </row>
    <row r="5" spans="3:23" ht="12.75">
      <c r="C5" t="s">
        <v>9</v>
      </c>
      <c r="E5" s="7">
        <v>355.23</v>
      </c>
      <c r="F5" s="7"/>
      <c r="G5" s="7">
        <v>355.23</v>
      </c>
      <c r="H5" s="7"/>
      <c r="I5" s="7">
        <v>304.78</v>
      </c>
      <c r="J5" s="7"/>
      <c r="K5" s="7">
        <v>304.78</v>
      </c>
      <c r="L5" s="3"/>
      <c r="M5" s="8">
        <f>(G5/E5)-1</f>
        <v>0</v>
      </c>
      <c r="N5" s="9"/>
      <c r="O5" s="9">
        <f>(I5/G5)-1</f>
        <v>-0.14202066266925661</v>
      </c>
      <c r="P5" s="9"/>
      <c r="Q5" s="9">
        <f>(K5/I5)-1</f>
        <v>0</v>
      </c>
      <c r="S5" s="9">
        <f>(I5/E5)-1</f>
        <v>-0.14202066266925661</v>
      </c>
      <c r="T5" s="9"/>
      <c r="U5" s="9">
        <f>(K5/E5)-1</f>
        <v>-0.14202066266925661</v>
      </c>
      <c r="W5" s="9">
        <f>(K5/G5)-1</f>
        <v>-0.14202066266925661</v>
      </c>
    </row>
    <row r="6" spans="3:23" ht="12.75">
      <c r="C6" t="s">
        <v>10</v>
      </c>
      <c r="E6" s="7">
        <f>E4+E5</f>
        <v>4498.629999999999</v>
      </c>
      <c r="F6" s="7"/>
      <c r="G6" s="7">
        <f>G4+G5</f>
        <v>4498.629999999999</v>
      </c>
      <c r="H6" s="7"/>
      <c r="I6" s="7">
        <f>I4+I5</f>
        <v>4448.179999999999</v>
      </c>
      <c r="J6" s="7"/>
      <c r="K6" s="7">
        <f>K4+K5</f>
        <v>4448.179999999999</v>
      </c>
      <c r="L6" s="3"/>
      <c r="M6" s="8">
        <f>(G6/E6)-1</f>
        <v>0</v>
      </c>
      <c r="N6" s="9"/>
      <c r="O6" s="9">
        <f>(I6/G6)-1</f>
        <v>-0.011214525311039059</v>
      </c>
      <c r="P6" s="9"/>
      <c r="Q6" s="9">
        <f>(K6/I6)-1</f>
        <v>0</v>
      </c>
      <c r="S6" s="9">
        <f>(I6/E6)-1</f>
        <v>-0.011214525311039059</v>
      </c>
      <c r="T6" s="9"/>
      <c r="U6" s="9">
        <f>(K6/E6)-1</f>
        <v>-0.011214525311039059</v>
      </c>
      <c r="W6" s="9">
        <f>(K6/G6)-1</f>
        <v>-0.011214525311039059</v>
      </c>
    </row>
    <row r="7" spans="12:21" ht="12.75">
      <c r="L7" s="3"/>
      <c r="M7" s="9"/>
      <c r="N7" s="9"/>
      <c r="O7" s="9"/>
      <c r="P7" s="9"/>
      <c r="Q7" s="9"/>
      <c r="R7" s="9"/>
      <c r="S7" s="9"/>
      <c r="U7" s="9"/>
    </row>
    <row r="8" spans="3:23" ht="12.75">
      <c r="C8" t="s">
        <v>11</v>
      </c>
      <c r="E8" s="10">
        <f>'[2]Volume Summary'!F6</f>
        <v>3491</v>
      </c>
      <c r="F8" s="10"/>
      <c r="G8" s="10">
        <f>'[2]Volume Summary'!H6</f>
        <v>3076</v>
      </c>
      <c r="H8" s="10"/>
      <c r="I8" s="10">
        <f>'[2]Volume Summary'!J6</f>
        <v>3277</v>
      </c>
      <c r="J8" s="10"/>
      <c r="K8" s="10">
        <f>'[2]Volume Summary'!L6</f>
        <v>3525</v>
      </c>
      <c r="L8" s="3"/>
      <c r="M8" s="8">
        <f>(G8/E8)-1</f>
        <v>-0.1188771125751934</v>
      </c>
      <c r="N8" s="9"/>
      <c r="O8" s="9">
        <f>(I8/G8)-1</f>
        <v>0.06534460338101433</v>
      </c>
      <c r="P8" s="9"/>
      <c r="Q8" s="9">
        <f>(K8/I8)-1</f>
        <v>0.07567897467195617</v>
      </c>
      <c r="S8" s="9">
        <f>(I8/E8)-1</f>
        <v>-0.06130048696648527</v>
      </c>
      <c r="T8" s="9"/>
      <c r="U8" s="9">
        <f>(K8/E8)-1</f>
        <v>0.009739329704955502</v>
      </c>
      <c r="W8" s="9">
        <f>(K8/G8)-1</f>
        <v>0.14596879063719115</v>
      </c>
    </row>
    <row r="9" spans="3:23" ht="12.75">
      <c r="C9" t="s">
        <v>12</v>
      </c>
      <c r="E9" s="7">
        <f>E6*E8</f>
        <v>15704717.329999996</v>
      </c>
      <c r="F9" s="7"/>
      <c r="G9" s="7">
        <f>G6*G8</f>
        <v>13837785.879999997</v>
      </c>
      <c r="H9" s="7"/>
      <c r="I9" s="7">
        <f>I6*I8</f>
        <v>14576685.859999998</v>
      </c>
      <c r="J9" s="7"/>
      <c r="K9" s="7">
        <f>K6*K8</f>
        <v>15679834.499999998</v>
      </c>
      <c r="L9" s="3"/>
      <c r="M9" s="8">
        <f>(G9/E9)-1</f>
        <v>-0.11887711257519329</v>
      </c>
      <c r="N9" s="9"/>
      <c r="O9" s="9">
        <f>(I9/G9)-1</f>
        <v>0.053397269361419086</v>
      </c>
      <c r="P9" s="9"/>
      <c r="Q9" s="9">
        <f>(K9/I9)-1</f>
        <v>0.07567897467195617</v>
      </c>
      <c r="S9" s="9">
        <f>(I9/E9)-1</f>
        <v>-0.0718275564148596</v>
      </c>
      <c r="T9" s="9"/>
      <c r="U9" s="9">
        <f>(K9/E9)-1</f>
        <v>-0.0015844175655722603</v>
      </c>
      <c r="W9" s="9">
        <f>(K9/G9)-1</f>
        <v>0.13311729462892963</v>
      </c>
    </row>
    <row r="10" spans="3:23" ht="13.5" thickBot="1">
      <c r="C10" t="s">
        <v>13</v>
      </c>
      <c r="E10" s="11">
        <v>1.36</v>
      </c>
      <c r="F10" s="11"/>
      <c r="G10" s="11">
        <v>1.36</v>
      </c>
      <c r="H10" s="11"/>
      <c r="I10" s="11">
        <v>1.4</v>
      </c>
      <c r="J10" s="11"/>
      <c r="K10" s="11">
        <v>1.4</v>
      </c>
      <c r="L10" s="3"/>
      <c r="M10" s="8">
        <f>(G10/E10)-1</f>
        <v>0</v>
      </c>
      <c r="N10" s="9"/>
      <c r="O10" s="9">
        <f>(I10/G10)-1</f>
        <v>0.02941176470588225</v>
      </c>
      <c r="P10" s="9"/>
      <c r="Q10" s="9">
        <f>(K10/I10)-1</f>
        <v>0</v>
      </c>
      <c r="S10" s="9">
        <f>(I10/E10)-1</f>
        <v>0.02941176470588225</v>
      </c>
      <c r="T10" s="9"/>
      <c r="U10" s="9">
        <f>(K10/E10)-1</f>
        <v>0.02941176470588225</v>
      </c>
      <c r="W10" s="9">
        <f>(K10/G10)-1</f>
        <v>0.02941176470588225</v>
      </c>
    </row>
    <row r="11" spans="3:23" ht="13.5" thickBot="1">
      <c r="C11" s="12" t="s">
        <v>14</v>
      </c>
      <c r="D11" s="13"/>
      <c r="E11" s="14">
        <f>E9*E10</f>
        <v>21358415.568799995</v>
      </c>
      <c r="F11" s="14"/>
      <c r="G11" s="14">
        <f>G9*G10</f>
        <v>18819388.7968</v>
      </c>
      <c r="H11" s="14"/>
      <c r="I11" s="14">
        <f>I9*I10</f>
        <v>20407360.203999996</v>
      </c>
      <c r="J11" s="14"/>
      <c r="K11" s="14">
        <f>K9*K10</f>
        <v>21951768.299999997</v>
      </c>
      <c r="L11" s="3"/>
      <c r="M11" s="15">
        <f>(G11/E11)-1</f>
        <v>-0.11887711257519318</v>
      </c>
      <c r="N11" s="16"/>
      <c r="O11" s="16">
        <f>(I11/G11)-1</f>
        <v>0.08437954198969577</v>
      </c>
      <c r="P11" s="16"/>
      <c r="Q11" s="16">
        <f>(K11/I11)-1</f>
        <v>0.07567897467195617</v>
      </c>
      <c r="R11" s="13"/>
      <c r="S11" s="16">
        <f>(I11/E11)-1</f>
        <v>-0.04452836689764961</v>
      </c>
      <c r="T11" s="16"/>
      <c r="U11" s="16">
        <f>(K11/E11)-1</f>
        <v>0.02778074662367569</v>
      </c>
      <c r="V11" s="13"/>
      <c r="W11" s="17">
        <f>(K11/G11)-1</f>
        <v>0.16644427388272143</v>
      </c>
    </row>
    <row r="12" spans="12:21" ht="12.75">
      <c r="L12" s="3"/>
      <c r="M12" s="9"/>
      <c r="N12" s="9"/>
      <c r="O12" s="9"/>
      <c r="P12" s="9"/>
      <c r="Q12" s="9"/>
      <c r="R12" s="9"/>
      <c r="S12" s="9"/>
      <c r="U12" s="9"/>
    </row>
    <row r="13" spans="2:21" ht="12.75">
      <c r="B13" t="s">
        <v>15</v>
      </c>
      <c r="L13" s="3"/>
      <c r="M13" s="9"/>
      <c r="N13" s="9"/>
      <c r="O13" s="9"/>
      <c r="P13" s="9"/>
      <c r="Q13" s="9"/>
      <c r="R13" s="9"/>
      <c r="S13" s="9"/>
      <c r="U13" s="9"/>
    </row>
    <row r="14" spans="3:23" ht="12.75">
      <c r="C14" t="s">
        <v>16</v>
      </c>
      <c r="E14" s="7">
        <f>E4*E8*E10</f>
        <v>19671868.783999998</v>
      </c>
      <c r="G14" s="7">
        <f>G4*G8*G10</f>
        <v>17333333.824</v>
      </c>
      <c r="I14" s="7">
        <f>I4*I8*I10</f>
        <v>19009090.519999996</v>
      </c>
      <c r="K14" s="7">
        <f>K4*K8*K10</f>
        <v>20447678.999999996</v>
      </c>
      <c r="L14" s="3"/>
      <c r="M14" s="8">
        <f>(G14/E14)-1</f>
        <v>-0.11887711257519318</v>
      </c>
      <c r="N14" s="9"/>
      <c r="O14" s="9">
        <f>(I14/G14)-1</f>
        <v>0.09667826818633785</v>
      </c>
      <c r="P14" s="9"/>
      <c r="Q14" s="9">
        <f>(K14/I14)-1</f>
        <v>0.07567897467195617</v>
      </c>
      <c r="S14" s="9">
        <f>(I14/E14)-1</f>
        <v>-0.03369167775961723</v>
      </c>
      <c r="T14" s="9"/>
      <c r="U14" s="9">
        <f>(K14/E14)-1</f>
        <v>0.03943754528451304</v>
      </c>
      <c r="W14" s="9">
        <f>(K14/G14)-1</f>
        <v>0.17967375506769656</v>
      </c>
    </row>
    <row r="15" spans="3:23" ht="13.5" thickBot="1">
      <c r="C15" t="s">
        <v>17</v>
      </c>
      <c r="E15" s="9">
        <v>0.025</v>
      </c>
      <c r="F15" s="9"/>
      <c r="G15" s="9">
        <v>0.025</v>
      </c>
      <c r="H15" s="9"/>
      <c r="I15" s="9">
        <v>0.0281</v>
      </c>
      <c r="J15" s="9"/>
      <c r="K15" s="9">
        <v>0.0281</v>
      </c>
      <c r="L15" s="3"/>
      <c r="M15" s="8">
        <f>(G15/E15)-1</f>
        <v>0</v>
      </c>
      <c r="N15" s="9"/>
      <c r="O15" s="9">
        <f>(I15/G15)-1</f>
        <v>0.12399999999999989</v>
      </c>
      <c r="P15" s="9"/>
      <c r="Q15" s="9">
        <f>(K15/I15)-1</f>
        <v>0</v>
      </c>
      <c r="S15" s="9">
        <f>(I15/E15)-1</f>
        <v>0.12399999999999989</v>
      </c>
      <c r="T15" s="9"/>
      <c r="U15" s="9">
        <f>(K15/E15)-1</f>
        <v>0.12399999999999989</v>
      </c>
      <c r="W15" s="9">
        <f>(K15/G15)-1</f>
        <v>0.12399999999999989</v>
      </c>
    </row>
    <row r="16" spans="3:23" ht="13.5" thickBot="1">
      <c r="C16" s="12" t="s">
        <v>15</v>
      </c>
      <c r="D16" s="13"/>
      <c r="E16" s="14">
        <f>E14*E15</f>
        <v>491796.71959999995</v>
      </c>
      <c r="F16" s="14"/>
      <c r="G16" s="14">
        <f>G14*G15</f>
        <v>433333.34560000006</v>
      </c>
      <c r="H16" s="14"/>
      <c r="I16" s="14">
        <f>I14*I15</f>
        <v>534155.4436119999</v>
      </c>
      <c r="J16" s="14"/>
      <c r="K16" s="14">
        <f>K14*K15</f>
        <v>574579.7798999998</v>
      </c>
      <c r="L16" s="3"/>
      <c r="M16" s="15">
        <f>(G16/E16)-1</f>
        <v>-0.11887711257519318</v>
      </c>
      <c r="N16" s="16"/>
      <c r="O16" s="16">
        <f>(I16/G16)-1</f>
        <v>0.2326663734414438</v>
      </c>
      <c r="P16" s="16"/>
      <c r="Q16" s="16">
        <f>(K16/I16)-1</f>
        <v>0.07567897467195617</v>
      </c>
      <c r="R16" s="13"/>
      <c r="S16" s="16">
        <f>(I16/E16)-1</f>
        <v>0.08613055419819005</v>
      </c>
      <c r="T16" s="16"/>
      <c r="U16" s="16">
        <f>(K16/E16)-1</f>
        <v>0.1683278008997926</v>
      </c>
      <c r="V16" s="13"/>
      <c r="W16" s="17">
        <f>(K16/G16)-1</f>
        <v>0.32595330069609063</v>
      </c>
    </row>
    <row r="17" spans="12:21" ht="12.75">
      <c r="L17" s="3"/>
      <c r="M17" s="9"/>
      <c r="N17" s="9"/>
      <c r="O17" s="9"/>
      <c r="P17" s="9"/>
      <c r="Q17" s="9"/>
      <c r="R17" s="9"/>
      <c r="S17" s="9"/>
      <c r="U17" s="9"/>
    </row>
    <row r="18" spans="2:21" ht="12.75">
      <c r="B18" s="18" t="s">
        <v>18</v>
      </c>
      <c r="C18" s="18"/>
      <c r="D18" s="18"/>
      <c r="L18" s="3"/>
      <c r="M18" s="9"/>
      <c r="N18" s="9"/>
      <c r="O18" s="9"/>
      <c r="P18" s="9"/>
      <c r="Q18" s="9"/>
      <c r="R18" s="9"/>
      <c r="S18" s="9"/>
      <c r="U18" s="9"/>
    </row>
    <row r="19" spans="3:23" ht="12.75">
      <c r="C19" t="s">
        <v>19</v>
      </c>
      <c r="E19" s="7">
        <f>E14+E16</f>
        <v>20163665.503599998</v>
      </c>
      <c r="G19" s="7">
        <f>G14+G16</f>
        <v>17766667.169600002</v>
      </c>
      <c r="I19" s="7">
        <f>I14+I16</f>
        <v>19543245.963611994</v>
      </c>
      <c r="K19" s="7">
        <f>K14+K16</f>
        <v>21022258.779899996</v>
      </c>
      <c r="L19" s="3"/>
      <c r="M19" s="8">
        <f>(G19/E19)-1</f>
        <v>-0.11887711257519318</v>
      </c>
      <c r="N19" s="9"/>
      <c r="O19" s="9">
        <f>(I19/G19)-1</f>
        <v>0.09999505124134034</v>
      </c>
      <c r="P19" s="9"/>
      <c r="Q19" s="9">
        <f>(K19/I19)-1</f>
        <v>0.07567897467195617</v>
      </c>
      <c r="S19" s="9">
        <f>(I19/E19)-1</f>
        <v>-0.030769184297231855</v>
      </c>
      <c r="T19" s="9"/>
      <c r="U19" s="9">
        <f>(K19/E19)-1</f>
        <v>0.042581210055617325</v>
      </c>
      <c r="W19" s="9">
        <f>(K19/G19)-1</f>
        <v>0.18324154886351085</v>
      </c>
    </row>
    <row r="20" spans="3:23" ht="13.5" thickBot="1">
      <c r="C20" t="s">
        <v>20</v>
      </c>
      <c r="E20">
        <v>0.3573</v>
      </c>
      <c r="G20">
        <v>0.3573</v>
      </c>
      <c r="I20">
        <v>0.3529</v>
      </c>
      <c r="K20">
        <v>0.3273</v>
      </c>
      <c r="L20" s="3"/>
      <c r="M20" s="8">
        <f>(G20/E20)-1</f>
        <v>0</v>
      </c>
      <c r="N20" s="9"/>
      <c r="O20" s="9">
        <f>(I20/G20)-1</f>
        <v>-0.012314581584103035</v>
      </c>
      <c r="P20" s="9"/>
      <c r="Q20" s="9">
        <f>(K20/I20)-1</f>
        <v>-0.07254179654293003</v>
      </c>
      <c r="S20" s="9">
        <f>(I20/E20)-1</f>
        <v>-0.012314581584103035</v>
      </c>
      <c r="T20" s="9"/>
      <c r="U20" s="9">
        <f>(K20/E20)-1</f>
        <v>-0.0839630562552478</v>
      </c>
      <c r="W20" s="9">
        <f>(K20/G20)-1</f>
        <v>-0.0839630562552478</v>
      </c>
    </row>
    <row r="21" spans="2:23" ht="13.5" thickBot="1">
      <c r="B21" s="18"/>
      <c r="C21" s="12" t="s">
        <v>21</v>
      </c>
      <c r="D21" s="13"/>
      <c r="E21" s="14">
        <f>E19*E20</f>
        <v>7204477.684436279</v>
      </c>
      <c r="F21" s="14"/>
      <c r="G21" s="14">
        <f>G19*G20</f>
        <v>6348030.179698081</v>
      </c>
      <c r="H21" s="14"/>
      <c r="I21" s="14">
        <f>I19*I20</f>
        <v>6896811.5005586725</v>
      </c>
      <c r="J21" s="14"/>
      <c r="K21" s="14">
        <f>K19*K20</f>
        <v>6880585.298661268</v>
      </c>
      <c r="L21" s="3"/>
      <c r="M21" s="15">
        <f>(G21/E21)-1</f>
        <v>-0.11887711257519318</v>
      </c>
      <c r="N21" s="16"/>
      <c r="O21" s="16">
        <f>(I21/G21)-1</f>
        <v>0.0864490724407192</v>
      </c>
      <c r="P21" s="16"/>
      <c r="Q21" s="16">
        <f>(K21/I21)-1</f>
        <v>-0.002352710654204393</v>
      </c>
      <c r="R21" s="13"/>
      <c r="S21" s="16">
        <f>(I21/E21)-1</f>
        <v>-0.042704856251030265</v>
      </c>
      <c r="T21" s="16"/>
      <c r="U21" s="16">
        <f>(K21/E21)-1</f>
        <v>-0.04495709473494669</v>
      </c>
      <c r="V21" s="13"/>
      <c r="W21" s="17">
        <f>(K21/G21)-1</f>
        <v>0.0838929721327375</v>
      </c>
    </row>
    <row r="22" spans="2:21" ht="12.75"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3"/>
      <c r="M22" s="9"/>
      <c r="N22" s="9"/>
      <c r="O22" s="9"/>
      <c r="P22" s="9"/>
      <c r="Q22" s="9"/>
      <c r="R22" s="9"/>
      <c r="S22" s="9"/>
      <c r="U22" s="9"/>
    </row>
    <row r="23" spans="2:21" ht="12.75">
      <c r="B23" t="s">
        <v>22</v>
      </c>
      <c r="E23" s="7"/>
      <c r="F23" s="7"/>
      <c r="G23" s="7"/>
      <c r="H23" s="7"/>
      <c r="I23" s="7"/>
      <c r="J23" s="7"/>
      <c r="K23" s="7"/>
      <c r="L23" s="3"/>
      <c r="M23" s="9"/>
      <c r="N23" s="9"/>
      <c r="O23" s="9"/>
      <c r="P23" s="9"/>
      <c r="Q23" s="9"/>
      <c r="R23" s="9"/>
      <c r="S23" s="9"/>
      <c r="U23" s="9"/>
    </row>
    <row r="24" spans="3:23" ht="12.75">
      <c r="C24" t="s">
        <v>23</v>
      </c>
      <c r="E24" s="9">
        <v>0.0992</v>
      </c>
      <c r="F24" s="9"/>
      <c r="G24" s="9">
        <v>0.0987</v>
      </c>
      <c r="H24" s="9"/>
      <c r="I24" s="9">
        <v>0.0987</v>
      </c>
      <c r="J24" s="9"/>
      <c r="K24" s="9">
        <v>0.0768</v>
      </c>
      <c r="L24" s="3"/>
      <c r="M24" s="8">
        <f>(G24/E24)-1</f>
        <v>-0.005040322580645129</v>
      </c>
      <c r="N24" s="9"/>
      <c r="O24" s="9">
        <f>(I24/G24)-1</f>
        <v>0</v>
      </c>
      <c r="P24" s="9"/>
      <c r="Q24" s="9">
        <f>(K24/I24)-1</f>
        <v>-0.22188449848024316</v>
      </c>
      <c r="S24" s="9">
        <f>(I24/E24)-1</f>
        <v>-0.005040322580645129</v>
      </c>
      <c r="T24" s="9"/>
      <c r="U24" s="9">
        <f>(K24/E24)-1</f>
        <v>-0.22580645161290325</v>
      </c>
      <c r="W24" s="9">
        <f>(K24/G24)-1</f>
        <v>-0.22188449848024316</v>
      </c>
    </row>
    <row r="25" spans="3:23" ht="13.5" thickBot="1">
      <c r="C25" t="s">
        <v>24</v>
      </c>
      <c r="E25" s="9">
        <v>0</v>
      </c>
      <c r="F25" s="9"/>
      <c r="G25" s="9">
        <v>0</v>
      </c>
      <c r="H25" s="9"/>
      <c r="I25" s="9">
        <v>0.2</v>
      </c>
      <c r="J25" s="9"/>
      <c r="K25" s="9">
        <v>0.4</v>
      </c>
      <c r="L25" s="3"/>
      <c r="M25" s="8">
        <v>0</v>
      </c>
      <c r="N25" s="9"/>
      <c r="O25" s="9">
        <v>0</v>
      </c>
      <c r="P25" s="9"/>
      <c r="Q25" s="9">
        <f>(K25/I25)-1</f>
        <v>1</v>
      </c>
      <c r="S25" s="9">
        <v>0</v>
      </c>
      <c r="T25" s="9"/>
      <c r="U25" s="9">
        <v>0</v>
      </c>
      <c r="W25" s="9">
        <v>0</v>
      </c>
    </row>
    <row r="26" spans="2:23" ht="13.5" thickBot="1">
      <c r="B26" s="18"/>
      <c r="C26" s="12" t="s">
        <v>21</v>
      </c>
      <c r="D26" s="13"/>
      <c r="E26" s="14">
        <f>E11*E24*E20*E25</f>
        <v>0</v>
      </c>
      <c r="F26" s="14"/>
      <c r="G26" s="14">
        <f>G11*G24*G20*G25</f>
        <v>0</v>
      </c>
      <c r="H26" s="14"/>
      <c r="I26" s="14">
        <f>I11*I24*I20*I25</f>
        <v>142162.69139167416</v>
      </c>
      <c r="J26" s="14"/>
      <c r="K26" s="14">
        <f>K11*K24*K20*K25</f>
        <v>220717.47884820472</v>
      </c>
      <c r="L26" s="3"/>
      <c r="M26" s="15">
        <v>0</v>
      </c>
      <c r="N26" s="16"/>
      <c r="O26" s="16">
        <v>0</v>
      </c>
      <c r="P26" s="16"/>
      <c r="Q26" s="16">
        <f>(K26/I26)-1</f>
        <v>0.5525696417782588</v>
      </c>
      <c r="R26" s="13"/>
      <c r="S26" s="16">
        <v>0</v>
      </c>
      <c r="T26" s="16"/>
      <c r="U26" s="16">
        <v>0</v>
      </c>
      <c r="V26" s="13"/>
      <c r="W26" s="17">
        <v>0</v>
      </c>
    </row>
    <row r="27" spans="2:21" ht="12.75"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3"/>
      <c r="M27" s="9"/>
      <c r="N27" s="9"/>
      <c r="O27" s="9"/>
      <c r="P27" s="9"/>
      <c r="Q27" s="9"/>
      <c r="R27" s="9"/>
      <c r="S27" s="9"/>
      <c r="U27" s="9"/>
    </row>
    <row r="28" spans="2:21" ht="12.75">
      <c r="B28" t="s">
        <v>25</v>
      </c>
      <c r="E28" s="7"/>
      <c r="F28" s="7"/>
      <c r="G28" s="7"/>
      <c r="H28" s="7"/>
      <c r="I28" s="7"/>
      <c r="J28" s="7"/>
      <c r="K28" s="7"/>
      <c r="L28" s="3"/>
      <c r="M28" s="9"/>
      <c r="N28" s="9"/>
      <c r="O28" s="9"/>
      <c r="P28" s="9"/>
      <c r="Q28" s="9"/>
      <c r="R28" s="9"/>
      <c r="S28" s="9"/>
      <c r="U28" s="9"/>
    </row>
    <row r="29" spans="3:23" ht="12.75">
      <c r="C29" t="s">
        <v>26</v>
      </c>
      <c r="E29" s="10">
        <f>'[2]Volume Summary'!F72</f>
        <v>83087</v>
      </c>
      <c r="F29" s="10"/>
      <c r="G29" s="10">
        <f>'[2]Volume Summary'!H72</f>
        <v>70876</v>
      </c>
      <c r="H29" s="10"/>
      <c r="I29" s="10">
        <f>'[2]Volume Summary'!J72</f>
        <v>88371</v>
      </c>
      <c r="J29" s="10"/>
      <c r="K29" s="10">
        <f>'[2]Volume Summary'!L72</f>
        <v>95018</v>
      </c>
      <c r="L29" s="3"/>
      <c r="M29" s="8">
        <f>(G29/E29)-1</f>
        <v>-0.14696643277528376</v>
      </c>
      <c r="N29" s="9"/>
      <c r="O29" s="9">
        <f>(I29/G29)-1</f>
        <v>0.24683955076471586</v>
      </c>
      <c r="P29" s="9"/>
      <c r="Q29" s="9">
        <f>(K29/I29)-1</f>
        <v>0.07521698294689427</v>
      </c>
      <c r="S29" s="9">
        <f>(I29/E29)-1</f>
        <v>0.06359598974568836</v>
      </c>
      <c r="T29" s="9"/>
      <c r="U29" s="9">
        <f>(K29/E29)-1</f>
        <v>0.14359647116877494</v>
      </c>
      <c r="W29" s="9">
        <f>(K29/G29)-1</f>
        <v>0.34062305999209896</v>
      </c>
    </row>
    <row r="30" spans="3:23" ht="12.75">
      <c r="C30" t="s">
        <v>27</v>
      </c>
      <c r="E30" s="11">
        <f>E29/365</f>
        <v>227.63561643835615</v>
      </c>
      <c r="F30" s="11"/>
      <c r="G30" s="11">
        <f>G29/365</f>
        <v>194.18082191780823</v>
      </c>
      <c r="H30" s="11"/>
      <c r="I30" s="11">
        <f>I29/365</f>
        <v>242.1123287671233</v>
      </c>
      <c r="J30" s="11"/>
      <c r="K30" s="11">
        <f>K29/365</f>
        <v>260.3232876712329</v>
      </c>
      <c r="L30" s="3"/>
      <c r="M30" s="8">
        <f>(G30/E30)-1</f>
        <v>-0.14696643277528365</v>
      </c>
      <c r="N30" s="9"/>
      <c r="O30" s="9">
        <f>(I30/G30)-1</f>
        <v>0.24683955076471586</v>
      </c>
      <c r="P30" s="9"/>
      <c r="Q30" s="9">
        <f>(K30/I30)-1</f>
        <v>0.07521698294689427</v>
      </c>
      <c r="S30" s="9">
        <f>(I30/E30)-1</f>
        <v>0.06359598974568836</v>
      </c>
      <c r="T30" s="9"/>
      <c r="U30" s="9">
        <f>(K30/E30)-1</f>
        <v>0.14359647116877494</v>
      </c>
      <c r="W30" s="9">
        <f>(K30/G30)-1</f>
        <v>0.34062305999209896</v>
      </c>
    </row>
    <row r="31" spans="5:21" ht="12.75">
      <c r="E31" s="7"/>
      <c r="F31" s="7"/>
      <c r="G31" s="7"/>
      <c r="H31" s="7"/>
      <c r="I31" s="7"/>
      <c r="J31" s="7"/>
      <c r="K31" s="7"/>
      <c r="L31" s="3"/>
      <c r="M31" s="9"/>
      <c r="N31" s="9"/>
      <c r="O31" s="9"/>
      <c r="P31" s="9"/>
      <c r="Q31" s="9"/>
      <c r="R31" s="9"/>
      <c r="S31" s="9"/>
      <c r="U31" s="9"/>
    </row>
    <row r="32" spans="3:23" ht="12.75">
      <c r="C32" t="s">
        <v>28</v>
      </c>
      <c r="E32" s="11">
        <v>208.32</v>
      </c>
      <c r="F32" s="11"/>
      <c r="G32" s="11">
        <v>205.42</v>
      </c>
      <c r="H32" s="11"/>
      <c r="I32" s="11">
        <v>205.42</v>
      </c>
      <c r="J32" s="11"/>
      <c r="K32" s="11">
        <v>205.42</v>
      </c>
      <c r="L32" s="3"/>
      <c r="M32" s="8">
        <f>(G32/E32)-1</f>
        <v>-0.01392089093701998</v>
      </c>
      <c r="N32" s="9"/>
      <c r="O32" s="9">
        <f>(I32/G32)-1</f>
        <v>0</v>
      </c>
      <c r="P32" s="9"/>
      <c r="Q32" s="9">
        <f>(K32/I32)-1</f>
        <v>0</v>
      </c>
      <c r="S32" s="9">
        <f>(I32/E32)-1</f>
        <v>-0.01392089093701998</v>
      </c>
      <c r="T32" s="9"/>
      <c r="U32" s="9">
        <f>(K32/E32)-1</f>
        <v>-0.01392089093701998</v>
      </c>
      <c r="W32" s="9">
        <f>(K32/G32)-1</f>
        <v>0</v>
      </c>
    </row>
    <row r="33" spans="3:23" ht="12.75">
      <c r="C33" t="s">
        <v>29</v>
      </c>
      <c r="E33" s="20">
        <f>E32/E30</f>
        <v>0.9151467738635406</v>
      </c>
      <c r="F33" s="20"/>
      <c r="G33" s="20">
        <f>G32/G30</f>
        <v>1.0578799593656525</v>
      </c>
      <c r="H33" s="20"/>
      <c r="I33" s="20">
        <f>I32/I30</f>
        <v>0.8484491518710888</v>
      </c>
      <c r="J33" s="20"/>
      <c r="K33" s="20">
        <f>K32/K30</f>
        <v>0.7890957502788944</v>
      </c>
      <c r="L33" s="3"/>
      <c r="M33" s="8">
        <f>(G33/E33)-1</f>
        <v>0.15596753392849205</v>
      </c>
      <c r="N33" s="9"/>
      <c r="O33" s="9">
        <f>(I33/G33)-1</f>
        <v>-0.19797218544545148</v>
      </c>
      <c r="P33" s="9"/>
      <c r="Q33" s="9">
        <f>(K33/I33)-1</f>
        <v>-0.06995516638952615</v>
      </c>
      <c r="S33" s="9">
        <f>(I33/E33)-1</f>
        <v>-0.07288188506732052</v>
      </c>
      <c r="T33" s="9"/>
      <c r="U33" s="9">
        <f>(K33/E33)-1</f>
        <v>-0.13773858706018005</v>
      </c>
      <c r="W33" s="9">
        <f>(K33/G33)-1</f>
        <v>-0.25407817466164295</v>
      </c>
    </row>
    <row r="34" spans="5:21" ht="12.75">
      <c r="E34" s="11"/>
      <c r="F34" s="11"/>
      <c r="G34" s="11"/>
      <c r="H34" s="11"/>
      <c r="I34" s="11"/>
      <c r="J34" s="11"/>
      <c r="K34" s="11"/>
      <c r="L34" s="3"/>
      <c r="M34" s="9"/>
      <c r="N34" s="9"/>
      <c r="O34" s="9"/>
      <c r="P34" s="9"/>
      <c r="Q34" s="9"/>
      <c r="R34" s="9"/>
      <c r="S34" s="9"/>
      <c r="U34" s="9"/>
    </row>
    <row r="35" spans="3:23" ht="12.75">
      <c r="C35" t="s">
        <v>30</v>
      </c>
      <c r="E35" s="20">
        <f>2.7183^(E33*0.2822)-1</f>
        <v>0.2946704007909571</v>
      </c>
      <c r="F35" s="20"/>
      <c r="G35" s="20">
        <f>2.7183^(G33*0.2822)-1</f>
        <v>0.34788368301871375</v>
      </c>
      <c r="H35" s="20"/>
      <c r="I35" s="20">
        <f>2.7183^(I33*0.2822)-1</f>
        <v>0.27052976494244363</v>
      </c>
      <c r="J35" s="20"/>
      <c r="K35" s="20">
        <f>2.7183^(K33*0.2822)-1</f>
        <v>0.2494260793318126</v>
      </c>
      <c r="L35" s="3"/>
      <c r="M35" s="8">
        <f>(G35/E35)-1</f>
        <v>0.18058577340961657</v>
      </c>
      <c r="N35" s="9"/>
      <c r="O35" s="9">
        <f>(I35/G35)-1</f>
        <v>-0.22235569488353668</v>
      </c>
      <c r="P35" s="9"/>
      <c r="Q35" s="9">
        <f>(K35/I35)-1</f>
        <v>-0.07800873820712828</v>
      </c>
      <c r="S35" s="9">
        <f>(I35/E35)-1</f>
        <v>-0.08192419660649641</v>
      </c>
      <c r="T35" s="9"/>
      <c r="U35" s="9">
        <f>(K35/E35)-1</f>
        <v>-0.15354213160771912</v>
      </c>
      <c r="W35" s="9">
        <f>(K35/G35)-1</f>
        <v>-0.28301874589963105</v>
      </c>
    </row>
    <row r="36" spans="3:23" ht="13.5" thickBot="1">
      <c r="C36" t="s">
        <v>31</v>
      </c>
      <c r="E36" s="7">
        <v>1345616</v>
      </c>
      <c r="F36" s="7"/>
      <c r="G36" s="7">
        <v>1185653</v>
      </c>
      <c r="H36" s="7"/>
      <c r="I36" s="7">
        <v>1068986</v>
      </c>
      <c r="J36" s="7"/>
      <c r="K36" s="7">
        <v>1313880</v>
      </c>
      <c r="L36" s="3"/>
      <c r="M36" s="8">
        <f>(G36/E36)-1</f>
        <v>-0.11887715366047968</v>
      </c>
      <c r="N36" s="9"/>
      <c r="O36" s="9">
        <f>(I36/G36)-1</f>
        <v>-0.09839894134287186</v>
      </c>
      <c r="P36" s="9"/>
      <c r="Q36" s="9">
        <f>(K36/I36)-1</f>
        <v>0.22908999743682323</v>
      </c>
      <c r="S36" s="9">
        <f>(I36/E36)-1</f>
        <v>-0.20557870893330643</v>
      </c>
      <c r="T36" s="9"/>
      <c r="U36" s="9">
        <f>(K36/E36)-1</f>
        <v>-0.023584737399079625</v>
      </c>
      <c r="W36" s="9">
        <f>(K36/G36)-1</f>
        <v>0.10814884287392679</v>
      </c>
    </row>
    <row r="37" spans="3:23" ht="13.5" thickBot="1">
      <c r="C37" s="12" t="s">
        <v>32</v>
      </c>
      <c r="D37" s="13"/>
      <c r="E37" s="14">
        <f>E35*E36</f>
        <v>396513.2060307245</v>
      </c>
      <c r="F37" s="14"/>
      <c r="G37" s="14">
        <f>G35*G36</f>
        <v>412469.332422187</v>
      </c>
      <c r="H37" s="14"/>
      <c r="I37" s="14">
        <f>I35*I36</f>
        <v>289192.53130676306</v>
      </c>
      <c r="J37" s="14"/>
      <c r="K37" s="14">
        <f>K35*K36</f>
        <v>327715.9371124819</v>
      </c>
      <c r="L37" s="3"/>
      <c r="M37" s="15">
        <f>(G37/E37)-1</f>
        <v>0.040241097014625415</v>
      </c>
      <c r="N37" s="16"/>
      <c r="O37" s="16">
        <f>(I37/G37)-1</f>
        <v>-0.2988750712483099</v>
      </c>
      <c r="P37" s="16"/>
      <c r="Q37" s="16">
        <f>(K37/I37)-1</f>
        <v>0.13321023759377404</v>
      </c>
      <c r="R37" s="13"/>
      <c r="S37" s="16">
        <f>(I37/E37)-1</f>
        <v>-0.2706610349710409</v>
      </c>
      <c r="T37" s="16"/>
      <c r="U37" s="16">
        <f>(K37/E37)-1</f>
        <v>-0.17350561815313592</v>
      </c>
      <c r="V37" s="13"/>
      <c r="W37" s="17">
        <f>(K37/G37)-1</f>
        <v>-0.20547805290637933</v>
      </c>
    </row>
    <row r="38" spans="5:21" ht="12.75">
      <c r="E38" s="7"/>
      <c r="F38" s="7"/>
      <c r="G38" s="7"/>
      <c r="H38" s="7"/>
      <c r="I38" s="7"/>
      <c r="J38" s="7"/>
      <c r="K38" s="7"/>
      <c r="L38" s="3"/>
      <c r="M38" s="9"/>
      <c r="N38" s="9"/>
      <c r="O38" s="9"/>
      <c r="P38" s="9"/>
      <c r="Q38" s="9"/>
      <c r="R38" s="9"/>
      <c r="S38" s="9"/>
      <c r="U38" s="9"/>
    </row>
    <row r="39" spans="2:21" ht="12.75">
      <c r="B39" t="s">
        <v>33</v>
      </c>
      <c r="E39" s="7"/>
      <c r="F39" s="7"/>
      <c r="G39" s="7"/>
      <c r="H39" s="7"/>
      <c r="I39" s="7"/>
      <c r="J39" s="7"/>
      <c r="K39" s="7"/>
      <c r="L39" s="3"/>
      <c r="M39" s="9"/>
      <c r="N39" s="9"/>
      <c r="O39" s="9"/>
      <c r="P39" s="9"/>
      <c r="Q39" s="9"/>
      <c r="R39" s="9"/>
      <c r="S39" s="9"/>
      <c r="U39" s="9"/>
    </row>
    <row r="40" spans="3:23" ht="12.75">
      <c r="C40" t="s">
        <v>34</v>
      </c>
      <c r="E40" s="10">
        <v>25932</v>
      </c>
      <c r="F40" s="10"/>
      <c r="G40" s="10">
        <v>16816</v>
      </c>
      <c r="H40" s="10"/>
      <c r="I40" s="10">
        <v>35747</v>
      </c>
      <c r="J40" s="10"/>
      <c r="K40" s="10">
        <v>42187</v>
      </c>
      <c r="L40" s="3"/>
      <c r="M40" s="8">
        <f>(G40/E40)-1</f>
        <v>-0.35153478327934595</v>
      </c>
      <c r="N40" s="9"/>
      <c r="O40" s="9">
        <f>(I40/G40)-1</f>
        <v>1.1257730732635585</v>
      </c>
      <c r="P40" s="9"/>
      <c r="Q40" s="9">
        <f>(K40/I40)-1</f>
        <v>0.18015497804011527</v>
      </c>
      <c r="S40" s="9">
        <f>(I40/E40)-1</f>
        <v>0.3784898966527841</v>
      </c>
      <c r="T40" s="9"/>
      <c r="U40" s="9">
        <f>(K40/E40)-1</f>
        <v>0.6268317137127872</v>
      </c>
      <c r="W40" s="9">
        <f>(K40/G40)-1</f>
        <v>1.508741674595623</v>
      </c>
    </row>
    <row r="41" spans="3:23" ht="12.75">
      <c r="C41" t="s">
        <v>35</v>
      </c>
      <c r="E41" s="9">
        <f>E40/E29</f>
        <v>0.312106587071383</v>
      </c>
      <c r="F41" s="9"/>
      <c r="G41" s="9">
        <f>G40/G29</f>
        <v>0.23725943902026073</v>
      </c>
      <c r="H41" s="9"/>
      <c r="I41" s="9">
        <f>I40/I29</f>
        <v>0.40451052947233823</v>
      </c>
      <c r="J41" s="9"/>
      <c r="K41" s="9">
        <f>K40/K29</f>
        <v>0.4439895598728662</v>
      </c>
      <c r="L41" s="3"/>
      <c r="M41" s="8">
        <f>(G41/E41)-1</f>
        <v>-0.23981277919649835</v>
      </c>
      <c r="N41" s="9"/>
      <c r="O41" s="9">
        <f>(I41/G41)-1</f>
        <v>0.7049291321884781</v>
      </c>
      <c r="P41" s="9"/>
      <c r="Q41" s="9">
        <f>(K41/I41)-1</f>
        <v>0.09759704018589122</v>
      </c>
      <c r="S41" s="9">
        <f>(I41/E41)-1</f>
        <v>0.29606533866528495</v>
      </c>
      <c r="T41" s="9"/>
      <c r="U41" s="9">
        <f>(K41/E41)-1</f>
        <v>0.42255747960654144</v>
      </c>
      <c r="W41" s="9">
        <f>(K41/G41)-1</f>
        <v>0.8713251692167736</v>
      </c>
    </row>
    <row r="42" spans="5:21" ht="12.75">
      <c r="E42" s="7"/>
      <c r="F42" s="7"/>
      <c r="G42" s="7"/>
      <c r="H42" s="7"/>
      <c r="I42" s="7"/>
      <c r="J42" s="7"/>
      <c r="K42" s="7"/>
      <c r="L42" s="3"/>
      <c r="M42" s="9"/>
      <c r="N42" s="9"/>
      <c r="O42" s="9"/>
      <c r="P42" s="9"/>
      <c r="Q42" s="9"/>
      <c r="R42" s="9"/>
      <c r="S42" s="9"/>
      <c r="U42" s="9"/>
    </row>
    <row r="43" spans="3:23" ht="12.75">
      <c r="C43" t="s">
        <v>36</v>
      </c>
      <c r="E43" s="9">
        <v>0.1442</v>
      </c>
      <c r="F43" s="9"/>
      <c r="G43" s="9">
        <v>0.1442</v>
      </c>
      <c r="H43" s="9"/>
      <c r="I43" s="9">
        <v>0.1442</v>
      </c>
      <c r="J43" s="9"/>
      <c r="K43" s="9">
        <v>0.1442</v>
      </c>
      <c r="L43" s="3"/>
      <c r="M43" s="8">
        <f>(G43/E43)-1</f>
        <v>0</v>
      </c>
      <c r="N43" s="9"/>
      <c r="O43" s="9">
        <f>(I43/G43)-1</f>
        <v>0</v>
      </c>
      <c r="P43" s="9"/>
      <c r="Q43" s="9">
        <f>(K43/I43)-1</f>
        <v>0</v>
      </c>
      <c r="S43" s="9">
        <f>(I43/E43)-1</f>
        <v>0</v>
      </c>
      <c r="T43" s="9"/>
      <c r="U43" s="9">
        <f>(K43/E43)-1</f>
        <v>0</v>
      </c>
      <c r="W43" s="9">
        <f>(K43/G43)-1</f>
        <v>0</v>
      </c>
    </row>
    <row r="44" spans="3:23" ht="12.75">
      <c r="C44" t="s">
        <v>37</v>
      </c>
      <c r="E44" s="9">
        <f>E41+E43</f>
        <v>0.456306587071383</v>
      </c>
      <c r="F44" s="9"/>
      <c r="G44" s="9">
        <f>G41+G43</f>
        <v>0.3814594390202607</v>
      </c>
      <c r="H44" s="9"/>
      <c r="I44" s="9">
        <f>I41+I43</f>
        <v>0.5487105294723382</v>
      </c>
      <c r="J44" s="9"/>
      <c r="K44" s="9">
        <f>K41+K43</f>
        <v>0.5881895598728661</v>
      </c>
      <c r="L44" s="3"/>
      <c r="M44" s="8">
        <f>(G44/E44)-1</f>
        <v>-0.1640281998370834</v>
      </c>
      <c r="N44" s="9"/>
      <c r="O44" s="9">
        <f>(I44/G44)-1</f>
        <v>0.4384505227650015</v>
      </c>
      <c r="P44" s="9"/>
      <c r="Q44" s="9">
        <f>(K44/I44)-1</f>
        <v>0.07194873850606176</v>
      </c>
      <c r="S44" s="9">
        <f>(I44/E44)-1</f>
        <v>0.2025040729611467</v>
      </c>
      <c r="T44" s="9"/>
      <c r="U44" s="9">
        <f>(K44/E44)-1</f>
        <v>0.28902272405910256</v>
      </c>
      <c r="W44" s="9">
        <f>(K44/G44)-1</f>
        <v>0.5419452232813284</v>
      </c>
    </row>
    <row r="45" spans="3:23" ht="12.75">
      <c r="C45" t="s">
        <v>38</v>
      </c>
      <c r="E45" s="9">
        <v>0.202</v>
      </c>
      <c r="F45" s="9"/>
      <c r="G45" s="9">
        <v>0.202</v>
      </c>
      <c r="H45" s="9"/>
      <c r="I45" s="9">
        <v>0.202</v>
      </c>
      <c r="J45" s="9"/>
      <c r="K45" s="9">
        <v>0.202</v>
      </c>
      <c r="L45" s="3"/>
      <c r="M45" s="8">
        <f>(G45/E45)-1</f>
        <v>0</v>
      </c>
      <c r="N45" s="9"/>
      <c r="O45" s="9">
        <f>(I45/G45)-1</f>
        <v>0</v>
      </c>
      <c r="P45" s="9"/>
      <c r="Q45" s="9">
        <f>(K45/I45)-1</f>
        <v>0</v>
      </c>
      <c r="S45" s="9">
        <f>(I45/E45)-1</f>
        <v>0</v>
      </c>
      <c r="T45" s="9"/>
      <c r="U45" s="9">
        <f>(K45/E45)-1</f>
        <v>0</v>
      </c>
      <c r="W45" s="9">
        <f>(K45/G45)-1</f>
        <v>0</v>
      </c>
    </row>
    <row r="46" spans="3:23" ht="12.75">
      <c r="C46" t="s">
        <v>39</v>
      </c>
      <c r="E46" s="9">
        <f>E44-E45</f>
        <v>0.254306587071383</v>
      </c>
      <c r="F46" s="9"/>
      <c r="G46" s="9">
        <f>G44-G45</f>
        <v>0.17945943902026068</v>
      </c>
      <c r="H46" s="9"/>
      <c r="I46" s="9">
        <f>I44-I45</f>
        <v>0.3467105294723382</v>
      </c>
      <c r="J46" s="9"/>
      <c r="K46" s="9">
        <f>K44-K45</f>
        <v>0.38618955987286613</v>
      </c>
      <c r="L46" s="3"/>
      <c r="M46" s="8">
        <f>(G46/E46)-1</f>
        <v>-0.2943185582138026</v>
      </c>
      <c r="N46" s="9"/>
      <c r="O46" s="9">
        <f>(I46/G46)-1</f>
        <v>0.9319715439052227</v>
      </c>
      <c r="P46" s="9"/>
      <c r="Q46" s="9">
        <f>(K46/I46)-1</f>
        <v>0.11386741112423504</v>
      </c>
      <c r="S46" s="9">
        <f>(I46/E46)-1</f>
        <v>0.36335646459294324</v>
      </c>
      <c r="T46" s="9"/>
      <c r="U46" s="9">
        <f>(K46/E46)-1</f>
        <v>0.5185983356556314</v>
      </c>
      <c r="W46" s="9">
        <f>(K46/G46)-1</f>
        <v>1.151960141975402</v>
      </c>
    </row>
    <row r="47" spans="5:21" ht="12.75">
      <c r="E47" s="7"/>
      <c r="F47" s="7"/>
      <c r="G47" s="7"/>
      <c r="H47" s="7"/>
      <c r="I47" s="7"/>
      <c r="J47" s="7"/>
      <c r="K47" s="7"/>
      <c r="L47" s="3"/>
      <c r="M47" s="9"/>
      <c r="N47" s="9"/>
      <c r="O47" s="9"/>
      <c r="P47" s="9"/>
      <c r="Q47" s="9"/>
      <c r="R47" s="9"/>
      <c r="S47" s="9"/>
      <c r="U47" s="9"/>
    </row>
    <row r="48" spans="3:23" ht="12.75">
      <c r="C48" t="s">
        <v>40</v>
      </c>
      <c r="E48" s="9">
        <v>0.0588</v>
      </c>
      <c r="F48" s="9"/>
      <c r="G48" s="9">
        <v>0.0588</v>
      </c>
      <c r="H48" s="9"/>
      <c r="I48" s="9">
        <v>0.0588</v>
      </c>
      <c r="J48" s="9"/>
      <c r="K48" s="9">
        <v>0.0588</v>
      </c>
      <c r="L48" s="3"/>
      <c r="M48" s="8">
        <f>(G48/E48)-1</f>
        <v>0</v>
      </c>
      <c r="N48" s="9"/>
      <c r="O48" s="9">
        <f>(I48/G48)-1</f>
        <v>0</v>
      </c>
      <c r="P48" s="9"/>
      <c r="Q48" s="9">
        <f>(K48/I48)-1</f>
        <v>0</v>
      </c>
      <c r="S48" s="9">
        <f>(I48/E48)-1</f>
        <v>0</v>
      </c>
      <c r="T48" s="9"/>
      <c r="U48" s="9">
        <f>(K48/E48)-1</f>
        <v>0</v>
      </c>
      <c r="W48" s="9">
        <f>(K48/G48)-1</f>
        <v>0</v>
      </c>
    </row>
    <row r="49" spans="3:23" ht="12.75">
      <c r="C49" t="s">
        <v>41</v>
      </c>
      <c r="E49" s="9">
        <v>0.825</v>
      </c>
      <c r="F49" s="9"/>
      <c r="G49" s="9">
        <v>0.825</v>
      </c>
      <c r="H49" s="9"/>
      <c r="I49" s="9">
        <v>0.825</v>
      </c>
      <c r="J49" s="9"/>
      <c r="K49" s="9">
        <v>0.825</v>
      </c>
      <c r="L49" s="3"/>
      <c r="M49" s="8">
        <f>(G49/E49)-1</f>
        <v>0</v>
      </c>
      <c r="N49" s="9"/>
      <c r="O49" s="9">
        <f>(I49/G49)-1</f>
        <v>0</v>
      </c>
      <c r="P49" s="9"/>
      <c r="Q49" s="9">
        <f>(K49/I49)-1</f>
        <v>0</v>
      </c>
      <c r="S49" s="9">
        <f>(I49/E49)-1</f>
        <v>0</v>
      </c>
      <c r="T49" s="9"/>
      <c r="U49" s="9">
        <f>(K49/E49)-1</f>
        <v>0</v>
      </c>
      <c r="W49" s="9">
        <f>(K49/G49)-1</f>
        <v>0</v>
      </c>
    </row>
    <row r="50" spans="3:23" ht="12.75">
      <c r="C50" t="s">
        <v>42</v>
      </c>
      <c r="E50" s="9">
        <f>E46*E49</f>
        <v>0.20980293433389094</v>
      </c>
      <c r="F50" s="9"/>
      <c r="G50" s="9">
        <f>G46*G49</f>
        <v>0.14805403719171506</v>
      </c>
      <c r="H50" s="9"/>
      <c r="I50" s="9">
        <f>I46*I49</f>
        <v>0.286036186814679</v>
      </c>
      <c r="J50" s="9"/>
      <c r="K50" s="9">
        <f>K46*K49</f>
        <v>0.31860638689511456</v>
      </c>
      <c r="L50" s="3"/>
      <c r="M50" s="8">
        <f>(G50/E50)-1</f>
        <v>-0.2943185582138026</v>
      </c>
      <c r="N50" s="9"/>
      <c r="O50" s="9">
        <f>(I50/G50)-1</f>
        <v>0.9319715439052227</v>
      </c>
      <c r="P50" s="9"/>
      <c r="Q50" s="9">
        <f>(K50/I50)-1</f>
        <v>0.11386741112423504</v>
      </c>
      <c r="S50" s="9">
        <f>(I50/E50)-1</f>
        <v>0.36335646459294346</v>
      </c>
      <c r="T50" s="9"/>
      <c r="U50" s="9">
        <f>(K50/E50)-1</f>
        <v>0.5185983356556316</v>
      </c>
      <c r="W50" s="9">
        <f>(K50/G50)-1</f>
        <v>1.151960141975402</v>
      </c>
    </row>
    <row r="51" spans="3:23" ht="12.75">
      <c r="C51" t="s">
        <v>43</v>
      </c>
      <c r="E51" s="9">
        <f>E48+E50</f>
        <v>0.26860293433389093</v>
      </c>
      <c r="F51" s="9"/>
      <c r="G51" s="9">
        <f>G48+G50</f>
        <v>0.20685403719171505</v>
      </c>
      <c r="H51" s="9"/>
      <c r="I51" s="9">
        <f>I48+I50</f>
        <v>0.34483618681467904</v>
      </c>
      <c r="J51" s="9"/>
      <c r="K51" s="9">
        <f>K48+K50</f>
        <v>0.3774063868951146</v>
      </c>
      <c r="L51" s="3"/>
      <c r="M51" s="8">
        <f>(G51/E51)-1</f>
        <v>-0.22988913838676828</v>
      </c>
      <c r="N51" s="9"/>
      <c r="O51" s="9">
        <f>(I51/G51)-1</f>
        <v>0.6670507933818102</v>
      </c>
      <c r="P51" s="9"/>
      <c r="Q51" s="9">
        <f>(K51/I51)-1</f>
        <v>0.0944512244532485</v>
      </c>
      <c r="S51" s="9">
        <f>(I51/E51)-1</f>
        <v>0.2838139228442873</v>
      </c>
      <c r="T51" s="9"/>
      <c r="U51" s="9">
        <f>(K51/E51)-1</f>
        <v>0.40507171982705836</v>
      </c>
      <c r="W51" s="9">
        <f>(K51/G51)-1</f>
        <v>0.8245057820424813</v>
      </c>
    </row>
    <row r="52" spans="5:21" ht="12.75">
      <c r="E52" s="9"/>
      <c r="F52" s="9"/>
      <c r="G52" s="9"/>
      <c r="H52" s="9"/>
      <c r="I52" s="9"/>
      <c r="J52" s="9"/>
      <c r="K52" s="9"/>
      <c r="L52" s="3"/>
      <c r="M52" s="9"/>
      <c r="N52" s="9"/>
      <c r="O52" s="9"/>
      <c r="P52" s="9"/>
      <c r="Q52" s="9"/>
      <c r="R52" s="9"/>
      <c r="S52" s="9"/>
      <c r="U52" s="9"/>
    </row>
    <row r="53" spans="3:23" ht="12.75">
      <c r="C53" t="s">
        <v>44</v>
      </c>
      <c r="E53" s="7">
        <f>E19*E51</f>
        <v>5416019.721194012</v>
      </c>
      <c r="F53" s="7"/>
      <c r="G53" s="7">
        <f>G19*G51</f>
        <v>3675106.8314732616</v>
      </c>
      <c r="H53" s="7"/>
      <c r="I53" s="7">
        <f>I19*I51</f>
        <v>6739218.416073328</v>
      </c>
      <c r="J53" s="7"/>
      <c r="K53" s="7">
        <f>K19*K51</f>
        <v>7933934.730496157</v>
      </c>
      <c r="L53" s="3"/>
      <c r="M53" s="8">
        <f>(G53/E53)-1</f>
        <v>-0.32143769397814337</v>
      </c>
      <c r="N53" s="9"/>
      <c r="O53" s="9">
        <f>(I53/G53)-1</f>
        <v>0.8337476228879415</v>
      </c>
      <c r="P53" s="9"/>
      <c r="Q53" s="9">
        <f>(K53/I53)-1</f>
        <v>0.1772781709483371</v>
      </c>
      <c r="S53" s="9">
        <f>(I53/E53)-1</f>
        <v>0.24431201564893934</v>
      </c>
      <c r="T53" s="9"/>
      <c r="U53" s="9">
        <f>(K53/E53)-1</f>
        <v>0.4649013738722221</v>
      </c>
      <c r="W53" s="9">
        <f>(K53/G53)-1</f>
        <v>1.1588310474543766</v>
      </c>
    </row>
    <row r="54" spans="3:23" ht="13.5" thickBot="1">
      <c r="C54" t="s">
        <v>45</v>
      </c>
      <c r="E54" s="7">
        <f>E53*0.0125</f>
        <v>67700.24651492515</v>
      </c>
      <c r="F54" s="7"/>
      <c r="G54" s="7">
        <f>G53*0.0125</f>
        <v>45938.83539341577</v>
      </c>
      <c r="H54" s="7"/>
      <c r="I54" s="7">
        <f>I53*0.0125</f>
        <v>84240.2302009166</v>
      </c>
      <c r="J54" s="7"/>
      <c r="K54" s="7">
        <f>K53*0.0225</f>
        <v>178513.53143616352</v>
      </c>
      <c r="L54" s="3"/>
      <c r="M54" s="8">
        <f>(G54/E54)-1</f>
        <v>-0.32143769397814337</v>
      </c>
      <c r="N54" s="9"/>
      <c r="O54" s="9">
        <f>(I54/G54)-1</f>
        <v>0.8337476228879415</v>
      </c>
      <c r="P54" s="9"/>
      <c r="Q54" s="9">
        <f>(K54/I54)-1</f>
        <v>1.1191007077070068</v>
      </c>
      <c r="S54" s="9">
        <f>(I54/E54)-1</f>
        <v>0.24431201564893934</v>
      </c>
      <c r="T54" s="9"/>
      <c r="U54" s="9">
        <f>(K54/E54)-1</f>
        <v>1.6368224729699996</v>
      </c>
      <c r="W54" s="9">
        <f>(K54/G54)-1</f>
        <v>2.885895885417878</v>
      </c>
    </row>
    <row r="55" spans="3:23" ht="13.5" thickBot="1">
      <c r="C55" s="12" t="s">
        <v>46</v>
      </c>
      <c r="D55" s="13"/>
      <c r="E55" s="14">
        <f>E53-E54</f>
        <v>5348319.474679087</v>
      </c>
      <c r="F55" s="16"/>
      <c r="G55" s="14">
        <f>G53-G54</f>
        <v>3629167.996079846</v>
      </c>
      <c r="H55" s="16"/>
      <c r="I55" s="14">
        <f>I53-I54</f>
        <v>6654978.185872411</v>
      </c>
      <c r="J55" s="16"/>
      <c r="K55" s="14">
        <f>K53-K54</f>
        <v>7755421.199059993</v>
      </c>
      <c r="L55" s="3"/>
      <c r="M55" s="15">
        <f>(G55/E55)-1</f>
        <v>-0.3214376939781435</v>
      </c>
      <c r="N55" s="16"/>
      <c r="O55" s="16">
        <f>(I55/G55)-1</f>
        <v>0.8337476228879415</v>
      </c>
      <c r="P55" s="16"/>
      <c r="Q55" s="16">
        <f>(K55/I55)-1</f>
        <v>0.16535636668556908</v>
      </c>
      <c r="R55" s="13"/>
      <c r="S55" s="16">
        <f>(I55/E55)-1</f>
        <v>0.24431201564893934</v>
      </c>
      <c r="T55" s="16"/>
      <c r="U55" s="16">
        <f>(K55/E55)-1</f>
        <v>0.45006692957984495</v>
      </c>
      <c r="V55" s="13"/>
      <c r="W55" s="17">
        <f>(K55/G55)-1</f>
        <v>1.1369694672269905</v>
      </c>
    </row>
    <row r="56" spans="5:21" ht="12.75">
      <c r="E56" s="7"/>
      <c r="F56" s="7"/>
      <c r="G56" s="7"/>
      <c r="H56" s="7"/>
      <c r="I56" s="7"/>
      <c r="J56" s="7"/>
      <c r="K56" s="7"/>
      <c r="L56" s="3"/>
      <c r="M56" s="9"/>
      <c r="N56" s="9"/>
      <c r="O56" s="9"/>
      <c r="P56" s="9"/>
      <c r="Q56" s="9"/>
      <c r="R56" s="9"/>
      <c r="S56" s="9"/>
      <c r="U56" s="9"/>
    </row>
    <row r="57" spans="2:21" ht="12.75">
      <c r="B57" t="s">
        <v>47</v>
      </c>
      <c r="E57" s="7"/>
      <c r="F57" s="7"/>
      <c r="G57" s="7"/>
      <c r="H57" s="7"/>
      <c r="I57" s="7"/>
      <c r="J57" s="7"/>
      <c r="K57" s="7"/>
      <c r="L57" s="3"/>
      <c r="M57" s="9"/>
      <c r="N57" s="9"/>
      <c r="O57" s="9"/>
      <c r="P57" s="9"/>
      <c r="Q57" s="9"/>
      <c r="R57" s="9"/>
      <c r="S57" s="9"/>
      <c r="U57" s="9"/>
    </row>
    <row r="58" spans="3:23" ht="13.5" thickBot="1">
      <c r="C58" t="s">
        <v>48</v>
      </c>
      <c r="E58" s="20">
        <f>2.7183^(0.2025*E44)-1</f>
        <v>0.09680641883893903</v>
      </c>
      <c r="F58" s="20"/>
      <c r="G58" s="20">
        <f>2.7183^(0.2025*G44)-1</f>
        <v>0.0803078564461126</v>
      </c>
      <c r="H58" s="20"/>
      <c r="I58" s="20">
        <f>2.7183^(0.2025*I44)-1</f>
        <v>0.11752299559207069</v>
      </c>
      <c r="J58" s="20"/>
      <c r="K58" s="20">
        <f>2.7183^(0.2025*K44)-1</f>
        <v>0.12649290443925088</v>
      </c>
      <c r="L58" s="3"/>
      <c r="M58" s="8">
        <f>(G58/E58)-1</f>
        <v>-0.17042839297955847</v>
      </c>
      <c r="N58" s="9"/>
      <c r="O58" s="9">
        <f>(I58/G58)-1</f>
        <v>0.46340595793301786</v>
      </c>
      <c r="P58" s="9"/>
      <c r="Q58" s="9">
        <f>(K58/I58)-1</f>
        <v>0.0763247124700197</v>
      </c>
      <c r="S58" s="9">
        <f>(I58/E58)-1</f>
        <v>0.21400003224578223</v>
      </c>
      <c r="T58" s="9"/>
      <c r="U58" s="9">
        <f>(K58/E58)-1</f>
        <v>0.3066582356455363</v>
      </c>
      <c r="W58" s="9">
        <f>(K58/G58)-1</f>
        <v>0.575099996899169</v>
      </c>
    </row>
    <row r="59" spans="3:23" ht="13.5" thickBot="1">
      <c r="C59" s="12" t="s">
        <v>49</v>
      </c>
      <c r="D59" s="13"/>
      <c r="E59" s="14">
        <f>E58*E36</f>
        <v>130264.26609237779</v>
      </c>
      <c r="F59" s="14"/>
      <c r="G59" s="14">
        <f>G58*G36</f>
        <v>95217.25091890275</v>
      </c>
      <c r="H59" s="14"/>
      <c r="I59" s="14">
        <f>I58*I36</f>
        <v>125630.43696598528</v>
      </c>
      <c r="J59" s="14"/>
      <c r="K59" s="14">
        <f>K58*K36</f>
        <v>166196.49728464294</v>
      </c>
      <c r="L59" s="3"/>
      <c r="M59" s="15">
        <f>(G59/E59)-1</f>
        <v>-0.26904550437969854</v>
      </c>
      <c r="N59" s="16"/>
      <c r="O59" s="16">
        <f>(I59/G59)-1</f>
        <v>0.31940836091755753</v>
      </c>
      <c r="P59" s="16"/>
      <c r="Q59" s="16">
        <f>(K59/I59)-1</f>
        <v>0.32289993809096607</v>
      </c>
      <c r="R59" s="13"/>
      <c r="S59" s="16">
        <f>(I59/E59)-1</f>
        <v>-0.03557252702829794</v>
      </c>
      <c r="T59" s="16"/>
      <c r="U59" s="16">
        <f>(K59/E59)-1</f>
        <v>0.27584104428749145</v>
      </c>
      <c r="V59" s="13"/>
      <c r="W59" s="17">
        <f>(K59/G59)-1</f>
        <v>0.7454452389745401</v>
      </c>
    </row>
    <row r="60" spans="5:21" ht="12.75">
      <c r="E60" s="7"/>
      <c r="F60" s="7"/>
      <c r="G60" s="7"/>
      <c r="H60" s="7"/>
      <c r="I60" s="7"/>
      <c r="J60" s="7"/>
      <c r="K60" s="7"/>
      <c r="L60" s="3"/>
      <c r="M60" s="9"/>
      <c r="N60" s="9"/>
      <c r="O60" s="9"/>
      <c r="P60" s="9"/>
      <c r="Q60" s="9"/>
      <c r="R60" s="9"/>
      <c r="S60" s="9"/>
      <c r="U60" s="9"/>
    </row>
    <row r="61" spans="2:21" ht="12.75">
      <c r="B61" t="s">
        <v>50</v>
      </c>
      <c r="E61" s="7"/>
      <c r="F61" s="7"/>
      <c r="G61" s="7"/>
      <c r="H61" s="7"/>
      <c r="I61" s="7"/>
      <c r="J61" s="7"/>
      <c r="K61" s="7"/>
      <c r="L61" s="3"/>
      <c r="M61" s="9"/>
      <c r="N61" s="9"/>
      <c r="O61" s="9"/>
      <c r="P61" s="9"/>
      <c r="Q61" s="9"/>
      <c r="R61" s="9"/>
      <c r="S61" s="9"/>
      <c r="U61" s="9"/>
    </row>
    <row r="62" spans="3:23" ht="12.75">
      <c r="C62" t="s">
        <v>51</v>
      </c>
      <c r="E62" s="7">
        <f>69254*1.03</f>
        <v>71331.62</v>
      </c>
      <c r="F62" s="7"/>
      <c r="G62" s="7">
        <f>71332*1.03</f>
        <v>73471.96</v>
      </c>
      <c r="H62" s="7"/>
      <c r="I62" s="7">
        <f>73472*1.03</f>
        <v>75676.16</v>
      </c>
      <c r="J62" s="7"/>
      <c r="K62" s="7">
        <f>75676*1.03</f>
        <v>77946.28</v>
      </c>
      <c r="L62" s="3"/>
      <c r="M62" s="8">
        <f>(G62/E62)-1</f>
        <v>0.030005487047679802</v>
      </c>
      <c r="N62" s="9"/>
      <c r="O62" s="9">
        <f>(I62/G62)-1</f>
        <v>0.030000560758145056</v>
      </c>
      <c r="P62" s="9"/>
      <c r="Q62" s="9">
        <f>(K62/I62)-1</f>
        <v>0.029997822299651533</v>
      </c>
      <c r="S62" s="9">
        <f>(I62/E62)-1</f>
        <v>0.060906229243076426</v>
      </c>
      <c r="T62" s="9"/>
      <c r="U62" s="9">
        <f>(K62/E62)-1</f>
        <v>0.0927311057845035</v>
      </c>
      <c r="W62" s="9">
        <f>(K62/G62)-1</f>
        <v>0.060898334548309174</v>
      </c>
    </row>
    <row r="63" spans="3:23" ht="12.75">
      <c r="C63" t="s">
        <v>52</v>
      </c>
      <c r="E63" s="7">
        <f>E32*E62</f>
        <v>14859803.078399999</v>
      </c>
      <c r="F63" s="7"/>
      <c r="G63" s="7">
        <f>G32*G62</f>
        <v>15092610.0232</v>
      </c>
      <c r="H63" s="7"/>
      <c r="I63" s="7">
        <f>I32*I62</f>
        <v>15545396.7872</v>
      </c>
      <c r="J63" s="7"/>
      <c r="K63" s="7">
        <f>K32*K62</f>
        <v>16011724.837599998</v>
      </c>
      <c r="L63" s="3"/>
      <c r="M63" s="8">
        <f>(G63/E63)-1</f>
        <v>0.01566689299795665</v>
      </c>
      <c r="N63" s="9"/>
      <c r="O63" s="9">
        <f>(I63/G63)-1</f>
        <v>0.030000560758145056</v>
      </c>
      <c r="P63" s="9"/>
      <c r="Q63" s="9">
        <f>(K63/I63)-1</f>
        <v>0.029997822299651533</v>
      </c>
      <c r="S63" s="9">
        <f>(I63/E63)-1</f>
        <v>0.0461374693313783</v>
      </c>
      <c r="T63" s="9"/>
      <c r="U63" s="9">
        <f>(K63/E63)-1</f>
        <v>0.07751931523738809</v>
      </c>
      <c r="W63" s="9">
        <f>(K63/G63)-1</f>
        <v>0.060898334548309174</v>
      </c>
    </row>
    <row r="64" spans="5:21" ht="12.75">
      <c r="E64" s="7"/>
      <c r="F64" s="7"/>
      <c r="G64" s="7"/>
      <c r="H64" s="7"/>
      <c r="I64" s="7"/>
      <c r="J64" s="7"/>
      <c r="K64" s="7"/>
      <c r="L64" s="3"/>
      <c r="M64" s="9"/>
      <c r="N64" s="9"/>
      <c r="O64" s="9"/>
      <c r="P64" s="9"/>
      <c r="Q64" s="9"/>
      <c r="R64" s="9"/>
      <c r="S64" s="9"/>
      <c r="U64" s="9"/>
    </row>
    <row r="65" spans="3:23" ht="12.75">
      <c r="C65" t="s">
        <v>53</v>
      </c>
      <c r="E65" s="10">
        <v>18457</v>
      </c>
      <c r="F65" s="10"/>
      <c r="G65" s="10">
        <v>19485</v>
      </c>
      <c r="H65" s="10"/>
      <c r="I65" s="10">
        <v>20745</v>
      </c>
      <c r="J65" s="10"/>
      <c r="K65" s="10">
        <v>21723</v>
      </c>
      <c r="L65" s="3"/>
      <c r="M65" s="8">
        <f>(G65/E65)-1</f>
        <v>0.055697025518773424</v>
      </c>
      <c r="N65" s="9"/>
      <c r="O65" s="9">
        <f>(I65/G65)-1</f>
        <v>0.0646651270207852</v>
      </c>
      <c r="P65" s="9"/>
      <c r="Q65" s="9">
        <f>(K65/I65)-1</f>
        <v>0.047143890093998664</v>
      </c>
      <c r="S65" s="9">
        <f>(I65/E65)-1</f>
        <v>0.12396380776941007</v>
      </c>
      <c r="T65" s="9"/>
      <c r="U65" s="9">
        <f>(K65/E65)-1</f>
        <v>0.17695183399252312</v>
      </c>
      <c r="W65" s="9">
        <f>(K65/G65)-1</f>
        <v>0.11485758275596614</v>
      </c>
    </row>
    <row r="66" spans="3:23" ht="12.75">
      <c r="C66" t="s">
        <v>54</v>
      </c>
      <c r="E66" s="10">
        <f>'[2]Volume Summary'!F100</f>
        <v>107075</v>
      </c>
      <c r="F66" s="10"/>
      <c r="G66" s="10">
        <f>'[2]Volume Summary'!H100</f>
        <v>92192</v>
      </c>
      <c r="H66" s="10"/>
      <c r="I66" s="10">
        <f>'[2]Volume Summary'!J100</f>
        <v>97238</v>
      </c>
      <c r="J66" s="10"/>
      <c r="K66" s="10">
        <f>'[2]Volume Summary'!L100</f>
        <v>104740</v>
      </c>
      <c r="L66" s="3"/>
      <c r="M66" s="8">
        <f>(G66/E66)-1</f>
        <v>-0.13899603081951906</v>
      </c>
      <c r="N66" s="9"/>
      <c r="O66" s="9">
        <f>(I66/G66)-1</f>
        <v>0.05473359944463718</v>
      </c>
      <c r="P66" s="9"/>
      <c r="Q66" s="9">
        <f>(K66/I66)-1</f>
        <v>0.07715090808120273</v>
      </c>
      <c r="S66" s="9">
        <f>(I66/E66)-1</f>
        <v>-0.09187018445015172</v>
      </c>
      <c r="T66" s="9"/>
      <c r="U66" s="9">
        <f>(K66/E66)-1</f>
        <v>-0.021807144524865762</v>
      </c>
      <c r="W66" s="9">
        <f>(K66/G66)-1</f>
        <v>0.1361072544255466</v>
      </c>
    </row>
    <row r="67" spans="3:23" ht="12.75">
      <c r="C67" t="s">
        <v>55</v>
      </c>
      <c r="E67" s="9">
        <f>E65/E66</f>
        <v>0.17237450385243988</v>
      </c>
      <c r="F67" s="9"/>
      <c r="G67" s="9">
        <f>G65/G66</f>
        <v>0.2113523950017355</v>
      </c>
      <c r="H67" s="9"/>
      <c r="I67" s="9">
        <f>I65/I66</f>
        <v>0.21334252041382998</v>
      </c>
      <c r="J67" s="9"/>
      <c r="K67" s="9">
        <f>K65/K66</f>
        <v>0.20739927439373687</v>
      </c>
      <c r="L67" s="3"/>
      <c r="M67" s="8">
        <f>(G67/E67)-1</f>
        <v>0.22612329711279333</v>
      </c>
      <c r="N67" s="9"/>
      <c r="O67" s="9">
        <f>(I67/G67)-1</f>
        <v>0.009416147908227535</v>
      </c>
      <c r="P67" s="9"/>
      <c r="Q67" s="9">
        <f>(K67/I67)-1</f>
        <v>-0.027857766040097043</v>
      </c>
      <c r="S67" s="9">
        <f>(I67/E67)-1</f>
        <v>0.23766865543213123</v>
      </c>
      <c r="T67" s="9"/>
      <c r="U67" s="9">
        <f>(K67/E67)-1</f>
        <v>0.20318997159394137</v>
      </c>
      <c r="W67" s="9">
        <f>(K67/G67)-1</f>
        <v>-0.018703930977295835</v>
      </c>
    </row>
    <row r="68" spans="5:21" ht="12.75">
      <c r="E68" s="7"/>
      <c r="F68" s="7"/>
      <c r="G68" s="7"/>
      <c r="H68" s="7"/>
      <c r="I68" s="7"/>
      <c r="J68" s="7"/>
      <c r="K68" s="7"/>
      <c r="L68" s="3"/>
      <c r="M68" s="9"/>
      <c r="N68" s="9"/>
      <c r="O68" s="9"/>
      <c r="P68" s="9"/>
      <c r="Q68" s="9"/>
      <c r="R68" s="9"/>
      <c r="S68" s="9"/>
      <c r="U68" s="9"/>
    </row>
    <row r="69" spans="3:23" ht="12.75">
      <c r="C69" s="18" t="s">
        <v>56</v>
      </c>
      <c r="D69" s="18"/>
      <c r="E69" s="19">
        <f>E62*E32*E24*E25</f>
        <v>0</v>
      </c>
      <c r="F69" s="19"/>
      <c r="G69" s="19">
        <f>G62*G32*G24*G25</f>
        <v>0</v>
      </c>
      <c r="H69" s="19"/>
      <c r="I69" s="19">
        <f>I62*I32*I24*I25</f>
        <v>306866.13257932797</v>
      </c>
      <c r="J69" s="19"/>
      <c r="K69" s="19">
        <f>K62*K32*K24*K25</f>
        <v>491880.18701107195</v>
      </c>
      <c r="L69" s="3"/>
      <c r="M69" s="8">
        <v>0</v>
      </c>
      <c r="N69" s="9"/>
      <c r="O69" s="9">
        <v>0</v>
      </c>
      <c r="P69" s="9"/>
      <c r="Q69" s="9">
        <f>(K69/I69)-1</f>
        <v>0.6029145441259016</v>
      </c>
      <c r="S69" s="9">
        <v>0</v>
      </c>
      <c r="T69" s="9"/>
      <c r="U69" s="9">
        <v>0</v>
      </c>
      <c r="W69" s="9">
        <v>0</v>
      </c>
    </row>
    <row r="70" spans="5:21" ht="12.75">
      <c r="E70" s="7"/>
      <c r="F70" s="7"/>
      <c r="G70" s="7"/>
      <c r="H70" s="7"/>
      <c r="I70" s="7"/>
      <c r="J70" s="7"/>
      <c r="K70" s="7"/>
      <c r="L70" s="3"/>
      <c r="M70" s="9"/>
      <c r="N70" s="9"/>
      <c r="O70" s="9"/>
      <c r="P70" s="9"/>
      <c r="Q70" s="9"/>
      <c r="R70" s="9"/>
      <c r="S70" s="9"/>
      <c r="U70" s="9"/>
    </row>
    <row r="71" spans="3:23" ht="12.75">
      <c r="C71" t="s">
        <v>57</v>
      </c>
      <c r="E71" s="7">
        <f>(E63*E67)+E69</f>
        <v>2561451.182984159</v>
      </c>
      <c r="F71" s="7"/>
      <c r="G71" s="7">
        <f>(G63*G67)+G69</f>
        <v>3189859.2752305185</v>
      </c>
      <c r="H71" s="7"/>
      <c r="I71" s="7">
        <f>(I63*I67)+I69</f>
        <v>3623360.263993631</v>
      </c>
      <c r="J71" s="7"/>
      <c r="K71" s="7">
        <f>(K63*K67)+K69</f>
        <v>3812700.3001214857</v>
      </c>
      <c r="L71" s="3"/>
      <c r="M71" s="8">
        <f>(G71/E71)-1</f>
        <v>0.2453328396109613</v>
      </c>
      <c r="N71" s="9"/>
      <c r="O71" s="9">
        <f>(I71/G71)-1</f>
        <v>0.13589972201259104</v>
      </c>
      <c r="P71" s="9"/>
      <c r="Q71" s="9">
        <f>(K71/I71)-1</f>
        <v>0.05225537134945735</v>
      </c>
      <c r="S71" s="9">
        <f>(I71/E71)-1</f>
        <v>0.4145732263272415</v>
      </c>
      <c r="T71" s="9"/>
      <c r="U71" s="9">
        <f>(K71/E71)-1</f>
        <v>0.48849227556997143</v>
      </c>
      <c r="W71" s="9">
        <f>(K71/G71)-1</f>
        <v>0.1952565838021043</v>
      </c>
    </row>
    <row r="72" spans="3:23" ht="13.5" thickBot="1">
      <c r="C72" t="s">
        <v>58</v>
      </c>
      <c r="E72" s="9">
        <v>0.85</v>
      </c>
      <c r="F72" s="9"/>
      <c r="G72" s="9">
        <v>0.85</v>
      </c>
      <c r="H72" s="9"/>
      <c r="I72" s="9">
        <v>0.85</v>
      </c>
      <c r="J72" s="9"/>
      <c r="K72" s="9">
        <v>0.85</v>
      </c>
      <c r="L72" s="3"/>
      <c r="M72" s="8">
        <f>(G72/E72)-1</f>
        <v>0</v>
      </c>
      <c r="N72" s="9"/>
      <c r="O72" s="9">
        <f>(I72/G72)-1</f>
        <v>0</v>
      </c>
      <c r="P72" s="9"/>
      <c r="Q72" s="9">
        <f>(K72/I72)-1</f>
        <v>0</v>
      </c>
      <c r="S72" s="9">
        <f>(I72/E72)-1</f>
        <v>0</v>
      </c>
      <c r="T72" s="9"/>
      <c r="U72" s="9">
        <f>(K72/E72)-1</f>
        <v>0</v>
      </c>
      <c r="W72" s="9">
        <f>(K72/G72)-1</f>
        <v>0</v>
      </c>
    </row>
    <row r="73" spans="3:23" ht="13.5" thickBot="1">
      <c r="C73" s="12" t="s">
        <v>59</v>
      </c>
      <c r="D73" s="13"/>
      <c r="E73" s="14">
        <f>E71*E72</f>
        <v>2177233.505536535</v>
      </c>
      <c r="F73" s="14"/>
      <c r="G73" s="14">
        <f>G71*G72</f>
        <v>2711380.3839459405</v>
      </c>
      <c r="H73" s="14"/>
      <c r="I73" s="14">
        <f>I71*I72</f>
        <v>3079856.2243945864</v>
      </c>
      <c r="J73" s="14"/>
      <c r="K73" s="14">
        <f>K71*K72</f>
        <v>3240795.2551032626</v>
      </c>
      <c r="L73" s="3"/>
      <c r="M73" s="15">
        <f>(G73/E73)-1</f>
        <v>0.2453328396109613</v>
      </c>
      <c r="N73" s="16"/>
      <c r="O73" s="16">
        <f>(I73/G73)-1</f>
        <v>0.13589972201259104</v>
      </c>
      <c r="P73" s="16"/>
      <c r="Q73" s="16">
        <f>(K73/I73)-1</f>
        <v>0.052255371349457125</v>
      </c>
      <c r="R73" s="13"/>
      <c r="S73" s="16">
        <f>(I73/E73)-1</f>
        <v>0.4145732263272417</v>
      </c>
      <c r="T73" s="16"/>
      <c r="U73" s="16">
        <f>(K73/E73)-1</f>
        <v>0.48849227556997143</v>
      </c>
      <c r="V73" s="13"/>
      <c r="W73" s="17">
        <f>(K73/G73)-1</f>
        <v>0.1952565838021043</v>
      </c>
    </row>
    <row r="74" spans="5:21" ht="13.5" thickBot="1">
      <c r="E74" s="7"/>
      <c r="F74" s="7"/>
      <c r="G74" s="7"/>
      <c r="H74" s="7"/>
      <c r="I74" s="7"/>
      <c r="J74" s="7"/>
      <c r="K74" s="7"/>
      <c r="L74" s="3"/>
      <c r="M74" s="9"/>
      <c r="N74" s="9"/>
      <c r="O74" s="9"/>
      <c r="P74" s="9"/>
      <c r="Q74" s="9"/>
      <c r="R74" s="9"/>
      <c r="S74" s="9"/>
      <c r="U74" s="9"/>
    </row>
    <row r="75" spans="2:23" ht="13.5" thickBot="1">
      <c r="B75" t="s">
        <v>60</v>
      </c>
      <c r="C75" s="12"/>
      <c r="D75" s="13"/>
      <c r="E75" s="14">
        <v>315000</v>
      </c>
      <c r="F75" s="14"/>
      <c r="G75" s="14">
        <v>315000</v>
      </c>
      <c r="H75" s="14"/>
      <c r="I75" s="14">
        <v>315000</v>
      </c>
      <c r="J75" s="14"/>
      <c r="K75" s="14">
        <v>315000</v>
      </c>
      <c r="L75" s="3"/>
      <c r="M75" s="15">
        <f>(G75/E75)-1</f>
        <v>0</v>
      </c>
      <c r="N75" s="16"/>
      <c r="O75" s="16">
        <f>(I75/G75)-1</f>
        <v>0</v>
      </c>
      <c r="P75" s="16"/>
      <c r="Q75" s="16">
        <f>(K75/I75)-1</f>
        <v>0</v>
      </c>
      <c r="R75" s="13"/>
      <c r="S75" s="16">
        <f>(I75/E75)-1</f>
        <v>0</v>
      </c>
      <c r="T75" s="16"/>
      <c r="U75" s="16">
        <f>(K75/E75)-1</f>
        <v>0</v>
      </c>
      <c r="V75" s="13"/>
      <c r="W75" s="17">
        <f>(K75/G75)-1</f>
        <v>0</v>
      </c>
    </row>
    <row r="76" spans="5:21" ht="13.5" thickBot="1">
      <c r="E76" s="7"/>
      <c r="F76" s="7"/>
      <c r="G76" s="7"/>
      <c r="H76" s="7"/>
      <c r="I76" s="7"/>
      <c r="J76" s="7"/>
      <c r="K76" s="7"/>
      <c r="L76" s="3"/>
      <c r="M76" s="9"/>
      <c r="N76" s="9"/>
      <c r="O76" s="9"/>
      <c r="P76" s="9"/>
      <c r="Q76" s="9"/>
      <c r="R76" s="9"/>
      <c r="S76" s="9"/>
      <c r="U76" s="9"/>
    </row>
    <row r="77" spans="2:23" ht="13.5" thickBot="1">
      <c r="B77" s="18" t="s">
        <v>61</v>
      </c>
      <c r="C77" s="12"/>
      <c r="D77" s="13"/>
      <c r="E77" s="14">
        <f>E11*0.921*-0.001</f>
        <v>-19671.100738864796</v>
      </c>
      <c r="F77" s="14"/>
      <c r="G77" s="14">
        <f>G11*0.921*-0.001</f>
        <v>-17332.6570818528</v>
      </c>
      <c r="H77" s="14"/>
      <c r="I77" s="14">
        <f>I11*0.9315*-0.001</f>
        <v>-19009.456030026</v>
      </c>
      <c r="J77" s="14"/>
      <c r="K77" s="14">
        <f>K11*0.9315*-0.001</f>
        <v>-20448.072171449996</v>
      </c>
      <c r="L77" s="3"/>
      <c r="M77" s="15">
        <f>(G77/E77)-1</f>
        <v>-0.11887711257519307</v>
      </c>
      <c r="N77" s="16"/>
      <c r="O77" s="16">
        <f>(I77/G77)-1</f>
        <v>0.09674217520456208</v>
      </c>
      <c r="P77" s="16"/>
      <c r="Q77" s="16">
        <f>(K77/I77)-1</f>
        <v>0.07567897467195595</v>
      </c>
      <c r="R77" s="13"/>
      <c r="S77" s="16">
        <f>(I77/E77)-1</f>
        <v>-0.033635367823192874</v>
      </c>
      <c r="T77" s="16"/>
      <c r="U77" s="16">
        <f>(K77/E77)-1</f>
        <v>0.03949811669918968</v>
      </c>
      <c r="V77" s="13"/>
      <c r="W77" s="17">
        <f>(K77/G77)-1</f>
        <v>0.17974249850353385</v>
      </c>
    </row>
    <row r="78" spans="5:21" ht="12.75">
      <c r="E78" s="7"/>
      <c r="F78" s="7"/>
      <c r="G78" s="7"/>
      <c r="H78" s="7"/>
      <c r="I78" s="7"/>
      <c r="J78" s="7"/>
      <c r="K78" s="7"/>
      <c r="L78" s="3"/>
      <c r="M78" s="9"/>
      <c r="N78" s="9"/>
      <c r="O78" s="9"/>
      <c r="P78" s="9"/>
      <c r="Q78" s="9"/>
      <c r="R78" s="9"/>
      <c r="S78" s="9"/>
      <c r="U78" s="9"/>
    </row>
    <row r="79" spans="2:21" ht="12.75">
      <c r="B79" t="s">
        <v>62</v>
      </c>
      <c r="L79" s="3"/>
      <c r="M79" s="9"/>
      <c r="N79" s="9"/>
      <c r="O79" s="9"/>
      <c r="P79" s="9"/>
      <c r="Q79" s="9"/>
      <c r="R79" s="9"/>
      <c r="S79" s="9"/>
      <c r="U79" s="9"/>
    </row>
    <row r="80" spans="3:23" ht="12.75">
      <c r="C80" t="s">
        <v>63</v>
      </c>
      <c r="E80" s="9">
        <v>0.75</v>
      </c>
      <c r="F80" s="9"/>
      <c r="G80" s="9">
        <v>0.75</v>
      </c>
      <c r="H80" s="9"/>
      <c r="I80" s="9">
        <v>0.75</v>
      </c>
      <c r="J80" s="9"/>
      <c r="K80" s="9">
        <v>0.6</v>
      </c>
      <c r="L80" s="3"/>
      <c r="M80" s="8">
        <f>(G80/E80)-1</f>
        <v>0</v>
      </c>
      <c r="N80" s="9"/>
      <c r="O80" s="9">
        <f>(I80/G80)-1</f>
        <v>0</v>
      </c>
      <c r="P80" s="9"/>
      <c r="Q80" s="9">
        <f>(K80/I80)-1</f>
        <v>-0.20000000000000007</v>
      </c>
      <c r="S80" s="9">
        <f>(I80/E80)-1</f>
        <v>0</v>
      </c>
      <c r="T80" s="9"/>
      <c r="U80" s="9">
        <f>(K80/E80)-1</f>
        <v>-0.20000000000000007</v>
      </c>
      <c r="W80" s="9">
        <f>(K80/G80)-1</f>
        <v>-0.20000000000000007</v>
      </c>
    </row>
    <row r="81" spans="3:23" ht="13.5" thickBot="1">
      <c r="C81" t="s">
        <v>64</v>
      </c>
      <c r="E81" s="7">
        <v>975000</v>
      </c>
      <c r="F81" s="7"/>
      <c r="G81" s="7">
        <v>975000</v>
      </c>
      <c r="H81" s="7"/>
      <c r="I81" s="7">
        <v>975000</v>
      </c>
      <c r="J81" s="7"/>
      <c r="K81" s="7">
        <v>950000</v>
      </c>
      <c r="L81" s="3"/>
      <c r="M81" s="8">
        <f>(G81/E81)-1</f>
        <v>0</v>
      </c>
      <c r="N81" s="9"/>
      <c r="O81" s="9">
        <f>(I81/G81)-1</f>
        <v>0</v>
      </c>
      <c r="P81" s="9"/>
      <c r="Q81" s="9">
        <f>(K81/I81)-1</f>
        <v>-0.02564102564102566</v>
      </c>
      <c r="S81" s="9">
        <f>(I81/E81)-1</f>
        <v>0</v>
      </c>
      <c r="T81" s="9"/>
      <c r="U81" s="9">
        <f>(K81/E81)-1</f>
        <v>-0.02564102564102566</v>
      </c>
      <c r="W81" s="9">
        <f>(K81/G81)-1</f>
        <v>-0.02564102564102566</v>
      </c>
    </row>
    <row r="82" spans="3:23" ht="13.5" thickBot="1">
      <c r="C82" s="12" t="s">
        <v>65</v>
      </c>
      <c r="D82" s="13"/>
      <c r="E82" s="14">
        <f>E80*E81</f>
        <v>731250</v>
      </c>
      <c r="F82" s="14"/>
      <c r="G82" s="14">
        <f>G80*G81</f>
        <v>731250</v>
      </c>
      <c r="H82" s="14"/>
      <c r="I82" s="14">
        <f>I80*I81</f>
        <v>731250</v>
      </c>
      <c r="J82" s="14"/>
      <c r="K82" s="14">
        <f>K80*K81</f>
        <v>570000</v>
      </c>
      <c r="L82" s="3"/>
      <c r="M82" s="15">
        <f>(G82/E82)-1</f>
        <v>0</v>
      </c>
      <c r="N82" s="16"/>
      <c r="O82" s="16">
        <f>(I82/G82)-1</f>
        <v>0</v>
      </c>
      <c r="P82" s="16"/>
      <c r="Q82" s="16">
        <f>(K82/I82)-1</f>
        <v>-0.2205128205128205</v>
      </c>
      <c r="R82" s="13"/>
      <c r="S82" s="16">
        <f>(I82/E82)-1</f>
        <v>0</v>
      </c>
      <c r="T82" s="16"/>
      <c r="U82" s="16">
        <f>(K82/E82)-1</f>
        <v>-0.2205128205128205</v>
      </c>
      <c r="V82" s="13"/>
      <c r="W82" s="17">
        <f>(K82/G82)-1</f>
        <v>-0.2205128205128205</v>
      </c>
    </row>
    <row r="83" spans="5:21" ht="13.5" thickBot="1">
      <c r="E83" s="7"/>
      <c r="F83" s="7"/>
      <c r="G83" s="7"/>
      <c r="H83" s="7"/>
      <c r="I83" s="7"/>
      <c r="J83" s="7"/>
      <c r="K83" s="7"/>
      <c r="L83" s="3"/>
      <c r="M83" s="9"/>
      <c r="N83" s="9"/>
      <c r="O83" s="9"/>
      <c r="P83" s="9"/>
      <c r="Q83" s="9"/>
      <c r="R83" s="9"/>
      <c r="S83" s="9"/>
      <c r="U83" s="9"/>
    </row>
    <row r="84" spans="2:23" ht="13.5" thickBot="1">
      <c r="B84" s="21" t="s">
        <v>66</v>
      </c>
      <c r="C84" s="22"/>
      <c r="D84" s="22"/>
      <c r="E84" s="23">
        <f>SUM(E11,E16,E21,E26,E37,E55,E59,E73,E75,E77,E82)</f>
        <v>38133599.32443613</v>
      </c>
      <c r="F84" s="22"/>
      <c r="G84" s="23">
        <f>SUM(G11,G16,G21,G26,G37,G55,G59,G73,G75,G77,G82)</f>
        <v>33477904.628383104</v>
      </c>
      <c r="H84" s="22"/>
      <c r="I84" s="23">
        <f>SUM(I11,I16,I21,I26,I37,I55,I59,I73,I75,I77,I82)</f>
        <v>39157387.762072064</v>
      </c>
      <c r="J84" s="22"/>
      <c r="K84" s="23">
        <f>SUM(K11,K16,K21,K26,K37,K55,K59,K73,K75,K77,K82)</f>
        <v>41982331.6737984</v>
      </c>
      <c r="L84" s="3"/>
      <c r="M84" s="24">
        <f>(G84/E84)-1</f>
        <v>-0.12208904426888545</v>
      </c>
      <c r="N84" s="25"/>
      <c r="O84" s="25">
        <f>(I84/G84)-1</f>
        <v>0.16964870402533516</v>
      </c>
      <c r="P84" s="25"/>
      <c r="Q84" s="25">
        <f>(K84/I84)-1</f>
        <v>0.07214331887742986</v>
      </c>
      <c r="R84" s="22"/>
      <c r="S84" s="25">
        <f>(I84/E84)-1</f>
        <v>0.026847411620541495</v>
      </c>
      <c r="T84" s="25"/>
      <c r="U84" s="25">
        <f>(K84/E84)-1</f>
        <v>0.10092759187554545</v>
      </c>
      <c r="V84" s="22"/>
      <c r="W84" s="26">
        <f>(K84/G84)-1</f>
        <v>0.2540310434544073</v>
      </c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13" ht="12.75">
      <c r="A87" s="27" t="s">
        <v>124</v>
      </c>
      <c r="E87" s="2" t="s">
        <v>122</v>
      </c>
      <c r="G87" s="28" t="s">
        <v>6</v>
      </c>
      <c r="I87" s="2" t="s">
        <v>67</v>
      </c>
      <c r="K87" s="2" t="s">
        <v>68</v>
      </c>
      <c r="M87" s="2" t="s">
        <v>125</v>
      </c>
    </row>
    <row r="89" ht="12.75">
      <c r="B89" t="s">
        <v>7</v>
      </c>
    </row>
    <row r="90" spans="3:13" ht="12.75">
      <c r="C90" t="s">
        <v>8</v>
      </c>
      <c r="E90" s="7">
        <v>4143.4</v>
      </c>
      <c r="M90" s="7">
        <v>4143.4</v>
      </c>
    </row>
    <row r="91" spans="3:13" ht="12.75">
      <c r="C91" t="s">
        <v>9</v>
      </c>
      <c r="E91" s="7">
        <v>304.78</v>
      </c>
      <c r="M91" s="7">
        <v>304.78</v>
      </c>
    </row>
    <row r="92" spans="3:13" ht="12.75">
      <c r="C92" t="s">
        <v>10</v>
      </c>
      <c r="E92" s="7">
        <f>E90+E91</f>
        <v>4448.179999999999</v>
      </c>
      <c r="M92" s="7">
        <f>M90+M91</f>
        <v>4448.179999999999</v>
      </c>
    </row>
    <row r="94" spans="3:13" ht="12.75">
      <c r="C94" t="s">
        <v>11</v>
      </c>
      <c r="E94" s="10">
        <f>$K$8</f>
        <v>3525</v>
      </c>
      <c r="G94" s="9">
        <f>$W$8</f>
        <v>0.14596879063719115</v>
      </c>
      <c r="I94" s="9">
        <f>(AVERAGE(0,365)/(365*1.5))*G94</f>
        <v>0.04865626354573038</v>
      </c>
      <c r="K94" s="10">
        <f>(E94/(1+G94))*(1+I94)</f>
        <v>3225.6666666666665</v>
      </c>
      <c r="M94" s="10">
        <f>$K$94</f>
        <v>3225.6666666666665</v>
      </c>
    </row>
    <row r="95" spans="3:13" ht="12.75">
      <c r="C95" t="s">
        <v>12</v>
      </c>
      <c r="E95" s="7">
        <f>E92*E94</f>
        <v>15679834.499999998</v>
      </c>
      <c r="I95" s="9"/>
      <c r="K95" s="10"/>
      <c r="M95" s="7">
        <f>M92*M94</f>
        <v>14348345.953333331</v>
      </c>
    </row>
    <row r="96" spans="3:13" ht="13.5" thickBot="1">
      <c r="C96" t="s">
        <v>13</v>
      </c>
      <c r="E96" s="11">
        <v>1.4</v>
      </c>
      <c r="I96" s="9"/>
      <c r="K96" s="10"/>
      <c r="M96" s="11">
        <v>1.4</v>
      </c>
    </row>
    <row r="97" spans="3:13" ht="13.5" thickBot="1">
      <c r="C97" s="12" t="s">
        <v>14</v>
      </c>
      <c r="D97" s="13"/>
      <c r="E97" s="14">
        <f>E95*E96</f>
        <v>21951768.299999997</v>
      </c>
      <c r="F97" s="13"/>
      <c r="G97" s="13"/>
      <c r="H97" s="13"/>
      <c r="I97" s="16"/>
      <c r="J97" s="13"/>
      <c r="K97" s="29"/>
      <c r="L97" s="13"/>
      <c r="M97" s="30">
        <f>M95*M96</f>
        <v>20087684.334666662</v>
      </c>
    </row>
    <row r="98" spans="9:11" ht="12.75">
      <c r="I98" s="9"/>
      <c r="K98" s="10"/>
    </row>
    <row r="99" spans="2:11" ht="12.75">
      <c r="B99" t="s">
        <v>15</v>
      </c>
      <c r="I99" s="9"/>
      <c r="K99" s="10"/>
    </row>
    <row r="100" spans="3:13" ht="12.75">
      <c r="C100" t="s">
        <v>16</v>
      </c>
      <c r="E100" s="7">
        <f>E90*E94*E96</f>
        <v>20447678.999999996</v>
      </c>
      <c r="I100" s="9"/>
      <c r="K100" s="10"/>
      <c r="M100" s="7">
        <f>M90*M94*M96</f>
        <v>18711318.173333332</v>
      </c>
    </row>
    <row r="101" spans="3:13" ht="13.5" thickBot="1">
      <c r="C101" t="s">
        <v>17</v>
      </c>
      <c r="E101" s="9">
        <v>0.0281</v>
      </c>
      <c r="I101" s="9"/>
      <c r="K101" s="10"/>
      <c r="M101" s="9">
        <v>0.0281</v>
      </c>
    </row>
    <row r="102" spans="3:13" ht="13.5" thickBot="1">
      <c r="C102" s="12" t="s">
        <v>15</v>
      </c>
      <c r="D102" s="13"/>
      <c r="E102" s="14">
        <f>E100*E101</f>
        <v>574579.7798999998</v>
      </c>
      <c r="F102" s="13"/>
      <c r="G102" s="13"/>
      <c r="H102" s="13"/>
      <c r="I102" s="16"/>
      <c r="J102" s="13"/>
      <c r="K102" s="29"/>
      <c r="L102" s="13"/>
      <c r="M102" s="30">
        <f>M100*M101</f>
        <v>525788.0406706666</v>
      </c>
    </row>
    <row r="103" spans="9:11" ht="12.75">
      <c r="I103" s="9"/>
      <c r="K103" s="10"/>
    </row>
    <row r="104" spans="2:11" ht="12.75">
      <c r="B104" s="18" t="s">
        <v>18</v>
      </c>
      <c r="C104" s="18"/>
      <c r="D104" s="18"/>
      <c r="I104" s="9"/>
      <c r="K104" s="10"/>
    </row>
    <row r="105" spans="3:13" ht="12.75">
      <c r="C105" t="s">
        <v>19</v>
      </c>
      <c r="E105" s="7">
        <f>E100+E102</f>
        <v>21022258.779899996</v>
      </c>
      <c r="I105" s="9"/>
      <c r="K105" s="10"/>
      <c r="M105" s="7">
        <f>M100+M102</f>
        <v>19237106.214004</v>
      </c>
    </row>
    <row r="106" spans="3:13" ht="13.5" thickBot="1">
      <c r="C106" t="s">
        <v>20</v>
      </c>
      <c r="E106">
        <v>0.3273</v>
      </c>
      <c r="I106" s="9"/>
      <c r="K106" s="10"/>
      <c r="M106">
        <v>0.3273</v>
      </c>
    </row>
    <row r="107" spans="2:13" ht="13.5" thickBot="1">
      <c r="B107" s="18"/>
      <c r="C107" s="12" t="s">
        <v>21</v>
      </c>
      <c r="D107" s="13"/>
      <c r="E107" s="14">
        <f>E105*E106</f>
        <v>6880585.298661268</v>
      </c>
      <c r="F107" s="13"/>
      <c r="G107" s="13"/>
      <c r="H107" s="13"/>
      <c r="I107" s="16"/>
      <c r="J107" s="13"/>
      <c r="K107" s="29"/>
      <c r="L107" s="13"/>
      <c r="M107" s="30">
        <f>M105*M106</f>
        <v>6296304.863843508</v>
      </c>
    </row>
    <row r="108" spans="2:13" ht="12.75">
      <c r="B108" s="18"/>
      <c r="C108" s="18"/>
      <c r="D108" s="18"/>
      <c r="E108" s="19"/>
      <c r="I108" s="9"/>
      <c r="K108" s="10"/>
      <c r="M108" s="19"/>
    </row>
    <row r="109" spans="2:13" ht="12.75">
      <c r="B109" t="s">
        <v>22</v>
      </c>
      <c r="E109" s="7"/>
      <c r="I109" s="9"/>
      <c r="K109" s="10"/>
      <c r="M109" s="7"/>
    </row>
    <row r="110" spans="3:13" ht="12.75">
      <c r="C110" t="s">
        <v>23</v>
      </c>
      <c r="E110" s="9">
        <v>0.0768</v>
      </c>
      <c r="I110" s="9"/>
      <c r="K110" s="10"/>
      <c r="M110" s="9">
        <v>0.0768</v>
      </c>
    </row>
    <row r="111" spans="3:13" ht="13.5" thickBot="1">
      <c r="C111" t="s">
        <v>24</v>
      </c>
      <c r="E111" s="9">
        <v>0.4</v>
      </c>
      <c r="I111" s="9"/>
      <c r="K111" s="10"/>
      <c r="M111" s="9">
        <v>0.4</v>
      </c>
    </row>
    <row r="112" spans="2:13" ht="13.5" thickBot="1">
      <c r="B112" s="18"/>
      <c r="C112" s="12" t="s">
        <v>21</v>
      </c>
      <c r="D112" s="13"/>
      <c r="E112" s="14">
        <f>E97*E110*E106*E111</f>
        <v>220717.47884820472</v>
      </c>
      <c r="F112" s="13"/>
      <c r="G112" s="13"/>
      <c r="H112" s="13"/>
      <c r="I112" s="16"/>
      <c r="J112" s="13"/>
      <c r="K112" s="29"/>
      <c r="L112" s="13"/>
      <c r="M112" s="30">
        <f>M97*M110*M106*M111</f>
        <v>201974.75582166214</v>
      </c>
    </row>
    <row r="113" spans="2:13" ht="12.75">
      <c r="B113" s="18"/>
      <c r="C113" s="18"/>
      <c r="D113" s="18"/>
      <c r="E113" s="19"/>
      <c r="I113" s="9"/>
      <c r="K113" s="10"/>
      <c r="M113" s="19"/>
    </row>
    <row r="114" spans="2:13" ht="12.75">
      <c r="B114" t="s">
        <v>25</v>
      </c>
      <c r="E114" s="7"/>
      <c r="I114" s="9"/>
      <c r="K114" s="10"/>
      <c r="M114" s="7"/>
    </row>
    <row r="115" spans="3:13" ht="12.75">
      <c r="C115" t="s">
        <v>26</v>
      </c>
      <c r="E115" s="10">
        <f>$K$29</f>
        <v>95018</v>
      </c>
      <c r="G115" s="9">
        <f>$W$29</f>
        <v>0.34062305999209896</v>
      </c>
      <c r="I115" s="9">
        <f>(AVERAGE(0,365)/(365*1.5))*G115</f>
        <v>0.11354101999736632</v>
      </c>
      <c r="K115" s="10">
        <f>(E115/(1+G115))*(1+I115)</f>
        <v>78923.33333333333</v>
      </c>
      <c r="M115" s="10">
        <f>$K$115</f>
        <v>78923.33333333333</v>
      </c>
    </row>
    <row r="116" spans="3:13" ht="12.75">
      <c r="C116" t="s">
        <v>27</v>
      </c>
      <c r="E116" s="11">
        <f>E115/365</f>
        <v>260.3232876712329</v>
      </c>
      <c r="I116" s="9"/>
      <c r="K116" s="10"/>
      <c r="M116" s="11">
        <f>M115/365</f>
        <v>216.22831050228308</v>
      </c>
    </row>
    <row r="117" spans="5:13" ht="12.75">
      <c r="E117" s="7"/>
      <c r="I117" s="9"/>
      <c r="K117" s="10"/>
      <c r="M117" s="7"/>
    </row>
    <row r="118" spans="3:13" ht="12.75">
      <c r="C118" t="s">
        <v>28</v>
      </c>
      <c r="E118" s="11">
        <v>205.42</v>
      </c>
      <c r="I118" s="9"/>
      <c r="K118" s="10"/>
      <c r="M118" s="11">
        <v>205.42</v>
      </c>
    </row>
    <row r="119" spans="3:13" ht="12.75">
      <c r="C119" t="s">
        <v>29</v>
      </c>
      <c r="E119" s="20">
        <f>E118/E116</f>
        <v>0.7890957502788944</v>
      </c>
      <c r="I119" s="9"/>
      <c r="K119" s="10"/>
      <c r="M119" s="20">
        <f>M118/M116</f>
        <v>0.9500143599273557</v>
      </c>
    </row>
    <row r="120" spans="5:13" ht="12.75">
      <c r="E120" s="11"/>
      <c r="I120" s="9"/>
      <c r="K120" s="10"/>
      <c r="M120" s="11"/>
    </row>
    <row r="121" spans="3:13" ht="12.75">
      <c r="C121" t="s">
        <v>30</v>
      </c>
      <c r="E121" s="20">
        <f>2.7183^(E119*0.2822)-1</f>
        <v>0.2494260793318126</v>
      </c>
      <c r="I121" s="9"/>
      <c r="K121" s="10"/>
      <c r="M121" s="20">
        <f>2.7183^(M119*0.2822)-1</f>
        <v>0.3074724481276063</v>
      </c>
    </row>
    <row r="122" spans="3:13" ht="13.5" thickBot="1">
      <c r="C122" t="s">
        <v>31</v>
      </c>
      <c r="E122" s="7">
        <v>1313880</v>
      </c>
      <c r="I122" s="9"/>
      <c r="K122" s="10"/>
      <c r="M122" s="7">
        <v>1313880</v>
      </c>
    </row>
    <row r="123" spans="3:13" ht="13.5" thickBot="1">
      <c r="C123" s="12" t="s">
        <v>32</v>
      </c>
      <c r="D123" s="13"/>
      <c r="E123" s="14">
        <f>E121*E122</f>
        <v>327715.9371124819</v>
      </c>
      <c r="F123" s="13"/>
      <c r="G123" s="13"/>
      <c r="H123" s="13"/>
      <c r="I123" s="16"/>
      <c r="J123" s="13"/>
      <c r="K123" s="29"/>
      <c r="L123" s="13"/>
      <c r="M123" s="30">
        <f>M121*M122</f>
        <v>403981.9001458994</v>
      </c>
    </row>
    <row r="124" spans="5:13" ht="12.75">
      <c r="E124" s="7"/>
      <c r="I124" s="9"/>
      <c r="K124" s="10"/>
      <c r="M124" s="7"/>
    </row>
    <row r="125" spans="2:13" ht="12.75">
      <c r="B125" t="s">
        <v>33</v>
      </c>
      <c r="E125" s="7"/>
      <c r="I125" s="9"/>
      <c r="K125" s="10"/>
      <c r="M125" s="7"/>
    </row>
    <row r="126" spans="3:13" ht="12.75">
      <c r="C126" t="s">
        <v>34</v>
      </c>
      <c r="E126" s="10">
        <v>42187</v>
      </c>
      <c r="G126" s="9">
        <f>$W$40</f>
        <v>1.508741674595623</v>
      </c>
      <c r="I126" s="9">
        <f>(AVERAGE(0,365)/(365*1.5))*G126</f>
        <v>0.5029138915318743</v>
      </c>
      <c r="K126" s="10">
        <f>(E126/(1+G126))*(1+I126)</f>
        <v>25272.999999999996</v>
      </c>
      <c r="M126" s="10">
        <f>$K$126</f>
        <v>25272.999999999996</v>
      </c>
    </row>
    <row r="127" spans="3:13" ht="12.75">
      <c r="C127" t="s">
        <v>35</v>
      </c>
      <c r="E127" s="9">
        <f>E126/E115</f>
        <v>0.4439895598728662</v>
      </c>
      <c r="K127" s="10"/>
      <c r="M127" s="9">
        <f>M126/M115</f>
        <v>0.3202221565232081</v>
      </c>
    </row>
    <row r="128" spans="5:13" ht="12.75">
      <c r="E128" s="7"/>
      <c r="K128" s="10"/>
      <c r="M128" s="7"/>
    </row>
    <row r="129" spans="3:13" ht="12.75">
      <c r="C129" t="s">
        <v>36</v>
      </c>
      <c r="E129" s="9">
        <v>0.1442</v>
      </c>
      <c r="K129" s="10"/>
      <c r="M129" s="9">
        <v>0.1442</v>
      </c>
    </row>
    <row r="130" spans="3:13" ht="12.75">
      <c r="C130" t="s">
        <v>37</v>
      </c>
      <c r="E130" s="9">
        <f>E127+E129</f>
        <v>0.5881895598728661</v>
      </c>
      <c r="K130" s="10"/>
      <c r="M130" s="9">
        <f>M127+M129</f>
        <v>0.4644221565232081</v>
      </c>
    </row>
    <row r="131" spans="3:13" ht="12.75">
      <c r="C131" t="s">
        <v>38</v>
      </c>
      <c r="E131" s="9">
        <v>0.202</v>
      </c>
      <c r="K131" s="10"/>
      <c r="M131" s="9">
        <v>0.202</v>
      </c>
    </row>
    <row r="132" spans="3:13" ht="12.75">
      <c r="C132" t="s">
        <v>39</v>
      </c>
      <c r="E132" s="9">
        <f>E130-E131</f>
        <v>0.38618955987286613</v>
      </c>
      <c r="K132" s="10"/>
      <c r="M132" s="9">
        <f>M130-M131</f>
        <v>0.2624221565232081</v>
      </c>
    </row>
    <row r="133" spans="5:13" ht="12.75">
      <c r="E133" s="7"/>
      <c r="K133" s="10"/>
      <c r="M133" s="7"/>
    </row>
    <row r="134" spans="3:13" ht="12.75">
      <c r="C134" t="s">
        <v>40</v>
      </c>
      <c r="E134" s="9">
        <v>0.0588</v>
      </c>
      <c r="K134" s="10"/>
      <c r="M134" s="9">
        <v>0.0588</v>
      </c>
    </row>
    <row r="135" spans="3:13" ht="12.75">
      <c r="C135" t="s">
        <v>41</v>
      </c>
      <c r="E135" s="9">
        <v>0.825</v>
      </c>
      <c r="K135" s="10"/>
      <c r="M135" s="9">
        <v>0.825</v>
      </c>
    </row>
    <row r="136" spans="3:13" ht="12.75">
      <c r="C136" t="s">
        <v>42</v>
      </c>
      <c r="E136" s="9">
        <f>E132*E135</f>
        <v>0.31860638689511456</v>
      </c>
      <c r="K136" s="10"/>
      <c r="M136" s="9">
        <f>M132*M135</f>
        <v>0.21649827913164668</v>
      </c>
    </row>
    <row r="137" spans="3:13" ht="12.75">
      <c r="C137" t="s">
        <v>43</v>
      </c>
      <c r="E137" s="9">
        <f>E134+E136</f>
        <v>0.3774063868951146</v>
      </c>
      <c r="K137" s="10"/>
      <c r="M137" s="9">
        <f>M134+M136</f>
        <v>0.2752982791316467</v>
      </c>
    </row>
    <row r="138" spans="5:13" ht="12.75">
      <c r="E138" s="9"/>
      <c r="K138" s="10"/>
      <c r="M138" s="9"/>
    </row>
    <row r="139" spans="3:13" ht="12.75">
      <c r="C139" t="s">
        <v>44</v>
      </c>
      <c r="E139" s="7">
        <f>E105*E137</f>
        <v>7933934.730496157</v>
      </c>
      <c r="K139" s="10"/>
      <c r="M139" s="7">
        <f>M105*M137</f>
        <v>5295942.2361880075</v>
      </c>
    </row>
    <row r="140" spans="3:13" ht="13.5" thickBot="1">
      <c r="C140" t="s">
        <v>45</v>
      </c>
      <c r="E140" s="7">
        <f>E139*0.0225</f>
        <v>178513.53143616352</v>
      </c>
      <c r="K140" s="10"/>
      <c r="M140" s="7">
        <f>M139*0.0225</f>
        <v>119158.70031423017</v>
      </c>
    </row>
    <row r="141" spans="3:13" ht="13.5" thickBot="1">
      <c r="C141" s="12" t="s">
        <v>46</v>
      </c>
      <c r="D141" s="13"/>
      <c r="E141" s="14">
        <f>E139-E140</f>
        <v>7755421.199059993</v>
      </c>
      <c r="F141" s="13"/>
      <c r="G141" s="13"/>
      <c r="H141" s="13"/>
      <c r="I141" s="13"/>
      <c r="J141" s="13"/>
      <c r="K141" s="29"/>
      <c r="L141" s="13"/>
      <c r="M141" s="30">
        <f>M139-M140</f>
        <v>5176783.535873777</v>
      </c>
    </row>
    <row r="142" spans="5:13" ht="12.75">
      <c r="E142" s="7"/>
      <c r="K142" s="10"/>
      <c r="M142" s="7"/>
    </row>
    <row r="143" spans="2:13" ht="12.75">
      <c r="B143" t="s">
        <v>47</v>
      </c>
      <c r="E143" s="7"/>
      <c r="K143" s="10"/>
      <c r="M143" s="7"/>
    </row>
    <row r="144" spans="3:13" ht="13.5" thickBot="1">
      <c r="C144" t="s">
        <v>48</v>
      </c>
      <c r="E144" s="20">
        <f>2.7183^(0.2025*E130)-1</f>
        <v>0.12649290443925088</v>
      </c>
      <c r="K144" s="10"/>
      <c r="M144" s="20">
        <f>2.7183^(0.2025*M130)-1</f>
        <v>0.09861040758757178</v>
      </c>
    </row>
    <row r="145" spans="3:13" ht="13.5" thickBot="1">
      <c r="C145" s="12" t="s">
        <v>49</v>
      </c>
      <c r="D145" s="13"/>
      <c r="E145" s="14">
        <f>E144*E122</f>
        <v>166196.49728464294</v>
      </c>
      <c r="F145" s="13"/>
      <c r="G145" s="13"/>
      <c r="H145" s="13"/>
      <c r="I145" s="13"/>
      <c r="J145" s="13"/>
      <c r="K145" s="29"/>
      <c r="L145" s="13"/>
      <c r="M145" s="30">
        <f>M144*M122</f>
        <v>129562.24232115882</v>
      </c>
    </row>
    <row r="146" spans="5:13" ht="12.75">
      <c r="E146" s="7"/>
      <c r="K146" s="10"/>
      <c r="M146" s="7"/>
    </row>
    <row r="147" spans="2:13" ht="12.75">
      <c r="B147" t="s">
        <v>50</v>
      </c>
      <c r="E147" s="7"/>
      <c r="K147" s="10"/>
      <c r="M147" s="7"/>
    </row>
    <row r="148" spans="3:13" ht="12.75">
      <c r="C148" t="s">
        <v>51</v>
      </c>
      <c r="E148" s="7">
        <f>75676*1.03</f>
        <v>77946.28</v>
      </c>
      <c r="K148" s="10"/>
      <c r="M148" s="7">
        <f>75676*1.03</f>
        <v>77946.28</v>
      </c>
    </row>
    <row r="149" spans="3:13" ht="12.75">
      <c r="C149" t="s">
        <v>52</v>
      </c>
      <c r="E149" s="7">
        <f>E118*E148</f>
        <v>16011724.837599998</v>
      </c>
      <c r="K149" s="10"/>
      <c r="M149" s="7">
        <f>M118*M148</f>
        <v>16011724.837599998</v>
      </c>
    </row>
    <row r="150" spans="5:13" ht="12.75">
      <c r="E150" s="7"/>
      <c r="K150" s="10"/>
      <c r="M150" s="7"/>
    </row>
    <row r="151" spans="3:13" ht="12.75">
      <c r="C151" t="s">
        <v>53</v>
      </c>
      <c r="E151" s="10">
        <v>21723</v>
      </c>
      <c r="G151" s="9">
        <v>0.11485758275596614</v>
      </c>
      <c r="I151" s="9">
        <f>(AVERAGE(0,365)/(365*1.5))*G151</f>
        <v>0.03828586091865538</v>
      </c>
      <c r="K151" s="10">
        <f>(E151/(1+G151))*(1+I151)</f>
        <v>20231</v>
      </c>
      <c r="M151" s="10">
        <f>K151</f>
        <v>20231</v>
      </c>
    </row>
    <row r="152" spans="3:13" ht="12.75">
      <c r="C152" t="s">
        <v>54</v>
      </c>
      <c r="E152" s="10">
        <f>$K$66</f>
        <v>104740</v>
      </c>
      <c r="G152" s="9">
        <v>0.1361072544255466</v>
      </c>
      <c r="I152" s="9">
        <f>(AVERAGE(0,365)/(365*1.5))*G152</f>
        <v>0.045369084808515536</v>
      </c>
      <c r="K152" s="10">
        <f>(E152/(1+G152))*(1+I152)</f>
        <v>96374.66666666667</v>
      </c>
      <c r="M152" s="10">
        <f>K152</f>
        <v>96374.66666666667</v>
      </c>
    </row>
    <row r="153" spans="3:13" ht="12.75">
      <c r="C153" t="s">
        <v>55</v>
      </c>
      <c r="E153" s="9">
        <f>E151/E152</f>
        <v>0.20739927439373687</v>
      </c>
      <c r="K153" s="10"/>
      <c r="M153" s="9">
        <f>M151/M152</f>
        <v>0.20992031100842545</v>
      </c>
    </row>
    <row r="154" spans="5:13" ht="12.75">
      <c r="E154" s="7"/>
      <c r="K154" s="10"/>
      <c r="M154" s="7"/>
    </row>
    <row r="155" spans="3:13" ht="12.75">
      <c r="C155" s="18" t="s">
        <v>56</v>
      </c>
      <c r="D155" s="18"/>
      <c r="E155" s="19">
        <f>E148*E118*E110*E111</f>
        <v>491880.18701107195</v>
      </c>
      <c r="K155" s="10"/>
      <c r="M155" s="19">
        <f>M148*M118*M110*M111</f>
        <v>491880.18701107195</v>
      </c>
    </row>
    <row r="156" spans="5:13" ht="12.75">
      <c r="E156" s="7"/>
      <c r="K156" s="10"/>
      <c r="M156" s="7"/>
    </row>
    <row r="157" spans="3:13" ht="12.75">
      <c r="C157" t="s">
        <v>57</v>
      </c>
      <c r="E157" s="7">
        <f>(E149*E153)+E155</f>
        <v>3812700.3001214857</v>
      </c>
      <c r="K157" s="10"/>
      <c r="M157" s="7">
        <f>(M149*M153)+M155</f>
        <v>3853066.444701394</v>
      </c>
    </row>
    <row r="158" spans="3:13" ht="13.5" thickBot="1">
      <c r="C158" t="s">
        <v>58</v>
      </c>
      <c r="E158" s="9">
        <v>0.85</v>
      </c>
      <c r="K158" s="10"/>
      <c r="M158" s="9">
        <v>0.85</v>
      </c>
    </row>
    <row r="159" spans="3:13" ht="13.5" thickBot="1">
      <c r="C159" s="12" t="s">
        <v>59</v>
      </c>
      <c r="D159" s="13"/>
      <c r="E159" s="14">
        <f>E157*E158</f>
        <v>3240795.2551032626</v>
      </c>
      <c r="F159" s="13"/>
      <c r="G159" s="13"/>
      <c r="H159" s="13"/>
      <c r="I159" s="13"/>
      <c r="J159" s="13"/>
      <c r="K159" s="29"/>
      <c r="L159" s="13"/>
      <c r="M159" s="30">
        <f>M157*M158</f>
        <v>3275106.477996185</v>
      </c>
    </row>
    <row r="160" spans="5:13" ht="13.5" thickBot="1">
      <c r="E160" s="7"/>
      <c r="K160" s="10"/>
      <c r="M160" s="7"/>
    </row>
    <row r="161" spans="2:13" ht="13.5" thickBot="1">
      <c r="B161" t="s">
        <v>60</v>
      </c>
      <c r="C161" s="12"/>
      <c r="D161" s="13"/>
      <c r="E161" s="14">
        <v>315000</v>
      </c>
      <c r="F161" s="13"/>
      <c r="G161" s="13"/>
      <c r="H161" s="13"/>
      <c r="I161" s="13"/>
      <c r="J161" s="13"/>
      <c r="K161" s="29"/>
      <c r="L161" s="13"/>
      <c r="M161" s="30">
        <v>315000</v>
      </c>
    </row>
    <row r="162" spans="5:13" ht="13.5" thickBot="1">
      <c r="E162" s="7"/>
      <c r="K162" s="10"/>
      <c r="M162" s="7"/>
    </row>
    <row r="163" spans="2:13" ht="13.5" thickBot="1">
      <c r="B163" s="18" t="s">
        <v>61</v>
      </c>
      <c r="C163" s="12"/>
      <c r="D163" s="13"/>
      <c r="E163" s="14">
        <f>E97*0.9315*-0.001</f>
        <v>-20448.072171449996</v>
      </c>
      <c r="F163" s="13"/>
      <c r="G163" s="13"/>
      <c r="H163" s="13"/>
      <c r="I163" s="13"/>
      <c r="J163" s="13"/>
      <c r="K163" s="13"/>
      <c r="L163" s="13"/>
      <c r="M163" s="30">
        <f>M97*0.9315*-0.001</f>
        <v>-18711.677957741995</v>
      </c>
    </row>
    <row r="164" spans="5:13" ht="12.75">
      <c r="E164" s="7"/>
      <c r="M164" s="7"/>
    </row>
    <row r="165" ht="12.75">
      <c r="B165" t="s">
        <v>62</v>
      </c>
    </row>
    <row r="166" spans="3:13" ht="12.75">
      <c r="C166" t="s">
        <v>63</v>
      </c>
      <c r="E166" s="9">
        <v>0.6</v>
      </c>
      <c r="M166" s="9">
        <v>0.6</v>
      </c>
    </row>
    <row r="167" spans="3:13" ht="13.5" thickBot="1">
      <c r="C167" t="s">
        <v>64</v>
      </c>
      <c r="E167" s="7">
        <v>950000</v>
      </c>
      <c r="M167" s="7">
        <v>950000</v>
      </c>
    </row>
    <row r="168" spans="3:13" ht="13.5" thickBot="1">
      <c r="C168" s="12" t="s">
        <v>65</v>
      </c>
      <c r="D168" s="13"/>
      <c r="E168" s="14">
        <f>E166*E167</f>
        <v>570000</v>
      </c>
      <c r="F168" s="13"/>
      <c r="G168" s="13"/>
      <c r="H168" s="13"/>
      <c r="I168" s="13"/>
      <c r="J168" s="13"/>
      <c r="K168" s="13"/>
      <c r="L168" s="13"/>
      <c r="M168" s="30">
        <f>M166*M167</f>
        <v>570000</v>
      </c>
    </row>
    <row r="169" spans="5:13" ht="13.5" thickBot="1">
      <c r="E169" s="7"/>
      <c r="M169" s="7"/>
    </row>
    <row r="170" spans="2:13" ht="13.5" thickBot="1">
      <c r="B170" s="21" t="s">
        <v>66</v>
      </c>
      <c r="C170" s="22"/>
      <c r="D170" s="22"/>
      <c r="E170" s="23">
        <f>SUM(E97,E102,E107,E112,E123,E141,E145,E159,E161,E163,E168)</f>
        <v>41982331.6737984</v>
      </c>
      <c r="F170" s="22"/>
      <c r="G170" s="22"/>
      <c r="H170" s="22"/>
      <c r="I170" s="22"/>
      <c r="J170" s="22"/>
      <c r="K170" s="22"/>
      <c r="L170" s="22"/>
      <c r="M170" s="31">
        <f>SUM(M97,M102,M107,M112,M123,M141,M145,M159,M161,M163,M168)</f>
        <v>36963474.47338178</v>
      </c>
    </row>
    <row r="172" spans="1:13" ht="12.75">
      <c r="A172" s="27" t="s">
        <v>126</v>
      </c>
      <c r="E172" s="2" t="str">
        <f aca="true" t="shared" si="0" ref="E172:E234">M87</f>
        <v>Final 1999 Projections</v>
      </c>
      <c r="G172" s="2" t="s">
        <v>69</v>
      </c>
      <c r="I172" s="2" t="s">
        <v>70</v>
      </c>
      <c r="K172" s="2" t="s">
        <v>68</v>
      </c>
      <c r="M172" s="2" t="s">
        <v>127</v>
      </c>
    </row>
    <row r="174" ht="12.75">
      <c r="B174" t="s">
        <v>7</v>
      </c>
    </row>
    <row r="175" spans="3:13" ht="12.75">
      <c r="C175" t="s">
        <v>8</v>
      </c>
      <c r="E175" s="7">
        <f t="shared" si="0"/>
        <v>4143.4</v>
      </c>
      <c r="M175" s="7">
        <v>4143.4</v>
      </c>
    </row>
    <row r="176" spans="3:13" ht="12.75">
      <c r="C176" t="s">
        <v>9</v>
      </c>
      <c r="E176" s="7">
        <f t="shared" si="0"/>
        <v>304.78</v>
      </c>
      <c r="M176" s="7">
        <v>304.78</v>
      </c>
    </row>
    <row r="177" spans="3:13" ht="12.75">
      <c r="C177" t="s">
        <v>10</v>
      </c>
      <c r="E177" s="7">
        <f t="shared" si="0"/>
        <v>4448.179999999999</v>
      </c>
      <c r="M177" s="7">
        <f>M175+M176</f>
        <v>4448.179999999999</v>
      </c>
    </row>
    <row r="179" spans="3:13" ht="12.75">
      <c r="C179" t="s">
        <v>11</v>
      </c>
      <c r="E179" s="10">
        <f t="shared" si="0"/>
        <v>3225.6666666666665</v>
      </c>
      <c r="G179" s="9">
        <f>(((365/547.5)*G94)-I94)+((0.5*(547.5-365)/(365*1.5))*G94)</f>
        <v>0.07298439531859557</v>
      </c>
      <c r="I179" s="9">
        <v>0</v>
      </c>
      <c r="K179" s="10">
        <f>(E179*(1+G179))*(1+I179)</f>
        <v>3461.089997832683</v>
      </c>
      <c r="M179" s="10">
        <f>$K$179</f>
        <v>3461.089997832683</v>
      </c>
    </row>
    <row r="180" spans="3:13" ht="12.75">
      <c r="C180" t="s">
        <v>12</v>
      </c>
      <c r="E180" s="7">
        <f t="shared" si="0"/>
        <v>14348345.953333331</v>
      </c>
      <c r="I180" s="9"/>
      <c r="K180" s="10"/>
      <c r="M180" s="7">
        <f>M177*M179</f>
        <v>15395551.306559382</v>
      </c>
    </row>
    <row r="181" spans="3:13" ht="13.5" thickBot="1">
      <c r="C181" t="s">
        <v>13</v>
      </c>
      <c r="E181" s="11">
        <f t="shared" si="0"/>
        <v>1.4</v>
      </c>
      <c r="I181" s="9"/>
      <c r="K181" s="10"/>
      <c r="M181" s="11">
        <v>1.4</v>
      </c>
    </row>
    <row r="182" spans="3:13" ht="13.5" thickBot="1">
      <c r="C182" s="12" t="s">
        <v>14</v>
      </c>
      <c r="D182" s="13"/>
      <c r="E182" s="14">
        <f t="shared" si="0"/>
        <v>20087684.334666662</v>
      </c>
      <c r="F182" s="13"/>
      <c r="G182" s="13"/>
      <c r="H182" s="13"/>
      <c r="I182" s="16"/>
      <c r="J182" s="13"/>
      <c r="K182" s="29"/>
      <c r="L182" s="13"/>
      <c r="M182" s="30">
        <f>M180*M181</f>
        <v>21553771.829183135</v>
      </c>
    </row>
    <row r="183" spans="9:11" ht="12.75">
      <c r="I183" s="9"/>
      <c r="K183" s="10"/>
    </row>
    <row r="184" spans="2:11" ht="12.75">
      <c r="B184" t="s">
        <v>15</v>
      </c>
      <c r="I184" s="9"/>
      <c r="K184" s="10"/>
    </row>
    <row r="185" spans="3:13" ht="12.75">
      <c r="C185" t="s">
        <v>16</v>
      </c>
      <c r="E185" s="7">
        <f t="shared" si="0"/>
        <v>18711318.173333332</v>
      </c>
      <c r="I185" s="9"/>
      <c r="K185" s="10"/>
      <c r="M185" s="7">
        <f>M175*M179*M181</f>
        <v>20076952.41582791</v>
      </c>
    </row>
    <row r="186" spans="3:13" ht="13.5" thickBot="1">
      <c r="C186" t="s">
        <v>17</v>
      </c>
      <c r="E186" s="9">
        <f t="shared" si="0"/>
        <v>0.0281</v>
      </c>
      <c r="I186" s="9"/>
      <c r="K186" s="10"/>
      <c r="M186" s="9">
        <v>0.0281</v>
      </c>
    </row>
    <row r="187" spans="3:13" ht="13.5" thickBot="1">
      <c r="C187" s="12" t="s">
        <v>15</v>
      </c>
      <c r="D187" s="13"/>
      <c r="E187" s="14">
        <f t="shared" si="0"/>
        <v>525788.0406706666</v>
      </c>
      <c r="F187" s="13"/>
      <c r="G187" s="13"/>
      <c r="H187" s="13"/>
      <c r="I187" s="16"/>
      <c r="J187" s="13"/>
      <c r="K187" s="29"/>
      <c r="L187" s="13"/>
      <c r="M187" s="30">
        <f>M185*M186</f>
        <v>564162.3628847643</v>
      </c>
    </row>
    <row r="188" spans="9:11" ht="12.75">
      <c r="I188" s="9"/>
      <c r="K188" s="10"/>
    </row>
    <row r="189" spans="2:11" ht="12.75">
      <c r="B189" s="18" t="s">
        <v>18</v>
      </c>
      <c r="C189" s="18"/>
      <c r="D189" s="18"/>
      <c r="I189" s="9"/>
      <c r="K189" s="10"/>
    </row>
    <row r="190" spans="3:13" ht="12.75">
      <c r="C190" t="s">
        <v>19</v>
      </c>
      <c r="E190" s="7">
        <f t="shared" si="0"/>
        <v>19237106.214004</v>
      </c>
      <c r="I190" s="9"/>
      <c r="K190" s="10"/>
      <c r="M190" s="7">
        <f>M185+M187</f>
        <v>20641114.778712675</v>
      </c>
    </row>
    <row r="191" spans="3:13" ht="13.5" thickBot="1">
      <c r="C191" t="s">
        <v>20</v>
      </c>
      <c r="E191">
        <f t="shared" si="0"/>
        <v>0.3273</v>
      </c>
      <c r="I191" s="9"/>
      <c r="K191" s="10"/>
      <c r="M191" s="32">
        <f>(((1+(205.42/334))^0.405)-1)*(((273/365)*1.47)+((92/365)*1.54))</f>
        <v>0.3187485795957154</v>
      </c>
    </row>
    <row r="192" spans="2:13" ht="13.5" thickBot="1">
      <c r="B192" s="18"/>
      <c r="C192" s="12" t="s">
        <v>21</v>
      </c>
      <c r="D192" s="13"/>
      <c r="E192" s="14">
        <f t="shared" si="0"/>
        <v>6296304.863843508</v>
      </c>
      <c r="F192" s="13"/>
      <c r="G192" s="13"/>
      <c r="H192" s="13"/>
      <c r="I192" s="16"/>
      <c r="J192" s="13"/>
      <c r="K192" s="29"/>
      <c r="L192" s="13"/>
      <c r="M192" s="30">
        <f>M190*M191</f>
        <v>6579326.016986795</v>
      </c>
    </row>
    <row r="193" spans="2:13" ht="12.75">
      <c r="B193" s="18"/>
      <c r="C193" s="18"/>
      <c r="D193" s="18"/>
      <c r="E193" s="19"/>
      <c r="I193" s="9"/>
      <c r="K193" s="10"/>
      <c r="M193" s="19"/>
    </row>
    <row r="194" spans="2:13" ht="12.75">
      <c r="B194" t="s">
        <v>22</v>
      </c>
      <c r="E194" s="7"/>
      <c r="I194" s="9"/>
      <c r="K194" s="10"/>
      <c r="M194" s="7"/>
    </row>
    <row r="195" spans="3:13" ht="12.75">
      <c r="C195" t="s">
        <v>23</v>
      </c>
      <c r="E195" s="9">
        <f t="shared" si="0"/>
        <v>0.0768</v>
      </c>
      <c r="I195" s="9"/>
      <c r="K195" s="10"/>
      <c r="M195" s="9">
        <v>0.0768</v>
      </c>
    </row>
    <row r="196" spans="3:13" ht="13.5" thickBot="1">
      <c r="C196" t="s">
        <v>24</v>
      </c>
      <c r="E196" s="9">
        <f t="shared" si="0"/>
        <v>0.4</v>
      </c>
      <c r="I196" s="9"/>
      <c r="K196" s="10"/>
      <c r="M196" s="9">
        <v>0.4</v>
      </c>
    </row>
    <row r="197" spans="2:13" ht="13.5" thickBot="1">
      <c r="B197" s="18"/>
      <c r="C197" s="12" t="s">
        <v>21</v>
      </c>
      <c r="D197" s="13"/>
      <c r="E197" s="14">
        <f t="shared" si="0"/>
        <v>201974.75582166214</v>
      </c>
      <c r="F197" s="13"/>
      <c r="G197" s="13"/>
      <c r="H197" s="13"/>
      <c r="I197" s="16"/>
      <c r="J197" s="13"/>
      <c r="K197" s="29"/>
      <c r="L197" s="13"/>
      <c r="M197" s="30">
        <f>M182*M195*M191*M196</f>
        <v>211053.5932564153</v>
      </c>
    </row>
    <row r="198" spans="2:13" ht="12.75">
      <c r="B198" s="18"/>
      <c r="C198" s="18"/>
      <c r="D198" s="18"/>
      <c r="E198" s="19"/>
      <c r="I198" s="9"/>
      <c r="K198" s="10"/>
      <c r="M198" s="19"/>
    </row>
    <row r="199" spans="2:13" ht="12.75">
      <c r="B199" t="s">
        <v>25</v>
      </c>
      <c r="E199" s="7"/>
      <c r="I199" s="9"/>
      <c r="K199" s="10"/>
      <c r="M199" s="7"/>
    </row>
    <row r="200" spans="3:13" ht="12.75">
      <c r="C200" t="s">
        <v>26</v>
      </c>
      <c r="E200" s="10">
        <f t="shared" si="0"/>
        <v>78923.33333333333</v>
      </c>
      <c r="G200" s="9">
        <f>(((365/547.5)*G115)-I115)+((0.5*(547.5-365)/(365*1.5))*G115)</f>
        <v>0.17031152999604948</v>
      </c>
      <c r="I200" s="9">
        <v>0</v>
      </c>
      <c r="K200" s="10">
        <f>(E200*(1+G200))*(1+I200)</f>
        <v>92364.88698572155</v>
      </c>
      <c r="M200" s="10">
        <f>$K$200</f>
        <v>92364.88698572155</v>
      </c>
    </row>
    <row r="201" spans="3:13" ht="12.75">
      <c r="C201" t="s">
        <v>27</v>
      </c>
      <c r="E201" s="11">
        <f t="shared" si="0"/>
        <v>216.22831050228308</v>
      </c>
      <c r="I201" s="9"/>
      <c r="K201" s="10"/>
      <c r="M201" s="11">
        <f>M200/365</f>
        <v>253.0544848923878</v>
      </c>
    </row>
    <row r="202" spans="5:13" ht="12.75">
      <c r="E202" s="7"/>
      <c r="I202" s="9"/>
      <c r="K202" s="10"/>
      <c r="M202" s="7"/>
    </row>
    <row r="203" spans="3:13" ht="12.75">
      <c r="C203" t="s">
        <v>28</v>
      </c>
      <c r="E203" s="11">
        <f t="shared" si="0"/>
        <v>205.42</v>
      </c>
      <c r="I203" s="9"/>
      <c r="K203" s="10"/>
      <c r="M203" s="11">
        <v>205.42</v>
      </c>
    </row>
    <row r="204" spans="3:13" ht="12.75">
      <c r="C204" t="s">
        <v>29</v>
      </c>
      <c r="E204" s="20">
        <f t="shared" si="0"/>
        <v>0.9500143599273557</v>
      </c>
      <c r="I204" s="9"/>
      <c r="K204" s="10"/>
      <c r="M204" s="20">
        <f>M203/M201</f>
        <v>0.8117619416520339</v>
      </c>
    </row>
    <row r="205" spans="5:13" ht="12.75">
      <c r="E205" s="11"/>
      <c r="I205" s="9"/>
      <c r="K205" s="10"/>
      <c r="M205" s="11"/>
    </row>
    <row r="206" spans="3:13" ht="12.75">
      <c r="C206" t="s">
        <v>30</v>
      </c>
      <c r="E206" s="20">
        <f t="shared" si="0"/>
        <v>0.3074724481276063</v>
      </c>
      <c r="I206" s="9"/>
      <c r="K206" s="10"/>
      <c r="M206" s="20">
        <f>2.7183^(M204*0.2822)-1</f>
        <v>0.2574435751249895</v>
      </c>
    </row>
    <row r="207" spans="3:13" ht="13.5" thickBot="1">
      <c r="C207" t="s">
        <v>31</v>
      </c>
      <c r="E207" s="7">
        <f t="shared" si="0"/>
        <v>1313880</v>
      </c>
      <c r="I207" s="9"/>
      <c r="K207" s="10"/>
      <c r="M207" s="33">
        <v>1313880</v>
      </c>
    </row>
    <row r="208" spans="3:13" ht="13.5" thickBot="1">
      <c r="C208" s="12" t="s">
        <v>32</v>
      </c>
      <c r="D208" s="13"/>
      <c r="E208" s="14">
        <f t="shared" si="0"/>
        <v>403981.9001458994</v>
      </c>
      <c r="F208" s="13"/>
      <c r="G208" s="13"/>
      <c r="H208" s="13"/>
      <c r="I208" s="16"/>
      <c r="J208" s="13"/>
      <c r="K208" s="29"/>
      <c r="L208" s="13"/>
      <c r="M208" s="30">
        <f>M206*M207</f>
        <v>338249.9644852212</v>
      </c>
    </row>
    <row r="209" spans="5:13" ht="12.75">
      <c r="E209" s="7"/>
      <c r="I209" s="9"/>
      <c r="K209" s="10"/>
      <c r="M209" s="7"/>
    </row>
    <row r="210" spans="2:13" ht="12.75">
      <c r="B210" t="s">
        <v>33</v>
      </c>
      <c r="E210" s="7"/>
      <c r="I210" s="9"/>
      <c r="K210" s="10"/>
      <c r="M210" s="7"/>
    </row>
    <row r="211" spans="3:13" ht="12.75">
      <c r="C211" t="s">
        <v>34</v>
      </c>
      <c r="E211" s="10">
        <f t="shared" si="0"/>
        <v>25272.999999999996</v>
      </c>
      <c r="G211" s="9">
        <f>(((365/547.5)*G126)-I126)+((0.5*(547.5-365)/(365*1.5))*G126)</f>
        <v>0.7543708372978114</v>
      </c>
      <c r="I211" s="9">
        <v>0</v>
      </c>
      <c r="K211" s="10">
        <f>(E211*(1+G211))*(1+I211)</f>
        <v>44338.214171027576</v>
      </c>
      <c r="M211" s="10">
        <f>$K$211</f>
        <v>44338.214171027576</v>
      </c>
    </row>
    <row r="212" spans="3:13" ht="12.75">
      <c r="C212" t="s">
        <v>35</v>
      </c>
      <c r="E212" s="9">
        <f t="shared" si="0"/>
        <v>0.3202221565232081</v>
      </c>
      <c r="K212" s="10"/>
      <c r="M212" s="9">
        <f>M211/M200</f>
        <v>0.48003322060992404</v>
      </c>
    </row>
    <row r="213" spans="5:13" ht="12.75">
      <c r="E213" s="7"/>
      <c r="K213" s="10"/>
      <c r="M213" s="7"/>
    </row>
    <row r="214" spans="3:13" ht="12.75">
      <c r="C214" t="s">
        <v>36</v>
      </c>
      <c r="E214" s="9">
        <f t="shared" si="0"/>
        <v>0.1442</v>
      </c>
      <c r="K214" s="10"/>
      <c r="M214" s="9">
        <v>0.1442</v>
      </c>
    </row>
    <row r="215" spans="3:13" ht="12.75">
      <c r="C215" t="s">
        <v>37</v>
      </c>
      <c r="E215" s="9">
        <f t="shared" si="0"/>
        <v>0.4644221565232081</v>
      </c>
      <c r="K215" s="10"/>
      <c r="M215" s="9">
        <f>M212+M214</f>
        <v>0.624233220609924</v>
      </c>
    </row>
    <row r="216" spans="3:13" ht="12.75">
      <c r="C216" t="s">
        <v>38</v>
      </c>
      <c r="E216" s="9">
        <f t="shared" si="0"/>
        <v>0.202</v>
      </c>
      <c r="K216" s="10"/>
      <c r="M216" s="9">
        <v>0.202</v>
      </c>
    </row>
    <row r="217" spans="3:13" ht="12.75">
      <c r="C217" t="s">
        <v>39</v>
      </c>
      <c r="E217" s="9">
        <f t="shared" si="0"/>
        <v>0.2624221565232081</v>
      </c>
      <c r="K217" s="10"/>
      <c r="M217" s="9">
        <f>M215-M216</f>
        <v>0.422233220609924</v>
      </c>
    </row>
    <row r="218" spans="5:13" ht="12.75">
      <c r="E218" s="7"/>
      <c r="K218" s="10"/>
      <c r="M218" s="7"/>
    </row>
    <row r="219" spans="3:13" ht="12.75">
      <c r="C219" t="s">
        <v>40</v>
      </c>
      <c r="E219" s="9">
        <f t="shared" si="0"/>
        <v>0.0588</v>
      </c>
      <c r="K219" s="10"/>
      <c r="M219" s="9">
        <v>0.0588</v>
      </c>
    </row>
    <row r="220" spans="3:13" ht="12.75">
      <c r="C220" t="s">
        <v>41</v>
      </c>
      <c r="E220" s="9">
        <f t="shared" si="0"/>
        <v>0.825</v>
      </c>
      <c r="K220" s="10"/>
      <c r="M220" s="9">
        <v>0.825</v>
      </c>
    </row>
    <row r="221" spans="3:13" ht="12.75">
      <c r="C221" t="s">
        <v>42</v>
      </c>
      <c r="E221" s="9">
        <f t="shared" si="0"/>
        <v>0.21649827913164668</v>
      </c>
      <c r="K221" s="10"/>
      <c r="M221" s="9">
        <f>M217*M220</f>
        <v>0.3483424070031873</v>
      </c>
    </row>
    <row r="222" spans="3:13" ht="12.75">
      <c r="C222" t="s">
        <v>43</v>
      </c>
      <c r="E222" s="9">
        <f t="shared" si="0"/>
        <v>0.2752982791316467</v>
      </c>
      <c r="K222" s="10"/>
      <c r="M222" s="9">
        <f>M219+M221</f>
        <v>0.4071424070031873</v>
      </c>
    </row>
    <row r="223" spans="5:13" ht="12.75">
      <c r="E223" s="9"/>
      <c r="K223" s="10"/>
      <c r="M223" s="9"/>
    </row>
    <row r="224" spans="3:13" ht="12.75">
      <c r="C224" t="s">
        <v>44</v>
      </c>
      <c r="E224" s="7">
        <f t="shared" si="0"/>
        <v>5295942.2361880075</v>
      </c>
      <c r="K224" s="10"/>
      <c r="M224" s="7">
        <f>M190*M222</f>
        <v>8403873.154234141</v>
      </c>
    </row>
    <row r="225" spans="3:13" ht="13.5" thickBot="1">
      <c r="C225" t="s">
        <v>45</v>
      </c>
      <c r="E225" s="7">
        <f t="shared" si="0"/>
        <v>119158.70031423017</v>
      </c>
      <c r="K225" s="10"/>
      <c r="M225" s="7">
        <f>M224*0.0225</f>
        <v>189087.14597026818</v>
      </c>
    </row>
    <row r="226" spans="3:13" ht="13.5" thickBot="1">
      <c r="C226" s="12" t="s">
        <v>46</v>
      </c>
      <c r="D226" s="13"/>
      <c r="E226" s="14">
        <f t="shared" si="0"/>
        <v>5176783.535873777</v>
      </c>
      <c r="F226" s="13"/>
      <c r="G226" s="13"/>
      <c r="H226" s="13"/>
      <c r="I226" s="13"/>
      <c r="J226" s="13"/>
      <c r="K226" s="29"/>
      <c r="L226" s="13"/>
      <c r="M226" s="30">
        <f>M224-M225</f>
        <v>8214786.008263873</v>
      </c>
    </row>
    <row r="227" spans="5:13" ht="12.75">
      <c r="E227" s="7"/>
      <c r="K227" s="10"/>
      <c r="M227" s="7"/>
    </row>
    <row r="228" spans="2:13" ht="12.75">
      <c r="B228" t="s">
        <v>47</v>
      </c>
      <c r="E228" s="7"/>
      <c r="K228" s="10"/>
      <c r="M228" s="7"/>
    </row>
    <row r="229" spans="3:13" ht="13.5" thickBot="1">
      <c r="C229" t="s">
        <v>48</v>
      </c>
      <c r="E229" s="20">
        <f t="shared" si="0"/>
        <v>0.09861040758757178</v>
      </c>
      <c r="K229" s="10"/>
      <c r="M229" s="20">
        <f>2.7183^(0.2025*M215)-1</f>
        <v>0.13474513175196456</v>
      </c>
    </row>
    <row r="230" spans="3:13" ht="13.5" thickBot="1">
      <c r="C230" s="12" t="s">
        <v>49</v>
      </c>
      <c r="D230" s="13"/>
      <c r="E230" s="14">
        <f t="shared" si="0"/>
        <v>129562.24232115882</v>
      </c>
      <c r="F230" s="13"/>
      <c r="G230" s="13"/>
      <c r="H230" s="13"/>
      <c r="I230" s="13"/>
      <c r="J230" s="13"/>
      <c r="K230" s="29"/>
      <c r="L230" s="13"/>
      <c r="M230" s="30">
        <f>M229*M207</f>
        <v>177038.9337062712</v>
      </c>
    </row>
    <row r="231" spans="5:13" ht="12.75">
      <c r="E231" s="7"/>
      <c r="K231" s="10"/>
      <c r="M231" s="7"/>
    </row>
    <row r="232" spans="2:13" ht="12.75">
      <c r="B232" t="s">
        <v>50</v>
      </c>
      <c r="E232" s="7"/>
      <c r="K232" s="10"/>
      <c r="M232" s="7"/>
    </row>
    <row r="233" spans="3:13" ht="12.75">
      <c r="C233" t="s">
        <v>51</v>
      </c>
      <c r="E233" s="7">
        <f t="shared" si="0"/>
        <v>77946.28</v>
      </c>
      <c r="K233" s="10"/>
      <c r="M233" s="7">
        <f>E233*1.03</f>
        <v>80284.6684</v>
      </c>
    </row>
    <row r="234" spans="3:13" ht="12.75">
      <c r="C234" t="s">
        <v>52</v>
      </c>
      <c r="E234" s="7">
        <f t="shared" si="0"/>
        <v>16011724.837599998</v>
      </c>
      <c r="K234" s="10"/>
      <c r="M234" s="7">
        <f>M203*M233</f>
        <v>16492076.582727998</v>
      </c>
    </row>
    <row r="235" spans="5:13" ht="12.75">
      <c r="E235" s="7"/>
      <c r="K235" s="10"/>
      <c r="M235" s="7"/>
    </row>
    <row r="236" spans="3:13" ht="12.75">
      <c r="C236" t="s">
        <v>53</v>
      </c>
      <c r="E236" s="10">
        <f>M151</f>
        <v>20231</v>
      </c>
      <c r="G236" s="9">
        <f>(((365/547.5)*G151)-I151)+((0.5*(547.5-365)/(365*1.5))*G151)</f>
        <v>0.05742879137798307</v>
      </c>
      <c r="I236" s="9">
        <v>0</v>
      </c>
      <c r="K236" s="10">
        <f>(E236*(1+G236))*(1+I236)</f>
        <v>21392.841878367974</v>
      </c>
      <c r="M236" s="10">
        <f>K236</f>
        <v>21392.841878367974</v>
      </c>
    </row>
    <row r="237" spans="3:13" ht="12.75">
      <c r="C237" t="s">
        <v>54</v>
      </c>
      <c r="E237" s="10">
        <f>M152</f>
        <v>96374.66666666667</v>
      </c>
      <c r="G237" s="9">
        <f>(((365/547.5)*G152)-I152)+((0.5*(547.5-365)/(365*1.5))*G152)</f>
        <v>0.0680536272127733</v>
      </c>
      <c r="I237" s="9">
        <v>0</v>
      </c>
      <c r="K237" s="10">
        <f>(E237*(1+G237))*(1+I237)</f>
        <v>102933.31230475528</v>
      </c>
      <c r="M237" s="10">
        <f>K237</f>
        <v>102933.31230475528</v>
      </c>
    </row>
    <row r="238" spans="3:13" ht="12.75">
      <c r="C238" t="s">
        <v>55</v>
      </c>
      <c r="E238" s="9">
        <f>M153</f>
        <v>0.20992031100842545</v>
      </c>
      <c r="K238" s="10"/>
      <c r="M238" s="9">
        <f>M236/M237</f>
        <v>0.207832055525718</v>
      </c>
    </row>
    <row r="239" spans="5:13" ht="12.75">
      <c r="E239" s="7"/>
      <c r="K239" s="10"/>
      <c r="M239" s="7"/>
    </row>
    <row r="240" spans="3:13" ht="12.75">
      <c r="C240" s="18" t="s">
        <v>56</v>
      </c>
      <c r="D240" s="18"/>
      <c r="E240" s="19">
        <f>M155</f>
        <v>491880.18701107195</v>
      </c>
      <c r="K240" s="10"/>
      <c r="M240" s="19">
        <f>M233*M203*M195*M196</f>
        <v>506636.59262140404</v>
      </c>
    </row>
    <row r="241" spans="5:13" ht="12.75">
      <c r="E241" s="7"/>
      <c r="K241" s="10"/>
      <c r="M241" s="7"/>
    </row>
    <row r="242" spans="3:13" ht="12.75">
      <c r="C242" t="s">
        <v>57</v>
      </c>
      <c r="E242" s="7">
        <f>M157</f>
        <v>3853066.444701394</v>
      </c>
      <c r="K242" s="10"/>
      <c r="M242" s="7">
        <f>(M234*M238)+M240</f>
        <v>3934218.7686973233</v>
      </c>
    </row>
    <row r="243" spans="3:13" ht="13.5" thickBot="1">
      <c r="C243" t="s">
        <v>58</v>
      </c>
      <c r="E243" s="9">
        <f>M158</f>
        <v>0.85</v>
      </c>
      <c r="K243" s="10"/>
      <c r="M243" s="9">
        <v>0.85</v>
      </c>
    </row>
    <row r="244" spans="3:13" ht="13.5" thickBot="1">
      <c r="C244" s="12" t="s">
        <v>59</v>
      </c>
      <c r="D244" s="13"/>
      <c r="E244" s="14">
        <f>M159</f>
        <v>3275106.477996185</v>
      </c>
      <c r="F244" s="13"/>
      <c r="G244" s="13"/>
      <c r="H244" s="13"/>
      <c r="I244" s="13"/>
      <c r="J244" s="13"/>
      <c r="K244" s="29"/>
      <c r="L244" s="13"/>
      <c r="M244" s="30">
        <f>M242*M243</f>
        <v>3344085.9533927245</v>
      </c>
    </row>
    <row r="245" spans="5:13" ht="13.5" thickBot="1">
      <c r="E245" s="7"/>
      <c r="K245" s="10"/>
      <c r="M245" s="7"/>
    </row>
    <row r="246" spans="2:13" ht="13.5" thickBot="1">
      <c r="B246" t="s">
        <v>60</v>
      </c>
      <c r="C246" s="12"/>
      <c r="D246" s="13"/>
      <c r="E246" s="14">
        <f>M161</f>
        <v>315000</v>
      </c>
      <c r="F246" s="13"/>
      <c r="G246" s="13"/>
      <c r="H246" s="13"/>
      <c r="I246" s="13"/>
      <c r="J246" s="13"/>
      <c r="K246" s="29"/>
      <c r="L246" s="13"/>
      <c r="M246" s="30">
        <v>315000</v>
      </c>
    </row>
    <row r="247" spans="5:13" ht="13.5" thickBot="1">
      <c r="E247" s="7"/>
      <c r="K247" s="10"/>
      <c r="M247" s="7"/>
    </row>
    <row r="248" spans="2:13" ht="13.5" thickBot="1">
      <c r="B248" s="18" t="s">
        <v>61</v>
      </c>
      <c r="C248" s="12"/>
      <c r="D248" s="13"/>
      <c r="E248" s="14">
        <f>M163</f>
        <v>-18711.677957741995</v>
      </c>
      <c r="F248" s="13"/>
      <c r="G248" s="13"/>
      <c r="H248" s="13"/>
      <c r="I248" s="13"/>
      <c r="J248" s="13"/>
      <c r="K248" s="13"/>
      <c r="L248" s="13"/>
      <c r="M248" s="30">
        <f>M182*0.9315*-0.001</f>
        <v>-20077.33845888409</v>
      </c>
    </row>
    <row r="249" spans="5:13" ht="12.75">
      <c r="E249" s="7"/>
      <c r="M249" s="7"/>
    </row>
    <row r="250" ht="12.75">
      <c r="B250" t="s">
        <v>62</v>
      </c>
    </row>
    <row r="251" spans="3:13" ht="12.75">
      <c r="C251" t="s">
        <v>63</v>
      </c>
      <c r="E251" s="9">
        <f>M166</f>
        <v>0.6</v>
      </c>
      <c r="M251" s="9">
        <v>0.6</v>
      </c>
    </row>
    <row r="252" spans="3:13" ht="13.5" thickBot="1">
      <c r="C252" t="s">
        <v>64</v>
      </c>
      <c r="E252" s="7">
        <f>M167</f>
        <v>950000</v>
      </c>
      <c r="M252" s="7">
        <v>950000</v>
      </c>
    </row>
    <row r="253" spans="3:13" ht="13.5" thickBot="1">
      <c r="C253" s="12" t="s">
        <v>65</v>
      </c>
      <c r="D253" s="13"/>
      <c r="E253" s="14">
        <f>M168</f>
        <v>570000</v>
      </c>
      <c r="F253" s="13"/>
      <c r="G253" s="13"/>
      <c r="H253" s="13"/>
      <c r="I253" s="13"/>
      <c r="J253" s="13"/>
      <c r="K253" s="13"/>
      <c r="L253" s="13"/>
      <c r="M253" s="30">
        <f>M251*M252</f>
        <v>570000</v>
      </c>
    </row>
    <row r="254" spans="5:13" ht="13.5" thickBot="1">
      <c r="E254" s="7"/>
      <c r="M254" s="7"/>
    </row>
    <row r="255" spans="2:13" ht="13.5" thickBot="1">
      <c r="B255" s="21" t="s">
        <v>66</v>
      </c>
      <c r="C255" s="22"/>
      <c r="D255" s="22"/>
      <c r="E255" s="23">
        <f>M170</f>
        <v>36963474.47338178</v>
      </c>
      <c r="F255" s="22"/>
      <c r="G255" s="22"/>
      <c r="H255" s="22"/>
      <c r="I255" s="22"/>
      <c r="J255" s="22"/>
      <c r="K255" s="22"/>
      <c r="L255" s="22"/>
      <c r="M255" s="31">
        <f>SUM(M182,M187,M192,M197,M208,M226,M230,M244,M246,M248,M253)</f>
        <v>41847397.32370031</v>
      </c>
    </row>
    <row r="257" spans="1:13" ht="12.75">
      <c r="A257" s="27" t="s">
        <v>128</v>
      </c>
      <c r="E257" s="2" t="str">
        <f>M172</f>
        <v>Final 2000 Projections</v>
      </c>
      <c r="G257" s="2" t="s">
        <v>69</v>
      </c>
      <c r="I257" s="2" t="s">
        <v>70</v>
      </c>
      <c r="K257" s="2" t="s">
        <v>68</v>
      </c>
      <c r="M257" s="2" t="s">
        <v>129</v>
      </c>
    </row>
    <row r="259" ht="12.75">
      <c r="B259" t="s">
        <v>7</v>
      </c>
    </row>
    <row r="260" spans="3:13" ht="12.75">
      <c r="C260" t="s">
        <v>8</v>
      </c>
      <c r="E260" s="7">
        <f>M175</f>
        <v>4143.4</v>
      </c>
      <c r="G260" s="9"/>
      <c r="M260" s="7">
        <v>4143.4</v>
      </c>
    </row>
    <row r="261" spans="3:13" ht="12.75">
      <c r="C261" t="s">
        <v>9</v>
      </c>
      <c r="E261" s="7">
        <f>M176</f>
        <v>304.78</v>
      </c>
      <c r="G261" s="9"/>
      <c r="M261" s="7">
        <v>304.78</v>
      </c>
    </row>
    <row r="262" spans="3:13" ht="12.75">
      <c r="C262" t="s">
        <v>10</v>
      </c>
      <c r="E262" s="7">
        <f>M177</f>
        <v>4448.179999999999</v>
      </c>
      <c r="G262" s="9"/>
      <c r="M262" s="7">
        <f>M260+M261</f>
        <v>4448.179999999999</v>
      </c>
    </row>
    <row r="263" ht="12.75">
      <c r="G263" s="9"/>
    </row>
    <row r="264" spans="3:13" ht="12.75">
      <c r="C264" t="s">
        <v>11</v>
      </c>
      <c r="E264" s="10">
        <f>M179</f>
        <v>3461.089997832683</v>
      </c>
      <c r="G264" s="9">
        <f>G94-(I94+G179)</f>
        <v>0.02432813177286519</v>
      </c>
      <c r="I264" s="9">
        <v>0.07</v>
      </c>
      <c r="K264" s="10">
        <f>(E264*(1+G264))*(1+I264)</f>
        <v>3793.462280974142</v>
      </c>
      <c r="M264" s="10">
        <f>$K$264</f>
        <v>3793.462280974142</v>
      </c>
    </row>
    <row r="265" spans="3:13" ht="12.75">
      <c r="C265" t="s">
        <v>12</v>
      </c>
      <c r="E265" s="7">
        <f>M180</f>
        <v>15395551.306559382</v>
      </c>
      <c r="G265" s="9"/>
      <c r="I265" s="9"/>
      <c r="K265" s="10"/>
      <c r="M265" s="7">
        <f>M262*M264</f>
        <v>16874003.048983555</v>
      </c>
    </row>
    <row r="266" spans="3:13" ht="13.5" thickBot="1">
      <c r="C266" t="s">
        <v>13</v>
      </c>
      <c r="E266" s="11">
        <f>M181</f>
        <v>1.4</v>
      </c>
      <c r="G266" s="9"/>
      <c r="I266" s="9"/>
      <c r="K266" s="10"/>
      <c r="M266" s="11">
        <v>1.4</v>
      </c>
    </row>
    <row r="267" spans="3:13" ht="13.5" thickBot="1">
      <c r="C267" s="12" t="s">
        <v>14</v>
      </c>
      <c r="D267" s="13"/>
      <c r="E267" s="14">
        <f>M182</f>
        <v>21553771.829183135</v>
      </c>
      <c r="F267" s="13"/>
      <c r="G267" s="16"/>
      <c r="H267" s="13"/>
      <c r="I267" s="16"/>
      <c r="J267" s="13"/>
      <c r="K267" s="29"/>
      <c r="L267" s="13"/>
      <c r="M267" s="30">
        <f>M265*M266</f>
        <v>23623604.268576976</v>
      </c>
    </row>
    <row r="268" spans="7:11" ht="12.75">
      <c r="G268" s="9"/>
      <c r="I268" s="9"/>
      <c r="K268" s="10"/>
    </row>
    <row r="269" spans="2:11" ht="12.75">
      <c r="B269" t="s">
        <v>15</v>
      </c>
      <c r="G269" s="9"/>
      <c r="I269" s="9"/>
      <c r="K269" s="10"/>
    </row>
    <row r="270" spans="3:13" ht="12.75">
      <c r="C270" t="s">
        <v>16</v>
      </c>
      <c r="E270" s="7">
        <f>M185</f>
        <v>20076952.41582791</v>
      </c>
      <c r="G270" s="9"/>
      <c r="I270" s="9"/>
      <c r="K270" s="10"/>
      <c r="M270" s="7">
        <f>M260*M264*M266</f>
        <v>22004964.26098356</v>
      </c>
    </row>
    <row r="271" spans="3:13" ht="13.5" thickBot="1">
      <c r="C271" t="s">
        <v>17</v>
      </c>
      <c r="E271" s="9">
        <f>M186</f>
        <v>0.0281</v>
      </c>
      <c r="G271" s="9"/>
      <c r="I271" s="9"/>
      <c r="K271" s="10"/>
      <c r="M271" s="9">
        <v>0.0281</v>
      </c>
    </row>
    <row r="272" spans="3:13" ht="13.5" thickBot="1">
      <c r="C272" s="12" t="s">
        <v>15</v>
      </c>
      <c r="D272" s="13"/>
      <c r="E272" s="14">
        <f>M187</f>
        <v>564162.3628847643</v>
      </c>
      <c r="F272" s="13"/>
      <c r="G272" s="16"/>
      <c r="H272" s="13"/>
      <c r="I272" s="16"/>
      <c r="J272" s="13"/>
      <c r="K272" s="29"/>
      <c r="L272" s="13"/>
      <c r="M272" s="30">
        <f>M270*M271</f>
        <v>618339.4957336381</v>
      </c>
    </row>
    <row r="273" spans="7:11" ht="12.75">
      <c r="G273" s="9"/>
      <c r="I273" s="9"/>
      <c r="K273" s="10"/>
    </row>
    <row r="274" spans="2:11" ht="12.75">
      <c r="B274" s="18" t="s">
        <v>18</v>
      </c>
      <c r="C274" s="18"/>
      <c r="D274" s="18"/>
      <c r="G274" s="9"/>
      <c r="I274" s="9"/>
      <c r="K274" s="10"/>
    </row>
    <row r="275" spans="3:13" ht="12.75">
      <c r="C275" t="s">
        <v>19</v>
      </c>
      <c r="E275" s="7">
        <f>M190</f>
        <v>20641114.778712675</v>
      </c>
      <c r="G275" s="9"/>
      <c r="I275" s="9"/>
      <c r="K275" s="10"/>
      <c r="M275" s="7">
        <f>M270+M272</f>
        <v>22623303.756717198</v>
      </c>
    </row>
    <row r="276" spans="3:13" ht="13.5" thickBot="1">
      <c r="C276" t="s">
        <v>20</v>
      </c>
      <c r="E276">
        <f>M191</f>
        <v>0.3187485795957154</v>
      </c>
      <c r="G276" s="9"/>
      <c r="I276" s="9"/>
      <c r="K276" s="10"/>
      <c r="M276" s="32">
        <f>(((1+(205.42/334))^0.405)-1)*(((90/365)*1.54)+((183/365)*1.66)+((92/365)*1.6))</f>
        <v>0.3460980636071417</v>
      </c>
    </row>
    <row r="277" spans="2:13" ht="13.5" thickBot="1">
      <c r="B277" s="18"/>
      <c r="C277" s="12" t="s">
        <v>21</v>
      </c>
      <c r="D277" s="13"/>
      <c r="E277" s="14">
        <f>M192</f>
        <v>6579326.016986795</v>
      </c>
      <c r="F277" s="13"/>
      <c r="G277" s="16"/>
      <c r="H277" s="13"/>
      <c r="I277" s="16"/>
      <c r="J277" s="13"/>
      <c r="K277" s="29"/>
      <c r="L277" s="13"/>
      <c r="M277" s="30">
        <f>M275*M276</f>
        <v>7829881.622595996</v>
      </c>
    </row>
    <row r="278" spans="2:13" ht="12.75">
      <c r="B278" s="18"/>
      <c r="C278" s="18"/>
      <c r="D278" s="18"/>
      <c r="E278" s="19"/>
      <c r="G278" s="9"/>
      <c r="I278" s="9"/>
      <c r="K278" s="10"/>
      <c r="M278" s="19"/>
    </row>
    <row r="279" spans="2:13" ht="12.75">
      <c r="B279" t="s">
        <v>22</v>
      </c>
      <c r="E279" s="7"/>
      <c r="G279" s="9"/>
      <c r="I279" s="9"/>
      <c r="K279" s="10"/>
      <c r="M279" s="7"/>
    </row>
    <row r="280" spans="3:13" ht="12.75">
      <c r="C280" t="s">
        <v>23</v>
      </c>
      <c r="E280" s="9">
        <f>M195</f>
        <v>0.0768</v>
      </c>
      <c r="G280" s="9"/>
      <c r="I280" s="9"/>
      <c r="K280" s="10"/>
      <c r="M280" s="9">
        <v>0.0768</v>
      </c>
    </row>
    <row r="281" spans="3:13" ht="13.5" thickBot="1">
      <c r="C281" t="s">
        <v>24</v>
      </c>
      <c r="E281" s="9">
        <f>M196</f>
        <v>0.4</v>
      </c>
      <c r="G281" s="9"/>
      <c r="I281" s="9"/>
      <c r="K281" s="10"/>
      <c r="M281" s="9">
        <v>0.4</v>
      </c>
    </row>
    <row r="282" spans="2:13" ht="13.5" thickBot="1">
      <c r="B282" s="18"/>
      <c r="C282" s="12" t="s">
        <v>21</v>
      </c>
      <c r="D282" s="13"/>
      <c r="E282" s="14">
        <f>M197</f>
        <v>211053.5932564153</v>
      </c>
      <c r="F282" s="13"/>
      <c r="G282" s="16"/>
      <c r="H282" s="13"/>
      <c r="I282" s="16"/>
      <c r="J282" s="13"/>
      <c r="K282" s="29"/>
      <c r="L282" s="13"/>
      <c r="M282" s="30">
        <f>M267*M280*M276*M281</f>
        <v>251169.29104207555</v>
      </c>
    </row>
    <row r="283" spans="2:13" ht="12.75">
      <c r="B283" s="18"/>
      <c r="C283" s="18"/>
      <c r="D283" s="18"/>
      <c r="E283" s="19"/>
      <c r="G283" s="9"/>
      <c r="I283" s="9"/>
      <c r="K283" s="10"/>
      <c r="M283" s="19"/>
    </row>
    <row r="284" spans="2:13" ht="12.75">
      <c r="B284" t="s">
        <v>25</v>
      </c>
      <c r="E284" s="7"/>
      <c r="G284" s="9"/>
      <c r="I284" s="9"/>
      <c r="K284" s="10"/>
      <c r="M284" s="7"/>
    </row>
    <row r="285" spans="3:13" ht="12.75">
      <c r="C285" t="s">
        <v>26</v>
      </c>
      <c r="E285" s="10">
        <f>M200</f>
        <v>92364.88698572155</v>
      </c>
      <c r="G285" s="9">
        <f>G115-(I115+G200)</f>
        <v>0.05677050999868316</v>
      </c>
      <c r="I285" s="9">
        <v>0.07</v>
      </c>
      <c r="K285" s="10">
        <f>(E285*(1+G285))*(1+I285)</f>
        <v>104441.0829366827</v>
      </c>
      <c r="M285" s="10">
        <f>$K$285</f>
        <v>104441.0829366827</v>
      </c>
    </row>
    <row r="286" spans="3:13" ht="12.75">
      <c r="C286" t="s">
        <v>27</v>
      </c>
      <c r="E286" s="11">
        <f>M201</f>
        <v>253.0544848923878</v>
      </c>
      <c r="G286" s="9"/>
      <c r="I286" s="9"/>
      <c r="K286" s="10"/>
      <c r="M286" s="11">
        <f>M285/365</f>
        <v>286.1399532511855</v>
      </c>
    </row>
    <row r="287" spans="5:13" ht="12.75">
      <c r="E287" s="7"/>
      <c r="G287" s="9"/>
      <c r="I287" s="9"/>
      <c r="K287" s="10"/>
      <c r="M287" s="7"/>
    </row>
    <row r="288" spans="3:13" ht="12.75">
      <c r="C288" t="s">
        <v>28</v>
      </c>
      <c r="E288" s="11">
        <f>M203</f>
        <v>205.42</v>
      </c>
      <c r="G288" s="9"/>
      <c r="I288" s="9"/>
      <c r="K288" s="10"/>
      <c r="M288" s="11">
        <v>205.42</v>
      </c>
    </row>
    <row r="289" spans="3:13" ht="12.75">
      <c r="C289" t="s">
        <v>29</v>
      </c>
      <c r="E289" s="20">
        <f>M204</f>
        <v>0.8117619416520339</v>
      </c>
      <c r="G289" s="9"/>
      <c r="I289" s="9"/>
      <c r="K289" s="10"/>
      <c r="M289" s="20">
        <f>M288/M286</f>
        <v>0.7179004457992408</v>
      </c>
    </row>
    <row r="290" spans="5:13" ht="12.75">
      <c r="E290" s="11"/>
      <c r="G290" s="9"/>
      <c r="I290" s="9"/>
      <c r="K290" s="10"/>
      <c r="M290" s="11"/>
    </row>
    <row r="291" spans="3:13" ht="12.75">
      <c r="C291" t="s">
        <v>30</v>
      </c>
      <c r="E291" s="20">
        <f>M206</f>
        <v>0.2574435751249895</v>
      </c>
      <c r="G291" s="9"/>
      <c r="I291" s="9"/>
      <c r="K291" s="10"/>
      <c r="M291" s="20">
        <f>2.7183^(M289*0.2822)-1</f>
        <v>0.22457379390116983</v>
      </c>
    </row>
    <row r="292" spans="3:13" ht="13.5" thickBot="1">
      <c r="C292" t="s">
        <v>31</v>
      </c>
      <c r="E292" s="7">
        <f>M207</f>
        <v>1313880</v>
      </c>
      <c r="G292" s="9"/>
      <c r="I292" s="9"/>
      <c r="K292" s="10"/>
      <c r="M292" s="33">
        <v>1313880</v>
      </c>
    </row>
    <row r="293" spans="3:13" ht="13.5" thickBot="1">
      <c r="C293" s="12" t="s">
        <v>32</v>
      </c>
      <c r="D293" s="13"/>
      <c r="E293" s="14">
        <f>M208</f>
        <v>338249.9644852212</v>
      </c>
      <c r="F293" s="13"/>
      <c r="G293" s="16"/>
      <c r="H293" s="13"/>
      <c r="I293" s="16"/>
      <c r="J293" s="13"/>
      <c r="K293" s="29"/>
      <c r="L293" s="13"/>
      <c r="M293" s="30">
        <f>M291*M292</f>
        <v>295063.016330869</v>
      </c>
    </row>
    <row r="294" spans="5:13" ht="12.75">
      <c r="E294" s="7"/>
      <c r="G294" s="9"/>
      <c r="I294" s="9"/>
      <c r="K294" s="10"/>
      <c r="M294" s="7"/>
    </row>
    <row r="295" spans="2:13" ht="12.75">
      <c r="B295" t="s">
        <v>33</v>
      </c>
      <c r="E295" s="7"/>
      <c r="G295" s="9"/>
      <c r="I295" s="9"/>
      <c r="K295" s="10"/>
      <c r="M295" s="7"/>
    </row>
    <row r="296" spans="3:13" ht="12.75">
      <c r="C296" t="s">
        <v>34</v>
      </c>
      <c r="E296" s="10">
        <f>M211</f>
        <v>44338.214171027576</v>
      </c>
      <c r="G296" s="9">
        <f>G126-(I126+G211)</f>
        <v>0.25145694576593725</v>
      </c>
      <c r="I296" s="9">
        <v>0.07</v>
      </c>
      <c r="K296" s="10">
        <f>(E296*(1+G296))*(1+I296)</f>
        <v>59371.481713293484</v>
      </c>
      <c r="M296" s="10">
        <f>$K$296</f>
        <v>59371.481713293484</v>
      </c>
    </row>
    <row r="297" spans="3:13" ht="12.75">
      <c r="C297" t="s">
        <v>35</v>
      </c>
      <c r="E297" s="9">
        <f>M212</f>
        <v>0.48003322060992404</v>
      </c>
      <c r="G297" s="9"/>
      <c r="K297" s="10"/>
      <c r="M297" s="9">
        <f>M296/M285</f>
        <v>0.5684686527933398</v>
      </c>
    </row>
    <row r="298" spans="5:13" ht="12.75">
      <c r="E298" s="7"/>
      <c r="G298" s="9"/>
      <c r="K298" s="10"/>
      <c r="M298" s="7"/>
    </row>
    <row r="299" spans="3:13" ht="12.75">
      <c r="C299" t="s">
        <v>36</v>
      </c>
      <c r="E299" s="9">
        <f>M214</f>
        <v>0.1442</v>
      </c>
      <c r="G299" s="9"/>
      <c r="K299" s="10"/>
      <c r="M299" s="9">
        <v>0.1442</v>
      </c>
    </row>
    <row r="300" spans="3:13" ht="12.75">
      <c r="C300" t="s">
        <v>37</v>
      </c>
      <c r="E300" s="9">
        <f>M215</f>
        <v>0.624233220609924</v>
      </c>
      <c r="G300" s="9"/>
      <c r="K300" s="10"/>
      <c r="M300" s="9">
        <f>M297+M299</f>
        <v>0.7126686527933398</v>
      </c>
    </row>
    <row r="301" spans="3:13" ht="12.75">
      <c r="C301" t="s">
        <v>38</v>
      </c>
      <c r="E301" s="9">
        <f>M216</f>
        <v>0.202</v>
      </c>
      <c r="G301" s="9"/>
      <c r="K301" s="10"/>
      <c r="M301" s="9">
        <v>0.202</v>
      </c>
    </row>
    <row r="302" spans="3:13" ht="12.75">
      <c r="C302" t="s">
        <v>39</v>
      </c>
      <c r="E302" s="9">
        <f>M217</f>
        <v>0.422233220609924</v>
      </c>
      <c r="G302" s="9"/>
      <c r="K302" s="10"/>
      <c r="M302" s="9">
        <f>M300-M301</f>
        <v>0.5106686527933397</v>
      </c>
    </row>
    <row r="303" spans="5:13" ht="12.75">
      <c r="E303" s="7"/>
      <c r="G303" s="9"/>
      <c r="K303" s="10"/>
      <c r="M303" s="7"/>
    </row>
    <row r="304" spans="3:13" ht="12.75">
      <c r="C304" t="s">
        <v>40</v>
      </c>
      <c r="E304" s="9">
        <f>M219</f>
        <v>0.0588</v>
      </c>
      <c r="G304" s="9"/>
      <c r="K304" s="10"/>
      <c r="M304" s="9">
        <v>0.0588</v>
      </c>
    </row>
    <row r="305" spans="3:13" ht="12.75">
      <c r="C305" t="s">
        <v>41</v>
      </c>
      <c r="E305" s="9">
        <f>M220</f>
        <v>0.825</v>
      </c>
      <c r="G305" s="9"/>
      <c r="K305" s="10"/>
      <c r="M305" s="9">
        <v>0.825</v>
      </c>
    </row>
    <row r="306" spans="3:13" ht="12.75">
      <c r="C306" t="s">
        <v>42</v>
      </c>
      <c r="E306" s="9">
        <f>M221</f>
        <v>0.3483424070031873</v>
      </c>
      <c r="G306" s="9"/>
      <c r="K306" s="10"/>
      <c r="M306" s="9">
        <f>M302*M305</f>
        <v>0.42130163855450525</v>
      </c>
    </row>
    <row r="307" spans="3:13" ht="12.75">
      <c r="C307" t="s">
        <v>43</v>
      </c>
      <c r="E307" s="9">
        <f>M222</f>
        <v>0.4071424070031873</v>
      </c>
      <c r="G307" s="9"/>
      <c r="K307" s="10"/>
      <c r="M307" s="9">
        <f>M304+M306</f>
        <v>0.4801016385545053</v>
      </c>
    </row>
    <row r="308" spans="5:13" ht="12.75">
      <c r="E308" s="9"/>
      <c r="G308" s="9"/>
      <c r="K308" s="10"/>
      <c r="M308" s="9"/>
    </row>
    <row r="309" spans="3:13" ht="12.75">
      <c r="C309" t="s">
        <v>44</v>
      </c>
      <c r="E309" s="7">
        <f>M224</f>
        <v>8403873.154234141</v>
      </c>
      <c r="G309" s="9"/>
      <c r="K309" s="10"/>
      <c r="M309" s="7">
        <f>M275*M307</f>
        <v>10861485.203116221</v>
      </c>
    </row>
    <row r="310" spans="3:13" ht="13.5" thickBot="1">
      <c r="C310" t="s">
        <v>45</v>
      </c>
      <c r="E310" s="7">
        <f>M225</f>
        <v>189087.14597026818</v>
      </c>
      <c r="G310" s="9"/>
      <c r="K310" s="10"/>
      <c r="M310" s="7">
        <f>M309*0.0225</f>
        <v>244383.41707011499</v>
      </c>
    </row>
    <row r="311" spans="3:13" ht="13.5" thickBot="1">
      <c r="C311" s="12" t="s">
        <v>46</v>
      </c>
      <c r="D311" s="13"/>
      <c r="E311" s="14">
        <f>M226</f>
        <v>8214786.008263873</v>
      </c>
      <c r="F311" s="13"/>
      <c r="G311" s="16"/>
      <c r="H311" s="13"/>
      <c r="I311" s="13"/>
      <c r="J311" s="13"/>
      <c r="K311" s="29"/>
      <c r="L311" s="13"/>
      <c r="M311" s="30">
        <f>M309-M310</f>
        <v>10617101.786046106</v>
      </c>
    </row>
    <row r="312" spans="5:13" ht="12.75">
      <c r="E312" s="7"/>
      <c r="G312" s="9"/>
      <c r="K312" s="10"/>
      <c r="M312" s="7"/>
    </row>
    <row r="313" spans="2:13" ht="12.75">
      <c r="B313" t="s">
        <v>47</v>
      </c>
      <c r="E313" s="7"/>
      <c r="G313" s="9"/>
      <c r="K313" s="10"/>
      <c r="M313" s="7"/>
    </row>
    <row r="314" spans="3:13" ht="13.5" thickBot="1">
      <c r="C314" t="s">
        <v>48</v>
      </c>
      <c r="E314" s="20">
        <f>M229</f>
        <v>0.13474513175196456</v>
      </c>
      <c r="G314" s="9"/>
      <c r="K314" s="10"/>
      <c r="M314" s="20">
        <f>2.7183^(0.2025*M300)-1</f>
        <v>0.15524953346215908</v>
      </c>
    </row>
    <row r="315" spans="3:13" ht="13.5" thickBot="1">
      <c r="C315" s="12" t="s">
        <v>49</v>
      </c>
      <c r="D315" s="13"/>
      <c r="E315" s="14">
        <f>M230</f>
        <v>177038.9337062712</v>
      </c>
      <c r="F315" s="13"/>
      <c r="G315" s="16"/>
      <c r="H315" s="13"/>
      <c r="I315" s="13"/>
      <c r="J315" s="13"/>
      <c r="K315" s="29"/>
      <c r="L315" s="13"/>
      <c r="M315" s="30">
        <f>M314*M292</f>
        <v>203979.25702526158</v>
      </c>
    </row>
    <row r="316" spans="5:13" ht="12.75">
      <c r="E316" s="7"/>
      <c r="G316" s="9"/>
      <c r="K316" s="10"/>
      <c r="M316" s="7"/>
    </row>
    <row r="317" spans="2:13" ht="12.75">
      <c r="B317" t="s">
        <v>50</v>
      </c>
      <c r="E317" s="7"/>
      <c r="G317" s="9"/>
      <c r="K317" s="10"/>
      <c r="M317" s="7"/>
    </row>
    <row r="318" spans="3:13" ht="12.75">
      <c r="C318" t="s">
        <v>51</v>
      </c>
      <c r="E318" s="7">
        <f>M233</f>
        <v>80284.6684</v>
      </c>
      <c r="G318" s="9"/>
      <c r="K318" s="10"/>
      <c r="M318" s="7">
        <f>E318*1.03</f>
        <v>82693.20845199999</v>
      </c>
    </row>
    <row r="319" spans="3:13" ht="12.75">
      <c r="C319" t="s">
        <v>52</v>
      </c>
      <c r="E319" s="7">
        <f>M234</f>
        <v>16492076.582727998</v>
      </c>
      <c r="G319" s="9"/>
      <c r="K319" s="10"/>
      <c r="M319" s="7">
        <f>M288*M318</f>
        <v>16986838.880209837</v>
      </c>
    </row>
    <row r="320" spans="5:13" ht="12.75">
      <c r="E320" s="7"/>
      <c r="G320" s="9"/>
      <c r="K320" s="10"/>
      <c r="M320" s="7"/>
    </row>
    <row r="321" spans="3:13" ht="12.75">
      <c r="C321" t="s">
        <v>53</v>
      </c>
      <c r="E321" s="10">
        <f>M236</f>
        <v>21392.841878367974</v>
      </c>
      <c r="G321" s="9">
        <f>G151-(I151+G236)</f>
        <v>0.01914293045932769</v>
      </c>
      <c r="I321" s="9">
        <v>0.07</v>
      </c>
      <c r="K321" s="10">
        <f>(E321*(1+G321))*(1+I321)</f>
        <v>23328.529012167077</v>
      </c>
      <c r="M321" s="10">
        <f>K321</f>
        <v>23328.529012167077</v>
      </c>
    </row>
    <row r="322" spans="3:13" ht="12.75">
      <c r="C322" t="s">
        <v>54</v>
      </c>
      <c r="E322" s="10">
        <f>M237</f>
        <v>102933.31230475528</v>
      </c>
      <c r="G322" s="9">
        <f>G152-(I152+G237)</f>
        <v>0.022684542404257768</v>
      </c>
      <c r="I322" s="9">
        <v>0.07</v>
      </c>
      <c r="K322" s="10">
        <f>(E322*(1+G322))*(1+I322)</f>
        <v>112637.08891002125</v>
      </c>
      <c r="M322" s="10">
        <f>K322</f>
        <v>112637.08891002125</v>
      </c>
    </row>
    <row r="323" spans="3:13" ht="12.75">
      <c r="C323" t="s">
        <v>55</v>
      </c>
      <c r="E323" s="9">
        <f>M238</f>
        <v>0.207832055525718</v>
      </c>
      <c r="G323" s="9"/>
      <c r="K323" s="10"/>
      <c r="M323" s="9">
        <f>M321/M322</f>
        <v>0.20711232186409562</v>
      </c>
    </row>
    <row r="324" spans="5:13" ht="12.75">
      <c r="E324" s="7"/>
      <c r="G324" s="9"/>
      <c r="K324" s="10"/>
      <c r="M324" s="7"/>
    </row>
    <row r="325" spans="3:13" ht="12.75">
      <c r="C325" s="18" t="s">
        <v>56</v>
      </c>
      <c r="D325" s="18"/>
      <c r="E325" s="19">
        <f>M240</f>
        <v>506636.59262140404</v>
      </c>
      <c r="G325" s="9"/>
      <c r="K325" s="10"/>
      <c r="M325" s="19">
        <f>M318*M288*M280*M281</f>
        <v>521835.6904000461</v>
      </c>
    </row>
    <row r="326" spans="5:13" ht="12.75">
      <c r="E326" s="7"/>
      <c r="G326" s="9"/>
      <c r="K326" s="10"/>
      <c r="M326" s="7"/>
    </row>
    <row r="327" spans="3:13" ht="12.75">
      <c r="C327" t="s">
        <v>57</v>
      </c>
      <c r="E327" s="7">
        <f>M242</f>
        <v>3934218.7686973233</v>
      </c>
      <c r="G327" s="9"/>
      <c r="K327" s="10"/>
      <c r="M327" s="7">
        <f>(M319*M323)+M325</f>
        <v>4040019.3320115996</v>
      </c>
    </row>
    <row r="328" spans="3:13" ht="13.5" thickBot="1">
      <c r="C328" t="s">
        <v>58</v>
      </c>
      <c r="E328" s="9">
        <f>M243</f>
        <v>0.85</v>
      </c>
      <c r="G328" s="9"/>
      <c r="K328" s="10"/>
      <c r="M328" s="9">
        <v>0.85</v>
      </c>
    </row>
    <row r="329" spans="3:13" ht="13.5" thickBot="1">
      <c r="C329" s="12" t="s">
        <v>59</v>
      </c>
      <c r="D329" s="13"/>
      <c r="E329" s="14">
        <f>M244</f>
        <v>3344085.9533927245</v>
      </c>
      <c r="F329" s="13"/>
      <c r="G329" s="16"/>
      <c r="H329" s="13"/>
      <c r="I329" s="13"/>
      <c r="J329" s="13"/>
      <c r="K329" s="29"/>
      <c r="L329" s="13"/>
      <c r="M329" s="30">
        <f>M327*M328</f>
        <v>3434016.4322098596</v>
      </c>
    </row>
    <row r="330" spans="5:13" ht="13.5" thickBot="1">
      <c r="E330" s="7"/>
      <c r="G330" s="9"/>
      <c r="K330" s="10"/>
      <c r="M330" s="7"/>
    </row>
    <row r="331" spans="2:13" ht="13.5" thickBot="1">
      <c r="B331" t="s">
        <v>60</v>
      </c>
      <c r="C331" s="12"/>
      <c r="D331" s="13"/>
      <c r="E331" s="14">
        <f>M246</f>
        <v>315000</v>
      </c>
      <c r="F331" s="13"/>
      <c r="G331" s="16"/>
      <c r="H331" s="13"/>
      <c r="I331" s="13"/>
      <c r="J331" s="13"/>
      <c r="K331" s="29"/>
      <c r="L331" s="13"/>
      <c r="M331" s="30">
        <v>315000</v>
      </c>
    </row>
    <row r="332" spans="5:13" ht="13.5" thickBot="1">
      <c r="E332" s="7"/>
      <c r="G332" s="9"/>
      <c r="K332" s="10"/>
      <c r="M332" s="7"/>
    </row>
    <row r="333" spans="2:13" ht="13.5" thickBot="1">
      <c r="B333" s="18" t="s">
        <v>61</v>
      </c>
      <c r="C333" s="12"/>
      <c r="D333" s="13"/>
      <c r="E333" s="14">
        <f>M248</f>
        <v>-20077.33845888409</v>
      </c>
      <c r="F333" s="13"/>
      <c r="G333" s="16"/>
      <c r="H333" s="13"/>
      <c r="I333" s="13"/>
      <c r="J333" s="13"/>
      <c r="K333" s="13"/>
      <c r="L333" s="13"/>
      <c r="M333" s="30">
        <f>M267*0.9315*-0.001</f>
        <v>-22005.387376179453</v>
      </c>
    </row>
    <row r="334" spans="5:13" ht="12.75">
      <c r="E334" s="7"/>
      <c r="G334" s="9"/>
      <c r="M334" s="7"/>
    </row>
    <row r="335" spans="2:7" ht="12.75">
      <c r="B335" t="s">
        <v>62</v>
      </c>
      <c r="G335" s="9"/>
    </row>
    <row r="336" spans="3:13" ht="12.75">
      <c r="C336" t="s">
        <v>63</v>
      </c>
      <c r="E336" s="9">
        <f>M251</f>
        <v>0.6</v>
      </c>
      <c r="G336" s="9"/>
      <c r="M336" s="9">
        <v>0.6</v>
      </c>
    </row>
    <row r="337" spans="3:13" ht="13.5" thickBot="1">
      <c r="C337" t="s">
        <v>64</v>
      </c>
      <c r="E337" s="7">
        <f>M252</f>
        <v>950000</v>
      </c>
      <c r="G337" s="9"/>
      <c r="M337" s="7">
        <v>950000</v>
      </c>
    </row>
    <row r="338" spans="3:13" ht="13.5" thickBot="1">
      <c r="C338" s="12" t="s">
        <v>65</v>
      </c>
      <c r="D338" s="13"/>
      <c r="E338" s="14">
        <f>M253</f>
        <v>570000</v>
      </c>
      <c r="F338" s="13"/>
      <c r="G338" s="16"/>
      <c r="H338" s="13"/>
      <c r="I338" s="13"/>
      <c r="J338" s="13"/>
      <c r="K338" s="13"/>
      <c r="L338" s="13"/>
      <c r="M338" s="30">
        <f>M336*M337</f>
        <v>570000</v>
      </c>
    </row>
    <row r="339" spans="5:13" ht="13.5" thickBot="1">
      <c r="E339" s="7"/>
      <c r="G339" s="9"/>
      <c r="M339" s="7"/>
    </row>
    <row r="340" spans="2:13" ht="13.5" thickBot="1">
      <c r="B340" s="21" t="s">
        <v>66</v>
      </c>
      <c r="C340" s="22"/>
      <c r="D340" s="22"/>
      <c r="E340" s="23">
        <f>M255</f>
        <v>41847397.32370031</v>
      </c>
      <c r="F340" s="22"/>
      <c r="G340" s="25"/>
      <c r="H340" s="22"/>
      <c r="I340" s="22"/>
      <c r="J340" s="22"/>
      <c r="K340" s="22"/>
      <c r="L340" s="22"/>
      <c r="M340" s="31">
        <f>SUM(M267,M272,M277,M282,M293,M311,M315,M329,M331,M333,M338)</f>
        <v>47736149.78218459</v>
      </c>
    </row>
    <row r="341" ht="12.75">
      <c r="G341" s="9"/>
    </row>
    <row r="342" spans="1:13" ht="12.75">
      <c r="A342" s="27" t="s">
        <v>130</v>
      </c>
      <c r="E342" s="2" t="str">
        <f>M257</f>
        <v>Final 2001 Projections</v>
      </c>
      <c r="G342" s="68" t="s">
        <v>69</v>
      </c>
      <c r="I342" s="2" t="s">
        <v>70</v>
      </c>
      <c r="K342" s="2" t="s">
        <v>68</v>
      </c>
      <c r="M342" s="2" t="s">
        <v>131</v>
      </c>
    </row>
    <row r="343" ht="12.75">
      <c r="G343" s="9"/>
    </row>
    <row r="344" spans="2:7" ht="12.75">
      <c r="B344" t="s">
        <v>7</v>
      </c>
      <c r="G344" s="9"/>
    </row>
    <row r="345" spans="3:13" ht="12.75">
      <c r="C345" t="s">
        <v>8</v>
      </c>
      <c r="E345" s="7">
        <f>M260</f>
        <v>4143.4</v>
      </c>
      <c r="G345" s="9"/>
      <c r="M345" s="7">
        <v>4143.4</v>
      </c>
    </row>
    <row r="346" spans="3:13" ht="12.75">
      <c r="C346" t="s">
        <v>9</v>
      </c>
      <c r="E346" s="7">
        <f>M261</f>
        <v>304.78</v>
      </c>
      <c r="G346" s="9"/>
      <c r="M346" s="7">
        <v>304.78</v>
      </c>
    </row>
    <row r="347" spans="3:13" ht="12.75">
      <c r="C347" t="s">
        <v>10</v>
      </c>
      <c r="E347" s="7">
        <f>M262</f>
        <v>4448.179999999999</v>
      </c>
      <c r="G347" s="9"/>
      <c r="M347" s="7">
        <f>M345+M346</f>
        <v>4448.179999999999</v>
      </c>
    </row>
    <row r="348" ht="12.75">
      <c r="G348" s="9"/>
    </row>
    <row r="349" spans="3:13" ht="12.75">
      <c r="C349" t="s">
        <v>11</v>
      </c>
      <c r="E349" s="10">
        <f>M264</f>
        <v>3793.462280974142</v>
      </c>
      <c r="G349" s="9">
        <v>0</v>
      </c>
      <c r="I349" s="9">
        <v>0.07</v>
      </c>
      <c r="K349" s="10">
        <f>(E349*(1+G349))*(1+I349)</f>
        <v>4059.004640642332</v>
      </c>
      <c r="M349" s="10">
        <f>$K$349</f>
        <v>4059.004640642332</v>
      </c>
    </row>
    <row r="350" spans="3:13" ht="12.75">
      <c r="C350" t="s">
        <v>12</v>
      </c>
      <c r="E350" s="7">
        <f>M265</f>
        <v>16874003.048983555</v>
      </c>
      <c r="G350" s="9"/>
      <c r="I350" s="9"/>
      <c r="K350" s="10"/>
      <c r="M350" s="7">
        <f>M347*M349</f>
        <v>18055183.262412407</v>
      </c>
    </row>
    <row r="351" spans="3:13" ht="13.5" thickBot="1">
      <c r="C351" t="s">
        <v>13</v>
      </c>
      <c r="E351" s="11">
        <f>M266</f>
        <v>1.4</v>
      </c>
      <c r="G351" s="9"/>
      <c r="I351" s="9"/>
      <c r="K351" s="10"/>
      <c r="M351" s="11">
        <v>1.4</v>
      </c>
    </row>
    <row r="352" spans="3:13" ht="13.5" thickBot="1">
      <c r="C352" s="12" t="s">
        <v>14</v>
      </c>
      <c r="D352" s="13"/>
      <c r="E352" s="14">
        <f>M267</f>
        <v>23623604.268576976</v>
      </c>
      <c r="F352" s="13"/>
      <c r="G352" s="16"/>
      <c r="H352" s="13"/>
      <c r="I352" s="16"/>
      <c r="J352" s="13"/>
      <c r="K352" s="29"/>
      <c r="L352" s="13"/>
      <c r="M352" s="30">
        <f>M350*M351</f>
        <v>25277256.567377366</v>
      </c>
    </row>
    <row r="353" spans="7:11" ht="12.75">
      <c r="G353" s="9"/>
      <c r="I353" s="9"/>
      <c r="K353" s="10"/>
    </row>
    <row r="354" spans="2:11" ht="12.75">
      <c r="B354" t="s">
        <v>15</v>
      </c>
      <c r="G354" s="9"/>
      <c r="I354" s="9"/>
      <c r="K354" s="10"/>
    </row>
    <row r="355" spans="3:13" ht="12.75">
      <c r="C355" t="s">
        <v>16</v>
      </c>
      <c r="E355" s="7">
        <f>M270</f>
        <v>22004964.26098356</v>
      </c>
      <c r="G355" s="9"/>
      <c r="I355" s="9"/>
      <c r="K355" s="10"/>
      <c r="M355" s="7">
        <f>M345*M349*M351</f>
        <v>23545311.75925241</v>
      </c>
    </row>
    <row r="356" spans="3:13" ht="13.5" thickBot="1">
      <c r="C356" t="s">
        <v>17</v>
      </c>
      <c r="E356" s="9">
        <f>M271</f>
        <v>0.0281</v>
      </c>
      <c r="G356" s="9"/>
      <c r="I356" s="9"/>
      <c r="K356" s="10"/>
      <c r="M356" s="9">
        <v>0.0281</v>
      </c>
    </row>
    <row r="357" spans="3:13" ht="13.5" thickBot="1">
      <c r="C357" s="12" t="s">
        <v>15</v>
      </c>
      <c r="D357" s="13"/>
      <c r="E357" s="14">
        <f>M272</f>
        <v>618339.4957336381</v>
      </c>
      <c r="F357" s="13"/>
      <c r="G357" s="16"/>
      <c r="H357" s="13"/>
      <c r="I357" s="16"/>
      <c r="J357" s="13"/>
      <c r="K357" s="29"/>
      <c r="L357" s="13"/>
      <c r="M357" s="30">
        <f>M355*M356</f>
        <v>661623.2604349927</v>
      </c>
    </row>
    <row r="358" spans="7:11" ht="12.75">
      <c r="G358" s="9"/>
      <c r="I358" s="9"/>
      <c r="K358" s="10"/>
    </row>
    <row r="359" spans="2:11" ht="12.75">
      <c r="B359" s="18" t="s">
        <v>18</v>
      </c>
      <c r="C359" s="18"/>
      <c r="D359" s="18"/>
      <c r="G359" s="9"/>
      <c r="I359" s="9"/>
      <c r="K359" s="10"/>
    </row>
    <row r="360" spans="3:13" ht="12.75">
      <c r="C360" t="s">
        <v>19</v>
      </c>
      <c r="E360" s="7">
        <f>M275</f>
        <v>22623303.756717198</v>
      </c>
      <c r="G360" s="9"/>
      <c r="I360" s="9"/>
      <c r="K360" s="10"/>
      <c r="M360" s="7">
        <f>M355+M357</f>
        <v>24206935.019687403</v>
      </c>
    </row>
    <row r="361" spans="3:13" ht="13.5" thickBot="1">
      <c r="C361" t="s">
        <v>20</v>
      </c>
      <c r="E361" s="20">
        <f>M276</f>
        <v>0.3460980636071417</v>
      </c>
      <c r="G361" s="9"/>
      <c r="I361" s="9"/>
      <c r="K361" s="10"/>
      <c r="M361" s="32">
        <f>(((1+(205.42/334))^0.405)-1)*(((273/365)*1.6)+((92/365)*1.35))</f>
        <v>0.32932089569457323</v>
      </c>
    </row>
    <row r="362" spans="2:13" ht="13.5" thickBot="1">
      <c r="B362" s="18"/>
      <c r="C362" s="12" t="s">
        <v>21</v>
      </c>
      <c r="D362" s="13"/>
      <c r="E362" s="14">
        <f>M277</f>
        <v>7829881.622595996</v>
      </c>
      <c r="F362" s="13"/>
      <c r="G362" s="16"/>
      <c r="H362" s="13"/>
      <c r="I362" s="16"/>
      <c r="J362" s="13"/>
      <c r="K362" s="29"/>
      <c r="L362" s="13"/>
      <c r="M362" s="30">
        <f>M360*M361</f>
        <v>7971849.522703787</v>
      </c>
    </row>
    <row r="363" spans="2:13" ht="12.75">
      <c r="B363" s="18"/>
      <c r="C363" s="18"/>
      <c r="D363" s="18"/>
      <c r="E363" s="19"/>
      <c r="G363" s="9"/>
      <c r="I363" s="9"/>
      <c r="K363" s="10"/>
      <c r="M363" s="19"/>
    </row>
    <row r="364" spans="2:13" ht="12.75">
      <c r="B364" t="s">
        <v>22</v>
      </c>
      <c r="E364" s="7"/>
      <c r="G364" s="9"/>
      <c r="I364" s="9"/>
      <c r="K364" s="10"/>
      <c r="M364" s="7"/>
    </row>
    <row r="365" spans="3:13" ht="12.75">
      <c r="C365" t="s">
        <v>23</v>
      </c>
      <c r="E365" s="9">
        <f>M280</f>
        <v>0.0768</v>
      </c>
      <c r="G365" s="9"/>
      <c r="I365" s="9"/>
      <c r="K365" s="10"/>
      <c r="M365" s="9">
        <v>0.0768</v>
      </c>
    </row>
    <row r="366" spans="3:13" ht="13.5" thickBot="1">
      <c r="C366" t="s">
        <v>24</v>
      </c>
      <c r="E366" s="9">
        <f>M281</f>
        <v>0.4</v>
      </c>
      <c r="G366" s="9"/>
      <c r="I366" s="9"/>
      <c r="K366" s="10"/>
      <c r="M366" s="9">
        <v>0.4</v>
      </c>
    </row>
    <row r="367" spans="2:13" ht="13.5" thickBot="1">
      <c r="B367" s="18"/>
      <c r="C367" s="12" t="s">
        <v>21</v>
      </c>
      <c r="D367" s="13"/>
      <c r="E367" s="14">
        <f>M282</f>
        <v>251169.29104207555</v>
      </c>
      <c r="F367" s="13"/>
      <c r="G367" s="16"/>
      <c r="H367" s="13"/>
      <c r="I367" s="16"/>
      <c r="J367" s="13"/>
      <c r="K367" s="29"/>
      <c r="L367" s="13"/>
      <c r="M367" s="30">
        <f>M352*M365*M361*M366</f>
        <v>255723.379921006</v>
      </c>
    </row>
    <row r="368" spans="2:13" ht="12.75">
      <c r="B368" s="18"/>
      <c r="C368" s="18"/>
      <c r="D368" s="18"/>
      <c r="E368" s="19"/>
      <c r="G368" s="9"/>
      <c r="I368" s="9"/>
      <c r="K368" s="10"/>
      <c r="M368" s="19"/>
    </row>
    <row r="369" spans="2:13" ht="12.75">
      <c r="B369" t="s">
        <v>25</v>
      </c>
      <c r="E369" s="7"/>
      <c r="G369" s="9"/>
      <c r="I369" s="9"/>
      <c r="K369" s="10"/>
      <c r="M369" s="7"/>
    </row>
    <row r="370" spans="3:13" ht="12.75">
      <c r="C370" t="s">
        <v>26</v>
      </c>
      <c r="E370" s="10">
        <f>M285</f>
        <v>104441.0829366827</v>
      </c>
      <c r="G370" s="9">
        <v>0</v>
      </c>
      <c r="I370" s="9">
        <v>0.07</v>
      </c>
      <c r="K370" s="10">
        <f>(E370*(1+G370))*(1+I370)</f>
        <v>111751.95874225048</v>
      </c>
      <c r="M370" s="10">
        <f>$K$370</f>
        <v>111751.95874225048</v>
      </c>
    </row>
    <row r="371" spans="3:13" ht="12.75">
      <c r="C371" t="s">
        <v>27</v>
      </c>
      <c r="E371" s="11">
        <f>M286</f>
        <v>286.1399532511855</v>
      </c>
      <c r="G371" s="9"/>
      <c r="I371" s="9"/>
      <c r="K371" s="10"/>
      <c r="M371" s="11">
        <f>M370/365</f>
        <v>306.16974997876844</v>
      </c>
    </row>
    <row r="372" spans="5:13" ht="12.75">
      <c r="E372" s="7"/>
      <c r="G372" s="9"/>
      <c r="I372" s="9"/>
      <c r="K372" s="10"/>
      <c r="M372" s="7"/>
    </row>
    <row r="373" spans="3:13" ht="12.75">
      <c r="C373" t="s">
        <v>28</v>
      </c>
      <c r="E373" s="11">
        <f>M288</f>
        <v>205.42</v>
      </c>
      <c r="G373" s="9"/>
      <c r="I373" s="9"/>
      <c r="K373" s="10"/>
      <c r="M373" s="11">
        <v>205.42</v>
      </c>
    </row>
    <row r="374" spans="3:13" ht="12.75">
      <c r="C374" t="s">
        <v>29</v>
      </c>
      <c r="E374" s="20">
        <f>M289</f>
        <v>0.7179004457992408</v>
      </c>
      <c r="G374" s="9"/>
      <c r="I374" s="9"/>
      <c r="K374" s="10"/>
      <c r="M374" s="20">
        <f>M373/M371</f>
        <v>0.6709349960740569</v>
      </c>
    </row>
    <row r="375" spans="5:13" ht="12.75">
      <c r="E375" s="11"/>
      <c r="G375" s="9"/>
      <c r="I375" s="9"/>
      <c r="K375" s="10"/>
      <c r="M375" s="11"/>
    </row>
    <row r="376" spans="3:13" ht="12.75">
      <c r="C376" t="s">
        <v>30</v>
      </c>
      <c r="E376" s="20">
        <f>M291</f>
        <v>0.22457379390116983</v>
      </c>
      <c r="G376" s="9"/>
      <c r="I376" s="9"/>
      <c r="K376" s="10"/>
      <c r="M376" s="20">
        <f>2.7183^(M374*0.2822)-1</f>
        <v>0.20845069473512168</v>
      </c>
    </row>
    <row r="377" spans="3:13" ht="13.5" thickBot="1">
      <c r="C377" t="s">
        <v>31</v>
      </c>
      <c r="E377" s="7">
        <f>M292</f>
        <v>1313880</v>
      </c>
      <c r="G377" s="9"/>
      <c r="I377" s="9"/>
      <c r="K377" s="10"/>
      <c r="M377" s="33">
        <v>1313880</v>
      </c>
    </row>
    <row r="378" spans="3:13" ht="13.5" thickBot="1">
      <c r="C378" s="12" t="s">
        <v>32</v>
      </c>
      <c r="D378" s="13"/>
      <c r="E378" s="14">
        <f>M293</f>
        <v>295063.016330869</v>
      </c>
      <c r="F378" s="13"/>
      <c r="G378" s="16"/>
      <c r="H378" s="13"/>
      <c r="I378" s="16"/>
      <c r="J378" s="13"/>
      <c r="K378" s="29"/>
      <c r="L378" s="13"/>
      <c r="M378" s="30">
        <f>M376*M377</f>
        <v>273879.19879858167</v>
      </c>
    </row>
    <row r="379" spans="5:13" ht="12.75">
      <c r="E379" s="7"/>
      <c r="G379" s="9"/>
      <c r="I379" s="9"/>
      <c r="K379" s="10"/>
      <c r="M379" s="7"/>
    </row>
    <row r="380" spans="2:13" ht="12.75">
      <c r="B380" t="s">
        <v>33</v>
      </c>
      <c r="E380" s="7"/>
      <c r="G380" s="9"/>
      <c r="I380" s="9"/>
      <c r="K380" s="10"/>
      <c r="M380" s="7"/>
    </row>
    <row r="381" spans="3:13" ht="12.75">
      <c r="C381" t="s">
        <v>34</v>
      </c>
      <c r="E381" s="10">
        <f>M296</f>
        <v>59371.481713293484</v>
      </c>
      <c r="G381" s="9">
        <v>0</v>
      </c>
      <c r="I381" s="9">
        <v>0.07</v>
      </c>
      <c r="K381" s="10">
        <f>(E381*(1+G381))*(1+I381)</f>
        <v>63527.48543322403</v>
      </c>
      <c r="M381" s="10">
        <f>$K$381</f>
        <v>63527.48543322403</v>
      </c>
    </row>
    <row r="382" spans="3:13" ht="12.75">
      <c r="C382" t="s">
        <v>35</v>
      </c>
      <c r="E382" s="9">
        <f>M297</f>
        <v>0.5684686527933398</v>
      </c>
      <c r="G382" s="9"/>
      <c r="K382" s="10"/>
      <c r="M382" s="9">
        <f>M381/M370</f>
        <v>0.5684686527933398</v>
      </c>
    </row>
    <row r="383" spans="5:13" ht="12.75">
      <c r="E383" s="7"/>
      <c r="G383" s="9"/>
      <c r="K383" s="10"/>
      <c r="M383" s="7"/>
    </row>
    <row r="384" spans="3:13" ht="12.75">
      <c r="C384" t="s">
        <v>36</v>
      </c>
      <c r="E384" s="9">
        <f>M299</f>
        <v>0.1442</v>
      </c>
      <c r="G384" s="9"/>
      <c r="K384" s="10"/>
      <c r="M384" s="9">
        <v>0.1442</v>
      </c>
    </row>
    <row r="385" spans="3:13" ht="12.75">
      <c r="C385" t="s">
        <v>37</v>
      </c>
      <c r="E385" s="9">
        <f>M300</f>
        <v>0.7126686527933398</v>
      </c>
      <c r="G385" s="9"/>
      <c r="K385" s="10"/>
      <c r="M385" s="9">
        <f>M382+M384</f>
        <v>0.7126686527933398</v>
      </c>
    </row>
    <row r="386" spans="3:13" ht="12.75">
      <c r="C386" t="s">
        <v>38</v>
      </c>
      <c r="E386" s="9">
        <f>M301</f>
        <v>0.202</v>
      </c>
      <c r="G386" s="9"/>
      <c r="K386" s="10"/>
      <c r="M386" s="9">
        <v>0.202</v>
      </c>
    </row>
    <row r="387" spans="3:13" ht="12.75">
      <c r="C387" t="s">
        <v>39</v>
      </c>
      <c r="E387" s="9">
        <f>M302</f>
        <v>0.5106686527933397</v>
      </c>
      <c r="G387" s="9"/>
      <c r="K387" s="10"/>
      <c r="M387" s="9">
        <f>M385-M386</f>
        <v>0.5106686527933397</v>
      </c>
    </row>
    <row r="388" spans="5:13" ht="12.75">
      <c r="E388" s="7"/>
      <c r="G388" s="9"/>
      <c r="K388" s="10"/>
      <c r="M388" s="7"/>
    </row>
    <row r="389" spans="3:13" ht="12.75">
      <c r="C389" t="s">
        <v>40</v>
      </c>
      <c r="E389" s="9">
        <f>M304</f>
        <v>0.0588</v>
      </c>
      <c r="G389" s="9"/>
      <c r="K389" s="10"/>
      <c r="M389" s="9">
        <v>0.0588</v>
      </c>
    </row>
    <row r="390" spans="3:13" ht="12.75">
      <c r="C390" t="s">
        <v>41</v>
      </c>
      <c r="E390" s="9">
        <f>M305</f>
        <v>0.825</v>
      </c>
      <c r="G390" s="9"/>
      <c r="K390" s="10"/>
      <c r="M390" s="9">
        <v>0.825</v>
      </c>
    </row>
    <row r="391" spans="3:13" ht="12.75">
      <c r="C391" t="s">
        <v>42</v>
      </c>
      <c r="E391" s="9">
        <f>M306</f>
        <v>0.42130163855450525</v>
      </c>
      <c r="G391" s="9"/>
      <c r="K391" s="10"/>
      <c r="M391" s="9">
        <f>M387*M390</f>
        <v>0.42130163855450525</v>
      </c>
    </row>
    <row r="392" spans="3:13" ht="12.75">
      <c r="C392" t="s">
        <v>43</v>
      </c>
      <c r="E392" s="9">
        <f>M307</f>
        <v>0.4801016385545053</v>
      </c>
      <c r="G392" s="9"/>
      <c r="K392" s="10"/>
      <c r="M392" s="9">
        <f>M389+M391</f>
        <v>0.4801016385545053</v>
      </c>
    </row>
    <row r="393" spans="5:13" ht="12.75">
      <c r="E393" s="9"/>
      <c r="G393" s="9"/>
      <c r="K393" s="10"/>
      <c r="M393" s="9"/>
    </row>
    <row r="394" spans="3:13" ht="12.75">
      <c r="C394" t="s">
        <v>44</v>
      </c>
      <c r="E394" s="7">
        <f>M309</f>
        <v>10861485.203116221</v>
      </c>
      <c r="G394" s="9"/>
      <c r="K394" s="10"/>
      <c r="M394" s="7">
        <f>M360*M392</f>
        <v>11621789.167334357</v>
      </c>
    </row>
    <row r="395" spans="3:13" ht="13.5" thickBot="1">
      <c r="C395" t="s">
        <v>45</v>
      </c>
      <c r="E395" s="7">
        <f>M310</f>
        <v>244383.41707011499</v>
      </c>
      <c r="G395" s="9"/>
      <c r="K395" s="10"/>
      <c r="M395" s="7">
        <f>M394*0.0225</f>
        <v>261490.25626502302</v>
      </c>
    </row>
    <row r="396" spans="3:13" ht="13.5" thickBot="1">
      <c r="C396" s="12" t="s">
        <v>46</v>
      </c>
      <c r="D396" s="13"/>
      <c r="E396" s="14">
        <f>M311</f>
        <v>10617101.786046106</v>
      </c>
      <c r="F396" s="13"/>
      <c r="G396" s="16"/>
      <c r="H396" s="13"/>
      <c r="I396" s="13"/>
      <c r="J396" s="13"/>
      <c r="K396" s="29"/>
      <c r="L396" s="13"/>
      <c r="M396" s="30">
        <f>M394-M395</f>
        <v>11360298.911069334</v>
      </c>
    </row>
    <row r="397" spans="5:13" ht="12.75">
      <c r="E397" s="7"/>
      <c r="G397" s="9"/>
      <c r="K397" s="10"/>
      <c r="M397" s="7"/>
    </row>
    <row r="398" spans="2:13" ht="12.75">
      <c r="B398" t="s">
        <v>47</v>
      </c>
      <c r="E398" s="7"/>
      <c r="G398" s="9"/>
      <c r="K398" s="10"/>
      <c r="M398" s="7"/>
    </row>
    <row r="399" spans="3:13" ht="13.5" thickBot="1">
      <c r="C399" t="s">
        <v>48</v>
      </c>
      <c r="E399" s="20">
        <f>M314</f>
        <v>0.15524953346215908</v>
      </c>
      <c r="G399" s="9"/>
      <c r="K399" s="10"/>
      <c r="M399" s="20">
        <f>2.7183^(0.2025*M385)-1</f>
        <v>0.15524953346215908</v>
      </c>
    </row>
    <row r="400" spans="3:13" ht="13.5" thickBot="1">
      <c r="C400" s="12" t="s">
        <v>49</v>
      </c>
      <c r="D400" s="13"/>
      <c r="E400" s="14">
        <f>M315</f>
        <v>203979.25702526158</v>
      </c>
      <c r="F400" s="13"/>
      <c r="G400" s="16"/>
      <c r="H400" s="13"/>
      <c r="I400" s="13"/>
      <c r="J400" s="13"/>
      <c r="K400" s="29"/>
      <c r="L400" s="13"/>
      <c r="M400" s="30">
        <f>M399*M377</f>
        <v>203979.25702526158</v>
      </c>
    </row>
    <row r="401" spans="5:13" ht="12.75">
      <c r="E401" s="7"/>
      <c r="G401" s="9"/>
      <c r="K401" s="10"/>
      <c r="M401" s="7"/>
    </row>
    <row r="402" spans="2:13" ht="12.75">
      <c r="B402" t="s">
        <v>50</v>
      </c>
      <c r="E402" s="7"/>
      <c r="G402" s="9"/>
      <c r="K402" s="10"/>
      <c r="M402" s="7"/>
    </row>
    <row r="403" spans="3:13" ht="12.75">
      <c r="C403" t="s">
        <v>51</v>
      </c>
      <c r="E403" s="7">
        <f>M318</f>
        <v>82693.20845199999</v>
      </c>
      <c r="G403" s="9"/>
      <c r="K403" s="10"/>
      <c r="M403" s="7">
        <f>E403*1.03</f>
        <v>85174.00470556</v>
      </c>
    </row>
    <row r="404" spans="3:13" ht="12.75">
      <c r="C404" t="s">
        <v>52</v>
      </c>
      <c r="E404" s="7">
        <f>M319</f>
        <v>16986838.880209837</v>
      </c>
      <c r="G404" s="9"/>
      <c r="K404" s="10"/>
      <c r="M404" s="7">
        <f>M373*M403</f>
        <v>17496444.046616133</v>
      </c>
    </row>
    <row r="405" spans="5:13" ht="12.75">
      <c r="E405" s="7"/>
      <c r="G405" s="9"/>
      <c r="K405" s="10"/>
      <c r="M405" s="7"/>
    </row>
    <row r="406" spans="3:13" ht="12.75">
      <c r="C406" t="s">
        <v>53</v>
      </c>
      <c r="E406" s="10">
        <f>M321</f>
        <v>23328.529012167077</v>
      </c>
      <c r="G406" s="9">
        <v>0</v>
      </c>
      <c r="I406" s="9">
        <v>0.07</v>
      </c>
      <c r="K406" s="10">
        <f>(E406*(1+G406))*(1+I406)</f>
        <v>24961.526043018774</v>
      </c>
      <c r="M406" s="10">
        <f>$K$406</f>
        <v>24961.526043018774</v>
      </c>
    </row>
    <row r="407" spans="3:13" ht="12.75">
      <c r="C407" t="s">
        <v>54</v>
      </c>
      <c r="E407" s="10">
        <f>M322</f>
        <v>112637.08891002125</v>
      </c>
      <c r="G407" s="9">
        <v>0</v>
      </c>
      <c r="I407" s="9">
        <v>0.07</v>
      </c>
      <c r="K407" s="10">
        <f>(E407*(1+G407))*(1+I407)</f>
        <v>120521.68513372274</v>
      </c>
      <c r="M407" s="10">
        <f>$K$407</f>
        <v>120521.68513372274</v>
      </c>
    </row>
    <row r="408" spans="3:13" ht="12.75">
      <c r="C408" t="s">
        <v>55</v>
      </c>
      <c r="E408" s="9">
        <f>M323</f>
        <v>0.20711232186409562</v>
      </c>
      <c r="G408" s="9"/>
      <c r="K408" s="10"/>
      <c r="M408" s="9">
        <f>M406/M407</f>
        <v>0.20711232186409562</v>
      </c>
    </row>
    <row r="409" spans="5:13" ht="12.75">
      <c r="E409" s="7"/>
      <c r="G409" s="9"/>
      <c r="K409" s="10"/>
      <c r="M409" s="7"/>
    </row>
    <row r="410" spans="3:13" ht="12.75">
      <c r="C410" s="18" t="s">
        <v>56</v>
      </c>
      <c r="D410" s="18"/>
      <c r="E410" s="19">
        <f>M325</f>
        <v>521835.6904000461</v>
      </c>
      <c r="G410" s="9"/>
      <c r="K410" s="10"/>
      <c r="M410" s="19">
        <f>M403*M373*M365*M366</f>
        <v>537490.7611120476</v>
      </c>
    </row>
    <row r="411" spans="5:13" ht="12.75">
      <c r="E411" s="7"/>
      <c r="G411" s="9"/>
      <c r="K411" s="10"/>
      <c r="M411" s="7"/>
    </row>
    <row r="412" spans="3:13" ht="12.75">
      <c r="C412" t="s">
        <v>57</v>
      </c>
      <c r="E412" s="7">
        <f>M327</f>
        <v>4040019.3320115996</v>
      </c>
      <c r="G412" s="9"/>
      <c r="K412" s="10"/>
      <c r="M412" s="7">
        <f>(M404*M408)+M410</f>
        <v>4161219.911971948</v>
      </c>
    </row>
    <row r="413" spans="3:13" ht="13.5" thickBot="1">
      <c r="C413" t="s">
        <v>58</v>
      </c>
      <c r="E413" s="9">
        <f>M328</f>
        <v>0.85</v>
      </c>
      <c r="G413" s="9"/>
      <c r="K413" s="10"/>
      <c r="M413" s="9">
        <v>0.85</v>
      </c>
    </row>
    <row r="414" spans="3:13" ht="13.5" thickBot="1">
      <c r="C414" s="12" t="s">
        <v>59</v>
      </c>
      <c r="D414" s="13"/>
      <c r="E414" s="14">
        <f>M329</f>
        <v>3434016.4322098596</v>
      </c>
      <c r="F414" s="13"/>
      <c r="G414" s="16"/>
      <c r="H414" s="13"/>
      <c r="I414" s="13"/>
      <c r="J414" s="13"/>
      <c r="K414" s="29"/>
      <c r="L414" s="13"/>
      <c r="M414" s="30">
        <f>M412*M413</f>
        <v>3537036.9251761558</v>
      </c>
    </row>
    <row r="415" spans="5:13" ht="13.5" thickBot="1">
      <c r="E415" s="7"/>
      <c r="G415" s="9"/>
      <c r="K415" s="10"/>
      <c r="M415" s="7"/>
    </row>
    <row r="416" spans="2:13" ht="13.5" thickBot="1">
      <c r="B416" t="s">
        <v>60</v>
      </c>
      <c r="C416" s="12"/>
      <c r="D416" s="13"/>
      <c r="E416" s="14">
        <f>M331</f>
        <v>315000</v>
      </c>
      <c r="F416" s="13"/>
      <c r="G416" s="16"/>
      <c r="H416" s="13"/>
      <c r="I416" s="13"/>
      <c r="J416" s="13"/>
      <c r="K416" s="29"/>
      <c r="L416" s="13"/>
      <c r="M416" s="30">
        <v>315000</v>
      </c>
    </row>
    <row r="417" spans="5:13" ht="13.5" thickBot="1">
      <c r="E417" s="7"/>
      <c r="G417" s="9"/>
      <c r="K417" s="10"/>
      <c r="M417" s="7"/>
    </row>
    <row r="418" spans="2:13" ht="13.5" thickBot="1">
      <c r="B418" s="18" t="s">
        <v>61</v>
      </c>
      <c r="C418" s="12"/>
      <c r="D418" s="13"/>
      <c r="E418" s="14">
        <f>M333</f>
        <v>-22005.387376179453</v>
      </c>
      <c r="F418" s="13"/>
      <c r="G418" s="16"/>
      <c r="H418" s="13"/>
      <c r="I418" s="13"/>
      <c r="J418" s="13"/>
      <c r="K418" s="13"/>
      <c r="L418" s="13"/>
      <c r="M418" s="30">
        <f>M352*0.9315*-0.001</f>
        <v>-23545.76449251202</v>
      </c>
    </row>
    <row r="419" spans="5:13" ht="12.75">
      <c r="E419" s="7"/>
      <c r="G419" s="9"/>
      <c r="M419" s="7"/>
    </row>
    <row r="420" spans="2:7" ht="12.75">
      <c r="B420" t="s">
        <v>62</v>
      </c>
      <c r="G420" s="9"/>
    </row>
    <row r="421" spans="3:13" ht="12.75">
      <c r="C421" t="s">
        <v>63</v>
      </c>
      <c r="E421" s="9">
        <f>M336</f>
        <v>0.6</v>
      </c>
      <c r="G421" s="9"/>
      <c r="M421" s="9">
        <v>0.6</v>
      </c>
    </row>
    <row r="422" spans="3:13" ht="13.5" thickBot="1">
      <c r="C422" t="s">
        <v>64</v>
      </c>
      <c r="E422" s="7">
        <f>M337</f>
        <v>950000</v>
      </c>
      <c r="G422" s="9"/>
      <c r="M422" s="7">
        <v>950000</v>
      </c>
    </row>
    <row r="423" spans="3:13" ht="13.5" thickBot="1">
      <c r="C423" s="12" t="s">
        <v>65</v>
      </c>
      <c r="D423" s="13"/>
      <c r="E423" s="14">
        <f>M338</f>
        <v>570000</v>
      </c>
      <c r="F423" s="13"/>
      <c r="G423" s="16"/>
      <c r="H423" s="13"/>
      <c r="I423" s="13"/>
      <c r="J423" s="13"/>
      <c r="K423" s="13"/>
      <c r="L423" s="13"/>
      <c r="M423" s="30">
        <f>M421*M422</f>
        <v>570000</v>
      </c>
    </row>
    <row r="424" spans="5:13" ht="13.5" thickBot="1">
      <c r="E424" s="7"/>
      <c r="G424" s="9"/>
      <c r="M424" s="7"/>
    </row>
    <row r="425" spans="2:13" ht="13.5" thickBot="1">
      <c r="B425" s="21" t="s">
        <v>66</v>
      </c>
      <c r="C425" s="22"/>
      <c r="D425" s="22"/>
      <c r="E425" s="23">
        <f>M340</f>
        <v>47736149.78218459</v>
      </c>
      <c r="F425" s="22"/>
      <c r="G425" s="25"/>
      <c r="H425" s="22"/>
      <c r="I425" s="22"/>
      <c r="J425" s="22"/>
      <c r="K425" s="22"/>
      <c r="L425" s="22"/>
      <c r="M425" s="31">
        <f>SUM(M352,M357,M362,M367,M378,M396,M400,M414,M416,M418,M423)</f>
        <v>50403101.25801398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00390625" style="0" bestFit="1" customWidth="1"/>
    <col min="2" max="2" width="43.28125" style="0" bestFit="1" customWidth="1"/>
    <col min="3" max="3" width="45.00390625" style="0" bestFit="1" customWidth="1"/>
    <col min="5" max="5" width="19.57421875" style="0" bestFit="1" customWidth="1"/>
    <col min="7" max="7" width="19.140625" style="0" bestFit="1" customWidth="1"/>
    <col min="9" max="9" width="26.00390625" style="0" bestFit="1" customWidth="1"/>
    <col min="11" max="11" width="26.00390625" style="0" bestFit="1" customWidth="1"/>
    <col min="13" max="13" width="19.8515625" style="0" bestFit="1" customWidth="1"/>
    <col min="15" max="15" width="19.421875" style="0" bestFit="1" customWidth="1"/>
    <col min="17" max="17" width="19.421875" style="0" bestFit="1" customWidth="1"/>
    <col min="19" max="19" width="18.8515625" style="0" bestFit="1" customWidth="1"/>
    <col min="21" max="21" width="19.421875" style="0" bestFit="1" customWidth="1"/>
    <col min="23" max="23" width="19.421875" style="0" bestFit="1" customWidth="1"/>
  </cols>
  <sheetData>
    <row r="1" spans="1:23" ht="12.75">
      <c r="A1" s="1" t="s">
        <v>71</v>
      </c>
      <c r="E1" s="2">
        <v>1996</v>
      </c>
      <c r="G1" s="2">
        <v>1997</v>
      </c>
      <c r="I1" s="2" t="s">
        <v>121</v>
      </c>
      <c r="K1" s="2" t="s">
        <v>122</v>
      </c>
      <c r="L1" s="3"/>
      <c r="M1" s="4" t="s">
        <v>1</v>
      </c>
      <c r="N1" s="5"/>
      <c r="O1" s="2" t="s">
        <v>2</v>
      </c>
      <c r="Q1" s="2" t="s">
        <v>3</v>
      </c>
      <c r="S1" s="2" t="s">
        <v>4</v>
      </c>
      <c r="T1" s="5"/>
      <c r="U1" s="2" t="s">
        <v>5</v>
      </c>
      <c r="W1" s="2" t="s">
        <v>6</v>
      </c>
    </row>
    <row r="2" spans="1:13" ht="12.75">
      <c r="A2" s="42" t="s">
        <v>134</v>
      </c>
      <c r="L2" s="3"/>
      <c r="M2" s="6"/>
    </row>
    <row r="3" spans="2:13" ht="12.75">
      <c r="B3" s="34" t="s">
        <v>7</v>
      </c>
      <c r="L3" s="3"/>
      <c r="M3" s="6"/>
    </row>
    <row r="4" spans="2:23" ht="12.75">
      <c r="B4" s="34"/>
      <c r="C4" t="s">
        <v>8</v>
      </c>
      <c r="E4" s="7">
        <v>4143.4</v>
      </c>
      <c r="F4" s="7"/>
      <c r="G4" s="7">
        <v>4143.4</v>
      </c>
      <c r="H4" s="7"/>
      <c r="I4" s="7">
        <v>4143.4</v>
      </c>
      <c r="J4" s="7"/>
      <c r="K4" s="7">
        <v>4143.4</v>
      </c>
      <c r="L4" s="3"/>
      <c r="M4" s="8">
        <f>(G4/E4)-1</f>
        <v>0</v>
      </c>
      <c r="N4" s="9"/>
      <c r="O4" s="9">
        <f>(I4/G4)-1</f>
        <v>0</v>
      </c>
      <c r="P4" s="9"/>
      <c r="Q4" s="9">
        <f>(K4/I4)-1</f>
        <v>0</v>
      </c>
      <c r="S4" s="9">
        <f>(I4/E4)-1</f>
        <v>0</v>
      </c>
      <c r="T4" s="9"/>
      <c r="U4" s="9">
        <f>(K4/E4)-1</f>
        <v>0</v>
      </c>
      <c r="W4" s="9">
        <f>(K4/G4)-1</f>
        <v>0</v>
      </c>
    </row>
    <row r="5" spans="2:23" ht="12.75">
      <c r="B5" s="34"/>
      <c r="C5" t="s">
        <v>9</v>
      </c>
      <c r="E5" s="7">
        <v>346.97</v>
      </c>
      <c r="F5" s="7"/>
      <c r="G5" s="7">
        <v>346.97</v>
      </c>
      <c r="H5" s="7"/>
      <c r="I5" s="7">
        <v>346.97</v>
      </c>
      <c r="J5" s="7"/>
      <c r="K5" s="7">
        <v>352.77</v>
      </c>
      <c r="L5" s="3"/>
      <c r="M5" s="8">
        <f>(G5/E5)-1</f>
        <v>0</v>
      </c>
      <c r="N5" s="9"/>
      <c r="O5" s="9">
        <f>(I5/G5)-1</f>
        <v>0</v>
      </c>
      <c r="P5" s="9"/>
      <c r="Q5" s="9">
        <f>(K5/I5)-1</f>
        <v>0.01671614260598875</v>
      </c>
      <c r="S5" s="9">
        <f>(I5/E5)-1</f>
        <v>0</v>
      </c>
      <c r="T5" s="9"/>
      <c r="U5" s="9">
        <f>(K5/E5)-1</f>
        <v>0.01671614260598875</v>
      </c>
      <c r="W5" s="9">
        <f>(K5/G5)-1</f>
        <v>0.01671614260598875</v>
      </c>
    </row>
    <row r="6" spans="2:23" ht="12.75">
      <c r="B6" s="34"/>
      <c r="C6" t="s">
        <v>10</v>
      </c>
      <c r="E6" s="7">
        <f>E4+E5</f>
        <v>4490.37</v>
      </c>
      <c r="F6" s="7"/>
      <c r="G6" s="7">
        <f>G4+G5</f>
        <v>4490.37</v>
      </c>
      <c r="H6" s="7"/>
      <c r="I6" s="7">
        <f>I4+I5</f>
        <v>4490.37</v>
      </c>
      <c r="J6" s="7"/>
      <c r="K6" s="7">
        <f>K4+K5</f>
        <v>4496.17</v>
      </c>
      <c r="L6" s="3"/>
      <c r="M6" s="8">
        <f>(G6/E6)-1</f>
        <v>0</v>
      </c>
      <c r="N6" s="9"/>
      <c r="O6" s="9">
        <f>(I6/G6)-1</f>
        <v>0</v>
      </c>
      <c r="P6" s="9"/>
      <c r="Q6" s="9">
        <f>(K6/I6)-1</f>
        <v>0.001291653026365358</v>
      </c>
      <c r="S6" s="9">
        <f>(I6/E6)-1</f>
        <v>0</v>
      </c>
      <c r="T6" s="9"/>
      <c r="U6" s="9">
        <f>(K6/E6)-1</f>
        <v>0.001291653026365358</v>
      </c>
      <c r="W6" s="9">
        <f>(K6/G6)-1</f>
        <v>0.001291653026365358</v>
      </c>
    </row>
    <row r="7" spans="2:12" ht="12.75">
      <c r="B7" s="34"/>
      <c r="L7" s="3"/>
    </row>
    <row r="8" spans="2:23" ht="12.75">
      <c r="B8" s="34"/>
      <c r="C8" t="s">
        <v>72</v>
      </c>
      <c r="E8" s="10">
        <f>'[2]Volume Summary'!F7</f>
        <v>5660</v>
      </c>
      <c r="F8" s="10"/>
      <c r="G8" s="10">
        <f>'[2]Volume Summary'!H7</f>
        <v>4419</v>
      </c>
      <c r="H8" s="10"/>
      <c r="I8" s="10">
        <f>'[2]Volume Summary'!J7</f>
        <v>5509</v>
      </c>
      <c r="J8" s="10"/>
      <c r="K8" s="10">
        <f>'[2]Volume Summary'!L7</f>
        <v>5925</v>
      </c>
      <c r="L8" s="3"/>
      <c r="M8" s="8">
        <f>(G8/E8)-1</f>
        <v>-0.21925795053003538</v>
      </c>
      <c r="N8" s="9"/>
      <c r="O8" s="9">
        <f>(I8/G8)-1</f>
        <v>0.24666214075582715</v>
      </c>
      <c r="P8" s="9"/>
      <c r="Q8" s="9">
        <f>(K8/I8)-1</f>
        <v>0.07551279724087867</v>
      </c>
      <c r="S8" s="9">
        <f>(I8/E8)-1</f>
        <v>-0.02667844522968199</v>
      </c>
      <c r="T8" s="9"/>
      <c r="U8" s="9">
        <f>(K8/E8)-1</f>
        <v>0.046819787985865835</v>
      </c>
      <c r="W8" s="9">
        <f>(K8/G8)-1</f>
        <v>0.3408010862186015</v>
      </c>
    </row>
    <row r="9" spans="2:23" ht="12.75">
      <c r="B9" s="34"/>
      <c r="C9" t="s">
        <v>12</v>
      </c>
      <c r="E9" s="7">
        <f>E6*E8</f>
        <v>25415494.2</v>
      </c>
      <c r="F9" s="7"/>
      <c r="G9" s="7">
        <f>G6*G8</f>
        <v>19842945.03</v>
      </c>
      <c r="H9" s="7"/>
      <c r="I9" s="7">
        <f>I6*I8</f>
        <v>24737448.33</v>
      </c>
      <c r="J9" s="7"/>
      <c r="K9" s="7">
        <f>K6*K8</f>
        <v>26639807.25</v>
      </c>
      <c r="L9" s="3"/>
      <c r="M9" s="8">
        <f>(G9/E9)-1</f>
        <v>-0.21925795053003527</v>
      </c>
      <c r="N9" s="9"/>
      <c r="O9" s="9">
        <f>(I9/G9)-1</f>
        <v>0.24666214075582693</v>
      </c>
      <c r="P9" s="9"/>
      <c r="Q9" s="9">
        <f>(K9/I9)-1</f>
        <v>0.07690198660032954</v>
      </c>
      <c r="S9" s="9">
        <f>(I9/E9)-1</f>
        <v>-0.02667844522968199</v>
      </c>
      <c r="T9" s="9"/>
      <c r="U9" s="9">
        <f>(K9/E9)-1</f>
        <v>0.04817191593307668</v>
      </c>
      <c r="W9" s="9">
        <f>(K9/G9)-1</f>
        <v>0.3425329359993696</v>
      </c>
    </row>
    <row r="10" spans="2:23" ht="13.5" thickBot="1">
      <c r="B10" s="34"/>
      <c r="C10" t="s">
        <v>73</v>
      </c>
      <c r="E10" s="11">
        <v>1.36</v>
      </c>
      <c r="F10" s="11"/>
      <c r="G10" s="11">
        <v>1.36</v>
      </c>
      <c r="H10" s="11"/>
      <c r="I10" s="11">
        <v>1</v>
      </c>
      <c r="J10" s="11"/>
      <c r="K10" s="11">
        <v>1</v>
      </c>
      <c r="L10" s="3"/>
      <c r="M10" s="8">
        <f>(G10/E10)-1</f>
        <v>0</v>
      </c>
      <c r="N10" s="9"/>
      <c r="O10" s="9">
        <f>(I10/G10)-1</f>
        <v>-0.26470588235294124</v>
      </c>
      <c r="P10" s="9"/>
      <c r="Q10" s="9">
        <f>(K10/I10)-1</f>
        <v>0</v>
      </c>
      <c r="S10" s="9">
        <f>(I10/E10)-1</f>
        <v>-0.26470588235294124</v>
      </c>
      <c r="T10" s="9"/>
      <c r="U10" s="9">
        <f>(K10/E10)-1</f>
        <v>-0.26470588235294124</v>
      </c>
      <c r="W10" s="9">
        <f>(K10/G10)-1</f>
        <v>-0.26470588235294124</v>
      </c>
    </row>
    <row r="11" spans="2:23" ht="13.5" thickBot="1">
      <c r="B11" s="34"/>
      <c r="C11" s="12" t="s">
        <v>14</v>
      </c>
      <c r="D11" s="13"/>
      <c r="E11" s="14">
        <f>E9*E10</f>
        <v>34565072.112</v>
      </c>
      <c r="F11" s="14"/>
      <c r="G11" s="14">
        <f>G9*G10</f>
        <v>26986405.240800004</v>
      </c>
      <c r="H11" s="14"/>
      <c r="I11" s="14">
        <f>I9*I10</f>
        <v>24737448.33</v>
      </c>
      <c r="J11" s="14"/>
      <c r="K11" s="30">
        <f>K9*K10</f>
        <v>26639807.25</v>
      </c>
      <c r="L11" s="3"/>
      <c r="M11" s="15">
        <f>(G11/E11)-1</f>
        <v>-0.21925795053003527</v>
      </c>
      <c r="N11" s="16"/>
      <c r="O11" s="16">
        <f>(I11/G11)-1</f>
        <v>-0.08333666120895089</v>
      </c>
      <c r="P11" s="16"/>
      <c r="Q11" s="16">
        <f>(K11/I11)-1</f>
        <v>0.07690198660032954</v>
      </c>
      <c r="R11" s="13"/>
      <c r="S11" s="16">
        <f>(I11/E11)-1</f>
        <v>-0.28432238619829575</v>
      </c>
      <c r="T11" s="16"/>
      <c r="U11" s="16">
        <f>(K11/E11)-1</f>
        <v>-0.2292853559315613</v>
      </c>
      <c r="V11" s="13"/>
      <c r="W11" s="17">
        <f>(K11/G11)-1</f>
        <v>-0.01284342941222838</v>
      </c>
    </row>
    <row r="12" spans="2:12" ht="12.75">
      <c r="B12" s="34"/>
      <c r="L12" s="3"/>
    </row>
    <row r="13" spans="2:12" ht="12.75">
      <c r="B13" s="34" t="s">
        <v>15</v>
      </c>
      <c r="L13" s="3"/>
    </row>
    <row r="14" spans="2:23" ht="12.75">
      <c r="B14" s="34"/>
      <c r="C14" t="s">
        <v>16</v>
      </c>
      <c r="E14" s="7">
        <f>E16/E15</f>
        <v>18883000</v>
      </c>
      <c r="G14" s="7">
        <f>G16/G15</f>
        <v>18883000</v>
      </c>
      <c r="I14" s="7">
        <v>0</v>
      </c>
      <c r="K14">
        <v>0</v>
      </c>
      <c r="L14" s="3"/>
      <c r="M14" s="8">
        <f>(G14/E14)-1</f>
        <v>0</v>
      </c>
      <c r="N14" s="9"/>
      <c r="O14" s="9">
        <f>(I14/G14)-1</f>
        <v>-1</v>
      </c>
      <c r="P14" s="9"/>
      <c r="Q14" s="9">
        <v>0</v>
      </c>
      <c r="S14" s="9">
        <f>(I14/E14)-1</f>
        <v>-1</v>
      </c>
      <c r="T14" s="9"/>
      <c r="U14" s="9">
        <f>(K14/E14)-1</f>
        <v>-1</v>
      </c>
      <c r="W14" s="9">
        <f>(K14/G14)-1</f>
        <v>-1</v>
      </c>
    </row>
    <row r="15" spans="2:23" ht="13.5" thickBot="1">
      <c r="B15" s="34"/>
      <c r="C15" t="s">
        <v>17</v>
      </c>
      <c r="E15" s="9">
        <v>0.025</v>
      </c>
      <c r="F15" s="9"/>
      <c r="G15" s="9">
        <v>0.025</v>
      </c>
      <c r="H15" s="9"/>
      <c r="I15" s="9">
        <v>0</v>
      </c>
      <c r="J15" s="9"/>
      <c r="K15" s="9">
        <v>0</v>
      </c>
      <c r="L15" s="3"/>
      <c r="M15" s="8">
        <f>(G15/E15)-1</f>
        <v>0</v>
      </c>
      <c r="N15" s="9"/>
      <c r="O15" s="9">
        <f>(I15/G15)-1</f>
        <v>-1</v>
      </c>
      <c r="P15" s="9"/>
      <c r="Q15" s="9">
        <v>0</v>
      </c>
      <c r="S15" s="9">
        <f>(I15/E15)-1</f>
        <v>-1</v>
      </c>
      <c r="T15" s="9"/>
      <c r="U15" s="9">
        <f>(K15/E15)-1</f>
        <v>-1</v>
      </c>
      <c r="W15" s="9">
        <f>(K15/G15)-1</f>
        <v>-1</v>
      </c>
    </row>
    <row r="16" spans="2:23" ht="13.5" thickBot="1">
      <c r="B16" s="34"/>
      <c r="C16" s="12" t="s">
        <v>15</v>
      </c>
      <c r="D16" s="13"/>
      <c r="E16" s="14">
        <v>472075</v>
      </c>
      <c r="F16" s="14"/>
      <c r="G16" s="14">
        <v>472075</v>
      </c>
      <c r="H16" s="14"/>
      <c r="I16" s="14">
        <v>0</v>
      </c>
      <c r="J16" s="14"/>
      <c r="K16" s="30">
        <v>0</v>
      </c>
      <c r="L16" s="3"/>
      <c r="M16" s="15">
        <f>(G16/E16)-1</f>
        <v>0</v>
      </c>
      <c r="N16" s="16"/>
      <c r="O16" s="16">
        <f>(I16/G16)-1</f>
        <v>-1</v>
      </c>
      <c r="P16" s="16"/>
      <c r="Q16" s="16">
        <v>0</v>
      </c>
      <c r="R16" s="13"/>
      <c r="S16" s="16">
        <f>(I16/E16)-1</f>
        <v>-1</v>
      </c>
      <c r="T16" s="16"/>
      <c r="U16" s="16">
        <f>(K16/E16)-1</f>
        <v>-1</v>
      </c>
      <c r="V16" s="13"/>
      <c r="W16" s="17">
        <f>(K16/G16)-1</f>
        <v>-1</v>
      </c>
    </row>
    <row r="17" spans="2:12" ht="12.75">
      <c r="B17" s="34"/>
      <c r="C17" s="18"/>
      <c r="D17" s="18"/>
      <c r="E17" s="18"/>
      <c r="F17" s="18"/>
      <c r="G17" s="18"/>
      <c r="H17" s="18"/>
      <c r="I17" s="18"/>
      <c r="J17" s="18"/>
      <c r="K17" s="18"/>
      <c r="L17" s="3"/>
    </row>
    <row r="18" spans="2:12" ht="12.75">
      <c r="B18" s="35" t="s">
        <v>18</v>
      </c>
      <c r="C18" s="18"/>
      <c r="D18" s="18"/>
      <c r="E18" s="18"/>
      <c r="F18" s="18"/>
      <c r="G18" s="18"/>
      <c r="H18" s="18"/>
      <c r="I18" s="18"/>
      <c r="J18" s="18"/>
      <c r="K18" s="18"/>
      <c r="L18" s="3"/>
    </row>
    <row r="19" spans="2:23" ht="12.75">
      <c r="B19" s="34"/>
      <c r="C19" s="18" t="s">
        <v>19</v>
      </c>
      <c r="D19" s="18"/>
      <c r="E19" s="19">
        <f>E14+E16</f>
        <v>19355075</v>
      </c>
      <c r="F19" s="18"/>
      <c r="G19" s="19">
        <f>G14+G16</f>
        <v>19355075</v>
      </c>
      <c r="H19" s="18"/>
      <c r="I19" s="19">
        <v>22827855</v>
      </c>
      <c r="J19" s="19"/>
      <c r="K19" s="19">
        <v>24550287</v>
      </c>
      <c r="L19" s="3"/>
      <c r="M19" s="8">
        <f>(G19/E19)-1</f>
        <v>0</v>
      </c>
      <c r="N19" s="9"/>
      <c r="O19" s="9">
        <f>(I19/G19)-1</f>
        <v>0.17942477618919073</v>
      </c>
      <c r="P19" s="9"/>
      <c r="Q19" s="9">
        <f>(K19/I19)-1</f>
        <v>0.07545308133418582</v>
      </c>
      <c r="S19" s="9">
        <f>(I19/E19)-1</f>
        <v>0.17942477618919073</v>
      </c>
      <c r="T19" s="9"/>
      <c r="U19" s="9">
        <f>(K19/E19)-1</f>
        <v>0.2684160097545476</v>
      </c>
      <c r="W19" s="9">
        <f>(K19/G19)-1</f>
        <v>0.2684160097545476</v>
      </c>
    </row>
    <row r="20" spans="2:23" ht="13.5" thickBot="1">
      <c r="B20" s="34"/>
      <c r="C20" s="18" t="s">
        <v>20</v>
      </c>
      <c r="D20" s="18"/>
      <c r="E20" s="18">
        <v>0.3573</v>
      </c>
      <c r="F20" s="18"/>
      <c r="G20" s="18">
        <v>0.3573</v>
      </c>
      <c r="H20" s="18"/>
      <c r="I20" s="18">
        <v>0.3467</v>
      </c>
      <c r="J20" s="18"/>
      <c r="K20" s="18">
        <v>0.3216</v>
      </c>
      <c r="L20" s="3"/>
      <c r="M20" s="8">
        <f>(G20/E20)-1</f>
        <v>0</v>
      </c>
      <c r="N20" s="9"/>
      <c r="O20" s="9">
        <f>(I20/G20)-1</f>
        <v>-0.029666946543520867</v>
      </c>
      <c r="P20" s="9"/>
      <c r="Q20" s="9">
        <f>(K20/I20)-1</f>
        <v>-0.07239688491491203</v>
      </c>
      <c r="S20" s="9">
        <f>(I20/E20)-1</f>
        <v>-0.029666946543520867</v>
      </c>
      <c r="T20" s="9"/>
      <c r="U20" s="9">
        <f>(K20/E20)-1</f>
        <v>-0.09991603694374473</v>
      </c>
      <c r="W20" s="9">
        <f>(K20/G20)-1</f>
        <v>-0.09991603694374473</v>
      </c>
    </row>
    <row r="21" spans="2:23" ht="13.5" thickBot="1">
      <c r="B21" s="35"/>
      <c r="C21" s="12" t="s">
        <v>21</v>
      </c>
      <c r="D21" s="13"/>
      <c r="E21" s="14">
        <f>E19*E20</f>
        <v>6915568.2975</v>
      </c>
      <c r="F21" s="14"/>
      <c r="G21" s="14">
        <f>G19*G20</f>
        <v>6915568.2975</v>
      </c>
      <c r="H21" s="14"/>
      <c r="I21" s="14">
        <f>I19*I20</f>
        <v>7914417.3285</v>
      </c>
      <c r="J21" s="14"/>
      <c r="K21" s="30">
        <f>K19*K20</f>
        <v>7895372.2992</v>
      </c>
      <c r="L21" s="3"/>
      <c r="M21" s="15">
        <f>(G21/E21)-1</f>
        <v>0</v>
      </c>
      <c r="N21" s="16"/>
      <c r="O21" s="16">
        <f>(I21/G21)-1</f>
        <v>0.14443484440188192</v>
      </c>
      <c r="P21" s="16"/>
      <c r="Q21" s="16">
        <f>(K21/I21)-1</f>
        <v>-0.0024063716265527724</v>
      </c>
      <c r="R21" s="13"/>
      <c r="S21" s="16">
        <f>(I21/E21)-1</f>
        <v>0.14443484440188192</v>
      </c>
      <c r="T21" s="16"/>
      <c r="U21" s="16">
        <f>(K21/E21)-1</f>
        <v>0.14168090886387485</v>
      </c>
      <c r="V21" s="13"/>
      <c r="W21" s="17">
        <f>(K21/G21)-1</f>
        <v>0.14168090886387485</v>
      </c>
    </row>
    <row r="22" spans="2:12" ht="12.75">
      <c r="B22" s="35"/>
      <c r="C22" s="18"/>
      <c r="D22" s="18"/>
      <c r="E22" s="18"/>
      <c r="F22" s="18"/>
      <c r="G22" s="18"/>
      <c r="H22" s="18"/>
      <c r="I22" s="18"/>
      <c r="J22" s="18"/>
      <c r="K22" s="18"/>
      <c r="L22" s="3"/>
    </row>
    <row r="23" spans="2:12" ht="12.75">
      <c r="B23" s="34" t="s">
        <v>25</v>
      </c>
      <c r="C23" s="18"/>
      <c r="D23" s="18"/>
      <c r="E23" s="18"/>
      <c r="F23" s="18"/>
      <c r="G23" s="18"/>
      <c r="H23" s="18"/>
      <c r="I23" s="18"/>
      <c r="J23" s="18"/>
      <c r="K23" s="18"/>
      <c r="L23" s="3"/>
    </row>
    <row r="24" spans="2:23" ht="12.75">
      <c r="B24" s="34"/>
      <c r="C24" s="18" t="s">
        <v>74</v>
      </c>
      <c r="D24" s="18"/>
      <c r="E24" s="36">
        <v>74145</v>
      </c>
      <c r="F24" s="36"/>
      <c r="G24" s="36">
        <v>74145</v>
      </c>
      <c r="H24" s="36"/>
      <c r="I24" s="36">
        <v>74145</v>
      </c>
      <c r="J24" s="36"/>
      <c r="K24" s="36">
        <v>72563</v>
      </c>
      <c r="L24" s="3"/>
      <c r="M24" s="8">
        <f>(G24/E24)-1</f>
        <v>0</v>
      </c>
      <c r="N24" s="9"/>
      <c r="O24" s="9">
        <f>(I24/G24)-1</f>
        <v>0</v>
      </c>
      <c r="P24" s="9"/>
      <c r="Q24" s="9">
        <f>(K24/I24)-1</f>
        <v>-0.02133657023400093</v>
      </c>
      <c r="S24" s="9">
        <f>(I24/E24)-1</f>
        <v>0</v>
      </c>
      <c r="T24" s="9"/>
      <c r="U24" s="9">
        <f>(K24/E24)-1</f>
        <v>-0.02133657023400093</v>
      </c>
      <c r="W24" s="9">
        <f>(K24/G24)-1</f>
        <v>-0.02133657023400093</v>
      </c>
    </row>
    <row r="25" spans="2:23" ht="12.75">
      <c r="B25" s="34"/>
      <c r="C25" s="18" t="s">
        <v>27</v>
      </c>
      <c r="D25" s="18"/>
      <c r="E25" s="37">
        <f>E24/365</f>
        <v>203.13698630136986</v>
      </c>
      <c r="F25" s="37"/>
      <c r="G25" s="37">
        <f>G24/365</f>
        <v>203.13698630136986</v>
      </c>
      <c r="H25" s="37"/>
      <c r="I25" s="37">
        <f>I24/365</f>
        <v>203.13698630136986</v>
      </c>
      <c r="J25" s="37"/>
      <c r="K25" s="37">
        <f>K24/365</f>
        <v>198.8027397260274</v>
      </c>
      <c r="L25" s="3"/>
      <c r="M25" s="8">
        <f>(G25/E25)-1</f>
        <v>0</v>
      </c>
      <c r="N25" s="9"/>
      <c r="O25" s="9">
        <f>(I25/G25)-1</f>
        <v>0</v>
      </c>
      <c r="P25" s="9"/>
      <c r="Q25" s="9">
        <f>(K25/I25)-1</f>
        <v>-0.02133657023400093</v>
      </c>
      <c r="S25" s="9">
        <f>(I25/E25)-1</f>
        <v>0</v>
      </c>
      <c r="T25" s="9"/>
      <c r="U25" s="9">
        <f>(K25/E25)-1</f>
        <v>-0.02133657023400093</v>
      </c>
      <c r="W25" s="9">
        <f>(K25/G25)-1</f>
        <v>-0.02133657023400093</v>
      </c>
    </row>
    <row r="26" spans="2:12" ht="12.75">
      <c r="B26" s="34"/>
      <c r="C26" s="18"/>
      <c r="D26" s="18"/>
      <c r="E26" s="18"/>
      <c r="F26" s="18"/>
      <c r="G26" s="18"/>
      <c r="H26" s="18"/>
      <c r="I26" s="18"/>
      <c r="J26" s="18"/>
      <c r="K26" s="18"/>
      <c r="L26" s="3"/>
    </row>
    <row r="27" spans="2:23" ht="12.75">
      <c r="B27" s="34"/>
      <c r="C27" s="18" t="s">
        <v>28</v>
      </c>
      <c r="D27" s="18"/>
      <c r="E27" s="37">
        <v>208.32</v>
      </c>
      <c r="F27" s="37"/>
      <c r="G27" s="37">
        <v>205.42</v>
      </c>
      <c r="H27" s="37"/>
      <c r="I27" s="37">
        <v>201.32</v>
      </c>
      <c r="J27" s="37"/>
      <c r="K27" s="37">
        <v>200.32</v>
      </c>
      <c r="L27" s="3"/>
      <c r="M27" s="8">
        <f>(G27/E27)-1</f>
        <v>-0.01392089093701998</v>
      </c>
      <c r="N27" s="9"/>
      <c r="O27" s="9">
        <f>(I27/G27)-1</f>
        <v>-0.019959108168630113</v>
      </c>
      <c r="P27" s="9"/>
      <c r="Q27" s="9">
        <f>(K27/I27)-1</f>
        <v>-0.004967216371945193</v>
      </c>
      <c r="S27" s="9">
        <f>(I27/E27)-1</f>
        <v>-0.03360215053763438</v>
      </c>
      <c r="T27" s="9"/>
      <c r="U27" s="9">
        <f>(K27/E27)-1</f>
        <v>-0.03840245775729645</v>
      </c>
      <c r="W27" s="9">
        <f>(K27/G27)-1</f>
        <v>-0.024827183331710634</v>
      </c>
    </row>
    <row r="28" spans="2:23" ht="12.75">
      <c r="B28" s="34"/>
      <c r="C28" s="18" t="s">
        <v>29</v>
      </c>
      <c r="D28" s="18"/>
      <c r="E28" s="38">
        <f>E27/E25</f>
        <v>1.0255148695124419</v>
      </c>
      <c r="F28" s="38"/>
      <c r="G28" s="38">
        <f>G27/G25</f>
        <v>1.0112387888596668</v>
      </c>
      <c r="H28" s="38"/>
      <c r="I28" s="38">
        <f>I27/I25</f>
        <v>0.9910553644885023</v>
      </c>
      <c r="J28" s="38"/>
      <c r="K28" s="38">
        <f>K27/K25</f>
        <v>1.0076319887545995</v>
      </c>
      <c r="L28" s="3"/>
      <c r="M28" s="8">
        <f>(G28/E28)-1</f>
        <v>-0.013920890937020092</v>
      </c>
      <c r="N28" s="9"/>
      <c r="O28" s="9">
        <f>(I28/G28)-1</f>
        <v>-0.019959108168630002</v>
      </c>
      <c r="P28" s="9"/>
      <c r="Q28" s="9">
        <f>(K28/I28)-1</f>
        <v>0.016726234335709966</v>
      </c>
      <c r="S28" s="9">
        <f>(I28/E28)-1</f>
        <v>-0.03360215053763438</v>
      </c>
      <c r="T28" s="9"/>
      <c r="U28" s="9">
        <f>(K28/E28)-1</f>
        <v>-0.017437953646000648</v>
      </c>
      <c r="W28" s="9">
        <f>(K28/G28)-1</f>
        <v>-0.0035667145532802813</v>
      </c>
    </row>
    <row r="29" spans="2:12" ht="12.75">
      <c r="B29" s="34"/>
      <c r="C29" s="18"/>
      <c r="D29" s="18"/>
      <c r="E29" s="18"/>
      <c r="F29" s="18"/>
      <c r="G29" s="18"/>
      <c r="H29" s="18"/>
      <c r="I29" s="18"/>
      <c r="J29" s="18"/>
      <c r="K29" s="18"/>
      <c r="L29" s="3"/>
    </row>
    <row r="30" spans="2:23" ht="12.75">
      <c r="B30" s="34"/>
      <c r="C30" s="18" t="s">
        <v>30</v>
      </c>
      <c r="D30" s="18"/>
      <c r="E30" s="39">
        <f>2.7183^(E28*0.2822)-1</f>
        <v>0.3356288515490007</v>
      </c>
      <c r="F30" s="39"/>
      <c r="G30" s="39">
        <f>2.7183^(G28*0.2822)-1</f>
        <v>0.33025877888928434</v>
      </c>
      <c r="H30" s="39"/>
      <c r="I30" s="39">
        <f>2.7183^(I28*0.2822)-1</f>
        <v>0.32270342767252425</v>
      </c>
      <c r="J30" s="39"/>
      <c r="K30" s="39">
        <f>2.7183^(K28*0.2822)-1</f>
        <v>0.3289054694335105</v>
      </c>
      <c r="L30" s="3"/>
      <c r="M30" s="8">
        <f>(G30/E30)-1</f>
        <v>-0.016000032878378256</v>
      </c>
      <c r="N30" s="9"/>
      <c r="O30" s="9">
        <f>(I30/G30)-1</f>
        <v>-0.022877063986519897</v>
      </c>
      <c r="P30" s="9"/>
      <c r="Q30" s="9">
        <f>(K30/I30)-1</f>
        <v>0.019219014206691476</v>
      </c>
      <c r="S30" s="9">
        <f>(I30/E30)-1</f>
        <v>-0.038511063088953135</v>
      </c>
      <c r="T30" s="9"/>
      <c r="U30" s="9">
        <f>(K30/E30)-1</f>
        <v>-0.020032193550883037</v>
      </c>
      <c r="W30" s="9">
        <f>(K30/G30)-1</f>
        <v>-0.004097724397592817</v>
      </c>
    </row>
    <row r="31" spans="2:23" ht="13.5" thickBot="1">
      <c r="B31" s="34"/>
      <c r="C31" s="18" t="s">
        <v>31</v>
      </c>
      <c r="D31" s="18"/>
      <c r="E31" s="19">
        <v>1254032</v>
      </c>
      <c r="F31" s="19"/>
      <c r="G31" s="19">
        <v>1254032</v>
      </c>
      <c r="H31" s="19"/>
      <c r="I31" s="19">
        <v>1516014</v>
      </c>
      <c r="J31" s="19"/>
      <c r="K31" s="19">
        <v>1863316</v>
      </c>
      <c r="L31" s="3"/>
      <c r="M31" s="8">
        <f>(G31/E31)-1</f>
        <v>0</v>
      </c>
      <c r="N31" s="9"/>
      <c r="O31" s="9">
        <f>(I31/G31)-1</f>
        <v>0.20891173430981036</v>
      </c>
      <c r="P31" s="9"/>
      <c r="Q31" s="9">
        <f>(K31/I31)-1</f>
        <v>0.22908891342692095</v>
      </c>
      <c r="S31" s="9">
        <f>(I31/E31)-1</f>
        <v>0.20891173430981036</v>
      </c>
      <c r="T31" s="9"/>
      <c r="U31" s="9">
        <f>(K31/E31)-1</f>
        <v>0.48586000995189926</v>
      </c>
      <c r="W31" s="9">
        <f>(K31/G31)-1</f>
        <v>0.48586000995189926</v>
      </c>
    </row>
    <row r="32" spans="2:23" ht="13.5" thickBot="1">
      <c r="B32" s="34"/>
      <c r="C32" s="12" t="s">
        <v>32</v>
      </c>
      <c r="D32" s="13"/>
      <c r="E32" s="14">
        <f>E30*E31</f>
        <v>420889.3199656964</v>
      </c>
      <c r="F32" s="14"/>
      <c r="G32" s="14">
        <f>G30*G31</f>
        <v>414155.077008087</v>
      </c>
      <c r="H32" s="14"/>
      <c r="I32" s="14">
        <f>I30*I31</f>
        <v>489222.91419953416</v>
      </c>
      <c r="J32" s="14"/>
      <c r="K32" s="30">
        <f>K30*K31</f>
        <v>612854.8236829711</v>
      </c>
      <c r="L32" s="3"/>
      <c r="M32" s="15">
        <f>(G32/E32)-1</f>
        <v>-0.016000032878378256</v>
      </c>
      <c r="N32" s="16"/>
      <c r="O32" s="16">
        <f>(I32/G32)-1</f>
        <v>0.18125538320994994</v>
      </c>
      <c r="P32" s="16"/>
      <c r="Q32" s="16">
        <f>(K32/I32)-1</f>
        <v>0.25271079071535985</v>
      </c>
      <c r="R32" s="13"/>
      <c r="S32" s="16">
        <f>(I32/E32)-1</f>
        <v>0.16235525824082941</v>
      </c>
      <c r="T32" s="16"/>
      <c r="U32" s="16">
        <f>(K32/E32)-1</f>
        <v>0.4560949746430256</v>
      </c>
      <c r="V32" s="13"/>
      <c r="W32" s="17">
        <f>(K32/G32)-1</f>
        <v>0.4797713651377118</v>
      </c>
    </row>
    <row r="33" spans="2:12" ht="12.75">
      <c r="B33" s="34"/>
      <c r="C33" s="18"/>
      <c r="D33" s="18"/>
      <c r="E33" s="18"/>
      <c r="F33" s="18"/>
      <c r="G33" s="18"/>
      <c r="H33" s="18"/>
      <c r="I33" s="18"/>
      <c r="J33" s="18"/>
      <c r="K33" s="18"/>
      <c r="L33" s="3"/>
    </row>
    <row r="34" spans="2:12" ht="12.75">
      <c r="B34" s="34" t="s">
        <v>33</v>
      </c>
      <c r="C34" s="18"/>
      <c r="D34" s="18"/>
      <c r="E34" s="18"/>
      <c r="F34" s="18"/>
      <c r="G34" s="18"/>
      <c r="H34" s="18"/>
      <c r="I34" s="18"/>
      <c r="J34" s="18"/>
      <c r="K34" s="18"/>
      <c r="L34" s="3"/>
    </row>
    <row r="35" spans="2:23" ht="12.75">
      <c r="B35" s="34"/>
      <c r="C35" s="18" t="s">
        <v>75</v>
      </c>
      <c r="D35" s="18"/>
      <c r="E35" s="36">
        <v>25932</v>
      </c>
      <c r="F35" s="36"/>
      <c r="G35" s="36">
        <v>25932</v>
      </c>
      <c r="H35" s="36"/>
      <c r="I35" s="36">
        <v>38088</v>
      </c>
      <c r="J35" s="36"/>
      <c r="K35" s="36">
        <v>40962</v>
      </c>
      <c r="L35" s="3"/>
      <c r="M35" s="8">
        <f>(G35/E35)-1</f>
        <v>0</v>
      </c>
      <c r="N35" s="9"/>
      <c r="O35" s="9">
        <f>(I35/G35)-1</f>
        <v>0.4687644608977326</v>
      </c>
      <c r="P35" s="9"/>
      <c r="Q35" s="9">
        <f>(K35/I35)-1</f>
        <v>0.07545683679899184</v>
      </c>
      <c r="S35" s="9">
        <f>(I35/E35)-1</f>
        <v>0.4687644608977326</v>
      </c>
      <c r="T35" s="9"/>
      <c r="U35" s="9">
        <f>(K35/E35)-1</f>
        <v>0.579592781119852</v>
      </c>
      <c r="W35" s="9">
        <f>(K35/G35)-1</f>
        <v>0.579592781119852</v>
      </c>
    </row>
    <row r="36" spans="2:23" ht="12.75">
      <c r="B36" s="34"/>
      <c r="C36" s="18" t="s">
        <v>26</v>
      </c>
      <c r="D36" s="18"/>
      <c r="E36" s="36">
        <v>80777</v>
      </c>
      <c r="F36" s="36"/>
      <c r="G36" s="36">
        <v>80777</v>
      </c>
      <c r="H36" s="36"/>
      <c r="I36" s="36">
        <v>88352</v>
      </c>
      <c r="J36" s="36"/>
      <c r="K36" s="36">
        <v>95018</v>
      </c>
      <c r="L36" s="3"/>
      <c r="M36" s="8">
        <f>(G36/E36)-1</f>
        <v>0</v>
      </c>
      <c r="N36" s="9"/>
      <c r="O36" s="9">
        <f>(I36/G36)-1</f>
        <v>0.09377669386087617</v>
      </c>
      <c r="P36" s="9"/>
      <c r="Q36" s="9">
        <f>(K36/I36)-1</f>
        <v>0.07544820717131473</v>
      </c>
      <c r="S36" s="9">
        <f>(I36/E36)-1</f>
        <v>0.09377669386087617</v>
      </c>
      <c r="T36" s="9"/>
      <c r="U36" s="9">
        <f>(K36/E36)-1</f>
        <v>0.1763001844584473</v>
      </c>
      <c r="W36" s="9">
        <f>(K36/G36)-1</f>
        <v>0.1763001844584473</v>
      </c>
    </row>
    <row r="37" spans="2:23" ht="12.75">
      <c r="B37" s="34"/>
      <c r="C37" s="18" t="s">
        <v>76</v>
      </c>
      <c r="D37" s="18"/>
      <c r="E37" s="40">
        <f>E35/E36</f>
        <v>0.32103197692412444</v>
      </c>
      <c r="F37" s="40"/>
      <c r="G37" s="40">
        <f>G35/G36</f>
        <v>0.32103197692412444</v>
      </c>
      <c r="H37" s="40"/>
      <c r="I37" s="40">
        <f>I35/I36</f>
        <v>0.43109380659181457</v>
      </c>
      <c r="J37" s="40"/>
      <c r="K37" s="40">
        <f>K35/K36</f>
        <v>0.4310972657812204</v>
      </c>
      <c r="L37" s="3"/>
      <c r="M37" s="8">
        <f>(G37/E37)-1</f>
        <v>0</v>
      </c>
      <c r="N37" s="9"/>
      <c r="O37" s="9">
        <f>(I37/G37)-1</f>
        <v>0.34283759120264556</v>
      </c>
      <c r="P37" s="9"/>
      <c r="Q37" s="9">
        <f>(K37/I37)-1</f>
        <v>8.024215038426874E-06</v>
      </c>
      <c r="S37" s="9">
        <f>(I37/E37)-1</f>
        <v>0.34283759120264556</v>
      </c>
      <c r="T37" s="9"/>
      <c r="U37" s="9">
        <f>(K37/E37)-1</f>
        <v>0.3428483664202391</v>
      </c>
      <c r="W37" s="9">
        <f>(K37/G37)-1</f>
        <v>0.3428483664202391</v>
      </c>
    </row>
    <row r="38" spans="2:12" ht="12.75">
      <c r="B38" s="34"/>
      <c r="C38" s="18"/>
      <c r="D38" s="18"/>
      <c r="E38" s="18"/>
      <c r="F38" s="18"/>
      <c r="G38" s="18"/>
      <c r="H38" s="18"/>
      <c r="I38" s="18"/>
      <c r="J38" s="18"/>
      <c r="K38" s="18"/>
      <c r="L38" s="3"/>
    </row>
    <row r="39" spans="2:23" ht="12.75">
      <c r="B39" s="34"/>
      <c r="C39" s="18" t="s">
        <v>36</v>
      </c>
      <c r="D39" s="18"/>
      <c r="E39" s="40">
        <v>0.1443</v>
      </c>
      <c r="F39" s="40"/>
      <c r="G39" s="40">
        <v>0.1443</v>
      </c>
      <c r="H39" s="40"/>
      <c r="I39" s="40">
        <v>0.1443</v>
      </c>
      <c r="J39" s="40"/>
      <c r="K39" s="40">
        <v>0.1443</v>
      </c>
      <c r="L39" s="3"/>
      <c r="M39" s="8">
        <f>(G39/E39)-1</f>
        <v>0</v>
      </c>
      <c r="N39" s="9"/>
      <c r="O39" s="9">
        <f>(I39/G39)-1</f>
        <v>0</v>
      </c>
      <c r="P39" s="9"/>
      <c r="Q39" s="9">
        <f>(K39/I39)-1</f>
        <v>0</v>
      </c>
      <c r="S39" s="9">
        <f>(I39/E39)-1</f>
        <v>0</v>
      </c>
      <c r="T39" s="9"/>
      <c r="U39" s="9">
        <f>(K39/E39)-1</f>
        <v>0</v>
      </c>
      <c r="W39" s="9">
        <f>(K39/G39)-1</f>
        <v>0</v>
      </c>
    </row>
    <row r="40" spans="2:23" ht="12.75">
      <c r="B40" s="34"/>
      <c r="C40" s="18" t="s">
        <v>37</v>
      </c>
      <c r="D40" s="18"/>
      <c r="E40" s="40">
        <f>E37+E39</f>
        <v>0.4653319769241244</v>
      </c>
      <c r="F40" s="40"/>
      <c r="G40" s="40">
        <f>G37+G39</f>
        <v>0.4653319769241244</v>
      </c>
      <c r="H40" s="40"/>
      <c r="I40" s="40">
        <f>I37+I39</f>
        <v>0.5753938065918146</v>
      </c>
      <c r="J40" s="40"/>
      <c r="K40" s="40">
        <f>K37+K39</f>
        <v>0.5753972657812204</v>
      </c>
      <c r="L40" s="3"/>
      <c r="M40" s="8">
        <f>(G40/E40)-1</f>
        <v>0</v>
      </c>
      <c r="N40" s="9"/>
      <c r="O40" s="9">
        <f>(I40/G40)-1</f>
        <v>0.23652324603868036</v>
      </c>
      <c r="P40" s="9"/>
      <c r="Q40" s="9">
        <f>(K40/I40)-1</f>
        <v>6.011864163601999E-06</v>
      </c>
      <c r="S40" s="9">
        <f>(I40/E40)-1</f>
        <v>0.23652324603868036</v>
      </c>
      <c r="T40" s="9"/>
      <c r="U40" s="9">
        <f>(K40/E40)-1</f>
        <v>0.23653067984847054</v>
      </c>
      <c r="W40" s="9">
        <f>(K40/G40)-1</f>
        <v>0.23653067984847054</v>
      </c>
    </row>
    <row r="41" spans="2:23" ht="12.75">
      <c r="B41" s="34"/>
      <c r="C41" s="18" t="s">
        <v>38</v>
      </c>
      <c r="D41" s="18"/>
      <c r="E41" s="40">
        <v>0.202</v>
      </c>
      <c r="F41" s="40"/>
      <c r="G41" s="40">
        <v>0.202</v>
      </c>
      <c r="H41" s="40"/>
      <c r="I41" s="40">
        <v>0.202</v>
      </c>
      <c r="J41" s="40"/>
      <c r="K41" s="40">
        <v>0.202</v>
      </c>
      <c r="L41" s="3"/>
      <c r="M41" s="8">
        <f>(G41/E41)-1</f>
        <v>0</v>
      </c>
      <c r="N41" s="9"/>
      <c r="O41" s="9">
        <f>(I41/G41)-1</f>
        <v>0</v>
      </c>
      <c r="P41" s="9"/>
      <c r="Q41" s="9">
        <f>(K41/I41)-1</f>
        <v>0</v>
      </c>
      <c r="S41" s="9">
        <f>(I41/E41)-1</f>
        <v>0</v>
      </c>
      <c r="T41" s="9"/>
      <c r="U41" s="9">
        <f>(K41/E41)-1</f>
        <v>0</v>
      </c>
      <c r="W41" s="9">
        <f>(K41/G41)-1</f>
        <v>0</v>
      </c>
    </row>
    <row r="42" spans="2:23" ht="12.75">
      <c r="B42" s="34"/>
      <c r="C42" s="18" t="s">
        <v>39</v>
      </c>
      <c r="D42" s="18"/>
      <c r="E42" s="40">
        <f>E40-E41</f>
        <v>0.2633319769241244</v>
      </c>
      <c r="F42" s="40"/>
      <c r="G42" s="40">
        <f>G40-G41</f>
        <v>0.2633319769241244</v>
      </c>
      <c r="H42" s="40"/>
      <c r="I42" s="40">
        <f>I40-I41</f>
        <v>0.3733938065918146</v>
      </c>
      <c r="J42" s="40"/>
      <c r="K42" s="40">
        <f>K40-K41</f>
        <v>0.3733972657812204</v>
      </c>
      <c r="L42" s="3"/>
      <c r="M42" s="8">
        <f>(G42/E42)-1</f>
        <v>0</v>
      </c>
      <c r="N42" s="9"/>
      <c r="O42" s="9">
        <f>(I42/G42)-1</f>
        <v>0.41795846806482984</v>
      </c>
      <c r="P42" s="9"/>
      <c r="Q42" s="9">
        <f>(K42/I42)-1</f>
        <v>9.264185277579884E-06</v>
      </c>
      <c r="S42" s="9">
        <f>(I42/E42)-1</f>
        <v>0.41795846806482984</v>
      </c>
      <c r="T42" s="9"/>
      <c r="U42" s="9">
        <f>(K42/E42)-1</f>
        <v>0.4179716042947941</v>
      </c>
      <c r="W42" s="9">
        <f>(K42/G42)-1</f>
        <v>0.4179716042947941</v>
      </c>
    </row>
    <row r="43" spans="2:12" ht="12.75">
      <c r="B43" s="34"/>
      <c r="C43" s="18"/>
      <c r="D43" s="18"/>
      <c r="E43" s="18"/>
      <c r="F43" s="18"/>
      <c r="G43" s="18"/>
      <c r="H43" s="18"/>
      <c r="I43" s="18"/>
      <c r="J43" s="18"/>
      <c r="K43" s="18"/>
      <c r="L43" s="3"/>
    </row>
    <row r="44" spans="2:23" ht="12.75">
      <c r="B44" s="34"/>
      <c r="C44" s="18" t="s">
        <v>40</v>
      </c>
      <c r="D44" s="18"/>
      <c r="E44" s="40">
        <v>0.0588</v>
      </c>
      <c r="F44" s="40"/>
      <c r="G44" s="40">
        <v>0.0588</v>
      </c>
      <c r="H44" s="40"/>
      <c r="I44" s="40">
        <v>0.0588</v>
      </c>
      <c r="J44" s="40"/>
      <c r="K44" s="40">
        <v>0.0588</v>
      </c>
      <c r="L44" s="3"/>
      <c r="M44" s="8">
        <f>(G44/E44)-1</f>
        <v>0</v>
      </c>
      <c r="N44" s="9"/>
      <c r="O44" s="9">
        <f>(I44/G44)-1</f>
        <v>0</v>
      </c>
      <c r="P44" s="9"/>
      <c r="Q44" s="9">
        <f>(K44/I44)-1</f>
        <v>0</v>
      </c>
      <c r="S44" s="9">
        <f>(I44/E44)-1</f>
        <v>0</v>
      </c>
      <c r="T44" s="9"/>
      <c r="U44" s="9">
        <f>(K44/E44)-1</f>
        <v>0</v>
      </c>
      <c r="W44" s="9">
        <f>(K44/G44)-1</f>
        <v>0</v>
      </c>
    </row>
    <row r="45" spans="2:23" ht="12.75">
      <c r="B45" s="34"/>
      <c r="C45" s="18" t="s">
        <v>41</v>
      </c>
      <c r="D45" s="18"/>
      <c r="E45" s="40">
        <v>0.825</v>
      </c>
      <c r="F45" s="40"/>
      <c r="G45" s="40">
        <v>0.825</v>
      </c>
      <c r="H45" s="40"/>
      <c r="I45" s="40">
        <v>0.825</v>
      </c>
      <c r="J45" s="40"/>
      <c r="K45" s="40">
        <v>0.825</v>
      </c>
      <c r="L45" s="3"/>
      <c r="M45" s="8">
        <f>(G45/E45)-1</f>
        <v>0</v>
      </c>
      <c r="N45" s="9"/>
      <c r="O45" s="9">
        <f>(I45/G45)-1</f>
        <v>0</v>
      </c>
      <c r="P45" s="9"/>
      <c r="Q45" s="9">
        <f>(K45/I45)-1</f>
        <v>0</v>
      </c>
      <c r="S45" s="9">
        <f>(I45/E45)-1</f>
        <v>0</v>
      </c>
      <c r="T45" s="9"/>
      <c r="U45" s="9">
        <f>(K45/E45)-1</f>
        <v>0</v>
      </c>
      <c r="W45" s="9">
        <f>(K45/G45)-1</f>
        <v>0</v>
      </c>
    </row>
    <row r="46" spans="2:23" ht="12.75">
      <c r="B46" s="34"/>
      <c r="C46" s="18" t="s">
        <v>42</v>
      </c>
      <c r="D46" s="18"/>
      <c r="E46" s="40">
        <f>E42*E45</f>
        <v>0.21724888096240264</v>
      </c>
      <c r="F46" s="40"/>
      <c r="G46" s="40">
        <f>G42*G45</f>
        <v>0.21724888096240264</v>
      </c>
      <c r="H46" s="40"/>
      <c r="I46" s="40">
        <f>I42*I45</f>
        <v>0.30804989043824704</v>
      </c>
      <c r="J46" s="40"/>
      <c r="K46" s="40">
        <f>K42*K45</f>
        <v>0.3080527442695068</v>
      </c>
      <c r="L46" s="3"/>
      <c r="M46" s="8">
        <f>(G46/E46)-1</f>
        <v>0</v>
      </c>
      <c r="N46" s="9"/>
      <c r="O46" s="9">
        <f>(I46/G46)-1</f>
        <v>0.41795846806483006</v>
      </c>
      <c r="P46" s="9"/>
      <c r="Q46" s="9">
        <f>(K46/I46)-1</f>
        <v>9.264185277579884E-06</v>
      </c>
      <c r="S46" s="9">
        <f>(I46/E46)-1</f>
        <v>0.41795846806483006</v>
      </c>
      <c r="T46" s="9"/>
      <c r="U46" s="9">
        <f>(K46/E46)-1</f>
        <v>0.4179716042947941</v>
      </c>
      <c r="W46" s="9">
        <f>(K46/G46)-1</f>
        <v>0.4179716042947941</v>
      </c>
    </row>
    <row r="47" spans="2:23" ht="12.75">
      <c r="B47" s="34"/>
      <c r="C47" s="18" t="s">
        <v>43</v>
      </c>
      <c r="D47" s="18"/>
      <c r="E47" s="40">
        <f>E44+E46</f>
        <v>0.27604888096240265</v>
      </c>
      <c r="F47" s="40"/>
      <c r="G47" s="40">
        <f>G44+G46</f>
        <v>0.27604888096240265</v>
      </c>
      <c r="H47" s="40"/>
      <c r="I47" s="40">
        <f>I44+I46</f>
        <v>0.36684989043824706</v>
      </c>
      <c r="J47" s="40"/>
      <c r="K47" s="40">
        <f>K44+K46</f>
        <v>0.3668527442695068</v>
      </c>
      <c r="L47" s="3"/>
      <c r="M47" s="8">
        <f>(G47/E47)-1</f>
        <v>0</v>
      </c>
      <c r="N47" s="9"/>
      <c r="O47" s="9">
        <f>(I47/G47)-1</f>
        <v>0.32893090947980097</v>
      </c>
      <c r="P47" s="9"/>
      <c r="Q47" s="9">
        <f>(K47/I47)-1</f>
        <v>7.77928884310164E-06</v>
      </c>
      <c r="S47" s="9">
        <f>(I47/E47)-1</f>
        <v>0.32893090947980097</v>
      </c>
      <c r="T47" s="9"/>
      <c r="U47" s="9">
        <f>(K47/E47)-1</f>
        <v>0.32894124761719823</v>
      </c>
      <c r="W47" s="9">
        <f>(K47/G47)-1</f>
        <v>0.32894124761719823</v>
      </c>
    </row>
    <row r="48" spans="2:12" ht="12.75">
      <c r="B48" s="34"/>
      <c r="C48" s="18"/>
      <c r="D48" s="18"/>
      <c r="E48" s="18"/>
      <c r="F48" s="18"/>
      <c r="G48" s="18"/>
      <c r="H48" s="18"/>
      <c r="I48" s="18"/>
      <c r="J48" s="18"/>
      <c r="K48" s="18"/>
      <c r="L48" s="3"/>
    </row>
    <row r="49" spans="2:23" ht="12.75">
      <c r="B49" s="34"/>
      <c r="C49" s="18" t="s">
        <v>44</v>
      </c>
      <c r="D49" s="18"/>
      <c r="E49" s="19">
        <f>E19*E47</f>
        <v>5342946.794693376</v>
      </c>
      <c r="F49" s="19"/>
      <c r="G49" s="19">
        <f>G19*G47</f>
        <v>5342946.794693376</v>
      </c>
      <c r="H49" s="19"/>
      <c r="I49" s="19">
        <f>I19*I47</f>
        <v>8374396.105690191</v>
      </c>
      <c r="J49" s="19"/>
      <c r="K49" s="19">
        <f>K19*K47</f>
        <v>9006340.158553997</v>
      </c>
      <c r="L49" s="3"/>
      <c r="M49" s="8">
        <f>(G49/E49)-1</f>
        <v>0</v>
      </c>
      <c r="N49" s="9"/>
      <c r="O49" s="9">
        <f>(I49/G49)-1</f>
        <v>0.5673740404841117</v>
      </c>
      <c r="P49" s="9"/>
      <c r="Q49" s="9">
        <f>(K49/I49)-1</f>
        <v>0.07546144759434248</v>
      </c>
      <c r="S49" s="9">
        <f>(I49/E49)-1</f>
        <v>0.5673740404841117</v>
      </c>
      <c r="T49" s="9"/>
      <c r="U49" s="9">
        <f>(K49/E49)-1</f>
        <v>0.6856503545008366</v>
      </c>
      <c r="W49" s="9">
        <f>(K49/G49)-1</f>
        <v>0.6856503545008366</v>
      </c>
    </row>
    <row r="50" spans="2:23" ht="13.5" thickBot="1">
      <c r="B50" s="34"/>
      <c r="C50" s="18" t="s">
        <v>45</v>
      </c>
      <c r="D50" s="18"/>
      <c r="E50" s="19">
        <f>E49*0.0125</f>
        <v>66786.8349336672</v>
      </c>
      <c r="F50" s="19"/>
      <c r="G50" s="19">
        <f>G49*0.0125</f>
        <v>66786.8349336672</v>
      </c>
      <c r="H50" s="19"/>
      <c r="I50" s="19">
        <f>I49*0.0125</f>
        <v>104679.95132112739</v>
      </c>
      <c r="J50" s="19"/>
      <c r="K50" s="19">
        <f>K49*0.0225</f>
        <v>202642.65356746493</v>
      </c>
      <c r="L50" s="3"/>
      <c r="M50" s="8">
        <f>(G50/E50)-1</f>
        <v>0</v>
      </c>
      <c r="N50" s="9"/>
      <c r="O50" s="9">
        <f>(I50/G50)-1</f>
        <v>0.5673740404841119</v>
      </c>
      <c r="P50" s="9"/>
      <c r="Q50" s="9">
        <f>(K50/I50)-1</f>
        <v>0.9358306056698165</v>
      </c>
      <c r="S50" s="9">
        <f>(I50/E50)-1</f>
        <v>0.5673740404841119</v>
      </c>
      <c r="T50" s="9"/>
      <c r="U50" s="9">
        <f>(K50/E50)-1</f>
        <v>2.034170638101506</v>
      </c>
      <c r="W50" s="9">
        <f>(K50/G50)-1</f>
        <v>2.034170638101506</v>
      </c>
    </row>
    <row r="51" spans="2:23" ht="13.5" thickBot="1">
      <c r="B51" s="34"/>
      <c r="C51" s="12" t="s">
        <v>46</v>
      </c>
      <c r="D51" s="13"/>
      <c r="E51" s="14">
        <f>E49-E50</f>
        <v>5276159.9597597085</v>
      </c>
      <c r="F51" s="16"/>
      <c r="G51" s="14">
        <f>G49-G50</f>
        <v>5276159.9597597085</v>
      </c>
      <c r="H51" s="16"/>
      <c r="I51" s="14">
        <f>I49-I50</f>
        <v>8269716.154369063</v>
      </c>
      <c r="J51" s="16"/>
      <c r="K51" s="30">
        <f>K49-K50</f>
        <v>8803697.504986532</v>
      </c>
      <c r="L51" s="3"/>
      <c r="M51" s="15">
        <f>(G51/E51)-1</f>
        <v>0</v>
      </c>
      <c r="N51" s="16"/>
      <c r="O51" s="16">
        <f>(I51/G51)-1</f>
        <v>0.5673740404841117</v>
      </c>
      <c r="P51" s="16"/>
      <c r="Q51" s="16">
        <f>(K51/I51)-1</f>
        <v>0.06457069875794419</v>
      </c>
      <c r="R51" s="13"/>
      <c r="S51" s="16">
        <f>(I51/E51)-1</f>
        <v>0.5673740404841117</v>
      </c>
      <c r="T51" s="16"/>
      <c r="U51" s="16">
        <f>(K51/E51)-1</f>
        <v>0.6685804774932331</v>
      </c>
      <c r="V51" s="13"/>
      <c r="W51" s="17">
        <f>(K51/G51)-1</f>
        <v>0.6685804774932331</v>
      </c>
    </row>
    <row r="52" spans="2:12" ht="12.75">
      <c r="B52" s="34"/>
      <c r="C52" s="18"/>
      <c r="D52" s="18"/>
      <c r="E52" s="18"/>
      <c r="F52" s="18"/>
      <c r="G52" s="18"/>
      <c r="H52" s="18"/>
      <c r="I52" s="18"/>
      <c r="J52" s="18"/>
      <c r="K52" s="18"/>
      <c r="L52" s="3"/>
    </row>
    <row r="53" spans="2:12" ht="12.75">
      <c r="B53" s="34" t="s">
        <v>47</v>
      </c>
      <c r="C53" s="18"/>
      <c r="D53" s="18"/>
      <c r="E53" s="18"/>
      <c r="F53" s="18"/>
      <c r="G53" s="18"/>
      <c r="H53" s="18"/>
      <c r="I53" s="18"/>
      <c r="J53" s="18"/>
      <c r="K53" s="18"/>
      <c r="L53" s="3"/>
    </row>
    <row r="54" spans="2:23" ht="13.5" thickBot="1">
      <c r="B54" s="34"/>
      <c r="C54" s="18" t="s">
        <v>48</v>
      </c>
      <c r="D54" s="18"/>
      <c r="E54" s="39">
        <f>2.7183^(0.2025*E40)-1</f>
        <v>0.09881283406528252</v>
      </c>
      <c r="F54" s="39"/>
      <c r="G54" s="39">
        <f>2.7183^(0.2025*G40)-1</f>
        <v>0.09881283406528252</v>
      </c>
      <c r="H54" s="39"/>
      <c r="I54" s="39">
        <f>2.7183^(0.2025*I40)-1</f>
        <v>0.1235777624846548</v>
      </c>
      <c r="J54" s="39"/>
      <c r="K54" s="39">
        <f>2.7183^(0.2025*K40)-1</f>
        <v>0.12357854954052105</v>
      </c>
      <c r="L54" s="3"/>
      <c r="M54" s="8">
        <f>(G54/E54)-1</f>
        <v>0</v>
      </c>
      <c r="N54" s="9"/>
      <c r="O54" s="9">
        <f>(I54/G54)-1</f>
        <v>0.2506246142379731</v>
      </c>
      <c r="P54" s="9"/>
      <c r="Q54" s="9">
        <f>(K54/I54)-1</f>
        <v>6.368911772192121E-06</v>
      </c>
      <c r="S54" s="9">
        <f>(I54/E54)-1</f>
        <v>0.2506246142379731</v>
      </c>
      <c r="T54" s="9"/>
      <c r="U54" s="9">
        <f>(K54/E54)-1</f>
        <v>0.2506325793558013</v>
      </c>
      <c r="W54" s="9">
        <f>(K54/G54)-1</f>
        <v>0.2506325793558013</v>
      </c>
    </row>
    <row r="55" spans="2:23" ht="13.5" thickBot="1">
      <c r="B55" s="34"/>
      <c r="C55" s="12" t="s">
        <v>49</v>
      </c>
      <c r="D55" s="13"/>
      <c r="E55" s="14">
        <f>E54*E31</f>
        <v>123914.45592855437</v>
      </c>
      <c r="F55" s="14"/>
      <c r="G55" s="14">
        <f>G54*G31</f>
        <v>123914.45592855437</v>
      </c>
      <c r="H55" s="14"/>
      <c r="I55" s="14">
        <f>I54*I31</f>
        <v>187345.61801541146</v>
      </c>
      <c r="J55" s="14"/>
      <c r="K55" s="30">
        <f>K54*K31</f>
        <v>230265.88861564553</v>
      </c>
      <c r="L55" s="3"/>
      <c r="M55" s="15">
        <f>(G55/E55)-1</f>
        <v>0</v>
      </c>
      <c r="N55" s="16"/>
      <c r="O55" s="16">
        <f>(I55/G55)-1</f>
        <v>0.5118947713689654</v>
      </c>
      <c r="P55" s="16"/>
      <c r="Q55" s="16">
        <f>(K55/I55)-1</f>
        <v>0.22909674138577052</v>
      </c>
      <c r="R55" s="13"/>
      <c r="S55" s="16">
        <f>(I55/E55)-1</f>
        <v>0.5118947713689654</v>
      </c>
      <c r="T55" s="16"/>
      <c r="U55" s="16">
        <f>(K55/E55)-1</f>
        <v>0.8582649368077802</v>
      </c>
      <c r="V55" s="13"/>
      <c r="W55" s="17">
        <f>(K55/G55)-1</f>
        <v>0.8582649368077802</v>
      </c>
    </row>
    <row r="56" spans="2:12" ht="12.75">
      <c r="B56" s="34"/>
      <c r="C56" s="18"/>
      <c r="D56" s="18"/>
      <c r="E56" s="18"/>
      <c r="F56" s="18"/>
      <c r="G56" s="18"/>
      <c r="H56" s="18"/>
      <c r="I56" s="18"/>
      <c r="J56" s="18"/>
      <c r="K56" s="18"/>
      <c r="L56" s="3"/>
    </row>
    <row r="57" spans="2:12" ht="12.75">
      <c r="B57" s="34" t="s">
        <v>50</v>
      </c>
      <c r="C57" s="18"/>
      <c r="D57" s="18"/>
      <c r="E57" s="18"/>
      <c r="F57" s="18"/>
      <c r="G57" s="18"/>
      <c r="H57" s="18"/>
      <c r="I57" s="18"/>
      <c r="J57" s="18"/>
      <c r="K57" s="18"/>
      <c r="L57" s="3"/>
    </row>
    <row r="58" spans="2:23" ht="12.75">
      <c r="B58" s="34"/>
      <c r="C58" s="18" t="s">
        <v>51</v>
      </c>
      <c r="D58" s="18"/>
      <c r="E58" s="19">
        <f>69254*1.03</f>
        <v>71331.62</v>
      </c>
      <c r="F58" s="19"/>
      <c r="G58" s="19">
        <f>E58*1.03</f>
        <v>73471.5686</v>
      </c>
      <c r="H58" s="19"/>
      <c r="I58" s="19">
        <f>G58*1.03</f>
        <v>75675.715658</v>
      </c>
      <c r="J58" s="19"/>
      <c r="K58" s="19">
        <f>I58*1.03</f>
        <v>77945.98712774001</v>
      </c>
      <c r="L58" s="3"/>
      <c r="M58" s="8">
        <f>(G58/E58)-1</f>
        <v>0.030000000000000027</v>
      </c>
      <c r="N58" s="9"/>
      <c r="O58" s="9">
        <f>(I58/G58)-1</f>
        <v>0.030000000000000027</v>
      </c>
      <c r="P58" s="9"/>
      <c r="Q58" s="9">
        <f>(K58/I58)-1</f>
        <v>0.030000000000000027</v>
      </c>
      <c r="S58" s="9">
        <f>(I58/E58)-1</f>
        <v>0.060900000000000176</v>
      </c>
      <c r="T58" s="9"/>
      <c r="U58" s="9">
        <f>(K58/E58)-1</f>
        <v>0.09272700000000023</v>
      </c>
      <c r="W58" s="9">
        <f>(K58/G58)-1</f>
        <v>0.060900000000000176</v>
      </c>
    </row>
    <row r="59" spans="2:23" ht="12.75">
      <c r="B59" s="34"/>
      <c r="C59" s="18" t="s">
        <v>52</v>
      </c>
      <c r="D59" s="18"/>
      <c r="E59" s="19">
        <f>E27*E58</f>
        <v>14859803.078399999</v>
      </c>
      <c r="F59" s="19"/>
      <c r="G59" s="19">
        <f>G27*G58</f>
        <v>15092529.621811999</v>
      </c>
      <c r="H59" s="19"/>
      <c r="I59" s="19">
        <f>I27*I58</f>
        <v>15235035.07626856</v>
      </c>
      <c r="J59" s="19"/>
      <c r="K59" s="19">
        <f>K27*K58</f>
        <v>15614140.141428879</v>
      </c>
      <c r="L59" s="3"/>
      <c r="M59" s="8">
        <f>(G59/E59)-1</f>
        <v>0.015661482334869525</v>
      </c>
      <c r="N59" s="9"/>
      <c r="O59" s="9">
        <f>(I59/G59)-1</f>
        <v>0.009442118586310944</v>
      </c>
      <c r="P59" s="9"/>
      <c r="Q59" s="9">
        <f>(K59/I59)-1</f>
        <v>0.024883767136896662</v>
      </c>
      <c r="S59" s="9">
        <f>(I59/E59)-1</f>
        <v>0.025251478494623614</v>
      </c>
      <c r="T59" s="9"/>
      <c r="U59" s="9">
        <f>(K59/E59)-1</f>
        <v>0.05076359754224291</v>
      </c>
      <c r="W59" s="9">
        <f>(K59/G59)-1</f>
        <v>0.034560841203388426</v>
      </c>
    </row>
    <row r="60" spans="2:12" ht="12.75">
      <c r="B60" s="34"/>
      <c r="C60" s="18"/>
      <c r="D60" s="18"/>
      <c r="E60" s="19"/>
      <c r="F60" s="19"/>
      <c r="G60" s="19"/>
      <c r="H60" s="19"/>
      <c r="I60" s="19"/>
      <c r="J60" s="19"/>
      <c r="K60" s="19"/>
      <c r="L60" s="3"/>
    </row>
    <row r="61" spans="2:23" ht="12.75">
      <c r="B61" s="34"/>
      <c r="C61" s="18" t="s">
        <v>77</v>
      </c>
      <c r="D61" s="18"/>
      <c r="E61" s="36">
        <v>26799</v>
      </c>
      <c r="F61" s="36"/>
      <c r="G61" s="36">
        <v>26799</v>
      </c>
      <c r="H61" s="36"/>
      <c r="I61" s="36">
        <v>26799</v>
      </c>
      <c r="J61" s="36"/>
      <c r="K61" s="36">
        <v>26478</v>
      </c>
      <c r="L61" s="3"/>
      <c r="M61" s="8">
        <f>(G61/E61)-1</f>
        <v>0</v>
      </c>
      <c r="N61" s="9"/>
      <c r="O61" s="9">
        <f>(I61/G61)-1</f>
        <v>0</v>
      </c>
      <c r="P61" s="9"/>
      <c r="Q61" s="9">
        <f>(K61/I61)-1</f>
        <v>-0.01197805888279413</v>
      </c>
      <c r="S61" s="9">
        <f>(I61/E61)-1</f>
        <v>0</v>
      </c>
      <c r="T61" s="9"/>
      <c r="U61" s="9">
        <f>(K61/E61)-1</f>
        <v>-0.01197805888279413</v>
      </c>
      <c r="W61" s="9">
        <f>(K61/G61)-1</f>
        <v>-0.01197805888279413</v>
      </c>
    </row>
    <row r="62" spans="2:23" ht="12.75">
      <c r="B62" s="34"/>
      <c r="C62" s="18" t="s">
        <v>54</v>
      </c>
      <c r="D62" s="18"/>
      <c r="E62" s="36">
        <v>100287</v>
      </c>
      <c r="F62" s="36"/>
      <c r="G62" s="36">
        <v>100287</v>
      </c>
      <c r="H62" s="36"/>
      <c r="I62" s="36">
        <v>100287</v>
      </c>
      <c r="J62" s="36"/>
      <c r="K62" s="36">
        <v>98000</v>
      </c>
      <c r="L62" s="3"/>
      <c r="M62" s="8">
        <f>(G62/E62)-1</f>
        <v>0</v>
      </c>
      <c r="N62" s="9"/>
      <c r="O62" s="9">
        <f>(I62/G62)-1</f>
        <v>0</v>
      </c>
      <c r="P62" s="9"/>
      <c r="Q62" s="9">
        <f>(K62/I62)-1</f>
        <v>-0.022804550938805623</v>
      </c>
      <c r="S62" s="9">
        <f>(I62/E62)-1</f>
        <v>0</v>
      </c>
      <c r="T62" s="9"/>
      <c r="U62" s="9">
        <f>(K62/E62)-1</f>
        <v>-0.022804550938805623</v>
      </c>
      <c r="W62" s="9">
        <f>(K62/G62)-1</f>
        <v>-0.022804550938805623</v>
      </c>
    </row>
    <row r="63" spans="2:23" ht="12.75">
      <c r="B63" s="34"/>
      <c r="C63" s="18" t="s">
        <v>55</v>
      </c>
      <c r="D63" s="18"/>
      <c r="E63" s="40">
        <f>E61/E62</f>
        <v>0.26722306978970356</v>
      </c>
      <c r="F63" s="40"/>
      <c r="G63" s="40">
        <f>G61/G62</f>
        <v>0.26722306978970356</v>
      </c>
      <c r="H63" s="40"/>
      <c r="I63" s="40">
        <f>I61/I62</f>
        <v>0.26722306978970356</v>
      </c>
      <c r="J63" s="40"/>
      <c r="K63" s="40">
        <f>K61/K62</f>
        <v>0.27018367346938776</v>
      </c>
      <c r="L63" s="3"/>
      <c r="M63" s="8">
        <f>(G63/E63)-1</f>
        <v>0</v>
      </c>
      <c r="N63" s="9"/>
      <c r="O63" s="9">
        <f>(I63/G63)-1</f>
        <v>0</v>
      </c>
      <c r="P63" s="9"/>
      <c r="Q63" s="9">
        <f>(K63/I63)-1</f>
        <v>0.011079147028788094</v>
      </c>
      <c r="S63" s="9">
        <f>(I63/E63)-1</f>
        <v>0</v>
      </c>
      <c r="T63" s="9"/>
      <c r="U63" s="9">
        <f>(K63/E63)-1</f>
        <v>0.011079147028788094</v>
      </c>
      <c r="W63" s="9">
        <f>(K63/G63)-1</f>
        <v>0.011079147028788094</v>
      </c>
    </row>
    <row r="64" spans="2:12" ht="12.75">
      <c r="B64" s="34"/>
      <c r="C64" s="18"/>
      <c r="D64" s="18"/>
      <c r="E64" s="19"/>
      <c r="F64" s="19"/>
      <c r="G64" s="19"/>
      <c r="H64" s="19"/>
      <c r="I64" s="19"/>
      <c r="J64" s="19"/>
      <c r="K64" s="19"/>
      <c r="L64" s="3"/>
    </row>
    <row r="65" spans="2:23" ht="12.75">
      <c r="B65" s="34"/>
      <c r="C65" s="18" t="s">
        <v>57</v>
      </c>
      <c r="D65" s="18"/>
      <c r="E65" s="19">
        <f>E59*E63</f>
        <v>3970882.1950805346</v>
      </c>
      <c r="F65" s="19"/>
      <c r="G65" s="19">
        <f>G59*G63</f>
        <v>4033072.096432636</v>
      </c>
      <c r="H65" s="19"/>
      <c r="I65" s="19">
        <f>I59*I63</f>
        <v>4071152.841434295</v>
      </c>
      <c r="J65" s="19"/>
      <c r="K65" s="19">
        <f>K59*K63</f>
        <v>4218685.741477081</v>
      </c>
      <c r="L65" s="3"/>
      <c r="M65" s="8">
        <f>(G65/E65)-1</f>
        <v>0.015661482334869525</v>
      </c>
      <c r="N65" s="9"/>
      <c r="O65" s="9">
        <f>(I65/G65)-1</f>
        <v>0.009442118586310944</v>
      </c>
      <c r="P65" s="9"/>
      <c r="Q65" s="9">
        <f>(K65/I65)-1</f>
        <v>0.036238605080424646</v>
      </c>
      <c r="S65" s="9">
        <f>(I65/E65)-1</f>
        <v>0.025251478494623614</v>
      </c>
      <c r="T65" s="9"/>
      <c r="U65" s="9">
        <f>(K65/E65)-1</f>
        <v>0.0624051619319117</v>
      </c>
      <c r="W65" s="9">
        <f>(K65/G65)-1</f>
        <v>0.04602289287330752</v>
      </c>
    </row>
    <row r="66" spans="2:23" ht="13.5" thickBot="1">
      <c r="B66" s="34"/>
      <c r="C66" s="18" t="s">
        <v>58</v>
      </c>
      <c r="D66" s="18"/>
      <c r="E66" s="40">
        <v>0.85</v>
      </c>
      <c r="F66" s="40"/>
      <c r="G66" s="40">
        <v>0.85</v>
      </c>
      <c r="H66" s="40"/>
      <c r="I66" s="40">
        <v>0.85</v>
      </c>
      <c r="J66" s="40"/>
      <c r="K66" s="40">
        <v>0.85</v>
      </c>
      <c r="L66" s="3"/>
      <c r="M66" s="8">
        <f>(G66/E66)-1</f>
        <v>0</v>
      </c>
      <c r="N66" s="9"/>
      <c r="O66" s="9">
        <f>(I66/G66)-1</f>
        <v>0</v>
      </c>
      <c r="P66" s="9"/>
      <c r="Q66" s="9">
        <f>(K66/I66)-1</f>
        <v>0</v>
      </c>
      <c r="S66" s="9">
        <f>(I66/E66)-1</f>
        <v>0</v>
      </c>
      <c r="T66" s="9"/>
      <c r="U66" s="9">
        <f>(K66/E66)-1</f>
        <v>0</v>
      </c>
      <c r="W66" s="9">
        <f>(K66/G66)-1</f>
        <v>0</v>
      </c>
    </row>
    <row r="67" spans="2:23" ht="13.5" thickBot="1">
      <c r="B67" s="34"/>
      <c r="C67" s="12" t="s">
        <v>59</v>
      </c>
      <c r="D67" s="13"/>
      <c r="E67" s="14">
        <f>E65*E66</f>
        <v>3375249.8658184544</v>
      </c>
      <c r="F67" s="14"/>
      <c r="G67" s="14">
        <f>G65*G66</f>
        <v>3428111.2819677405</v>
      </c>
      <c r="H67" s="14"/>
      <c r="I67" s="14">
        <f>I65*I66</f>
        <v>3460479.9152191505</v>
      </c>
      <c r="J67" s="14"/>
      <c r="K67" s="30">
        <f>K65*K66</f>
        <v>3585882.8802555185</v>
      </c>
      <c r="L67" s="3"/>
      <c r="M67" s="15">
        <f>(G67/E67)-1</f>
        <v>0.015661482334869525</v>
      </c>
      <c r="N67" s="16"/>
      <c r="O67" s="16">
        <f>(I67/G67)-1</f>
        <v>0.009442118586310944</v>
      </c>
      <c r="P67" s="16"/>
      <c r="Q67" s="16">
        <f>(K67/I67)-1</f>
        <v>0.036238605080424646</v>
      </c>
      <c r="R67" s="13"/>
      <c r="S67" s="16">
        <f>(I67/E67)-1</f>
        <v>0.025251478494623614</v>
      </c>
      <c r="T67" s="16"/>
      <c r="U67" s="16">
        <f>(K67/E67)-1</f>
        <v>0.0624051619319117</v>
      </c>
      <c r="V67" s="13"/>
      <c r="W67" s="17">
        <f>(K67/G67)-1</f>
        <v>0.04602289287330752</v>
      </c>
    </row>
    <row r="68" spans="2:12" ht="12.75">
      <c r="B68" s="34"/>
      <c r="C68" s="18"/>
      <c r="D68" s="18"/>
      <c r="E68" s="18"/>
      <c r="F68" s="18"/>
      <c r="G68" s="18"/>
      <c r="H68" s="18"/>
      <c r="I68" s="18"/>
      <c r="J68" s="18"/>
      <c r="K68" s="18"/>
      <c r="L68" s="3"/>
    </row>
    <row r="69" spans="2:12" ht="12.75">
      <c r="B69" s="34" t="s">
        <v>78</v>
      </c>
      <c r="C69" s="18"/>
      <c r="D69" s="18"/>
      <c r="E69" s="18"/>
      <c r="F69" s="18"/>
      <c r="G69" s="18"/>
      <c r="H69" s="18"/>
      <c r="I69" s="18"/>
      <c r="J69" s="18"/>
      <c r="K69" s="18"/>
      <c r="L69" s="3"/>
    </row>
    <row r="70" spans="2:23" ht="12.75">
      <c r="B70" s="34"/>
      <c r="C70" s="41" t="s">
        <v>14</v>
      </c>
      <c r="D70" s="18"/>
      <c r="E70" s="19">
        <f aca="true" t="shared" si="0" ref="E70:K70">E11</f>
        <v>34565072.112</v>
      </c>
      <c r="F70" s="19"/>
      <c r="G70" s="19">
        <f t="shared" si="0"/>
        <v>26986405.240800004</v>
      </c>
      <c r="H70" s="19"/>
      <c r="I70" s="19">
        <f t="shared" si="0"/>
        <v>24737448.33</v>
      </c>
      <c r="J70" s="19"/>
      <c r="K70" s="19">
        <f t="shared" si="0"/>
        <v>26639807.25</v>
      </c>
      <c r="L70" s="3"/>
      <c r="M70" s="8">
        <f aca="true" t="shared" si="1" ref="M70:M79">(G70/E70)-1</f>
        <v>-0.21925795053003527</v>
      </c>
      <c r="N70" s="9"/>
      <c r="O70" s="9">
        <f aca="true" t="shared" si="2" ref="O70:O79">(I70/G70)-1</f>
        <v>-0.08333666120895089</v>
      </c>
      <c r="P70" s="9"/>
      <c r="Q70" s="9">
        <f aca="true" t="shared" si="3" ref="Q70:Q79">(K70/I70)-1</f>
        <v>0.07690198660032954</v>
      </c>
      <c r="S70" s="9">
        <f aca="true" t="shared" si="4" ref="S70:S79">(I70/E70)-1</f>
        <v>-0.28432238619829575</v>
      </c>
      <c r="T70" s="9"/>
      <c r="U70" s="9">
        <f aca="true" t="shared" si="5" ref="U70:U79">(K70/E70)-1</f>
        <v>-0.2292853559315613</v>
      </c>
      <c r="W70" s="9">
        <f aca="true" t="shared" si="6" ref="W70:W79">(K70/G70)-1</f>
        <v>-0.01284342941222838</v>
      </c>
    </row>
    <row r="71" spans="2:23" ht="12.75">
      <c r="B71" s="34"/>
      <c r="C71" s="41" t="s">
        <v>15</v>
      </c>
      <c r="D71" s="18"/>
      <c r="E71" s="19">
        <f aca="true" t="shared" si="7" ref="E71:K71">E16</f>
        <v>472075</v>
      </c>
      <c r="F71" s="19"/>
      <c r="G71" s="19">
        <f t="shared" si="7"/>
        <v>472075</v>
      </c>
      <c r="H71" s="19"/>
      <c r="I71" s="19">
        <f t="shared" si="7"/>
        <v>0</v>
      </c>
      <c r="J71" s="19"/>
      <c r="K71" s="19">
        <f t="shared" si="7"/>
        <v>0</v>
      </c>
      <c r="L71" s="3"/>
      <c r="M71" s="8">
        <f t="shared" si="1"/>
        <v>0</v>
      </c>
      <c r="N71" s="9"/>
      <c r="O71" s="9">
        <f t="shared" si="2"/>
        <v>-1</v>
      </c>
      <c r="P71" s="9"/>
      <c r="Q71" s="9">
        <v>0</v>
      </c>
      <c r="S71" s="9">
        <f t="shared" si="4"/>
        <v>-1</v>
      </c>
      <c r="T71" s="9"/>
      <c r="U71" s="9">
        <f t="shared" si="5"/>
        <v>-1</v>
      </c>
      <c r="W71" s="9">
        <f t="shared" si="6"/>
        <v>-1</v>
      </c>
    </row>
    <row r="72" spans="2:23" ht="12.75">
      <c r="B72" s="34"/>
      <c r="C72" s="41" t="s">
        <v>18</v>
      </c>
      <c r="D72" s="18"/>
      <c r="E72" s="19">
        <f aca="true" t="shared" si="8" ref="E72:K72">E21</f>
        <v>6915568.2975</v>
      </c>
      <c r="F72" s="19"/>
      <c r="G72" s="19">
        <f t="shared" si="8"/>
        <v>6915568.2975</v>
      </c>
      <c r="H72" s="19"/>
      <c r="I72" s="19">
        <f t="shared" si="8"/>
        <v>7914417.3285</v>
      </c>
      <c r="J72" s="19"/>
      <c r="K72" s="19">
        <f t="shared" si="8"/>
        <v>7895372.2992</v>
      </c>
      <c r="L72" s="3"/>
      <c r="M72" s="8">
        <f t="shared" si="1"/>
        <v>0</v>
      </c>
      <c r="N72" s="9"/>
      <c r="O72" s="9">
        <f t="shared" si="2"/>
        <v>0.14443484440188192</v>
      </c>
      <c r="P72" s="9"/>
      <c r="Q72" s="9">
        <f t="shared" si="3"/>
        <v>-0.0024063716265527724</v>
      </c>
      <c r="S72" s="9">
        <f t="shared" si="4"/>
        <v>0.14443484440188192</v>
      </c>
      <c r="T72" s="9"/>
      <c r="U72" s="9">
        <f t="shared" si="5"/>
        <v>0.14168090886387485</v>
      </c>
      <c r="W72" s="9">
        <f t="shared" si="6"/>
        <v>0.14168090886387485</v>
      </c>
    </row>
    <row r="73" spans="2:23" ht="12.75">
      <c r="B73" s="34"/>
      <c r="C73" s="41" t="s">
        <v>25</v>
      </c>
      <c r="D73" s="18"/>
      <c r="E73" s="19">
        <f aca="true" t="shared" si="9" ref="E73:K73">E32</f>
        <v>420889.3199656964</v>
      </c>
      <c r="F73" s="19"/>
      <c r="G73" s="19">
        <f t="shared" si="9"/>
        <v>414155.077008087</v>
      </c>
      <c r="H73" s="19"/>
      <c r="I73" s="19">
        <f t="shared" si="9"/>
        <v>489222.91419953416</v>
      </c>
      <c r="J73" s="19"/>
      <c r="K73" s="19">
        <f t="shared" si="9"/>
        <v>612854.8236829711</v>
      </c>
      <c r="L73" s="3"/>
      <c r="M73" s="8">
        <f t="shared" si="1"/>
        <v>-0.016000032878378256</v>
      </c>
      <c r="N73" s="9"/>
      <c r="O73" s="9">
        <f t="shared" si="2"/>
        <v>0.18125538320994994</v>
      </c>
      <c r="P73" s="9"/>
      <c r="Q73" s="9">
        <f t="shared" si="3"/>
        <v>0.25271079071535985</v>
      </c>
      <c r="S73" s="9">
        <f t="shared" si="4"/>
        <v>0.16235525824082941</v>
      </c>
      <c r="T73" s="9"/>
      <c r="U73" s="9">
        <f t="shared" si="5"/>
        <v>0.4560949746430256</v>
      </c>
      <c r="W73" s="9">
        <f t="shared" si="6"/>
        <v>0.4797713651377118</v>
      </c>
    </row>
    <row r="74" spans="2:23" ht="12.75">
      <c r="B74" s="34"/>
      <c r="C74" s="41" t="s">
        <v>33</v>
      </c>
      <c r="D74" s="18"/>
      <c r="E74" s="19">
        <f aca="true" t="shared" si="10" ref="E74:K74">E51</f>
        <v>5276159.9597597085</v>
      </c>
      <c r="F74" s="19"/>
      <c r="G74" s="19">
        <f t="shared" si="10"/>
        <v>5276159.9597597085</v>
      </c>
      <c r="H74" s="19"/>
      <c r="I74" s="19">
        <f t="shared" si="10"/>
        <v>8269716.154369063</v>
      </c>
      <c r="J74" s="19"/>
      <c r="K74" s="19">
        <f t="shared" si="10"/>
        <v>8803697.504986532</v>
      </c>
      <c r="L74" s="3"/>
      <c r="M74" s="8">
        <f t="shared" si="1"/>
        <v>0</v>
      </c>
      <c r="N74" s="9"/>
      <c r="O74" s="9">
        <f t="shared" si="2"/>
        <v>0.5673740404841117</v>
      </c>
      <c r="P74" s="9"/>
      <c r="Q74" s="9">
        <f t="shared" si="3"/>
        <v>0.06457069875794419</v>
      </c>
      <c r="S74" s="9">
        <f t="shared" si="4"/>
        <v>0.5673740404841117</v>
      </c>
      <c r="T74" s="9"/>
      <c r="U74" s="9">
        <f t="shared" si="5"/>
        <v>0.6685804774932331</v>
      </c>
      <c r="W74" s="9">
        <f t="shared" si="6"/>
        <v>0.6685804774932331</v>
      </c>
    </row>
    <row r="75" spans="2:23" ht="12.75">
      <c r="B75" s="34"/>
      <c r="C75" s="41" t="s">
        <v>47</v>
      </c>
      <c r="D75" s="18"/>
      <c r="E75" s="19">
        <f aca="true" t="shared" si="11" ref="E75:K75">E55</f>
        <v>123914.45592855437</v>
      </c>
      <c r="F75" s="19"/>
      <c r="G75" s="19">
        <f t="shared" si="11"/>
        <v>123914.45592855437</v>
      </c>
      <c r="H75" s="19"/>
      <c r="I75" s="19">
        <f t="shared" si="11"/>
        <v>187345.61801541146</v>
      </c>
      <c r="J75" s="19"/>
      <c r="K75" s="19">
        <f t="shared" si="11"/>
        <v>230265.88861564553</v>
      </c>
      <c r="L75" s="3"/>
      <c r="M75" s="8">
        <f t="shared" si="1"/>
        <v>0</v>
      </c>
      <c r="N75" s="9"/>
      <c r="O75" s="9">
        <f t="shared" si="2"/>
        <v>0.5118947713689654</v>
      </c>
      <c r="P75" s="9"/>
      <c r="Q75" s="9">
        <f t="shared" si="3"/>
        <v>0.22909674138577052</v>
      </c>
      <c r="S75" s="9">
        <f t="shared" si="4"/>
        <v>0.5118947713689654</v>
      </c>
      <c r="T75" s="9"/>
      <c r="U75" s="9">
        <f t="shared" si="5"/>
        <v>0.8582649368077802</v>
      </c>
      <c r="W75" s="9">
        <f t="shared" si="6"/>
        <v>0.8582649368077802</v>
      </c>
    </row>
    <row r="76" spans="2:23" ht="12.75">
      <c r="B76" s="34"/>
      <c r="C76" s="41" t="s">
        <v>50</v>
      </c>
      <c r="D76" s="18"/>
      <c r="E76" s="19">
        <f aca="true" t="shared" si="12" ref="E76:K76">E67</f>
        <v>3375249.8658184544</v>
      </c>
      <c r="F76" s="19"/>
      <c r="G76" s="19">
        <f t="shared" si="12"/>
        <v>3428111.2819677405</v>
      </c>
      <c r="H76" s="19"/>
      <c r="I76" s="19">
        <f t="shared" si="12"/>
        <v>3460479.9152191505</v>
      </c>
      <c r="J76" s="19"/>
      <c r="K76" s="19">
        <f t="shared" si="12"/>
        <v>3585882.8802555185</v>
      </c>
      <c r="L76" s="3"/>
      <c r="M76" s="8">
        <f t="shared" si="1"/>
        <v>0.015661482334869525</v>
      </c>
      <c r="N76" s="9"/>
      <c r="O76" s="9">
        <f t="shared" si="2"/>
        <v>0.009442118586310944</v>
      </c>
      <c r="P76" s="9"/>
      <c r="Q76" s="9">
        <f t="shared" si="3"/>
        <v>0.036238605080424646</v>
      </c>
      <c r="S76" s="9">
        <f t="shared" si="4"/>
        <v>0.025251478494623614</v>
      </c>
      <c r="T76" s="9"/>
      <c r="U76" s="9">
        <f t="shared" si="5"/>
        <v>0.0624051619319117</v>
      </c>
      <c r="W76" s="9">
        <f t="shared" si="6"/>
        <v>0.04602289287330752</v>
      </c>
    </row>
    <row r="77" spans="2:23" ht="12.75">
      <c r="B77" s="34"/>
      <c r="C77" s="42" t="s">
        <v>60</v>
      </c>
      <c r="D77" s="18"/>
      <c r="E77" s="19">
        <v>0</v>
      </c>
      <c r="F77" s="19"/>
      <c r="G77" s="19">
        <v>0</v>
      </c>
      <c r="H77" s="19"/>
      <c r="I77" s="19">
        <v>0</v>
      </c>
      <c r="J77" s="19"/>
      <c r="K77" s="19">
        <v>0</v>
      </c>
      <c r="L77" s="3"/>
      <c r="M77" s="8">
        <v>0</v>
      </c>
      <c r="N77" s="9"/>
      <c r="O77" s="9">
        <v>0</v>
      </c>
      <c r="P77" s="9"/>
      <c r="Q77" s="9">
        <v>0</v>
      </c>
      <c r="S77" s="9">
        <v>0</v>
      </c>
      <c r="T77" s="9"/>
      <c r="U77" s="9">
        <v>0</v>
      </c>
      <c r="W77" s="9">
        <v>0</v>
      </c>
    </row>
    <row r="78" spans="2:23" ht="13.5" thickBot="1">
      <c r="B78" s="34"/>
      <c r="C78" s="43" t="s">
        <v>61</v>
      </c>
      <c r="D78" s="18"/>
      <c r="E78" s="19">
        <v>-18833</v>
      </c>
      <c r="F78" s="19"/>
      <c r="G78" s="19">
        <v>-18833</v>
      </c>
      <c r="H78" s="19"/>
      <c r="I78" s="19">
        <v>-22828</v>
      </c>
      <c r="J78" s="19"/>
      <c r="K78" s="19">
        <v>-24550</v>
      </c>
      <c r="L78" s="3"/>
      <c r="M78" s="8">
        <f t="shared" si="1"/>
        <v>0</v>
      </c>
      <c r="N78" s="9"/>
      <c r="O78" s="9">
        <f t="shared" si="2"/>
        <v>0.21212764827696073</v>
      </c>
      <c r="P78" s="9"/>
      <c r="Q78" s="9">
        <f t="shared" si="3"/>
        <v>0.07543367793937272</v>
      </c>
      <c r="S78" s="9">
        <f t="shared" si="4"/>
        <v>0.21212764827696073</v>
      </c>
      <c r="T78" s="9"/>
      <c r="U78" s="9">
        <f t="shared" si="5"/>
        <v>0.3035628949184941</v>
      </c>
      <c r="W78" s="9">
        <f t="shared" si="6"/>
        <v>0.3035628949184941</v>
      </c>
    </row>
    <row r="79" spans="2:23" ht="13.5" thickBot="1">
      <c r="B79" s="34"/>
      <c r="C79" s="44" t="s">
        <v>79</v>
      </c>
      <c r="D79" s="45"/>
      <c r="E79" s="46">
        <f>SUM(E70:E78)</f>
        <v>51130096.01097242</v>
      </c>
      <c r="F79" s="45"/>
      <c r="G79" s="46">
        <f>SUM(G70:G78)</f>
        <v>43597556.3129641</v>
      </c>
      <c r="H79" s="45"/>
      <c r="I79" s="46">
        <f>SUM(I70:I78)</f>
        <v>45035802.260303155</v>
      </c>
      <c r="J79" s="45"/>
      <c r="K79" s="46">
        <f>SUM(K70:K78)</f>
        <v>47743330.64674067</v>
      </c>
      <c r="L79" s="3"/>
      <c r="M79" s="47">
        <f t="shared" si="1"/>
        <v>-0.14732105522336303</v>
      </c>
      <c r="N79" s="48"/>
      <c r="O79" s="48">
        <f t="shared" si="2"/>
        <v>0.03298914134119446</v>
      </c>
      <c r="P79" s="48"/>
      <c r="Q79" s="48">
        <f t="shared" si="3"/>
        <v>0.06011946608141283</v>
      </c>
      <c r="R79" s="45"/>
      <c r="S79" s="48">
        <f t="shared" si="4"/>
        <v>-0.11919190899546594</v>
      </c>
      <c r="T79" s="48"/>
      <c r="U79" s="48">
        <f t="shared" si="5"/>
        <v>-0.06623819684408494</v>
      </c>
      <c r="V79" s="45"/>
      <c r="W79" s="49">
        <f t="shared" si="6"/>
        <v>0.0950918969865242</v>
      </c>
    </row>
    <row r="80" spans="2:12" ht="12.75">
      <c r="B80" s="35"/>
      <c r="C80" s="50"/>
      <c r="D80" s="41"/>
      <c r="E80" s="51"/>
      <c r="F80" s="41"/>
      <c r="G80" s="51"/>
      <c r="H80" s="41"/>
      <c r="I80" s="51"/>
      <c r="J80" s="41"/>
      <c r="K80" s="51"/>
      <c r="L80" s="3"/>
    </row>
    <row r="81" spans="2:12" ht="12.75">
      <c r="B81" s="34" t="s">
        <v>80</v>
      </c>
      <c r="L81" s="3"/>
    </row>
    <row r="82" spans="2:23" ht="12.75">
      <c r="B82" s="34"/>
      <c r="C82" t="s">
        <v>81</v>
      </c>
      <c r="E82" s="7">
        <v>42.98</v>
      </c>
      <c r="F82" s="7"/>
      <c r="G82" s="7">
        <v>46.85</v>
      </c>
      <c r="H82" s="7"/>
      <c r="I82" s="7">
        <v>50.72</v>
      </c>
      <c r="J82" s="7"/>
      <c r="K82" s="7">
        <v>54.59</v>
      </c>
      <c r="L82" s="3"/>
      <c r="M82" s="8">
        <f>(G82/E82)-1</f>
        <v>0.09004187994416024</v>
      </c>
      <c r="N82" s="9"/>
      <c r="O82" s="9">
        <f>(I82/G82)-1</f>
        <v>0.0826040554962646</v>
      </c>
      <c r="P82" s="9"/>
      <c r="Q82" s="9">
        <f>(K82/I82)-1</f>
        <v>0.07630126182965302</v>
      </c>
      <c r="S82" s="9">
        <f>(I82/E82)-1</f>
        <v>0.18008375988832026</v>
      </c>
      <c r="T82" s="9"/>
      <c r="U82" s="9">
        <f>(K82/E82)-1</f>
        <v>0.2701256398324805</v>
      </c>
      <c r="W82" s="9">
        <f>(K82/G82)-1</f>
        <v>0.1652081109925294</v>
      </c>
    </row>
    <row r="83" spans="2:23" ht="12.75">
      <c r="B83" s="34"/>
      <c r="C83" t="s">
        <v>82</v>
      </c>
      <c r="E83" s="7">
        <v>66.98</v>
      </c>
      <c r="F83" s="7"/>
      <c r="G83" s="7">
        <v>69</v>
      </c>
      <c r="H83" s="7"/>
      <c r="I83" s="7">
        <v>71.02</v>
      </c>
      <c r="J83" s="7"/>
      <c r="K83" s="7">
        <v>73.04</v>
      </c>
      <c r="L83" s="3"/>
      <c r="M83" s="8">
        <f>(G83/E83)-1</f>
        <v>0.030158256195879307</v>
      </c>
      <c r="N83" s="9"/>
      <c r="O83" s="9">
        <f>(I83/G83)-1</f>
        <v>0.029275362318840426</v>
      </c>
      <c r="P83" s="9"/>
      <c r="Q83" s="9">
        <f>(K83/I83)-1</f>
        <v>0.02844269219938056</v>
      </c>
      <c r="S83" s="9">
        <f>(I83/E83)-1</f>
        <v>0.060316512391758614</v>
      </c>
      <c r="T83" s="9"/>
      <c r="U83" s="9">
        <f>(K83/E83)-1</f>
        <v>0.09047476858763814</v>
      </c>
      <c r="W83" s="9">
        <f>(K83/G83)-1</f>
        <v>0.058550724637681295</v>
      </c>
    </row>
    <row r="84" spans="2:23" ht="12.75">
      <c r="B84" s="34"/>
      <c r="C84" s="18" t="s">
        <v>83</v>
      </c>
      <c r="D84" s="18"/>
      <c r="E84" s="7">
        <f>E82+E83</f>
        <v>109.96000000000001</v>
      </c>
      <c r="F84" s="7"/>
      <c r="G84" s="7">
        <f>G82+G83</f>
        <v>115.85</v>
      </c>
      <c r="H84" s="7"/>
      <c r="I84" s="7">
        <f>I82+I83</f>
        <v>121.74</v>
      </c>
      <c r="J84" s="7"/>
      <c r="K84" s="7">
        <f>K82+K83</f>
        <v>127.63000000000001</v>
      </c>
      <c r="L84" s="3"/>
      <c r="M84" s="8">
        <f>(G84/E84)-1</f>
        <v>0.05356493270280094</v>
      </c>
      <c r="N84" s="9"/>
      <c r="O84" s="9">
        <f>(I84/G84)-1</f>
        <v>0.05084160552438499</v>
      </c>
      <c r="P84" s="9"/>
      <c r="Q84" s="9">
        <f>(K84/I84)-1</f>
        <v>0.048381797272876836</v>
      </c>
      <c r="S84" s="9">
        <f>(I84/E84)-1</f>
        <v>0.10712986540560188</v>
      </c>
      <c r="T84" s="9"/>
      <c r="U84" s="9">
        <f>(K84/E84)-1</f>
        <v>0.16069479810840304</v>
      </c>
      <c r="W84" s="9">
        <f>(K84/G84)-1</f>
        <v>0.1016832110487702</v>
      </c>
    </row>
    <row r="85" spans="2:23" ht="13.5" thickBot="1">
      <c r="B85" s="34"/>
      <c r="C85" s="18" t="s">
        <v>84</v>
      </c>
      <c r="D85" s="18"/>
      <c r="E85" s="10">
        <v>20938</v>
      </c>
      <c r="F85" s="10"/>
      <c r="G85" s="10">
        <v>16818</v>
      </c>
      <c r="H85" s="10"/>
      <c r="I85" s="10">
        <v>30753</v>
      </c>
      <c r="J85" s="10"/>
      <c r="K85" s="10">
        <v>33073</v>
      </c>
      <c r="L85" s="3"/>
      <c r="M85" s="8">
        <f>(G85/E85)-1</f>
        <v>-0.19677142038399087</v>
      </c>
      <c r="N85" s="9"/>
      <c r="O85" s="9">
        <f>(I85/G85)-1</f>
        <v>0.8285765251516233</v>
      </c>
      <c r="P85" s="9"/>
      <c r="Q85" s="9">
        <f>(K85/I85)-1</f>
        <v>0.07543979449159433</v>
      </c>
      <c r="S85" s="9">
        <f>(I85/E85)-1</f>
        <v>0.46876492501671607</v>
      </c>
      <c r="T85" s="9"/>
      <c r="U85" s="9">
        <f>(K85/E85)-1</f>
        <v>0.5795682491164391</v>
      </c>
      <c r="W85" s="9">
        <f>(K85/G85)-1</f>
        <v>0.9665239624212154</v>
      </c>
    </row>
    <row r="86" spans="2:23" ht="13.5" thickBot="1">
      <c r="B86" s="34"/>
      <c r="C86" s="52" t="s">
        <v>85</v>
      </c>
      <c r="D86" s="53"/>
      <c r="E86" s="54">
        <f>E84*E85</f>
        <v>2302342.48</v>
      </c>
      <c r="F86" s="54"/>
      <c r="G86" s="54">
        <f>G84*G85</f>
        <v>1948365.2999999998</v>
      </c>
      <c r="H86" s="54"/>
      <c r="I86" s="54">
        <f>I84*I85</f>
        <v>3743870.2199999997</v>
      </c>
      <c r="J86" s="54"/>
      <c r="K86" s="55">
        <f>K84*K85</f>
        <v>4221106.99</v>
      </c>
      <c r="L86" s="3"/>
      <c r="M86" s="15">
        <f>(G86/E86)-1</f>
        <v>-0.15374653557189288</v>
      </c>
      <c r="N86" s="16"/>
      <c r="O86" s="16">
        <f>(I86/G86)-1</f>
        <v>0.9215442915145329</v>
      </c>
      <c r="P86" s="16"/>
      <c r="Q86" s="16">
        <f>(K86/I86)-1</f>
        <v>0.12747150460787093</v>
      </c>
      <c r="R86" s="13"/>
      <c r="S86" s="16">
        <f>(I86/E86)-1</f>
        <v>0.6261135137462259</v>
      </c>
      <c r="T86" s="16"/>
      <c r="U86" s="16">
        <f>(K86/E86)-1</f>
        <v>0.833396650006649</v>
      </c>
      <c r="V86" s="13"/>
      <c r="W86" s="17">
        <f>(K86/G86)-1</f>
        <v>1.1664864335245553</v>
      </c>
    </row>
    <row r="87" spans="2:12" ht="12.75">
      <c r="B87" s="34"/>
      <c r="C87" s="18"/>
      <c r="D87" s="18"/>
      <c r="L87" s="3"/>
    </row>
    <row r="88" spans="2:23" ht="13.5" thickBot="1">
      <c r="B88" s="34"/>
      <c r="C88" s="18" t="s">
        <v>86</v>
      </c>
      <c r="D88" s="18"/>
      <c r="E88" s="7">
        <v>3980.12</v>
      </c>
      <c r="F88" s="7"/>
      <c r="G88" s="7">
        <v>3980.12</v>
      </c>
      <c r="H88" s="7"/>
      <c r="I88" s="7">
        <v>4531.91</v>
      </c>
      <c r="J88" s="7"/>
      <c r="K88" s="7">
        <v>4667.87</v>
      </c>
      <c r="L88" s="3"/>
      <c r="M88" s="8">
        <f>(G88/E88)-1</f>
        <v>0</v>
      </c>
      <c r="N88" s="9"/>
      <c r="O88" s="9">
        <f>(I88/G88)-1</f>
        <v>0.1386365235219038</v>
      </c>
      <c r="P88" s="9"/>
      <c r="Q88" s="9">
        <f>(K88/I88)-1</f>
        <v>0.030000595775291128</v>
      </c>
      <c r="S88" s="9">
        <f>(I88/E88)-1</f>
        <v>0.1386365235219038</v>
      </c>
      <c r="T88" s="9"/>
      <c r="U88" s="9">
        <f>(K88/E88)-1</f>
        <v>0.17279629759906734</v>
      </c>
      <c r="W88" s="9">
        <f>(K88/G88)-1</f>
        <v>0.17279629759906734</v>
      </c>
    </row>
    <row r="89" spans="2:23" ht="13.5" thickBot="1">
      <c r="B89" s="34"/>
      <c r="C89" s="12" t="s">
        <v>87</v>
      </c>
      <c r="D89" s="13"/>
      <c r="E89" s="14">
        <f>E8*E88</f>
        <v>22527479.2</v>
      </c>
      <c r="F89" s="14"/>
      <c r="G89" s="14">
        <f>G8*G88</f>
        <v>17588150.28</v>
      </c>
      <c r="H89" s="14"/>
      <c r="I89" s="14">
        <f>I8*I88</f>
        <v>24966292.189999998</v>
      </c>
      <c r="J89" s="14"/>
      <c r="K89" s="30">
        <f>K8*K88</f>
        <v>27657129.75</v>
      </c>
      <c r="L89" s="3"/>
      <c r="M89" s="15">
        <f>(G89/E89)-1</f>
        <v>-0.21925795053003527</v>
      </c>
      <c r="N89" s="16"/>
      <c r="O89" s="16">
        <f>(I89/G89)-1</f>
        <v>0.41949504595658915</v>
      </c>
      <c r="P89" s="16"/>
      <c r="Q89" s="16">
        <f>(K89/I89)-1</f>
        <v>0.10777882192205501</v>
      </c>
      <c r="R89" s="13"/>
      <c r="S89" s="16">
        <f>(I89/E89)-1</f>
        <v>0.10825947139260927</v>
      </c>
      <c r="T89" s="16"/>
      <c r="U89" s="16">
        <f>(K89/E89)-1</f>
        <v>0.22770637160326412</v>
      </c>
      <c r="V89" s="13"/>
      <c r="W89" s="17">
        <f>(K89/G89)-1</f>
        <v>0.5724865497339837</v>
      </c>
    </row>
    <row r="90" spans="2:12" ht="13.5" thickBot="1">
      <c r="B90" s="34"/>
      <c r="C90" s="18"/>
      <c r="D90" s="18"/>
      <c r="E90" s="7"/>
      <c r="F90" s="7"/>
      <c r="G90" s="7"/>
      <c r="H90" s="7"/>
      <c r="I90" s="7"/>
      <c r="J90" s="7"/>
      <c r="K90" s="7"/>
      <c r="L90" s="3"/>
    </row>
    <row r="91" spans="2:23" ht="13.5" thickBot="1">
      <c r="B91" s="34"/>
      <c r="C91" s="56" t="s">
        <v>88</v>
      </c>
      <c r="D91" s="22"/>
      <c r="E91" s="23">
        <f>E86+E89</f>
        <v>24829821.68</v>
      </c>
      <c r="F91" s="23"/>
      <c r="G91" s="23">
        <f>G86+G89</f>
        <v>19536515.580000002</v>
      </c>
      <c r="H91" s="23"/>
      <c r="I91" s="23">
        <f>I86+I89</f>
        <v>28710162.409999996</v>
      </c>
      <c r="J91" s="23"/>
      <c r="K91" s="31">
        <f>K86+K89</f>
        <v>31878236.740000002</v>
      </c>
      <c r="L91" s="3"/>
      <c r="M91" s="24">
        <f>(G91/E91)-1</f>
        <v>-0.21318341179484446</v>
      </c>
      <c r="N91" s="25"/>
      <c r="O91" s="25">
        <f>(I91/G91)-1</f>
        <v>0.46956412428996686</v>
      </c>
      <c r="P91" s="25"/>
      <c r="Q91" s="25">
        <f>(K91/I91)-1</f>
        <v>0.11034679235727829</v>
      </c>
      <c r="R91" s="22"/>
      <c r="S91" s="25">
        <f>(I91/E91)-1</f>
        <v>0.15627743042252873</v>
      </c>
      <c r="T91" s="25"/>
      <c r="U91" s="25">
        <f>(K91/E91)-1</f>
        <v>0.2838689359447708</v>
      </c>
      <c r="V91" s="22"/>
      <c r="W91" s="26">
        <f>(K91/G91)-1</f>
        <v>0.6317258115686972</v>
      </c>
    </row>
    <row r="92" spans="1:23" ht="12.75">
      <c r="A92" s="3"/>
      <c r="B92" s="5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3"/>
      <c r="B93" s="5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13" ht="12.75">
      <c r="A94" s="27" t="s">
        <v>124</v>
      </c>
      <c r="B94" s="34"/>
      <c r="E94" s="2" t="s">
        <v>122</v>
      </c>
      <c r="G94" s="2" t="s">
        <v>6</v>
      </c>
      <c r="I94" s="2" t="s">
        <v>67</v>
      </c>
      <c r="K94" s="2" t="s">
        <v>68</v>
      </c>
      <c r="M94" s="2" t="s">
        <v>125</v>
      </c>
    </row>
    <row r="96" ht="12.75">
      <c r="B96" s="34" t="s">
        <v>80</v>
      </c>
    </row>
    <row r="97" spans="2:13" ht="12.75">
      <c r="B97" s="34"/>
      <c r="C97" t="s">
        <v>81</v>
      </c>
      <c r="E97" s="7">
        <f>K82</f>
        <v>54.59</v>
      </c>
      <c r="M97" s="7">
        <f>E97</f>
        <v>54.59</v>
      </c>
    </row>
    <row r="98" spans="2:13" ht="12.75">
      <c r="B98" s="34"/>
      <c r="C98" t="s">
        <v>82</v>
      </c>
      <c r="E98" s="7">
        <f>K83</f>
        <v>73.04</v>
      </c>
      <c r="M98" s="7">
        <f>E98</f>
        <v>73.04</v>
      </c>
    </row>
    <row r="99" spans="2:13" ht="12.75">
      <c r="B99" s="34"/>
      <c r="C99" s="18" t="s">
        <v>83</v>
      </c>
      <c r="D99" s="18"/>
      <c r="E99" s="7">
        <f>K84</f>
        <v>127.63000000000001</v>
      </c>
      <c r="M99" s="7">
        <f>E99</f>
        <v>127.63000000000001</v>
      </c>
    </row>
    <row r="100" spans="2:13" ht="13.5" thickBot="1">
      <c r="B100" s="34"/>
      <c r="C100" s="18" t="s">
        <v>84</v>
      </c>
      <c r="D100" s="18"/>
      <c r="E100" s="10">
        <f>K85</f>
        <v>33073</v>
      </c>
      <c r="G100" s="9">
        <f>$W$85</f>
        <v>0.9665239624212154</v>
      </c>
      <c r="I100" s="9">
        <f>(AVERAGE(0,365)/(1.5*365))*G100</f>
        <v>0.32217465414040514</v>
      </c>
      <c r="K100" s="10">
        <f>(E100/(1+G100))*(1+I100)</f>
        <v>22236.333333333332</v>
      </c>
      <c r="M100" s="10">
        <f>$K$100</f>
        <v>22236.333333333332</v>
      </c>
    </row>
    <row r="101" spans="2:13" ht="13.5" thickBot="1">
      <c r="B101" s="34"/>
      <c r="C101" s="52" t="s">
        <v>85</v>
      </c>
      <c r="D101" s="53"/>
      <c r="E101" s="14">
        <f>K86</f>
        <v>4221106.99</v>
      </c>
      <c r="F101" s="13"/>
      <c r="G101" s="13"/>
      <c r="H101" s="13"/>
      <c r="I101" s="13"/>
      <c r="J101" s="13"/>
      <c r="K101" s="13"/>
      <c r="L101" s="13"/>
      <c r="M101" s="55">
        <f>M99*M100</f>
        <v>2838023.2233333336</v>
      </c>
    </row>
    <row r="102" spans="2:13" ht="12.75">
      <c r="B102" s="34"/>
      <c r="C102" s="18"/>
      <c r="D102" s="18"/>
      <c r="E102" s="7"/>
      <c r="M102" s="7"/>
    </row>
    <row r="103" spans="2:13" ht="12.75">
      <c r="B103" s="34"/>
      <c r="C103" s="41" t="s">
        <v>72</v>
      </c>
      <c r="D103" s="18"/>
      <c r="E103" s="10">
        <f>K8</f>
        <v>5925</v>
      </c>
      <c r="G103" s="9">
        <f>$W$8</f>
        <v>0.3408010862186015</v>
      </c>
      <c r="I103" s="9">
        <f>(AVERAGE(0,365)/(365*1.5))*G103</f>
        <v>0.11360036207286717</v>
      </c>
      <c r="K103" s="10">
        <f>(E103/(1+G103))*(1+I103)</f>
        <v>4921</v>
      </c>
      <c r="M103" s="10">
        <f>$K$103</f>
        <v>4921</v>
      </c>
    </row>
    <row r="104" spans="2:13" ht="13.5" thickBot="1">
      <c r="B104" s="34"/>
      <c r="C104" s="18" t="s">
        <v>86</v>
      </c>
      <c r="D104" s="18"/>
      <c r="E104" s="7">
        <f>K88</f>
        <v>4667.87</v>
      </c>
      <c r="M104" s="7">
        <f>E104</f>
        <v>4667.87</v>
      </c>
    </row>
    <row r="105" spans="2:13" ht="13.5" thickBot="1">
      <c r="B105" s="34"/>
      <c r="C105" s="12" t="s">
        <v>87</v>
      </c>
      <c r="D105" s="13"/>
      <c r="E105" s="14">
        <f>K89</f>
        <v>27657129.75</v>
      </c>
      <c r="F105" s="13"/>
      <c r="G105" s="13"/>
      <c r="H105" s="13"/>
      <c r="I105" s="13"/>
      <c r="J105" s="13"/>
      <c r="K105" s="13"/>
      <c r="L105" s="13"/>
      <c r="M105" s="30">
        <f>M103*M104</f>
        <v>22970588.27</v>
      </c>
    </row>
    <row r="106" spans="2:13" ht="13.5" thickBot="1">
      <c r="B106" s="34"/>
      <c r="C106" s="18"/>
      <c r="D106" s="18"/>
      <c r="E106" s="7"/>
      <c r="M106" s="7"/>
    </row>
    <row r="107" spans="2:13" ht="13.5" thickBot="1">
      <c r="B107" s="34"/>
      <c r="C107" s="56" t="s">
        <v>88</v>
      </c>
      <c r="D107" s="22"/>
      <c r="E107" s="23">
        <f>K91</f>
        <v>31878236.740000002</v>
      </c>
      <c r="F107" s="22"/>
      <c r="G107" s="22"/>
      <c r="H107" s="22"/>
      <c r="I107" s="22"/>
      <c r="J107" s="22"/>
      <c r="K107" s="22"/>
      <c r="L107" s="22"/>
      <c r="M107" s="31">
        <f>SUM(M101,M105)</f>
        <v>25808611.493333332</v>
      </c>
    </row>
    <row r="109" spans="1:13" ht="12.75">
      <c r="A109" s="27" t="s">
        <v>126</v>
      </c>
      <c r="B109" s="34"/>
      <c r="E109" s="2" t="str">
        <f aca="true" t="shared" si="13" ref="E109:E122">M94</f>
        <v>Final 1999 Projections</v>
      </c>
      <c r="G109" s="2" t="s">
        <v>69</v>
      </c>
      <c r="I109" s="2" t="s">
        <v>70</v>
      </c>
      <c r="K109" s="2" t="s">
        <v>68</v>
      </c>
      <c r="M109" s="2" t="s">
        <v>127</v>
      </c>
    </row>
    <row r="111" ht="12.75">
      <c r="B111" s="34" t="s">
        <v>80</v>
      </c>
    </row>
    <row r="112" spans="2:13" ht="12.75">
      <c r="B112" s="34"/>
      <c r="C112" t="s">
        <v>81</v>
      </c>
      <c r="E112" s="7">
        <f t="shared" si="13"/>
        <v>54.59</v>
      </c>
      <c r="M112" s="7">
        <f>(K82-I82)+K82</f>
        <v>58.46000000000001</v>
      </c>
    </row>
    <row r="113" spans="2:13" ht="12.75">
      <c r="B113" s="34"/>
      <c r="C113" t="s">
        <v>82</v>
      </c>
      <c r="E113" s="7">
        <f t="shared" si="13"/>
        <v>73.04</v>
      </c>
      <c r="M113" s="7">
        <f>(K83-I83)+K83</f>
        <v>75.06000000000002</v>
      </c>
    </row>
    <row r="114" spans="2:13" ht="12.75">
      <c r="B114" s="34"/>
      <c r="C114" s="18" t="s">
        <v>83</v>
      </c>
      <c r="D114" s="18"/>
      <c r="E114" s="7">
        <f t="shared" si="13"/>
        <v>127.63000000000001</v>
      </c>
      <c r="M114" s="7">
        <f>(K84-I84)+K84</f>
        <v>133.52000000000004</v>
      </c>
    </row>
    <row r="115" spans="2:13" ht="13.5" thickBot="1">
      <c r="B115" s="34"/>
      <c r="C115" s="18" t="s">
        <v>84</v>
      </c>
      <c r="D115" s="18"/>
      <c r="E115" s="10">
        <f t="shared" si="13"/>
        <v>22236.333333333332</v>
      </c>
      <c r="G115" s="9">
        <f>(((365/547.5)*G100)-I100)+((0.5*(547.5-365)/(365*1.5))*G100)</f>
        <v>0.4832619812106077</v>
      </c>
      <c r="I115" s="9">
        <v>0</v>
      </c>
      <c r="K115" s="10">
        <f>(E115*(1+G115))*(1+I115)</f>
        <v>32982.30783485947</v>
      </c>
      <c r="M115" s="10">
        <f>$K$115</f>
        <v>32982.30783485947</v>
      </c>
    </row>
    <row r="116" spans="2:13" ht="13.5" thickBot="1">
      <c r="B116" s="34"/>
      <c r="C116" s="52" t="s">
        <v>85</v>
      </c>
      <c r="D116" s="53"/>
      <c r="E116" s="14">
        <f t="shared" si="13"/>
        <v>2838023.2233333336</v>
      </c>
      <c r="F116" s="13"/>
      <c r="G116" s="13"/>
      <c r="H116" s="13"/>
      <c r="I116" s="13"/>
      <c r="J116" s="13"/>
      <c r="K116" s="13"/>
      <c r="L116" s="13"/>
      <c r="M116" s="55">
        <f>M114*M115</f>
        <v>4403797.742110438</v>
      </c>
    </row>
    <row r="117" spans="2:13" ht="12.75">
      <c r="B117" s="34"/>
      <c r="C117" s="18"/>
      <c r="D117" s="18"/>
      <c r="E117" s="7"/>
      <c r="M117" s="7"/>
    </row>
    <row r="118" spans="2:13" ht="12.75">
      <c r="B118" s="34"/>
      <c r="C118" s="41" t="s">
        <v>72</v>
      </c>
      <c r="D118" s="18"/>
      <c r="E118" s="10">
        <f t="shared" si="13"/>
        <v>4921</v>
      </c>
      <c r="G118" s="9">
        <f>(((365/547.5)*G103)-I103)+((0.5*(547.5-365)/(365*1.5))*G103)</f>
        <v>0.17040054310930075</v>
      </c>
      <c r="I118" s="9">
        <v>0</v>
      </c>
      <c r="K118" s="10">
        <f>(E118*(1+G118))*(1+I118)</f>
        <v>5759.541072640869</v>
      </c>
      <c r="M118" s="10">
        <f>$K$118</f>
        <v>5759.541072640869</v>
      </c>
    </row>
    <row r="119" spans="2:13" ht="13.5" thickBot="1">
      <c r="B119" s="34"/>
      <c r="C119" s="18" t="s">
        <v>86</v>
      </c>
      <c r="D119" s="18"/>
      <c r="E119" s="7">
        <f t="shared" si="13"/>
        <v>4667.87</v>
      </c>
      <c r="M119" s="7">
        <f>K88*(1.03)</f>
        <v>4807.9061</v>
      </c>
    </row>
    <row r="120" spans="2:13" ht="13.5" thickBot="1">
      <c r="B120" s="34"/>
      <c r="C120" s="12" t="s">
        <v>87</v>
      </c>
      <c r="D120" s="13"/>
      <c r="E120" s="14">
        <f t="shared" si="13"/>
        <v>22970588.27</v>
      </c>
      <c r="F120" s="13"/>
      <c r="G120" s="13"/>
      <c r="H120" s="13"/>
      <c r="I120" s="13"/>
      <c r="J120" s="13"/>
      <c r="K120" s="13"/>
      <c r="L120" s="13"/>
      <c r="M120" s="30">
        <f>M118*M119</f>
        <v>27691332.65635058</v>
      </c>
    </row>
    <row r="121" spans="2:13" ht="13.5" thickBot="1">
      <c r="B121" s="34"/>
      <c r="C121" s="18"/>
      <c r="D121" s="18"/>
      <c r="E121" s="7"/>
      <c r="M121" s="7"/>
    </row>
    <row r="122" spans="2:13" ht="13.5" thickBot="1">
      <c r="B122" s="34"/>
      <c r="C122" s="56" t="s">
        <v>88</v>
      </c>
      <c r="D122" s="22"/>
      <c r="E122" s="23">
        <f t="shared" si="13"/>
        <v>25808611.493333332</v>
      </c>
      <c r="F122" s="22"/>
      <c r="G122" s="22"/>
      <c r="H122" s="22"/>
      <c r="I122" s="22"/>
      <c r="J122" s="22"/>
      <c r="K122" s="22"/>
      <c r="L122" s="22"/>
      <c r="M122" s="31">
        <f>SUM(M116,M120)</f>
        <v>32095130.398461018</v>
      </c>
    </row>
    <row r="124" spans="1:13" ht="12.75">
      <c r="A124" s="27" t="s">
        <v>128</v>
      </c>
      <c r="B124" s="34"/>
      <c r="E124" s="2" t="str">
        <f>M109</f>
        <v>Final 2000 Projections</v>
      </c>
      <c r="G124" s="68" t="s">
        <v>69</v>
      </c>
      <c r="I124" s="2" t="s">
        <v>70</v>
      </c>
      <c r="K124" s="2" t="s">
        <v>68</v>
      </c>
      <c r="M124" s="2" t="s">
        <v>129</v>
      </c>
    </row>
    <row r="125" ht="12.75">
      <c r="G125" s="9"/>
    </row>
    <row r="126" spans="2:7" ht="12.75">
      <c r="B126" s="34" t="s">
        <v>80</v>
      </c>
      <c r="G126" s="9"/>
    </row>
    <row r="127" spans="2:13" ht="12.75">
      <c r="B127" s="34"/>
      <c r="C127" t="s">
        <v>81</v>
      </c>
      <c r="E127" s="7">
        <f>M112</f>
        <v>58.46000000000001</v>
      </c>
      <c r="G127" s="9"/>
      <c r="M127" s="7">
        <f>(E127-E112)+E127</f>
        <v>62.33000000000001</v>
      </c>
    </row>
    <row r="128" spans="2:13" ht="12.75">
      <c r="B128" s="34"/>
      <c r="C128" t="s">
        <v>82</v>
      </c>
      <c r="E128" s="7">
        <f>M113</f>
        <v>75.06000000000002</v>
      </c>
      <c r="G128" s="9"/>
      <c r="M128" s="7">
        <f>(E128-E113)+E128</f>
        <v>77.08000000000003</v>
      </c>
    </row>
    <row r="129" spans="2:13" ht="12.75">
      <c r="B129" s="34"/>
      <c r="C129" s="18" t="s">
        <v>83</v>
      </c>
      <c r="D129" s="18"/>
      <c r="E129" s="7">
        <f>M114</f>
        <v>133.52000000000004</v>
      </c>
      <c r="G129" s="9"/>
      <c r="M129" s="7">
        <f>(E129-E114)+E129</f>
        <v>139.41000000000008</v>
      </c>
    </row>
    <row r="130" spans="2:13" ht="13.5" thickBot="1">
      <c r="B130" s="34"/>
      <c r="C130" s="18" t="s">
        <v>84</v>
      </c>
      <c r="D130" s="18"/>
      <c r="E130" s="10">
        <f>M115</f>
        <v>32982.30783485947</v>
      </c>
      <c r="G130" s="9">
        <f>G100-(I100+G115)</f>
        <v>0.16108732707020257</v>
      </c>
      <c r="I130" s="9">
        <v>0.07</v>
      </c>
      <c r="K130" s="10">
        <f>(E130*(1+G130))*(1+I130)</f>
        <v>40976.013419704446</v>
      </c>
      <c r="M130" s="10">
        <f>$K$130</f>
        <v>40976.013419704446</v>
      </c>
    </row>
    <row r="131" spans="2:13" ht="13.5" thickBot="1">
      <c r="B131" s="34"/>
      <c r="C131" s="52" t="s">
        <v>85</v>
      </c>
      <c r="D131" s="53"/>
      <c r="E131" s="14">
        <f>M116</f>
        <v>4403797.742110438</v>
      </c>
      <c r="F131" s="13"/>
      <c r="G131" s="16"/>
      <c r="H131" s="13"/>
      <c r="I131" s="13"/>
      <c r="J131" s="13"/>
      <c r="K131" s="13"/>
      <c r="L131" s="13"/>
      <c r="M131" s="55">
        <f>M129*M130</f>
        <v>5712466.030841</v>
      </c>
    </row>
    <row r="132" spans="2:13" ht="12.75">
      <c r="B132" s="34"/>
      <c r="C132" s="18"/>
      <c r="D132" s="18"/>
      <c r="E132" s="7"/>
      <c r="G132" s="9"/>
      <c r="M132" s="7"/>
    </row>
    <row r="133" spans="2:13" ht="12.75">
      <c r="B133" s="34"/>
      <c r="C133" s="41" t="s">
        <v>72</v>
      </c>
      <c r="D133" s="18"/>
      <c r="E133" s="10">
        <f>M118</f>
        <v>5759.541072640869</v>
      </c>
      <c r="G133" s="9">
        <f>G103-(I103+G118)</f>
        <v>0.056800181036433584</v>
      </c>
      <c r="I133" s="9">
        <v>0.07</v>
      </c>
      <c r="K133" s="10">
        <f>(E133*(1+G133))*(1+I133)</f>
        <v>6512.751931631401</v>
      </c>
      <c r="M133" s="10">
        <f>$K$133</f>
        <v>6512.751931631401</v>
      </c>
    </row>
    <row r="134" spans="2:13" ht="13.5" thickBot="1">
      <c r="B134" s="34"/>
      <c r="C134" s="18" t="s">
        <v>86</v>
      </c>
      <c r="D134" s="18"/>
      <c r="E134" s="7">
        <f>M119</f>
        <v>4807.9061</v>
      </c>
      <c r="G134" s="9"/>
      <c r="M134" s="7">
        <f>E134*1.03</f>
        <v>4952.143283</v>
      </c>
    </row>
    <row r="135" spans="2:13" ht="13.5" thickBot="1">
      <c r="B135" s="34"/>
      <c r="C135" s="12" t="s">
        <v>87</v>
      </c>
      <c r="D135" s="13"/>
      <c r="E135" s="14">
        <f>M120</f>
        <v>27691332.65635058</v>
      </c>
      <c r="F135" s="13"/>
      <c r="G135" s="16"/>
      <c r="H135" s="13"/>
      <c r="I135" s="13"/>
      <c r="J135" s="13"/>
      <c r="K135" s="13"/>
      <c r="L135" s="13"/>
      <c r="M135" s="30">
        <f>M133*M134</f>
        <v>32252080.73207372</v>
      </c>
    </row>
    <row r="136" spans="2:13" ht="13.5" thickBot="1">
      <c r="B136" s="34"/>
      <c r="C136" s="18"/>
      <c r="D136" s="18"/>
      <c r="E136" s="7"/>
      <c r="G136" s="9"/>
      <c r="M136" s="7"/>
    </row>
    <row r="137" spans="2:13" ht="13.5" thickBot="1">
      <c r="B137" s="34"/>
      <c r="C137" s="56" t="s">
        <v>88</v>
      </c>
      <c r="D137" s="22"/>
      <c r="E137" s="23">
        <f>M122</f>
        <v>32095130.398461018</v>
      </c>
      <c r="F137" s="22"/>
      <c r="G137" s="25"/>
      <c r="H137" s="22"/>
      <c r="I137" s="22"/>
      <c r="J137" s="22"/>
      <c r="K137" s="22"/>
      <c r="L137" s="22"/>
      <c r="M137" s="31">
        <f>SUM(M131,M135)</f>
        <v>37964546.76291472</v>
      </c>
    </row>
    <row r="138" ht="12.75">
      <c r="G138" s="9"/>
    </row>
    <row r="139" spans="1:13" ht="12.75">
      <c r="A139" s="27" t="s">
        <v>130</v>
      </c>
      <c r="B139" s="34"/>
      <c r="E139" s="2" t="str">
        <f>M124</f>
        <v>Final 2001 Projections</v>
      </c>
      <c r="G139" s="68" t="s">
        <v>69</v>
      </c>
      <c r="I139" s="2" t="s">
        <v>70</v>
      </c>
      <c r="K139" s="2" t="s">
        <v>68</v>
      </c>
      <c r="M139" s="2" t="s">
        <v>131</v>
      </c>
    </row>
    <row r="140" ht="12.75">
      <c r="G140" s="9"/>
    </row>
    <row r="141" spans="2:7" ht="12.75">
      <c r="B141" s="34" t="s">
        <v>80</v>
      </c>
      <c r="G141" s="9"/>
    </row>
    <row r="142" spans="2:13" ht="12.75">
      <c r="B142" s="34"/>
      <c r="C142" t="s">
        <v>81</v>
      </c>
      <c r="E142" s="7">
        <f>M127</f>
        <v>62.33000000000001</v>
      </c>
      <c r="G142" s="9"/>
      <c r="M142" s="7">
        <f>(E142-E127)+E142</f>
        <v>66.20000000000002</v>
      </c>
    </row>
    <row r="143" spans="2:13" ht="12.75">
      <c r="B143" s="34"/>
      <c r="C143" t="s">
        <v>82</v>
      </c>
      <c r="E143" s="7">
        <f>M128</f>
        <v>77.08000000000003</v>
      </c>
      <c r="G143" s="9"/>
      <c r="M143" s="7">
        <f>(E143-E128)+E143</f>
        <v>79.10000000000004</v>
      </c>
    </row>
    <row r="144" spans="2:13" ht="12.75">
      <c r="B144" s="34"/>
      <c r="C144" s="18" t="s">
        <v>83</v>
      </c>
      <c r="D144" s="18"/>
      <c r="E144" s="7">
        <f>M129</f>
        <v>139.41000000000008</v>
      </c>
      <c r="G144" s="9"/>
      <c r="M144" s="7">
        <f>(E144-E129)+E144</f>
        <v>145.30000000000013</v>
      </c>
    </row>
    <row r="145" spans="2:13" ht="13.5" thickBot="1">
      <c r="B145" s="34"/>
      <c r="C145" s="18" t="s">
        <v>84</v>
      </c>
      <c r="D145" s="18"/>
      <c r="E145" s="10">
        <f>M130</f>
        <v>40976.013419704446</v>
      </c>
      <c r="G145" s="9">
        <v>0</v>
      </c>
      <c r="I145" s="9">
        <v>0.07</v>
      </c>
      <c r="K145" s="10">
        <f>(E145*(1+G145))*(1+I145)</f>
        <v>43844.33435908376</v>
      </c>
      <c r="M145" s="10">
        <f>$K$130</f>
        <v>40976.013419704446</v>
      </c>
    </row>
    <row r="146" spans="2:13" ht="13.5" thickBot="1">
      <c r="B146" s="34"/>
      <c r="C146" s="52" t="s">
        <v>85</v>
      </c>
      <c r="D146" s="53"/>
      <c r="E146" s="14">
        <f>M131</f>
        <v>5712466.030841</v>
      </c>
      <c r="F146" s="13"/>
      <c r="G146" s="16"/>
      <c r="H146" s="13"/>
      <c r="I146" s="13"/>
      <c r="J146" s="13"/>
      <c r="K146" s="13"/>
      <c r="L146" s="13"/>
      <c r="M146" s="55">
        <f>M144*M145</f>
        <v>5953814.749883061</v>
      </c>
    </row>
    <row r="147" spans="2:13" ht="12.75">
      <c r="B147" s="34"/>
      <c r="C147" s="18"/>
      <c r="D147" s="18"/>
      <c r="E147" s="7"/>
      <c r="G147" s="9"/>
      <c r="M147" s="7"/>
    </row>
    <row r="148" spans="2:13" ht="12.75">
      <c r="B148" s="34"/>
      <c r="C148" s="41" t="s">
        <v>72</v>
      </c>
      <c r="D148" s="18"/>
      <c r="E148" s="10">
        <f>M133</f>
        <v>6512.751931631401</v>
      </c>
      <c r="G148" s="9">
        <v>0</v>
      </c>
      <c r="I148" s="9">
        <v>0.07</v>
      </c>
      <c r="K148" s="10">
        <f>(E148*(1+G148))*(1+I148)</f>
        <v>6968.6445668456</v>
      </c>
      <c r="M148" s="10">
        <f>$K$133</f>
        <v>6512.751931631401</v>
      </c>
    </row>
    <row r="149" spans="2:13" ht="13.5" thickBot="1">
      <c r="B149" s="34"/>
      <c r="C149" s="18" t="s">
        <v>86</v>
      </c>
      <c r="D149" s="18"/>
      <c r="E149" s="7">
        <f>M134</f>
        <v>4952.143283</v>
      </c>
      <c r="G149" s="9"/>
      <c r="M149" s="7">
        <f>E149*1.03</f>
        <v>5100.707581490001</v>
      </c>
    </row>
    <row r="150" spans="2:13" ht="13.5" thickBot="1">
      <c r="B150" s="34"/>
      <c r="C150" s="12" t="s">
        <v>87</v>
      </c>
      <c r="D150" s="13"/>
      <c r="E150" s="14">
        <f>M135</f>
        <v>32252080.73207372</v>
      </c>
      <c r="F150" s="13"/>
      <c r="G150" s="16"/>
      <c r="H150" s="13"/>
      <c r="I150" s="13"/>
      <c r="J150" s="13"/>
      <c r="K150" s="13"/>
      <c r="L150" s="13"/>
      <c r="M150" s="30">
        <f>M148*M149</f>
        <v>33219643.154035933</v>
      </c>
    </row>
    <row r="151" spans="2:13" ht="13.5" thickBot="1">
      <c r="B151" s="34"/>
      <c r="C151" s="18"/>
      <c r="D151" s="18"/>
      <c r="E151" s="7"/>
      <c r="G151" s="9"/>
      <c r="M151" s="7"/>
    </row>
    <row r="152" spans="2:13" ht="13.5" thickBot="1">
      <c r="B152" s="34"/>
      <c r="C152" s="56" t="s">
        <v>88</v>
      </c>
      <c r="D152" s="22"/>
      <c r="E152" s="23">
        <f>M137</f>
        <v>37964546.76291472</v>
      </c>
      <c r="F152" s="22"/>
      <c r="G152" s="25"/>
      <c r="H152" s="22"/>
      <c r="I152" s="22"/>
      <c r="J152" s="22"/>
      <c r="K152" s="22"/>
      <c r="L152" s="22"/>
      <c r="M152" s="31">
        <f>SUM(M146,M150)</f>
        <v>39173457.903919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2" width="32.28125" style="0" bestFit="1" customWidth="1"/>
    <col min="4" max="4" width="19.57421875" style="0" bestFit="1" customWidth="1"/>
    <col min="6" max="6" width="19.140625" style="0" bestFit="1" customWidth="1"/>
    <col min="8" max="8" width="19.7109375" style="0" bestFit="1" customWidth="1"/>
    <col min="10" max="10" width="19.7109375" style="0" bestFit="1" customWidth="1"/>
    <col min="12" max="12" width="19.8515625" style="0" bestFit="1" customWidth="1"/>
    <col min="14" max="14" width="19.421875" style="0" bestFit="1" customWidth="1"/>
    <col min="16" max="16" width="19.421875" style="0" bestFit="1" customWidth="1"/>
    <col min="18" max="18" width="18.8515625" style="0" bestFit="1" customWidth="1"/>
    <col min="20" max="20" width="19.421875" style="0" bestFit="1" customWidth="1"/>
    <col min="22" max="22" width="19.421875" style="0" bestFit="1" customWidth="1"/>
  </cols>
  <sheetData>
    <row r="1" spans="1:22" ht="12.75">
      <c r="A1" s="1" t="s">
        <v>89</v>
      </c>
      <c r="D1" s="2">
        <v>1996</v>
      </c>
      <c r="F1" s="2">
        <v>1997</v>
      </c>
      <c r="H1" s="2" t="s">
        <v>121</v>
      </c>
      <c r="J1" s="2" t="s">
        <v>122</v>
      </c>
      <c r="K1" s="3"/>
      <c r="L1" s="4" t="s">
        <v>1</v>
      </c>
      <c r="M1" s="5"/>
      <c r="N1" s="2" t="s">
        <v>2</v>
      </c>
      <c r="P1" s="2" t="s">
        <v>3</v>
      </c>
      <c r="R1" s="2" t="s">
        <v>4</v>
      </c>
      <c r="S1" s="5"/>
      <c r="T1" s="2" t="s">
        <v>5</v>
      </c>
      <c r="V1" s="2" t="s">
        <v>6</v>
      </c>
    </row>
    <row r="2" spans="1:12" ht="12.75">
      <c r="A2" s="42" t="s">
        <v>135</v>
      </c>
      <c r="D2" s="2"/>
      <c r="F2" s="2"/>
      <c r="H2" s="2"/>
      <c r="J2" s="2"/>
      <c r="K2" s="3"/>
      <c r="L2" s="6"/>
    </row>
    <row r="3" spans="2:22" ht="12.75">
      <c r="B3" t="s">
        <v>90</v>
      </c>
      <c r="D3" s="10">
        <f>'[2]Volume Summary'!F8</f>
        <v>9073</v>
      </c>
      <c r="E3" s="10"/>
      <c r="F3" s="10">
        <f>'[2]Volume Summary'!H8</f>
        <v>8816</v>
      </c>
      <c r="G3" s="10"/>
      <c r="H3" s="10">
        <f>'[2]Volume Summary'!J8</f>
        <v>9393</v>
      </c>
      <c r="I3" s="10"/>
      <c r="J3" s="10">
        <f>'[2]Volume Summary'!L8</f>
        <v>10102</v>
      </c>
      <c r="K3" s="3"/>
      <c r="L3" s="8">
        <f>(F3/D3)-1</f>
        <v>-0.028325801829604313</v>
      </c>
      <c r="M3" s="9"/>
      <c r="N3" s="9">
        <f>(H3/F3)-1</f>
        <v>0.06544918330308525</v>
      </c>
      <c r="O3" s="9"/>
      <c r="P3" s="9">
        <f>(J3/H3)-1</f>
        <v>0.07548174172255928</v>
      </c>
      <c r="R3" s="9">
        <f>(H3/D3)-1</f>
        <v>0.035269480877328396</v>
      </c>
      <c r="S3" s="9"/>
      <c r="T3" s="9">
        <f>(J3/D3)-1</f>
        <v>0.11341342444615887</v>
      </c>
      <c r="V3" s="9">
        <f>(J3/F3)-1</f>
        <v>0.14587114337568052</v>
      </c>
    </row>
    <row r="4" spans="2:22" ht="13.5" thickBot="1">
      <c r="B4" t="s">
        <v>86</v>
      </c>
      <c r="D4" s="7">
        <v>4828.05</v>
      </c>
      <c r="E4" s="7"/>
      <c r="F4" s="7">
        <v>4828.05</v>
      </c>
      <c r="G4" s="7"/>
      <c r="H4" s="7">
        <v>4828.05</v>
      </c>
      <c r="I4" s="7"/>
      <c r="J4" s="7">
        <v>4828.05</v>
      </c>
      <c r="K4" s="3"/>
      <c r="L4" s="8">
        <f>(F4/D4)-1</f>
        <v>0</v>
      </c>
      <c r="M4" s="9"/>
      <c r="N4" s="9">
        <f>(H4/F4)-1</f>
        <v>0</v>
      </c>
      <c r="O4" s="9"/>
      <c r="P4" s="9">
        <f>(J4/H4)-1</f>
        <v>0</v>
      </c>
      <c r="R4" s="9">
        <f>(H4/D4)-1</f>
        <v>0</v>
      </c>
      <c r="S4" s="9"/>
      <c r="T4" s="9">
        <f>(J4/D4)-1</f>
        <v>0</v>
      </c>
      <c r="V4" s="9">
        <f>(J4/F4)-1</f>
        <v>0</v>
      </c>
    </row>
    <row r="5" spans="2:22" ht="13.5" thickBot="1">
      <c r="B5" s="21" t="s">
        <v>91</v>
      </c>
      <c r="C5" s="22"/>
      <c r="D5" s="23">
        <f>D3*D4</f>
        <v>43804897.65</v>
      </c>
      <c r="E5" s="23"/>
      <c r="F5" s="23">
        <f>F3*F4</f>
        <v>42564088.800000004</v>
      </c>
      <c r="G5" s="23"/>
      <c r="H5" s="23">
        <f>H3*H4</f>
        <v>45349873.65</v>
      </c>
      <c r="I5" s="23"/>
      <c r="J5" s="31">
        <f>J3*J4</f>
        <v>48772961.1</v>
      </c>
      <c r="K5" s="3"/>
      <c r="L5" s="24">
        <f>(F5/D5)-1</f>
        <v>-0.028325801829604202</v>
      </c>
      <c r="M5" s="25"/>
      <c r="N5" s="25">
        <f>(H5/F5)-1</f>
        <v>0.06544918330308525</v>
      </c>
      <c r="O5" s="25"/>
      <c r="P5" s="25">
        <f>(J5/H5)-1</f>
        <v>0.0754817417225595</v>
      </c>
      <c r="Q5" s="22"/>
      <c r="R5" s="25">
        <f>(H5/D5)-1</f>
        <v>0.035269480877328396</v>
      </c>
      <c r="S5" s="25"/>
      <c r="T5" s="25">
        <f>(J5/D5)-1</f>
        <v>0.1134134244461591</v>
      </c>
      <c r="U5" s="22"/>
      <c r="V5" s="26">
        <f>(J5/F5)-1</f>
        <v>0.14587114337568052</v>
      </c>
    </row>
    <row r="6" spans="1:2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12" ht="12.75">
      <c r="A8" s="27" t="s">
        <v>124</v>
      </c>
      <c r="D8" s="2" t="str">
        <f>J1</f>
        <v>Reese Projected 1999</v>
      </c>
      <c r="F8" s="2" t="str">
        <f>V1</f>
        <v>Growth from '97 to '99</v>
      </c>
      <c r="H8" s="2" t="s">
        <v>67</v>
      </c>
      <c r="J8" s="2" t="s">
        <v>92</v>
      </c>
      <c r="L8" s="2" t="s">
        <v>125</v>
      </c>
    </row>
    <row r="9" ht="12.75">
      <c r="D9" s="2"/>
    </row>
    <row r="10" spans="2:12" ht="12.75">
      <c r="B10" t="s">
        <v>90</v>
      </c>
      <c r="D10" s="10">
        <f>J3</f>
        <v>10102</v>
      </c>
      <c r="F10" s="9">
        <f>V3</f>
        <v>0.14587114337568052</v>
      </c>
      <c r="H10" s="9">
        <f>(AVERAGE(0,365)/(365*1.5))*F10</f>
        <v>0.048623714458560174</v>
      </c>
      <c r="J10" s="10">
        <f>(D10/(1+F10))*(1+H10)</f>
        <v>9244.666666666666</v>
      </c>
      <c r="L10" s="10">
        <f>$J$10</f>
        <v>9244.666666666666</v>
      </c>
    </row>
    <row r="11" spans="2:12" ht="13.5" thickBot="1">
      <c r="B11" t="s">
        <v>86</v>
      </c>
      <c r="D11" s="7">
        <f>J4</f>
        <v>4828.05</v>
      </c>
      <c r="F11" s="9"/>
      <c r="L11" s="7">
        <f>$D$11</f>
        <v>4828.05</v>
      </c>
    </row>
    <row r="12" spans="2:12" ht="13.5" thickBot="1">
      <c r="B12" s="21" t="s">
        <v>91</v>
      </c>
      <c r="C12" s="22"/>
      <c r="D12" s="23">
        <f>J5</f>
        <v>48772961.1</v>
      </c>
      <c r="E12" s="22"/>
      <c r="F12" s="25"/>
      <c r="G12" s="22"/>
      <c r="H12" s="22"/>
      <c r="I12" s="22"/>
      <c r="J12" s="22"/>
      <c r="K12" s="22"/>
      <c r="L12" s="31">
        <f>L10*L11</f>
        <v>44633712.9</v>
      </c>
    </row>
    <row r="14" spans="1:12" ht="12.75">
      <c r="A14" s="27" t="s">
        <v>126</v>
      </c>
      <c r="D14" s="2" t="s">
        <v>125</v>
      </c>
      <c r="F14" s="2" t="s">
        <v>69</v>
      </c>
      <c r="H14" s="2" t="s">
        <v>70</v>
      </c>
      <c r="J14" s="2" t="s">
        <v>92</v>
      </c>
      <c r="L14" s="2" t="s">
        <v>127</v>
      </c>
    </row>
    <row r="15" ht="12.75">
      <c r="D15" s="2"/>
    </row>
    <row r="16" spans="2:12" ht="12.75">
      <c r="B16" t="s">
        <v>90</v>
      </c>
      <c r="D16" s="10">
        <f>L10</f>
        <v>9244.666666666666</v>
      </c>
      <c r="F16" s="9">
        <f>(((365/547.5)*F10)-H10)+((0.5*(547.5-365)/(1.5*365))*F10)</f>
        <v>0.07293557168784026</v>
      </c>
      <c r="H16" s="9">
        <v>0</v>
      </c>
      <c r="J16" s="10">
        <f>(D16*(1+F16))*(1+H16)</f>
        <v>9918.931715063522</v>
      </c>
      <c r="L16" s="10">
        <f>$J$16</f>
        <v>9918.931715063522</v>
      </c>
    </row>
    <row r="17" spans="2:12" ht="13.5" thickBot="1">
      <c r="B17" t="s">
        <v>86</v>
      </c>
      <c r="D17" s="7">
        <f>L11</f>
        <v>4828.05</v>
      </c>
      <c r="F17" s="9"/>
      <c r="L17" s="7">
        <f>$D$11</f>
        <v>4828.05</v>
      </c>
    </row>
    <row r="18" spans="2:12" ht="13.5" thickBot="1">
      <c r="B18" s="21" t="s">
        <v>91</v>
      </c>
      <c r="C18" s="22"/>
      <c r="D18" s="23">
        <f>D16*D17</f>
        <v>44633712.9</v>
      </c>
      <c r="E18" s="22"/>
      <c r="F18" s="25"/>
      <c r="G18" s="22"/>
      <c r="H18" s="22"/>
      <c r="I18" s="22"/>
      <c r="J18" s="22"/>
      <c r="K18" s="22"/>
      <c r="L18" s="31">
        <f>L16*L17</f>
        <v>47889098.26691244</v>
      </c>
    </row>
    <row r="20" spans="1:12" ht="12.75">
      <c r="A20" s="27" t="s">
        <v>128</v>
      </c>
      <c r="D20" s="2" t="s">
        <v>127</v>
      </c>
      <c r="F20" s="2" t="s">
        <v>69</v>
      </c>
      <c r="H20" s="2" t="s">
        <v>70</v>
      </c>
      <c r="J20" s="2" t="s">
        <v>92</v>
      </c>
      <c r="L20" s="2" t="s">
        <v>129</v>
      </c>
    </row>
    <row r="21" ht="12.75">
      <c r="D21" s="2"/>
    </row>
    <row r="22" spans="2:12" ht="12.75">
      <c r="B22" t="s">
        <v>90</v>
      </c>
      <c r="D22" s="10">
        <f>L16</f>
        <v>9918.931715063522</v>
      </c>
      <c r="F22" s="9">
        <f>F10-(H10+F16)</f>
        <v>0.024311857229280087</v>
      </c>
      <c r="H22" s="9">
        <v>0.07</v>
      </c>
      <c r="J22" s="10">
        <f>(D22*(1+F22))*(1+H22)</f>
        <v>10871.284922462224</v>
      </c>
      <c r="L22" s="10">
        <f>$J$22</f>
        <v>10871.284922462224</v>
      </c>
    </row>
    <row r="23" spans="2:12" ht="13.5" thickBot="1">
      <c r="B23" t="s">
        <v>86</v>
      </c>
      <c r="D23" s="7">
        <f>L17</f>
        <v>4828.05</v>
      </c>
      <c r="F23" s="9"/>
      <c r="L23" s="7">
        <f>$D$11</f>
        <v>4828.05</v>
      </c>
    </row>
    <row r="24" spans="2:12" ht="13.5" thickBot="1">
      <c r="B24" s="21" t="s">
        <v>91</v>
      </c>
      <c r="C24" s="22"/>
      <c r="D24" s="23">
        <f>D22*D23</f>
        <v>47889098.26691244</v>
      </c>
      <c r="E24" s="22"/>
      <c r="F24" s="25"/>
      <c r="G24" s="22"/>
      <c r="H24" s="22"/>
      <c r="I24" s="22"/>
      <c r="J24" s="22"/>
      <c r="K24" s="22"/>
      <c r="L24" s="31">
        <f>L22*L23</f>
        <v>52487107.16989374</v>
      </c>
    </row>
    <row r="26" spans="1:12" ht="12.75">
      <c r="A26" s="27" t="s">
        <v>130</v>
      </c>
      <c r="D26" s="2" t="s">
        <v>129</v>
      </c>
      <c r="F26" s="2" t="s">
        <v>69</v>
      </c>
      <c r="H26" s="2" t="s">
        <v>70</v>
      </c>
      <c r="J26" s="2" t="s">
        <v>92</v>
      </c>
      <c r="L26" s="2" t="s">
        <v>131</v>
      </c>
    </row>
    <row r="27" ht="12.75">
      <c r="D27" s="2"/>
    </row>
    <row r="28" spans="2:12" ht="12.75">
      <c r="B28" t="s">
        <v>90</v>
      </c>
      <c r="D28" s="10">
        <f>L22</f>
        <v>10871.284922462224</v>
      </c>
      <c r="F28" s="9">
        <v>0</v>
      </c>
      <c r="H28" s="9">
        <v>0.07</v>
      </c>
      <c r="J28" s="10">
        <f>(D28*(1+F28))*(1+H28)</f>
        <v>11632.27486703458</v>
      </c>
      <c r="L28" s="10">
        <f>$J$28</f>
        <v>11632.27486703458</v>
      </c>
    </row>
    <row r="29" spans="2:12" ht="13.5" thickBot="1">
      <c r="B29" t="s">
        <v>86</v>
      </c>
      <c r="D29" s="7">
        <f>L23</f>
        <v>4828.05</v>
      </c>
      <c r="F29" s="9"/>
      <c r="L29" s="7">
        <f>$D$11</f>
        <v>4828.05</v>
      </c>
    </row>
    <row r="30" spans="2:12" ht="13.5" thickBot="1">
      <c r="B30" s="21" t="s">
        <v>91</v>
      </c>
      <c r="C30" s="22"/>
      <c r="D30" s="23">
        <f>D28*D29</f>
        <v>52487107.16989374</v>
      </c>
      <c r="E30" s="22"/>
      <c r="F30" s="25"/>
      <c r="G30" s="22"/>
      <c r="H30" s="22"/>
      <c r="I30" s="22"/>
      <c r="J30" s="22"/>
      <c r="K30" s="22"/>
      <c r="L30" s="31">
        <f>L28*L29</f>
        <v>56161204.67178631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2.28125" style="0" bestFit="1" customWidth="1"/>
    <col min="2" max="2" width="36.57421875" style="0" bestFit="1" customWidth="1"/>
    <col min="4" max="4" width="20.8515625" style="0" bestFit="1" customWidth="1"/>
    <col min="6" max="6" width="19.140625" style="0" bestFit="1" customWidth="1"/>
    <col min="8" max="8" width="19.7109375" style="0" bestFit="1" customWidth="1"/>
    <col min="10" max="10" width="19.7109375" style="0" bestFit="1" customWidth="1"/>
    <col min="12" max="12" width="19.8515625" style="0" bestFit="1" customWidth="1"/>
    <col min="14" max="14" width="19.421875" style="0" bestFit="1" customWidth="1"/>
    <col min="16" max="16" width="19.421875" style="0" bestFit="1" customWidth="1"/>
    <col min="18" max="18" width="18.8515625" style="0" bestFit="1" customWidth="1"/>
    <col min="20" max="20" width="19.421875" style="0" bestFit="1" customWidth="1"/>
    <col min="22" max="22" width="19.421875" style="0" bestFit="1" customWidth="1"/>
  </cols>
  <sheetData>
    <row r="1" spans="1:22" ht="12.75">
      <c r="A1" s="27" t="s">
        <v>93</v>
      </c>
      <c r="D1" s="2">
        <v>1996</v>
      </c>
      <c r="F1" s="2">
        <v>1997</v>
      </c>
      <c r="H1" s="2" t="s">
        <v>121</v>
      </c>
      <c r="J1" s="2" t="s">
        <v>122</v>
      </c>
      <c r="K1" s="3"/>
      <c r="L1" s="4" t="s">
        <v>1</v>
      </c>
      <c r="M1" s="5"/>
      <c r="N1" s="2" t="s">
        <v>2</v>
      </c>
      <c r="P1" s="2" t="s">
        <v>3</v>
      </c>
      <c r="R1" s="2" t="s">
        <v>4</v>
      </c>
      <c r="S1" s="5"/>
      <c r="T1" s="2" t="s">
        <v>5</v>
      </c>
      <c r="V1" s="2" t="s">
        <v>6</v>
      </c>
    </row>
    <row r="2" spans="1:12" ht="12.75">
      <c r="A2" t="s">
        <v>136</v>
      </c>
      <c r="K2" s="3"/>
      <c r="L2" s="6"/>
    </row>
    <row r="3" spans="2:22" ht="12.75">
      <c r="B3" t="s">
        <v>94</v>
      </c>
      <c r="D3" s="10">
        <v>5276</v>
      </c>
      <c r="E3" s="10"/>
      <c r="F3" s="10">
        <v>4913</v>
      </c>
      <c r="G3" s="10"/>
      <c r="H3" s="10">
        <v>5221</v>
      </c>
      <c r="I3" s="10"/>
      <c r="J3" s="10">
        <v>5596</v>
      </c>
      <c r="K3" s="3"/>
      <c r="L3" s="8">
        <f>(F3/D3)-1</f>
        <v>-0.06880212282031839</v>
      </c>
      <c r="M3" s="9"/>
      <c r="N3" s="9">
        <f>(H3/F3)-1</f>
        <v>0.06269082027274586</v>
      </c>
      <c r="O3" s="9"/>
      <c r="P3" s="9">
        <f>(J3/H3)-1</f>
        <v>0.07182532081976634</v>
      </c>
      <c r="R3" s="9">
        <f>(H3/D3)-1</f>
        <v>-0.010424564063684638</v>
      </c>
      <c r="S3" s="9"/>
      <c r="T3" s="9">
        <f>(J3/D3)-1</f>
        <v>0.06065200909780133</v>
      </c>
      <c r="V3" s="9">
        <f>(J3/F3)-1</f>
        <v>0.13901892937105642</v>
      </c>
    </row>
    <row r="4" spans="2:22" ht="12.75">
      <c r="B4" t="s">
        <v>90</v>
      </c>
      <c r="D4" s="10">
        <v>1265</v>
      </c>
      <c r="E4" s="10"/>
      <c r="F4" s="10">
        <v>1263</v>
      </c>
      <c r="G4" s="10"/>
      <c r="H4" s="10">
        <v>1343</v>
      </c>
      <c r="I4" s="10"/>
      <c r="J4" s="10">
        <v>1442</v>
      </c>
      <c r="K4" s="3"/>
      <c r="L4" s="8">
        <f aca="true" t="shared" si="0" ref="L4:L9">(F4/D4)-1</f>
        <v>-0.0015810276679841806</v>
      </c>
      <c r="M4" s="9"/>
      <c r="N4" s="9">
        <f aca="true" t="shared" si="1" ref="N4:N9">(H4/F4)-1</f>
        <v>0.06334125098970711</v>
      </c>
      <c r="O4" s="9"/>
      <c r="P4" s="9">
        <f aca="true" t="shared" si="2" ref="P4:P9">(J4/H4)-1</f>
        <v>0.07371556217423669</v>
      </c>
      <c r="R4" s="9">
        <f aca="true" t="shared" si="3" ref="R4:R9">(H4/D4)-1</f>
        <v>0.06166007905138349</v>
      </c>
      <c r="S4" s="9"/>
      <c r="T4" s="9">
        <f aca="true" t="shared" si="4" ref="T4:T9">(J4/D4)-1</f>
        <v>0.13992094861660087</v>
      </c>
      <c r="V4" s="9">
        <f aca="true" t="shared" si="5" ref="V4:V9">(J4/F4)-1</f>
        <v>0.14172604908946962</v>
      </c>
    </row>
    <row r="5" spans="2:22" ht="12.75">
      <c r="B5" t="s">
        <v>95</v>
      </c>
      <c r="D5" s="10">
        <f>D3/D4</f>
        <v>4.170750988142292</v>
      </c>
      <c r="E5" s="10"/>
      <c r="F5" s="10">
        <f>F3/F4</f>
        <v>3.889944576405384</v>
      </c>
      <c r="G5" s="10"/>
      <c r="H5" s="10">
        <f>H3/H4</f>
        <v>3.8875651526433357</v>
      </c>
      <c r="I5" s="10"/>
      <c r="J5" s="10">
        <f>J3/J4</f>
        <v>3.880721220527046</v>
      </c>
      <c r="K5" s="3"/>
      <c r="L5" s="8">
        <f t="shared" si="0"/>
        <v>-0.06732754185883039</v>
      </c>
      <c r="M5" s="9"/>
      <c r="N5" s="9">
        <f t="shared" si="1"/>
        <v>-0.0006116857747745508</v>
      </c>
      <c r="O5" s="9"/>
      <c r="P5" s="9">
        <f t="shared" si="2"/>
        <v>-0.0017604675028112249</v>
      </c>
      <c r="R5" s="9">
        <f t="shared" si="3"/>
        <v>-0.06789804433399926</v>
      </c>
      <c r="S5" s="9"/>
      <c r="T5" s="9">
        <f t="shared" si="4"/>
        <v>-0.0695389795362561</v>
      </c>
      <c r="V5" s="9">
        <f t="shared" si="5"/>
        <v>-0.0023710764246572813</v>
      </c>
    </row>
    <row r="6" spans="2:22" ht="12.75">
      <c r="B6" t="s">
        <v>96</v>
      </c>
      <c r="D6" s="7">
        <v>20086492</v>
      </c>
      <c r="E6" s="7"/>
      <c r="F6" s="7">
        <v>17703146</v>
      </c>
      <c r="G6" s="7"/>
      <c r="H6" s="7">
        <v>18877698</v>
      </c>
      <c r="I6" s="7"/>
      <c r="J6" s="7">
        <v>20314484</v>
      </c>
      <c r="K6" s="3"/>
      <c r="L6" s="8">
        <f t="shared" si="0"/>
        <v>-0.11865416818427033</v>
      </c>
      <c r="M6" s="9"/>
      <c r="N6" s="9">
        <f t="shared" si="1"/>
        <v>0.06634707751944213</v>
      </c>
      <c r="O6" s="9"/>
      <c r="P6" s="9">
        <f t="shared" si="2"/>
        <v>0.07611023335578304</v>
      </c>
      <c r="R6" s="9">
        <f t="shared" si="3"/>
        <v>-0.060179447959354926</v>
      </c>
      <c r="S6" s="9"/>
      <c r="T6" s="9">
        <f t="shared" si="4"/>
        <v>0.011350513569019505</v>
      </c>
      <c r="V6" s="9">
        <f t="shared" si="5"/>
        <v>0.1475070024277041</v>
      </c>
    </row>
    <row r="7" spans="2:22" ht="12.75">
      <c r="B7" t="s">
        <v>97</v>
      </c>
      <c r="D7" s="7">
        <f>D6/D3</f>
        <v>3807.144048521607</v>
      </c>
      <c r="E7" s="7"/>
      <c r="F7" s="7">
        <f>F6/F3</f>
        <v>3603.3270913901893</v>
      </c>
      <c r="G7" s="7"/>
      <c r="H7" s="7">
        <f>H6/H3</f>
        <v>3615.72457383643</v>
      </c>
      <c r="I7" s="7"/>
      <c r="J7" s="7">
        <f>J6/J3</f>
        <v>3630.179413867048</v>
      </c>
      <c r="K7" s="3"/>
      <c r="L7" s="8">
        <f t="shared" si="0"/>
        <v>-0.053535394125831526</v>
      </c>
      <c r="M7" s="9"/>
      <c r="N7" s="9">
        <f t="shared" si="1"/>
        <v>0.0034405653807736414</v>
      </c>
      <c r="O7" s="9"/>
      <c r="P7" s="9">
        <f t="shared" si="2"/>
        <v>0.00399777132783119</v>
      </c>
      <c r="R7" s="9">
        <f t="shared" si="3"/>
        <v>-0.05027902076873325</v>
      </c>
      <c r="S7" s="9"/>
      <c r="T7" s="9">
        <f t="shared" si="4"/>
        <v>-0.04648225346852275</v>
      </c>
      <c r="V7" s="9">
        <f t="shared" si="5"/>
        <v>0.007452091302235564</v>
      </c>
    </row>
    <row r="8" spans="2:22" ht="12.75">
      <c r="B8" t="s">
        <v>98</v>
      </c>
      <c r="D8" s="7">
        <f>D6/D4</f>
        <v>15878.649802371541</v>
      </c>
      <c r="E8" s="7"/>
      <c r="F8" s="7">
        <f>F6/F4</f>
        <v>14016.742676167854</v>
      </c>
      <c r="G8" s="7"/>
      <c r="H8" s="7">
        <f>H6/H4</f>
        <v>14056.364854802681</v>
      </c>
      <c r="I8" s="7"/>
      <c r="J8" s="7">
        <f>J6/J4</f>
        <v>14087.714285714286</v>
      </c>
      <c r="K8" s="3"/>
      <c r="L8" s="8">
        <f t="shared" si="0"/>
        <v>-0.11725852949572602</v>
      </c>
      <c r="M8" s="9"/>
      <c r="N8" s="9">
        <f t="shared" si="1"/>
        <v>0.0028267750610986297</v>
      </c>
      <c r="O8" s="9"/>
      <c r="P8" s="9">
        <f t="shared" si="2"/>
        <v>0.0022302658785136042</v>
      </c>
      <c r="R8" s="9">
        <f t="shared" si="3"/>
        <v>-0.11476321792150701</v>
      </c>
      <c r="S8" s="9"/>
      <c r="T8" s="9">
        <f t="shared" si="4"/>
        <v>-0.11278890453203216</v>
      </c>
      <c r="V8" s="9">
        <f t="shared" si="5"/>
        <v>0.0050633453995772015</v>
      </c>
    </row>
    <row r="9" spans="2:22" ht="12.75">
      <c r="B9" t="s">
        <v>99</v>
      </c>
      <c r="D9" s="9">
        <v>0.4178</v>
      </c>
      <c r="E9" s="9"/>
      <c r="F9" s="9">
        <v>0.4178</v>
      </c>
      <c r="G9" s="9"/>
      <c r="H9" s="9">
        <v>0.4178</v>
      </c>
      <c r="I9" s="9"/>
      <c r="J9" s="9">
        <v>0.4178</v>
      </c>
      <c r="K9" s="3"/>
      <c r="L9" s="8">
        <f t="shared" si="0"/>
        <v>0</v>
      </c>
      <c r="M9" s="9"/>
      <c r="N9" s="9">
        <f t="shared" si="1"/>
        <v>0</v>
      </c>
      <c r="O9" s="9"/>
      <c r="P9" s="9">
        <f t="shared" si="2"/>
        <v>0</v>
      </c>
      <c r="R9" s="9">
        <f t="shared" si="3"/>
        <v>0</v>
      </c>
      <c r="S9" s="9"/>
      <c r="T9" s="9">
        <f t="shared" si="4"/>
        <v>0</v>
      </c>
      <c r="V9" s="9">
        <f t="shared" si="5"/>
        <v>0</v>
      </c>
    </row>
    <row r="10" spans="2:22" ht="13.5" thickBot="1">
      <c r="B10" s="18"/>
      <c r="C10" s="18"/>
      <c r="D10" s="19"/>
      <c r="E10" s="19"/>
      <c r="F10" s="19"/>
      <c r="G10" s="19"/>
      <c r="H10" s="19"/>
      <c r="I10" s="19"/>
      <c r="J10" s="19"/>
      <c r="K10" s="3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3.5" thickBot="1">
      <c r="B11" s="21" t="s">
        <v>100</v>
      </c>
      <c r="C11" s="22"/>
      <c r="D11" s="23">
        <f>D6*D9</f>
        <v>8392136.3576</v>
      </c>
      <c r="E11" s="23"/>
      <c r="F11" s="23">
        <f>F6*F9</f>
        <v>7396374.398800001</v>
      </c>
      <c r="G11" s="23"/>
      <c r="H11" s="23">
        <f>H6*H9</f>
        <v>7887102.2244</v>
      </c>
      <c r="I11" s="23"/>
      <c r="J11" s="31">
        <f>J6*J9</f>
        <v>8487391.4152</v>
      </c>
      <c r="K11" s="3"/>
      <c r="L11" s="24">
        <f>(F11/D11)-1</f>
        <v>-0.11865416818427021</v>
      </c>
      <c r="M11" s="25"/>
      <c r="N11" s="25">
        <f>(H11/F11)-1</f>
        <v>0.06634707751944191</v>
      </c>
      <c r="O11" s="25"/>
      <c r="P11" s="25">
        <f>(J11/H11)-1</f>
        <v>0.07611023335578326</v>
      </c>
      <c r="Q11" s="22"/>
      <c r="R11" s="25">
        <f>(H11/D11)-1</f>
        <v>-0.060179447959354926</v>
      </c>
      <c r="S11" s="25"/>
      <c r="T11" s="25">
        <f>(J11/D11)-1</f>
        <v>0.011350513569019505</v>
      </c>
      <c r="U11" s="22"/>
      <c r="V11" s="26">
        <f>(J11/F11)-1</f>
        <v>0.1475070024277041</v>
      </c>
    </row>
    <row r="12" spans="1:2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12" ht="12.75">
      <c r="A14" s="27" t="s">
        <v>124</v>
      </c>
      <c r="D14" s="28" t="s">
        <v>132</v>
      </c>
      <c r="F14" s="2" t="s">
        <v>6</v>
      </c>
      <c r="H14" s="2" t="s">
        <v>67</v>
      </c>
      <c r="J14" s="2" t="s">
        <v>92</v>
      </c>
      <c r="L14" s="2" t="s">
        <v>125</v>
      </c>
    </row>
    <row r="16" spans="2:12" ht="12.75">
      <c r="B16" t="s">
        <v>90</v>
      </c>
      <c r="D16" s="10">
        <f>$J$4</f>
        <v>1442</v>
      </c>
      <c r="F16" s="9">
        <f>$V$4</f>
        <v>0.14172604908946962</v>
      </c>
      <c r="H16" s="9">
        <f>(AVERAGE(0,365)/(365*1.5))*F16</f>
        <v>0.04724201636315654</v>
      </c>
      <c r="J16" s="10">
        <f>(D16/(1+F16)*(1+H16))</f>
        <v>1322.6666666666667</v>
      </c>
      <c r="L16" s="10">
        <f>$J$16</f>
        <v>1322.6666666666667</v>
      </c>
    </row>
    <row r="17" spans="2:12" ht="12.75">
      <c r="B17" t="s">
        <v>94</v>
      </c>
      <c r="D17" s="10">
        <f>$J$3</f>
        <v>5596</v>
      </c>
      <c r="L17" s="10">
        <f>L16*4</f>
        <v>5290.666666666667</v>
      </c>
    </row>
    <row r="18" spans="2:12" ht="12.75">
      <c r="B18" t="s">
        <v>97</v>
      </c>
      <c r="D18" s="7">
        <f>$J$7</f>
        <v>3630.179413867048</v>
      </c>
      <c r="L18" s="7">
        <f>$D$18</f>
        <v>3630.179413867048</v>
      </c>
    </row>
    <row r="19" spans="2:12" ht="12.75">
      <c r="B19" t="s">
        <v>96</v>
      </c>
      <c r="D19" s="7">
        <f>D17*D18</f>
        <v>20314484</v>
      </c>
      <c r="L19" s="7">
        <f>(L17*L18)</f>
        <v>19206069.21896593</v>
      </c>
    </row>
    <row r="20" spans="2:12" ht="12.75">
      <c r="B20" t="s">
        <v>99</v>
      </c>
      <c r="D20" s="9">
        <f>$J$9</f>
        <v>0.4178</v>
      </c>
      <c r="L20" s="9">
        <f>$D$20</f>
        <v>0.4178</v>
      </c>
    </row>
    <row r="21" ht="13.5" thickBot="1"/>
    <row r="22" spans="2:12" ht="13.5" thickBot="1">
      <c r="B22" s="21" t="s">
        <v>100</v>
      </c>
      <c r="C22" s="22"/>
      <c r="D22" s="23">
        <f>D19*D20</f>
        <v>8487391.4152</v>
      </c>
      <c r="E22" s="22"/>
      <c r="F22" s="22"/>
      <c r="G22" s="22"/>
      <c r="H22" s="22"/>
      <c r="I22" s="22"/>
      <c r="J22" s="22"/>
      <c r="K22" s="22"/>
      <c r="L22" s="31">
        <f>L19*L20</f>
        <v>8024295.719683966</v>
      </c>
    </row>
    <row r="24" spans="1:12" ht="12.75">
      <c r="A24" s="27" t="s">
        <v>126</v>
      </c>
      <c r="D24" s="2" t="s">
        <v>125</v>
      </c>
      <c r="F24" s="2" t="s">
        <v>69</v>
      </c>
      <c r="H24" s="2" t="s">
        <v>70</v>
      </c>
      <c r="J24" s="2" t="s">
        <v>92</v>
      </c>
      <c r="L24" s="2" t="s">
        <v>127</v>
      </c>
    </row>
    <row r="26" spans="2:12" ht="12.75">
      <c r="B26" t="s">
        <v>90</v>
      </c>
      <c r="D26" s="10">
        <f>$L$16</f>
        <v>1322.6666666666667</v>
      </c>
      <c r="F26" s="9">
        <f>((F16*(365/547.5))-H16)+((0.5*(547.5-365)/(365*1.5))*F16)</f>
        <v>0.07086302454473481</v>
      </c>
      <c r="H26" s="9">
        <v>0</v>
      </c>
      <c r="J26" s="10">
        <f>(D26*(1+F26))*(1+H26)</f>
        <v>1416.3948271311692</v>
      </c>
      <c r="L26" s="10">
        <f>$J$26</f>
        <v>1416.3948271311692</v>
      </c>
    </row>
    <row r="27" spans="2:12" ht="12.75">
      <c r="B27" t="s">
        <v>94</v>
      </c>
      <c r="D27" s="10">
        <f>D26*4</f>
        <v>5290.666666666667</v>
      </c>
      <c r="L27" s="10">
        <f>L26*4</f>
        <v>5665.579308524677</v>
      </c>
    </row>
    <row r="28" spans="2:12" ht="12.75">
      <c r="B28" t="s">
        <v>97</v>
      </c>
      <c r="D28" s="7">
        <f>$D$18</f>
        <v>3630.179413867048</v>
      </c>
      <c r="L28" s="7">
        <f>$D$18</f>
        <v>3630.179413867048</v>
      </c>
    </row>
    <row r="29" spans="2:12" ht="12.75">
      <c r="B29" t="s">
        <v>96</v>
      </c>
      <c r="D29" s="7">
        <f>(D27*D28)</f>
        <v>19206069.21896593</v>
      </c>
      <c r="L29" s="7">
        <f>(L27*L28)</f>
        <v>20567069.373437386</v>
      </c>
    </row>
    <row r="30" spans="2:12" ht="12.75">
      <c r="B30" t="s">
        <v>99</v>
      </c>
      <c r="D30" s="9">
        <f>$D$20</f>
        <v>0.4178</v>
      </c>
      <c r="L30" s="9">
        <f>$D$20</f>
        <v>0.4178</v>
      </c>
    </row>
    <row r="31" ht="13.5" thickBot="1"/>
    <row r="32" spans="2:12" ht="13.5" thickBot="1">
      <c r="B32" s="21" t="s">
        <v>100</v>
      </c>
      <c r="C32" s="22"/>
      <c r="D32" s="23">
        <f>D29*D30</f>
        <v>8024295.719683966</v>
      </c>
      <c r="E32" s="22"/>
      <c r="F32" s="22"/>
      <c r="G32" s="22"/>
      <c r="H32" s="22"/>
      <c r="I32" s="22"/>
      <c r="J32" s="22"/>
      <c r="K32" s="22"/>
      <c r="L32" s="31">
        <f>L29*L30</f>
        <v>8592921.58422214</v>
      </c>
    </row>
    <row r="34" spans="1:12" ht="12.75">
      <c r="A34" s="27" t="s">
        <v>128</v>
      </c>
      <c r="D34" s="2" t="s">
        <v>127</v>
      </c>
      <c r="F34" s="2" t="s">
        <v>69</v>
      </c>
      <c r="H34" s="2" t="s">
        <v>70</v>
      </c>
      <c r="J34" s="2" t="s">
        <v>92</v>
      </c>
      <c r="L34" s="2" t="s">
        <v>129</v>
      </c>
    </row>
    <row r="36" spans="2:12" ht="12.75">
      <c r="B36" t="s">
        <v>90</v>
      </c>
      <c r="D36" s="10">
        <f>$L$26</f>
        <v>1416.3948271311692</v>
      </c>
      <c r="F36" s="9">
        <f>F16-(H16+F26)</f>
        <v>0.02362100818157828</v>
      </c>
      <c r="H36" s="9">
        <v>0.07</v>
      </c>
      <c r="J36" s="10">
        <f>(D36*(1+F36))*(1+H36)</f>
        <v>1551.341105996362</v>
      </c>
      <c r="L36" s="10">
        <f>$J$36</f>
        <v>1551.341105996362</v>
      </c>
    </row>
    <row r="37" spans="2:12" ht="12.75">
      <c r="B37" t="s">
        <v>94</v>
      </c>
      <c r="D37" s="10">
        <f>D36*4</f>
        <v>5665.579308524677</v>
      </c>
      <c r="L37" s="10">
        <f>L36*4</f>
        <v>6205.364423985448</v>
      </c>
    </row>
    <row r="38" spans="2:12" ht="12.75">
      <c r="B38" t="s">
        <v>97</v>
      </c>
      <c r="D38" s="7">
        <f>$D$18</f>
        <v>3630.179413867048</v>
      </c>
      <c r="L38" s="7">
        <f>$D$18</f>
        <v>3630.179413867048</v>
      </c>
    </row>
    <row r="39" spans="2:12" ht="12.75">
      <c r="B39" t="s">
        <v>96</v>
      </c>
      <c r="D39" s="7">
        <f>(D37*D38)</f>
        <v>20567069.373437386</v>
      </c>
      <c r="L39" s="7">
        <f>(L37*L38)</f>
        <v>22526586.187494926</v>
      </c>
    </row>
    <row r="40" spans="2:12" ht="12.75">
      <c r="B40" t="s">
        <v>99</v>
      </c>
      <c r="D40" s="9">
        <f>$D$20</f>
        <v>0.4178</v>
      </c>
      <c r="L40" s="9">
        <f>$D$20</f>
        <v>0.4178</v>
      </c>
    </row>
    <row r="41" ht="13.5" thickBot="1"/>
    <row r="42" spans="2:12" ht="13.5" thickBot="1">
      <c r="B42" s="21" t="s">
        <v>100</v>
      </c>
      <c r="C42" s="22"/>
      <c r="D42" s="23">
        <f>D39*D40</f>
        <v>8592921.58422214</v>
      </c>
      <c r="E42" s="22"/>
      <c r="F42" s="22"/>
      <c r="G42" s="22"/>
      <c r="H42" s="22"/>
      <c r="I42" s="22"/>
      <c r="J42" s="22"/>
      <c r="K42" s="22"/>
      <c r="L42" s="31">
        <f>L39*L40</f>
        <v>9411607.70913538</v>
      </c>
    </row>
    <row r="44" spans="1:12" ht="12.75">
      <c r="A44" s="27" t="s">
        <v>130</v>
      </c>
      <c r="D44" s="2" t="s">
        <v>129</v>
      </c>
      <c r="F44" s="2" t="s">
        <v>69</v>
      </c>
      <c r="H44" s="2" t="s">
        <v>70</v>
      </c>
      <c r="J44" s="2" t="s">
        <v>92</v>
      </c>
      <c r="L44" s="2" t="s">
        <v>129</v>
      </c>
    </row>
    <row r="46" spans="2:12" ht="12.75">
      <c r="B46" t="s">
        <v>90</v>
      </c>
      <c r="D46" s="10">
        <f>$L$36</f>
        <v>1551.341105996362</v>
      </c>
      <c r="F46" s="9">
        <v>0</v>
      </c>
      <c r="H46" s="9">
        <v>0.07</v>
      </c>
      <c r="J46" s="10">
        <f>(D46*(1+F46))*(1+H46)</f>
        <v>1659.9349834161076</v>
      </c>
      <c r="L46" s="10">
        <f>$J$46</f>
        <v>1659.9349834161076</v>
      </c>
    </row>
    <row r="47" spans="2:12" ht="12.75">
      <c r="B47" t="s">
        <v>94</v>
      </c>
      <c r="D47" s="10">
        <f>D46*4</f>
        <v>6205.364423985448</v>
      </c>
      <c r="L47" s="10">
        <f>L46*4</f>
        <v>6639.73993366443</v>
      </c>
    </row>
    <row r="48" spans="2:12" ht="12.75">
      <c r="B48" t="s">
        <v>97</v>
      </c>
      <c r="D48" s="7">
        <f>$D$18</f>
        <v>3630.179413867048</v>
      </c>
      <c r="L48" s="7">
        <f>$D$18</f>
        <v>3630.179413867048</v>
      </c>
    </row>
    <row r="49" spans="2:12" ht="12.75">
      <c r="B49" t="s">
        <v>96</v>
      </c>
      <c r="D49" s="7">
        <f>(D47*D48)</f>
        <v>22526586.187494926</v>
      </c>
      <c r="L49" s="7">
        <f>(L47*L48)</f>
        <v>24103447.220619574</v>
      </c>
    </row>
    <row r="50" spans="2:12" ht="12.75">
      <c r="B50" t="s">
        <v>99</v>
      </c>
      <c r="D50" s="9">
        <f>$D$20</f>
        <v>0.4178</v>
      </c>
      <c r="L50" s="9">
        <f>$D$20</f>
        <v>0.4178</v>
      </c>
    </row>
    <row r="51" ht="13.5" thickBot="1"/>
    <row r="52" spans="2:12" ht="13.5" thickBot="1">
      <c r="B52" s="21" t="s">
        <v>100</v>
      </c>
      <c r="C52" s="22"/>
      <c r="D52" s="23">
        <f>D49*D50</f>
        <v>9411607.70913538</v>
      </c>
      <c r="E52" s="22"/>
      <c r="F52" s="22"/>
      <c r="G52" s="22"/>
      <c r="H52" s="22"/>
      <c r="I52" s="22"/>
      <c r="J52" s="22"/>
      <c r="K52" s="22"/>
      <c r="L52" s="31">
        <f>L49*L50</f>
        <v>10070420.248774858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Deputy Clerk</cp:lastModifiedBy>
  <dcterms:created xsi:type="dcterms:W3CDTF">2007-08-10T21:28:41Z</dcterms:created>
  <dcterms:modified xsi:type="dcterms:W3CDTF">2008-05-12T14:43:52Z</dcterms:modified>
  <cp:category/>
  <cp:version/>
  <cp:contentType/>
  <cp:contentStatus/>
</cp:coreProperties>
</file>