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60" tabRatio="885" activeTab="4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</sheets>
  <definedNames>
    <definedName name="DIST">'Sch 1- Rate Base '!$Q$1:$Q$3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Return'!$A$1:$H$128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'!$R$1:$R$3</definedName>
    <definedName name="PTD">'Sch 1- Rate Base '!$P$1:$P$3</definedName>
    <definedName name="Ratio">'Ratios'!$D$77:$G$87</definedName>
  </definedNames>
  <calcPr fullCalcOnLoad="1"/>
</workbook>
</file>

<file path=xl/sharedStrings.xml><?xml version="1.0" encoding="utf-8"?>
<sst xmlns="http://schemas.openxmlformats.org/spreadsheetml/2006/main" count="1171" uniqueCount="475">
  <si>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</si>
  <si>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</si>
  <si>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</si>
  <si>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</si>
  <si>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</si>
  <si>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</si>
  <si>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</si>
  <si>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</si>
  <si>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</si>
  <si>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</si>
  <si>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</si>
  <si>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</si>
  <si>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</si>
  <si>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Method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</si>
  <si>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</si>
  <si>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</si>
  <si>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</si>
  <si>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</si>
  <si>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</si>
  <si>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</si>
  <si>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</si>
  <si>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</si>
  <si>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</si>
  <si>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</si>
  <si>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</si>
  <si>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</si>
  <si>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</si>
  <si>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</si>
  <si>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</si>
  <si>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</si>
  <si>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</si>
  <si>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</si>
  <si>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</si>
  <si>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</si>
  <si>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</si>
  <si>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</si>
  <si>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</si>
  <si>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</si>
  <si>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</si>
  <si>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</si>
  <si>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</si>
  <si>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</si>
  <si>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</si>
  <si>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</si>
  <si>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</si>
  <si>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</si>
  <si>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</si>
  <si>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</si>
  <si>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</si>
  <si>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</si>
  <si>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</si>
  <si>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</si>
  <si>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</si>
  <si>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</si>
  <si>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</si>
  <si>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</si>
  <si>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</si>
  <si>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</si>
  <si>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</si>
  <si>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535-540</t>
  </si>
  <si>
    <t>541-545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</si>
  <si>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</si>
  <si>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</si>
  <si>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</si>
  <si>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</si>
  <si>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</si>
  <si>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</si>
  <si>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</si>
  <si>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</si>
  <si>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</si>
  <si>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</si>
  <si>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</si>
  <si>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</si>
  <si>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</si>
  <si>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</si>
  <si>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</si>
  <si>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</si>
  <si>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</si>
  <si>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</si>
  <si>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</si>
  <si>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</si>
  <si>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</si>
  <si>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</si>
  <si>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</si>
  <si>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</si>
  <si>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</si>
  <si>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</si>
  <si>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</si>
  <si>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</si>
  <si>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</si>
  <si>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</si>
  <si>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</si>
  <si>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</si>
  <si>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</si>
  <si>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</si>
  <si>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</si>
  <si>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</si>
  <si>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</si>
  <si>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</si>
  <si>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</si>
  <si>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</si>
  <si>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</si>
  <si>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</si>
  <si>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</si>
  <si>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</si>
  <si>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</si>
  <si>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</si>
  <si>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</si>
  <si>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</si>
  <si>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</si>
  <si>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</si>
  <si>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</si>
  <si>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</si>
  <si>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</si>
  <si>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</si>
  <si>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</si>
  <si>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</si>
  <si>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</si>
  <si>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</si>
  <si>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</si>
  <si>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</si>
  <si>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</si>
  <si>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</si>
  <si>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</si>
  <si>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</si>
  <si>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</si>
  <si>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546-550</t>
  </si>
  <si>
    <t>551-554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</si>
  <si>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</si>
  <si>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</si>
  <si>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</si>
  <si>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</si>
  <si>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</si>
  <si>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</si>
  <si>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</si>
  <si>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</si>
  <si>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</si>
  <si>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</si>
  <si>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</si>
  <si>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</si>
  <si>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</si>
  <si>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</si>
  <si>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</si>
  <si>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</si>
  <si>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</si>
  <si>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>568-573</t>
  </si>
  <si>
    <t>560-567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</si>
  <si>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</si>
  <si>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</si>
  <si>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</si>
  <si>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</si>
  <si>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</si>
  <si>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</si>
  <si>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</si>
  <si>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</si>
  <si>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</si>
  <si>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</si>
  <si>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</si>
  <si>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</si>
  <si>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</si>
  <si>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</si>
  <si>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</si>
  <si>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</si>
  <si>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</si>
  <si>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</si>
  <si>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</si>
  <si>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</si>
  <si>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</si>
  <si>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</si>
  <si>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</si>
  <si>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</si>
  <si>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</si>
  <si>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</si>
  <si>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</si>
  <si>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</si>
  <si>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</si>
  <si>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</si>
  <si>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</si>
  <si>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</si>
  <si>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</si>
  <si>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</si>
  <si>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</si>
  <si>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</si>
  <si>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</si>
  <si>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</si>
  <si>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</si>
  <si>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</si>
  <si>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</si>
  <si>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</si>
  <si>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</si>
  <si>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</si>
  <si>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</si>
  <si>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</si>
  <si>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</si>
  <si>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</si>
  <si>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</si>
  <si>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</si>
  <si>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</si>
  <si>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</si>
  <si>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</si>
  <si>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</si>
  <si>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</si>
  <si>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</si>
  <si>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</si>
  <si>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</si>
  <si>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</si>
  <si>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</si>
  <si>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</si>
  <si>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</si>
  <si>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</si>
  <si>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</si>
  <si>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</si>
  <si>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</si>
  <si>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</si>
  <si>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</si>
  <si>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</si>
  <si>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</si>
  <si>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</si>
  <si>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</si>
  <si>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</si>
  <si>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</si>
  <si>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</si>
  <si>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</si>
  <si>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</si>
  <si>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</si>
  <si>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</si>
  <si>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</si>
  <si>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</si>
  <si>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</si>
  <si>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</si>
  <si>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</si>
  <si>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</si>
  <si>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Income Tax (Included on Schedule 2)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</si>
  <si>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</si>
  <si>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</si>
  <si>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</si>
  <si>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</si>
  <si>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</si>
  <si>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</si>
  <si>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</si>
  <si>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</si>
  <si>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</si>
  <si>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</si>
  <si>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120.1-120.6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</si>
  <si>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</si>
  <si>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</si>
  <si>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</si>
  <si>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</si>
  <si>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</si>
  <si>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</si>
  <si>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</si>
  <si>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</si>
  <si>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</si>
  <si>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</si>
  <si>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</si>
  <si>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</si>
  <si>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</si>
  <si>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</si>
  <si>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</si>
  <si>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</si>
  <si>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</si>
  <si>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</si>
  <si>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</si>
  <si>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</si>
  <si>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</si>
  <si>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</si>
  <si>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</si>
  <si>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</si>
  <si>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</si>
  <si>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</si>
  <si>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</si>
  <si>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</si>
  <si>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</si>
  <si>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</si>
  <si>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</si>
  <si>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</si>
  <si>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</si>
  <si>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</si>
  <si>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</si>
  <si>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</si>
  <si>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</si>
  <si>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</si>
  <si>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</si>
  <si>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</si>
  <si>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</si>
  <si>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</si>
  <si>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</si>
  <si>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</si>
  <si>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</si>
  <si>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</si>
  <si>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</si>
  <si>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RATIO  (GP)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</si>
  <si>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</si>
  <si>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</si>
  <si>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</si>
  <si>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</si>
  <si>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</si>
  <si>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</si>
  <si>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</si>
  <si>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</si>
  <si>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</si>
  <si>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</si>
  <si>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</si>
  <si>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</si>
  <si>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</si>
  <si>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</si>
  <si>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</si>
  <si>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</si>
  <si>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</si>
  <si>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</si>
  <si>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</si>
  <si>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</si>
  <si>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</si>
  <si>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</si>
  <si>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</si>
  <si>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</si>
  <si>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</si>
  <si>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</si>
  <si>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</si>
  <si>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</si>
  <si>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</si>
  <si>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</si>
  <si>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</si>
  <si>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</t>
  </si>
  <si>
    <t>Customer Service and Information (Transcribe from line 5)</t>
  </si>
  <si>
    <t>Sales (Transcribe from line 6)</t>
  </si>
  <si>
    <t>Administrative and General (Enter Total of lines 7 and 12)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</si>
  <si>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</si>
  <si>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</si>
  <si>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</si>
  <si>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</si>
  <si>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</si>
  <si>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</si>
  <si>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Labor Ratio</t>
  </si>
  <si>
    <t>General Plant Ratio</t>
  </si>
  <si>
    <t>Production, Transmission, Distribution Ratio</t>
  </si>
  <si>
    <t>PTD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</si>
  <si>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</si>
  <si>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</si>
  <si>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</si>
  <si>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</si>
  <si>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</si>
  <si>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</si>
  <si>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</si>
  <si>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</si>
  <si>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</si>
  <si>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</si>
  <si>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</si>
  <si>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</si>
  <si>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</si>
  <si>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</si>
  <si>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</si>
  <si>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</si>
  <si>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</si>
  <si>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</si>
  <si>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</si>
  <si>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</si>
  <si>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</si>
  <si>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</si>
  <si>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</si>
  <si>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</si>
  <si>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</si>
  <si>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</si>
  <si>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</si>
  <si>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</si>
  <si>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</si>
  <si>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</si>
  <si>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</si>
  <si>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</si>
  <si>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</si>
  <si>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</si>
  <si>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</si>
  <si>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</si>
  <si>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</si>
  <si>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>Long-Term Portion of Derivative Instrument Liabilities</t>
  </si>
  <si>
    <t>Long-Term Portion of Derivative Instrument Liabilities - Hedges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</si>
  <si>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</si>
  <si>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</si>
  <si>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</si>
  <si>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</si>
  <si>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</si>
  <si>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</si>
  <si>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</si>
  <si>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</si>
  <si>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</si>
  <si>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</si>
  <si>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</si>
  <si>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</si>
  <si>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</si>
  <si>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</si>
  <si>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</si>
  <si>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</si>
  <si>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</si>
  <si>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</si>
  <si>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</si>
  <si>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</si>
  <si>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</si>
  <si>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</si>
  <si>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</si>
  <si>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</si>
  <si>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Proposed 2008 Average System Cost Methodology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</si>
  <si>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</si>
  <si>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</si>
  <si>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</si>
  <si>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</si>
  <si>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</si>
  <si>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</si>
  <si>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CONS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</si>
  <si>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</si>
  <si>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</si>
  <si>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</si>
  <si>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</si>
  <si>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Purchased Power &amp; Off-System Sales</t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</si>
  <si>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</si>
  <si>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</si>
  <si>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</si>
  <si>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</si>
  <si>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</si>
  <si>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</si>
  <si>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</si>
  <si>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</si>
  <si>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</si>
  <si>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</si>
  <si>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</si>
  <si>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</si>
  <si>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</si>
  <si>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</si>
  <si>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</si>
  <si>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Purchased Power</t>
  </si>
  <si>
    <t>Amortization of Acquisition Adjustments</t>
  </si>
  <si>
    <t>Classification</t>
  </si>
  <si>
    <t>Statistical</t>
  </si>
  <si>
    <t>Conservation Functionalization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</si>
  <si>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</si>
  <si>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</si>
  <si>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</si>
  <si>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</si>
  <si>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</si>
  <si>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</si>
  <si>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</si>
  <si>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</si>
  <si>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</si>
  <si>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</si>
  <si>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</si>
  <si>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</si>
  <si>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</si>
  <si>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</si>
  <si>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</si>
  <si>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</si>
  <si>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</si>
  <si>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</si>
  <si>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</si>
  <si>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</si>
  <si>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</si>
  <si>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 xml:space="preserve">Property </t>
  </si>
  <si>
    <t>State Income, B&amp;O, et.</t>
  </si>
  <si>
    <t>Franchise Fees</t>
  </si>
  <si>
    <t>City/Municipal</t>
  </si>
  <si>
    <t>TOTAL TAXES</t>
  </si>
  <si>
    <t>Proposed 2008 Average System Cost Methodology (ASC) Utility Template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</si>
  <si>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</si>
  <si>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</si>
  <si>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</si>
  <si>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</si>
  <si>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</si>
  <si>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</si>
  <si>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</si>
  <si>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</si>
  <si>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</si>
  <si>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Calculation: Automatic Input from Sch 1A</t>
  </si>
  <si>
    <t>(Automatic Input from Schedule 3- Expenses)</t>
  </si>
  <si>
    <t>Description</t>
  </si>
  <si>
    <t>Centralia City Light</t>
  </si>
  <si>
    <t>Year Ended December 31, 2006</t>
  </si>
  <si>
    <t>1999 Revenue Bonds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</si>
</sst>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</numFmts>
  <fonts count="75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60" applyFont="1" applyBorder="1" applyAlignment="1" applyProtection="1">
      <alignment horizontal="centerContinuous"/>
      <protection/>
    </xf>
    <xf numFmtId="0" fontId="7" fillId="0" borderId="0" xfId="60" applyFont="1" applyFill="1" applyBorder="1" applyAlignment="1" applyProtection="1">
      <alignment horizontal="centerContinuous"/>
      <protection/>
    </xf>
    <xf numFmtId="0" fontId="8" fillId="0" borderId="0" xfId="60" applyFont="1" applyFill="1" applyBorder="1" applyAlignment="1" applyProtection="1">
      <alignment horizontal="centerContinuous"/>
      <protection/>
    </xf>
    <xf numFmtId="38" fontId="9" fillId="0" borderId="0" xfId="60" applyNumberFormat="1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 applyProtection="1">
      <alignment horizontal="centerContinuous"/>
      <protection/>
    </xf>
    <xf numFmtId="0" fontId="11" fillId="0" borderId="0" xfId="60" applyFont="1" applyFill="1" applyBorder="1" applyAlignment="1" applyProtection="1">
      <alignment horizontal="centerContinuous"/>
      <protection/>
    </xf>
    <xf numFmtId="38" fontId="6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60" applyFont="1" applyFill="1" applyBorder="1" applyAlignment="1" applyProtection="1">
      <alignment horizontal="center"/>
      <protection/>
    </xf>
    <xf numFmtId="38" fontId="12" fillId="0" borderId="0" xfId="6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60" applyFont="1" applyFill="1" applyBorder="1" applyProtection="1">
      <alignment/>
      <protection locked="0"/>
    </xf>
    <xf numFmtId="0" fontId="6" fillId="0" borderId="0" xfId="60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60" applyFont="1" applyFill="1" applyBorder="1" applyAlignment="1" applyProtection="1">
      <alignment horizontal="right"/>
      <protection/>
    </xf>
    <xf numFmtId="0" fontId="15" fillId="0" borderId="0" xfId="6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60" applyNumberFormat="1" applyFont="1" applyBorder="1" applyAlignment="1">
      <alignment horizontal="centerContinuous"/>
      <protection/>
    </xf>
    <xf numFmtId="38" fontId="8" fillId="0" borderId="0" xfId="60" applyNumberFormat="1" applyFont="1" applyFill="1" applyBorder="1" applyAlignment="1" applyProtection="1">
      <alignment horizontal="centerContinuous"/>
      <protection/>
    </xf>
    <xf numFmtId="38" fontId="6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 horizontal="center"/>
      <protection/>
    </xf>
    <xf numFmtId="38" fontId="16" fillId="0" borderId="0" xfId="60" applyNumberFormat="1" applyFont="1" applyFill="1" applyBorder="1" applyAlignment="1" applyProtection="1">
      <alignment horizontal="center"/>
      <protection/>
    </xf>
    <xf numFmtId="38" fontId="16" fillId="0" borderId="0" xfId="60" applyNumberFormat="1" applyFont="1" applyBorder="1" applyAlignment="1" applyProtection="1">
      <alignment horizontal="center"/>
      <protection/>
    </xf>
    <xf numFmtId="0" fontId="16" fillId="0" borderId="0" xfId="60" applyFont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38" fontId="2" fillId="0" borderId="0" xfId="60" applyNumberFormat="1" applyFont="1" applyFill="1" applyBorder="1" applyProtection="1">
      <alignment/>
      <protection/>
    </xf>
    <xf numFmtId="38" fontId="2" fillId="0" borderId="0" xfId="60" applyNumberFormat="1" applyFont="1" applyBorder="1" applyProtection="1">
      <alignment/>
      <protection/>
    </xf>
    <xf numFmtId="164" fontId="16" fillId="0" borderId="0" xfId="60" applyNumberFormat="1" applyFont="1" applyFill="1" applyBorder="1" applyAlignment="1" applyProtection="1">
      <alignment horizontal="right"/>
      <protection/>
    </xf>
    <xf numFmtId="164" fontId="16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Border="1" applyProtection="1">
      <alignment/>
      <protection/>
    </xf>
    <xf numFmtId="164" fontId="16" fillId="0" borderId="0" xfId="60" applyNumberFormat="1" applyFont="1" applyBorder="1" applyAlignment="1" applyProtection="1">
      <alignment horizontal="right"/>
      <protection/>
    </xf>
    <xf numFmtId="164" fontId="16" fillId="0" borderId="0" xfId="60" applyNumberFormat="1" applyFont="1" applyBorder="1" applyAlignment="1" applyProtection="1">
      <alignment horizontal="left"/>
      <protection/>
    </xf>
    <xf numFmtId="0" fontId="6" fillId="0" borderId="0" xfId="60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2" fillId="0" borderId="0" xfId="60" applyFont="1" applyBorder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60" applyFont="1" applyBorder="1">
      <alignment/>
      <protection/>
    </xf>
    <xf numFmtId="38" fontId="16" fillId="0" borderId="0" xfId="60" applyNumberFormat="1" applyFont="1" applyBorder="1" applyAlignment="1" applyProtection="1">
      <alignment horizontal="right"/>
      <protection/>
    </xf>
    <xf numFmtId="0" fontId="12" fillId="0" borderId="0" xfId="60" applyFont="1" applyBorder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Fill="1" applyBorder="1" applyProtection="1">
      <alignment/>
      <protection/>
    </xf>
    <xf numFmtId="0" fontId="11" fillId="0" borderId="0" xfId="60" applyFont="1" applyFill="1" applyBorder="1" applyProtection="1">
      <alignment/>
      <protection/>
    </xf>
    <xf numFmtId="0" fontId="12" fillId="0" borderId="0" xfId="60" applyFont="1" applyFill="1" applyBorder="1" applyAlignment="1" applyProtection="1">
      <alignment horizontal="center"/>
      <protection locked="0"/>
    </xf>
    <xf numFmtId="38" fontId="12" fillId="0" borderId="0" xfId="60" applyNumberFormat="1" applyFont="1" applyBorder="1" applyProtection="1">
      <alignment/>
      <protection locked="0"/>
    </xf>
    <xf numFmtId="38" fontId="12" fillId="0" borderId="0" xfId="6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2" fillId="0" borderId="0" xfId="60" applyNumberFormat="1" applyFont="1" applyFill="1" applyBorder="1" applyAlignment="1" applyProtection="1">
      <alignment horizontal="right"/>
      <protection/>
    </xf>
    <xf numFmtId="38" fontId="12" fillId="0" borderId="0" xfId="60" applyNumberFormat="1" applyFont="1" applyFill="1" applyBorder="1" applyProtection="1">
      <alignment/>
      <protection/>
    </xf>
    <xf numFmtId="3" fontId="19" fillId="0" borderId="0" xfId="60" applyNumberFormat="1" applyFont="1" applyBorder="1" applyProtection="1">
      <alignment/>
      <protection/>
    </xf>
    <xf numFmtId="3" fontId="19" fillId="0" borderId="0" xfId="60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65" applyFont="1" applyFill="1" applyBorder="1" applyAlignment="1" applyProtection="1">
      <alignment horizontal="right"/>
      <protection/>
    </xf>
    <xf numFmtId="10" fontId="16" fillId="0" borderId="0" xfId="65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>
      <alignment horizontal="right"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2" fillId="0" borderId="0" xfId="60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6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0" applyFont="1" applyBorder="1" applyProtection="1">
      <alignment/>
      <protection locked="0"/>
    </xf>
    <xf numFmtId="0" fontId="11" fillId="0" borderId="0" xfId="60" applyFont="1" applyFill="1" applyBorder="1" applyAlignment="1" applyProtection="1">
      <alignment horizontal="left"/>
      <protection/>
    </xf>
    <xf numFmtId="0" fontId="11" fillId="0" borderId="0" xfId="60" applyFont="1" applyFill="1" applyBorder="1" applyAlignment="1" applyProtection="1">
      <alignment horizontal="center"/>
      <protection locked="0"/>
    </xf>
    <xf numFmtId="0" fontId="11" fillId="0" borderId="0" xfId="60" applyFont="1" applyFill="1" applyBorder="1" applyAlignment="1" applyProtection="1">
      <alignment horizontal="left"/>
      <protection locked="0"/>
    </xf>
    <xf numFmtId="0" fontId="11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/>
      <protection locked="0"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Fill="1" applyBorder="1" applyAlignment="1" applyProtection="1">
      <alignment horizontal="center"/>
      <protection/>
    </xf>
    <xf numFmtId="38" fontId="20" fillId="0" borderId="0" xfId="60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60" applyFont="1" applyBorder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center"/>
      <protection/>
    </xf>
    <xf numFmtId="38" fontId="0" fillId="0" borderId="0" xfId="60" applyNumberFormat="1" applyFont="1" applyBorder="1" applyAlignment="1" applyProtection="1">
      <alignment horizontal="left"/>
      <protection locked="0"/>
    </xf>
    <xf numFmtId="38" fontId="20" fillId="0" borderId="0" xfId="60" applyNumberFormat="1" applyFont="1" applyBorder="1" applyAlignment="1" applyProtection="1">
      <alignment horizontal="left"/>
      <protection/>
    </xf>
    <xf numFmtId="38" fontId="20" fillId="0" borderId="0" xfId="6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62" applyFont="1" applyFill="1" applyBorder="1">
      <alignment/>
      <protection/>
    </xf>
    <xf numFmtId="0" fontId="12" fillId="0" borderId="0" xfId="60" applyFont="1" applyFill="1" applyBorder="1" applyProtection="1">
      <alignment/>
      <protection locked="0"/>
    </xf>
    <xf numFmtId="0" fontId="12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62" applyFont="1" applyFill="1" applyBorder="1">
      <alignment/>
      <protection/>
    </xf>
    <xf numFmtId="0" fontId="13" fillId="0" borderId="0" xfId="60" applyFont="1" applyFill="1" applyBorder="1" applyProtection="1">
      <alignment/>
      <protection/>
    </xf>
    <xf numFmtId="0" fontId="23" fillId="0" borderId="0" xfId="59" applyFont="1">
      <alignment/>
      <protection/>
    </xf>
    <xf numFmtId="177" fontId="23" fillId="0" borderId="0" xfId="45" applyNumberFormat="1" applyFont="1" applyAlignment="1">
      <alignment/>
    </xf>
    <xf numFmtId="38" fontId="11" fillId="0" borderId="0" xfId="6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38" fontId="26" fillId="0" borderId="0" xfId="60" applyNumberFormat="1" applyFont="1" applyFill="1" applyBorder="1" applyAlignment="1" applyProtection="1">
      <alignment horizontal="centerContinuous"/>
      <protection/>
    </xf>
    <xf numFmtId="0" fontId="27" fillId="0" borderId="0" xfId="59" applyFont="1">
      <alignment/>
      <protection/>
    </xf>
    <xf numFmtId="43" fontId="6" fillId="0" borderId="0" xfId="42" applyFont="1" applyAlignment="1">
      <alignment/>
    </xf>
    <xf numFmtId="38" fontId="11" fillId="0" borderId="0" xfId="60" applyNumberFormat="1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 locked="0"/>
    </xf>
    <xf numFmtId="0" fontId="30" fillId="0" borderId="0" xfId="6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60" applyFont="1" applyFill="1" applyBorder="1" applyProtection="1">
      <alignment/>
      <protection locked="0"/>
    </xf>
    <xf numFmtId="0" fontId="18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center"/>
      <protection/>
    </xf>
    <xf numFmtId="0" fontId="11" fillId="0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164" fontId="12" fillId="0" borderId="0" xfId="60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60" applyNumberFormat="1" applyFont="1" applyFill="1" applyBorder="1" applyAlignment="1" applyProtection="1">
      <alignment horizontal="center"/>
      <protection locked="0"/>
    </xf>
    <xf numFmtId="0" fontId="30" fillId="0" borderId="0" xfId="6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6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60" applyFont="1" applyBorder="1" applyAlignment="1" applyProtection="1">
      <alignment horizontal="centerContinuous"/>
      <protection/>
    </xf>
    <xf numFmtId="0" fontId="34" fillId="0" borderId="0" xfId="6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6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6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8" fillId="0" borderId="0" xfId="62" applyNumberFormat="1" applyFont="1" applyBorder="1" applyAlignment="1">
      <alignment horizontal="center"/>
      <protection/>
    </xf>
    <xf numFmtId="0" fontId="11" fillId="0" borderId="0" xfId="6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8" fillId="0" borderId="0" xfId="60" applyNumberFormat="1" applyFont="1" applyFill="1" applyBorder="1" applyAlignment="1" applyProtection="1">
      <alignment horizontal="center"/>
      <protection/>
    </xf>
    <xf numFmtId="38" fontId="8" fillId="0" borderId="0" xfId="60" applyNumberFormat="1" applyFont="1" applyBorder="1" applyAlignment="1" applyProtection="1">
      <alignment horizontal="center"/>
      <protection/>
    </xf>
    <xf numFmtId="0" fontId="39" fillId="0" borderId="0" xfId="60" applyFont="1" applyBorder="1" applyAlignment="1">
      <alignment horizontal="center"/>
      <protection/>
    </xf>
    <xf numFmtId="0" fontId="39" fillId="0" borderId="0" xfId="6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8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43" fontId="6" fillId="0" borderId="0" xfId="42" applyFont="1" applyBorder="1" applyAlignment="1">
      <alignment horizontal="centerContinuous"/>
    </xf>
    <xf numFmtId="38" fontId="11" fillId="0" borderId="11" xfId="60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35" fillId="0" borderId="12" xfId="0" applyFont="1" applyBorder="1" applyAlignment="1">
      <alignment horizontal="centerContinuous"/>
    </xf>
    <xf numFmtId="0" fontId="35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43" fontId="6" fillId="0" borderId="13" xfId="42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4" xfId="60" applyFont="1" applyBorder="1" applyAlignment="1" applyProtection="1">
      <alignment horizontal="centerContinuous"/>
      <protection/>
    </xf>
    <xf numFmtId="166" fontId="6" fillId="0" borderId="0" xfId="42" applyNumberFormat="1" applyFont="1" applyFill="1" applyBorder="1" applyAlignment="1">
      <alignment/>
    </xf>
    <xf numFmtId="0" fontId="8" fillId="0" borderId="14" xfId="59" applyFont="1" applyBorder="1">
      <alignment/>
      <protection/>
    </xf>
    <xf numFmtId="0" fontId="13" fillId="0" borderId="0" xfId="5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5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5" xfId="45" applyNumberFormat="1" applyFont="1" applyBorder="1" applyAlignment="1">
      <alignment/>
    </xf>
    <xf numFmtId="0" fontId="13" fillId="0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8" fillId="0" borderId="16" xfId="59" applyFont="1" applyBorder="1">
      <alignment/>
      <protection/>
    </xf>
    <xf numFmtId="0" fontId="13" fillId="0" borderId="17" xfId="59" applyFont="1" applyBorder="1">
      <alignment/>
      <protection/>
    </xf>
    <xf numFmtId="177" fontId="13" fillId="0" borderId="17" xfId="45" applyNumberFormat="1" applyFont="1" applyBorder="1" applyAlignment="1">
      <alignment/>
    </xf>
    <xf numFmtId="177" fontId="13" fillId="0" borderId="18" xfId="45" applyNumberFormat="1" applyFont="1" applyBorder="1" applyAlignment="1">
      <alignment/>
    </xf>
    <xf numFmtId="177" fontId="23" fillId="0" borderId="13" xfId="45" applyNumberFormat="1" applyFont="1" applyBorder="1" applyAlignment="1">
      <alignment horizontal="centerContinuous"/>
    </xf>
    <xf numFmtId="177" fontId="23" fillId="0" borderId="19" xfId="45" applyNumberFormat="1" applyFont="1" applyBorder="1" applyAlignment="1">
      <alignment horizontal="centerContinuous"/>
    </xf>
    <xf numFmtId="177" fontId="23" fillId="0" borderId="0" xfId="45" applyNumberFormat="1" applyFont="1" applyBorder="1" applyAlignment="1">
      <alignment horizontal="centerContinuous"/>
    </xf>
    <xf numFmtId="177" fontId="23" fillId="0" borderId="15" xfId="45" applyNumberFormat="1" applyFont="1" applyBorder="1" applyAlignment="1">
      <alignment horizontal="centerContinuous"/>
    </xf>
    <xf numFmtId="0" fontId="35" fillId="0" borderId="14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13" fillId="0" borderId="20" xfId="59" applyFont="1" applyBorder="1">
      <alignment/>
      <protection/>
    </xf>
    <xf numFmtId="177" fontId="13" fillId="22" borderId="20" xfId="45" applyNumberFormat="1" applyFont="1" applyFill="1" applyBorder="1" applyAlignment="1">
      <alignment/>
    </xf>
    <xf numFmtId="166" fontId="13" fillId="22" borderId="20" xfId="42" applyNumberFormat="1" applyFont="1" applyFill="1" applyBorder="1" applyAlignment="1">
      <alignment/>
    </xf>
    <xf numFmtId="166" fontId="13" fillId="22" borderId="21" xfId="42" applyNumberFormat="1" applyFont="1" applyFill="1" applyBorder="1" applyAlignment="1">
      <alignment/>
    </xf>
    <xf numFmtId="0" fontId="13" fillId="0" borderId="22" xfId="59" applyFont="1" applyBorder="1">
      <alignment/>
      <protection/>
    </xf>
    <xf numFmtId="0" fontId="8" fillId="0" borderId="22" xfId="59" applyFont="1" applyBorder="1">
      <alignment/>
      <protection/>
    </xf>
    <xf numFmtId="177" fontId="13" fillId="22" borderId="21" xfId="45" applyNumberFormat="1" applyFont="1" applyFill="1" applyBorder="1" applyAlignment="1">
      <alignment/>
    </xf>
    <xf numFmtId="9" fontId="8" fillId="0" borderId="0" xfId="65" applyFont="1" applyFill="1" applyBorder="1" applyAlignment="1">
      <alignment/>
    </xf>
    <xf numFmtId="9" fontId="8" fillId="0" borderId="15" xfId="65" applyFont="1" applyFill="1" applyBorder="1" applyAlignment="1">
      <alignment/>
    </xf>
    <xf numFmtId="0" fontId="28" fillId="0" borderId="23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3" fontId="6" fillId="0" borderId="24" xfId="42" applyFont="1" applyBorder="1" applyAlignment="1">
      <alignment horizontal="centerContinuous"/>
    </xf>
    <xf numFmtId="177" fontId="23" fillId="0" borderId="24" xfId="45" applyNumberFormat="1" applyFont="1" applyBorder="1" applyAlignment="1">
      <alignment horizontal="centerContinuous"/>
    </xf>
    <xf numFmtId="177" fontId="23" fillId="0" borderId="25" xfId="45" applyNumberFormat="1" applyFont="1" applyBorder="1" applyAlignment="1">
      <alignment horizontal="centerContinuous"/>
    </xf>
    <xf numFmtId="0" fontId="13" fillId="0" borderId="26" xfId="59" applyFont="1" applyBorder="1">
      <alignment/>
      <protection/>
    </xf>
    <xf numFmtId="177" fontId="13" fillId="0" borderId="27" xfId="45" applyNumberFormat="1" applyFont="1" applyBorder="1" applyAlignment="1">
      <alignment/>
    </xf>
    <xf numFmtId="177" fontId="13" fillId="0" borderId="28" xfId="45" applyNumberFormat="1" applyFont="1" applyBorder="1" applyAlignment="1">
      <alignment/>
    </xf>
    <xf numFmtId="38" fontId="37" fillId="0" borderId="0" xfId="60" applyNumberFormat="1" applyFont="1" applyFill="1" applyBorder="1" applyAlignment="1" applyProtection="1">
      <alignment horizontal="centerContinuous"/>
      <protection/>
    </xf>
    <xf numFmtId="38" fontId="8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Border="1">
      <alignment/>
      <protection/>
    </xf>
    <xf numFmtId="38" fontId="11" fillId="0" borderId="0" xfId="60" applyNumberFormat="1" applyFont="1" applyBorder="1" applyProtection="1">
      <alignment/>
      <protection/>
    </xf>
    <xf numFmtId="0" fontId="4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6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7" fillId="0" borderId="0" xfId="60" applyFont="1" applyFill="1" applyBorder="1" applyAlignment="1" applyProtection="1">
      <alignment horizontal="centerContinuous"/>
      <protection/>
    </xf>
    <xf numFmtId="0" fontId="13" fillId="0" borderId="0" xfId="60" applyFont="1" applyFill="1" applyBorder="1" applyAlignment="1" applyProtection="1">
      <alignment horizontal="centerContinuous"/>
      <protection/>
    </xf>
    <xf numFmtId="0" fontId="12" fillId="0" borderId="0" xfId="60" applyFont="1" applyFill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37" fillId="0" borderId="0" xfId="60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1" fillId="0" borderId="0" xfId="62" applyFont="1" applyBorder="1" applyAlignment="1" quotePrefix="1">
      <alignment horizontal="center"/>
      <protection/>
    </xf>
    <xf numFmtId="0" fontId="13" fillId="0" borderId="0" xfId="62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62" applyFont="1" applyBorder="1" applyAlignment="1">
      <alignment horizontal="center"/>
      <protection/>
    </xf>
    <xf numFmtId="169" fontId="13" fillId="0" borderId="0" xfId="65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62" applyFont="1" applyBorder="1" applyAlignment="1" quotePrefix="1">
      <alignment horizontal="center" wrapText="1"/>
      <protection/>
    </xf>
    <xf numFmtId="0" fontId="42" fillId="0" borderId="0" xfId="0" applyFont="1" applyBorder="1" applyAlignment="1">
      <alignment/>
    </xf>
    <xf numFmtId="0" fontId="8" fillId="0" borderId="0" xfId="60" applyFont="1" applyFill="1" applyBorder="1" applyAlignment="1" applyProtection="1">
      <alignment horizontal="left"/>
      <protection/>
    </xf>
    <xf numFmtId="0" fontId="13" fillId="0" borderId="0" xfId="60" applyFont="1" applyFill="1" applyBorder="1" applyAlignment="1">
      <alignment horizontal="center"/>
      <protection/>
    </xf>
    <xf numFmtId="0" fontId="35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14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8" fillId="0" borderId="32" xfId="60" applyFont="1" applyBorder="1" applyAlignment="1" applyProtection="1">
      <alignment horizontal="centerContinuous"/>
      <protection/>
    </xf>
    <xf numFmtId="38" fontId="8" fillId="0" borderId="33" xfId="60" applyNumberFormat="1" applyFont="1" applyFill="1" applyBorder="1" applyAlignment="1" applyProtection="1">
      <alignment horizontal="centerContinuous"/>
      <protection/>
    </xf>
    <xf numFmtId="0" fontId="8" fillId="0" borderId="32" xfId="60" applyFont="1" applyBorder="1" applyProtection="1">
      <alignment/>
      <protection/>
    </xf>
    <xf numFmtId="0" fontId="11" fillId="0" borderId="32" xfId="60" applyFont="1" applyBorder="1" applyAlignment="1" applyProtection="1">
      <alignment horizontal="center"/>
      <protection/>
    </xf>
    <xf numFmtId="0" fontId="12" fillId="0" borderId="32" xfId="60" applyFont="1" applyBorder="1" applyAlignment="1" applyProtection="1">
      <alignment horizontal="center"/>
      <protection/>
    </xf>
    <xf numFmtId="0" fontId="12" fillId="0" borderId="32" xfId="60" applyFont="1" applyFill="1" applyBorder="1" applyAlignment="1" applyProtection="1">
      <alignment horizontal="center"/>
      <protection/>
    </xf>
    <xf numFmtId="0" fontId="31" fillId="0" borderId="32" xfId="60" applyFont="1" applyFill="1" applyBorder="1">
      <alignment/>
      <protection/>
    </xf>
    <xf numFmtId="0" fontId="11" fillId="0" borderId="32" xfId="60" applyFont="1" applyFill="1" applyBorder="1">
      <alignment/>
      <protection/>
    </xf>
    <xf numFmtId="0" fontId="8" fillId="0" borderId="32" xfId="60" applyFont="1" applyFill="1" applyBorder="1">
      <alignment/>
      <protection/>
    </xf>
    <xf numFmtId="0" fontId="12" fillId="0" borderId="32" xfId="60" applyFont="1" applyFill="1" applyBorder="1">
      <alignment/>
      <protection/>
    </xf>
    <xf numFmtId="0" fontId="21" fillId="0" borderId="32" xfId="60" applyFont="1" applyFill="1" applyBorder="1">
      <alignment/>
      <protection/>
    </xf>
    <xf numFmtId="0" fontId="34" fillId="0" borderId="32" xfId="6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>
      <alignment horizontal="left" vertical="center" wrapText="1"/>
    </xf>
    <xf numFmtId="0" fontId="32" fillId="0" borderId="32" xfId="60" applyFont="1" applyFill="1" applyBorder="1">
      <alignment/>
      <protection/>
    </xf>
    <xf numFmtId="0" fontId="13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31" fillId="0" borderId="32" xfId="60" applyFont="1" applyFill="1" applyBorder="1" applyProtection="1">
      <alignment/>
      <protection/>
    </xf>
    <xf numFmtId="0" fontId="34" fillId="0" borderId="34" xfId="60" applyFont="1" applyFill="1" applyBorder="1" applyProtection="1">
      <alignment/>
      <protection/>
    </xf>
    <xf numFmtId="0" fontId="12" fillId="0" borderId="3" xfId="60" applyFont="1" applyFill="1" applyBorder="1" applyProtection="1">
      <alignment/>
      <protection/>
    </xf>
    <xf numFmtId="0" fontId="12" fillId="0" borderId="3" xfId="60" applyFont="1" applyFill="1" applyBorder="1" applyAlignment="1" applyProtection="1">
      <alignment horizontal="center"/>
      <protection/>
    </xf>
    <xf numFmtId="38" fontId="24" fillId="0" borderId="3" xfId="60" applyNumberFormat="1" applyFont="1" applyFill="1" applyBorder="1" applyAlignment="1" applyProtection="1">
      <alignment horizontal="right"/>
      <protection/>
    </xf>
    <xf numFmtId="38" fontId="12" fillId="0" borderId="3" xfId="60" applyNumberFormat="1" applyFont="1" applyFill="1" applyBorder="1" applyAlignment="1" applyProtection="1">
      <alignment horizontal="right"/>
      <protection/>
    </xf>
    <xf numFmtId="38" fontId="12" fillId="0" borderId="35" xfId="60" applyNumberFormat="1" applyFont="1" applyFill="1" applyBorder="1" applyAlignment="1" applyProtection="1">
      <alignment horizontal="right"/>
      <protection/>
    </xf>
    <xf numFmtId="0" fontId="28" fillId="0" borderId="32" xfId="60" applyFont="1" applyBorder="1" applyAlignment="1" applyProtection="1">
      <alignment horizontal="centerContinuous"/>
      <protection/>
    </xf>
    <xf numFmtId="38" fontId="24" fillId="0" borderId="0" xfId="60" applyNumberFormat="1" applyFont="1" applyBorder="1" applyProtection="1">
      <alignment/>
      <protection/>
    </xf>
    <xf numFmtId="38" fontId="2" fillId="0" borderId="33" xfId="60" applyNumberFormat="1" applyFont="1" applyBorder="1" applyProtection="1">
      <alignment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/>
    </xf>
    <xf numFmtId="0" fontId="11" fillId="0" borderId="36" xfId="60" applyFont="1" applyBorder="1" applyAlignment="1" applyProtection="1">
      <alignment horizontal="center"/>
      <protection/>
    </xf>
    <xf numFmtId="177" fontId="11" fillId="22" borderId="36" xfId="45" applyNumberFormat="1" applyFont="1" applyFill="1" applyBorder="1" applyAlignment="1">
      <alignment/>
    </xf>
    <xf numFmtId="177" fontId="11" fillId="22" borderId="37" xfId="45" applyNumberFormat="1" applyFont="1" applyFill="1" applyBorder="1" applyAlignment="1">
      <alignment/>
    </xf>
    <xf numFmtId="0" fontId="11" fillId="0" borderId="36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 locked="0"/>
    </xf>
    <xf numFmtId="38" fontId="12" fillId="0" borderId="33" xfId="60" applyNumberFormat="1" applyFont="1" applyFill="1" applyBorder="1" applyAlignment="1" applyProtection="1">
      <alignment horizontal="right"/>
      <protection/>
    </xf>
    <xf numFmtId="0" fontId="12" fillId="0" borderId="0" xfId="60" applyFont="1" applyFill="1" applyBorder="1" applyAlignment="1">
      <alignment horizontal="center"/>
      <protection/>
    </xf>
    <xf numFmtId="0" fontId="11" fillId="0" borderId="36" xfId="60" applyNumberFormat="1" applyFont="1" applyBorder="1" applyAlignment="1" applyProtection="1">
      <alignment horizontal="center"/>
      <protection/>
    </xf>
    <xf numFmtId="1" fontId="11" fillId="0" borderId="36" xfId="60" applyNumberFormat="1" applyFont="1" applyBorder="1" applyAlignment="1" applyProtection="1">
      <alignment horizontal="center"/>
      <protection/>
    </xf>
    <xf numFmtId="0" fontId="12" fillId="0" borderId="34" xfId="60" applyFont="1" applyFill="1" applyBorder="1">
      <alignment/>
      <protection/>
    </xf>
    <xf numFmtId="0" fontId="11" fillId="0" borderId="3" xfId="60" applyFont="1" applyFill="1" applyBorder="1" applyProtection="1">
      <alignment/>
      <protection locked="0"/>
    </xf>
    <xf numFmtId="0" fontId="11" fillId="0" borderId="3" xfId="60" applyFont="1" applyFill="1" applyBorder="1" applyAlignment="1">
      <alignment horizontal="center"/>
      <protection/>
    </xf>
    <xf numFmtId="0" fontId="11" fillId="0" borderId="3" xfId="60" applyFont="1" applyFill="1" applyBorder="1" applyAlignment="1" applyProtection="1">
      <alignment horizontal="center"/>
      <protection/>
    </xf>
    <xf numFmtId="0" fontId="11" fillId="0" borderId="3" xfId="60" applyFont="1" applyFill="1" applyBorder="1" applyProtection="1">
      <alignment/>
      <protection/>
    </xf>
    <xf numFmtId="0" fontId="13" fillId="0" borderId="34" xfId="0" applyFont="1" applyFill="1" applyBorder="1" applyAlignment="1">
      <alignment/>
    </xf>
    <xf numFmtId="0" fontId="12" fillId="0" borderId="3" xfId="60" applyFont="1" applyFill="1" applyBorder="1" applyProtection="1">
      <alignment/>
      <protection locked="0"/>
    </xf>
    <xf numFmtId="0" fontId="12" fillId="0" borderId="3" xfId="6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62" applyFont="1" applyBorder="1" applyAlignment="1" quotePrefix="1">
      <alignment horizontal="center"/>
      <protection/>
    </xf>
    <xf numFmtId="0" fontId="13" fillId="0" borderId="0" xfId="60" applyFont="1" applyFill="1" applyBorder="1" applyAlignment="1" applyProtection="1">
      <alignment horizontal="center"/>
      <protection locked="0"/>
    </xf>
    <xf numFmtId="38" fontId="13" fillId="0" borderId="0" xfId="62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62" applyFont="1" applyFill="1" applyBorder="1" applyAlignment="1">
      <alignment horizontal="center"/>
      <protection/>
    </xf>
    <xf numFmtId="0" fontId="13" fillId="0" borderId="0" xfId="62" applyFont="1" applyFill="1" applyBorder="1" applyAlignment="1" quotePrefix="1">
      <alignment horizontal="center"/>
      <protection/>
    </xf>
    <xf numFmtId="0" fontId="8" fillId="0" borderId="32" xfId="60" applyFont="1" applyBorder="1" applyAlignment="1">
      <alignment horizontal="left"/>
      <protection/>
    </xf>
    <xf numFmtId="38" fontId="13" fillId="0" borderId="33" xfId="0" applyNumberFormat="1" applyFont="1" applyBorder="1" applyAlignment="1" applyProtection="1">
      <alignment horizontal="right"/>
      <protection/>
    </xf>
    <xf numFmtId="0" fontId="8" fillId="0" borderId="32" xfId="62" applyFont="1" applyFill="1" applyBorder="1">
      <alignment/>
      <protection/>
    </xf>
    <xf numFmtId="0" fontId="8" fillId="0" borderId="32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62" applyFont="1" applyFill="1" applyBorder="1">
      <alignment/>
      <protection/>
    </xf>
    <xf numFmtId="0" fontId="13" fillId="0" borderId="3" xfId="62" applyFont="1" applyBorder="1" applyAlignment="1">
      <alignment horizontal="center"/>
      <protection/>
    </xf>
    <xf numFmtId="0" fontId="11" fillId="0" borderId="32" xfId="0" applyFont="1" applyBorder="1" applyAlignment="1">
      <alignment/>
    </xf>
    <xf numFmtId="0" fontId="8" fillId="0" borderId="0" xfId="60" applyFont="1" applyBorder="1" applyAlignment="1" applyProtection="1">
      <alignment horizontal="center"/>
      <protection/>
    </xf>
    <xf numFmtId="38" fontId="8" fillId="0" borderId="33" xfId="60" applyNumberFormat="1" applyFont="1" applyBorder="1" applyAlignment="1" applyProtection="1">
      <alignment horizontal="center"/>
      <protection/>
    </xf>
    <xf numFmtId="0" fontId="35" fillId="0" borderId="30" xfId="0" applyFont="1" applyBorder="1" applyAlignment="1">
      <alignment horizontal="centerContinuous"/>
    </xf>
    <xf numFmtId="0" fontId="8" fillId="0" borderId="32" xfId="60" applyFont="1" applyBorder="1" applyAlignment="1" applyProtection="1">
      <alignment horizontal="left"/>
      <protection/>
    </xf>
    <xf numFmtId="0" fontId="3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Alignment="1" applyProtection="1">
      <alignment horizontal="left"/>
      <protection/>
    </xf>
    <xf numFmtId="0" fontId="8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Protection="1">
      <alignment/>
      <protection/>
    </xf>
    <xf numFmtId="0" fontId="8" fillId="0" borderId="32" xfId="60" applyFont="1" applyFill="1" applyBorder="1" applyProtection="1">
      <alignment/>
      <protection/>
    </xf>
    <xf numFmtId="0" fontId="18" fillId="0" borderId="32" xfId="60" applyFont="1" applyFill="1" applyBorder="1" applyAlignment="1" applyProtection="1">
      <alignment horizontal="left"/>
      <protection/>
    </xf>
    <xf numFmtId="0" fontId="33" fillId="0" borderId="32" xfId="60" applyFont="1" applyFill="1" applyBorder="1" applyProtection="1">
      <alignment/>
      <protection/>
    </xf>
    <xf numFmtId="0" fontId="34" fillId="0" borderId="32" xfId="60" applyFont="1" applyFill="1" applyBorder="1" applyProtection="1">
      <alignment/>
      <protection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8" xfId="60" applyFont="1" applyBorder="1" applyAlignment="1" applyProtection="1">
      <alignment horizontal="center"/>
      <protection/>
    </xf>
    <xf numFmtId="0" fontId="13" fillId="0" borderId="33" xfId="0" applyFont="1" applyBorder="1" applyAlignment="1">
      <alignment/>
    </xf>
    <xf numFmtId="0" fontId="13" fillId="0" borderId="0" xfId="60" applyFont="1" applyFill="1" applyBorder="1" applyAlignment="1" applyProtection="1">
      <alignment horizontal="left"/>
      <protection/>
    </xf>
    <xf numFmtId="38" fontId="13" fillId="0" borderId="0" xfId="60" applyNumberFormat="1" applyFont="1" applyFill="1" applyBorder="1" applyAlignment="1" applyProtection="1">
      <alignment horizontal="right"/>
      <protection/>
    </xf>
    <xf numFmtId="38" fontId="13" fillId="0" borderId="33" xfId="60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centerContinuous"/>
    </xf>
    <xf numFmtId="0" fontId="36" fillId="0" borderId="32" xfId="0" applyFont="1" applyBorder="1" applyAlignment="1">
      <alignment horizontal="centerContinuous"/>
    </xf>
    <xf numFmtId="0" fontId="37" fillId="0" borderId="32" xfId="60" applyFont="1" applyBorder="1" applyAlignment="1" applyProtection="1">
      <alignment horizontal="centerContinuous"/>
      <protection/>
    </xf>
    <xf numFmtId="0" fontId="13" fillId="0" borderId="32" xfId="0" applyFont="1" applyBorder="1" applyAlignment="1">
      <alignment/>
    </xf>
    <xf numFmtId="0" fontId="31" fillId="0" borderId="32" xfId="60" applyFont="1" applyBorder="1" applyProtection="1">
      <alignment/>
      <protection/>
    </xf>
    <xf numFmtId="0" fontId="34" fillId="0" borderId="32" xfId="60" applyFont="1" applyBorder="1" applyProtection="1">
      <alignment/>
      <protection/>
    </xf>
    <xf numFmtId="38" fontId="11" fillId="0" borderId="33" xfId="60" applyNumberFormat="1" applyFont="1" applyFill="1" applyBorder="1" applyAlignment="1" applyProtection="1">
      <alignment horizontal="right"/>
      <protection/>
    </xf>
    <xf numFmtId="0" fontId="38" fillId="0" borderId="32" xfId="60" applyFont="1" applyBorder="1" applyProtection="1">
      <alignment/>
      <protection/>
    </xf>
    <xf numFmtId="0" fontId="13" fillId="0" borderId="32" xfId="60" applyFont="1" applyBorder="1" applyProtection="1">
      <alignment/>
      <protection/>
    </xf>
    <xf numFmtId="38" fontId="20" fillId="0" borderId="33" xfId="60" applyNumberFormat="1" applyFont="1" applyBorder="1" applyAlignment="1" applyProtection="1">
      <alignment horizontal="center"/>
      <protection/>
    </xf>
    <xf numFmtId="38" fontId="0" fillId="0" borderId="33" xfId="0" applyNumberFormat="1" applyFont="1" applyBorder="1" applyAlignment="1">
      <alignment/>
    </xf>
    <xf numFmtId="0" fontId="13" fillId="0" borderId="33" xfId="60" applyFont="1" applyBorder="1" applyAlignment="1">
      <alignment horizontal="center"/>
      <protection/>
    </xf>
    <xf numFmtId="0" fontId="12" fillId="0" borderId="32" xfId="60" applyFont="1" applyBorder="1" applyProtection="1">
      <alignment/>
      <protection/>
    </xf>
    <xf numFmtId="38" fontId="13" fillId="22" borderId="39" xfId="60" applyNumberFormat="1" applyFont="1" applyFill="1" applyBorder="1" applyAlignment="1" applyProtection="1">
      <alignment horizontal="right"/>
      <protection/>
    </xf>
    <xf numFmtId="38" fontId="13" fillId="22" borderId="40" xfId="60" applyNumberFormat="1" applyFont="1" applyFill="1" applyBorder="1" applyAlignment="1" applyProtection="1">
      <alignment horizontal="right"/>
      <protection/>
    </xf>
    <xf numFmtId="38" fontId="13" fillId="22" borderId="41" xfId="60" applyNumberFormat="1" applyFont="1" applyFill="1" applyBorder="1" applyAlignment="1" applyProtection="1">
      <alignment horizontal="right"/>
      <protection/>
    </xf>
    <xf numFmtId="0" fontId="1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8" fillId="0" borderId="33" xfId="60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/>
    </xf>
    <xf numFmtId="0" fontId="6" fillId="0" borderId="3" xfId="0" applyFont="1" applyBorder="1" applyAlignment="1">
      <alignment/>
    </xf>
    <xf numFmtId="43" fontId="24" fillId="0" borderId="3" xfId="42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0" borderId="44" xfId="60" applyFont="1" applyFill="1" applyBorder="1" applyAlignment="1" applyProtection="1">
      <alignment horizontal="centerContinuous"/>
      <protection/>
    </xf>
    <xf numFmtId="0" fontId="8" fillId="0" borderId="45" xfId="60" applyFont="1" applyBorder="1" applyAlignment="1" applyProtection="1">
      <alignment horizontal="center"/>
      <protection/>
    </xf>
    <xf numFmtId="0" fontId="11" fillId="0" borderId="33" xfId="0" applyFont="1" applyBorder="1" applyAlignment="1">
      <alignment/>
    </xf>
    <xf numFmtId="43" fontId="6" fillId="0" borderId="0" xfId="42" applyFont="1" applyFill="1" applyBorder="1" applyAlignment="1">
      <alignment/>
    </xf>
    <xf numFmtId="166" fontId="11" fillId="0" borderId="36" xfId="42" applyNumberFormat="1" applyFont="1" applyFill="1" applyBorder="1" applyAlignment="1">
      <alignment horizontal="center"/>
    </xf>
    <xf numFmtId="3" fontId="11" fillId="22" borderId="37" xfId="0" applyNumberFormat="1" applyFont="1" applyFill="1" applyBorder="1" applyAlignment="1">
      <alignment/>
    </xf>
    <xf numFmtId="0" fontId="11" fillId="0" borderId="46" xfId="60" applyFont="1" applyFill="1" applyBorder="1" applyAlignment="1" applyProtection="1">
      <alignment horizontal="center"/>
      <protection/>
    </xf>
    <xf numFmtId="166" fontId="11" fillId="22" borderId="36" xfId="42" applyNumberFormat="1" applyFont="1" applyFill="1" applyBorder="1" applyAlignment="1">
      <alignment/>
    </xf>
    <xf numFmtId="0" fontId="11" fillId="0" borderId="36" xfId="60" applyNumberFormat="1" applyFont="1" applyFill="1" applyBorder="1" applyAlignment="1" applyProtection="1">
      <alignment horizontal="center"/>
      <protection/>
    </xf>
    <xf numFmtId="0" fontId="11" fillId="0" borderId="10" xfId="60" applyFont="1" applyFill="1" applyBorder="1" applyAlignment="1" applyProtection="1">
      <alignment horizontal="center"/>
      <protection locked="0"/>
    </xf>
    <xf numFmtId="0" fontId="35" fillId="0" borderId="31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2" xfId="60" applyFont="1" applyBorder="1">
      <alignment/>
      <protection/>
    </xf>
    <xf numFmtId="38" fontId="12" fillId="0" borderId="33" xfId="60" applyNumberFormat="1" applyFont="1" applyBorder="1" applyProtection="1">
      <alignment/>
      <protection/>
    </xf>
    <xf numFmtId="0" fontId="11" fillId="0" borderId="32" xfId="60" applyFont="1" applyBorder="1">
      <alignment/>
      <protection/>
    </xf>
    <xf numFmtId="0" fontId="33" fillId="0" borderId="32" xfId="60" applyFont="1" applyBorder="1" applyProtection="1">
      <alignment/>
      <protection/>
    </xf>
    <xf numFmtId="38" fontId="11" fillId="0" borderId="33" xfId="60" applyNumberFormat="1" applyFont="1" applyBorder="1">
      <alignment/>
      <protection/>
    </xf>
    <xf numFmtId="38" fontId="11" fillId="0" borderId="33" xfId="60" applyNumberFormat="1" applyFont="1" applyBorder="1" applyProtection="1">
      <alignment/>
      <protection/>
    </xf>
    <xf numFmtId="0" fontId="8" fillId="0" borderId="30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38" fontId="41" fillId="0" borderId="33" xfId="60" applyNumberFormat="1" applyFont="1" applyFill="1" applyBorder="1" applyAlignment="1" applyProtection="1">
      <alignment/>
      <protection/>
    </xf>
    <xf numFmtId="38" fontId="41" fillId="0" borderId="33" xfId="60" applyNumberFormat="1" applyFont="1" applyFill="1" applyBorder="1" applyAlignment="1" applyProtection="1">
      <alignment horizontal="centerContinuous"/>
      <protection/>
    </xf>
    <xf numFmtId="0" fontId="8" fillId="0" borderId="32" xfId="0" applyFont="1" applyBorder="1" applyAlignment="1">
      <alignment/>
    </xf>
    <xf numFmtId="0" fontId="42" fillId="0" borderId="32" xfId="0" applyFont="1" applyBorder="1" applyAlignment="1">
      <alignment wrapText="1"/>
    </xf>
    <xf numFmtId="0" fontId="42" fillId="0" borderId="32" xfId="0" applyFont="1" applyFill="1" applyBorder="1" applyAlignment="1">
      <alignment/>
    </xf>
    <xf numFmtId="0" fontId="13" fillId="0" borderId="34" xfId="0" applyFont="1" applyBorder="1" applyAlignment="1">
      <alignment horizontal="left"/>
    </xf>
    <xf numFmtId="0" fontId="10" fillId="0" borderId="47" xfId="60" applyFont="1" applyBorder="1" applyAlignment="1" applyProtection="1">
      <alignment horizontal="centerContinuous"/>
      <protection/>
    </xf>
    <xf numFmtId="0" fontId="8" fillId="4" borderId="48" xfId="0" applyFont="1" applyFill="1" applyBorder="1" applyAlignment="1">
      <alignment horizontal="centerContinuous"/>
    </xf>
    <xf numFmtId="0" fontId="37" fillId="4" borderId="48" xfId="60" applyFont="1" applyFill="1" applyBorder="1" applyAlignment="1" applyProtection="1">
      <alignment horizontal="centerContinuous"/>
      <protection/>
    </xf>
    <xf numFmtId="0" fontId="13" fillId="4" borderId="48" xfId="60" applyFont="1" applyFill="1" applyBorder="1" applyAlignment="1" applyProtection="1">
      <alignment horizontal="centerContinuous"/>
      <protection/>
    </xf>
    <xf numFmtId="0" fontId="13" fillId="4" borderId="49" xfId="60" applyFont="1" applyFill="1" applyBorder="1" applyAlignment="1" applyProtection="1">
      <alignment horizontal="centerContinuous"/>
      <protection/>
    </xf>
    <xf numFmtId="0" fontId="8" fillId="0" borderId="50" xfId="0" applyFont="1" applyBorder="1" applyAlignment="1">
      <alignment horizontal="center"/>
    </xf>
    <xf numFmtId="38" fontId="8" fillId="0" borderId="51" xfId="60" applyNumberFormat="1" applyFont="1" applyFill="1" applyBorder="1" applyAlignment="1" applyProtection="1">
      <alignment horizontal="center"/>
      <protection/>
    </xf>
    <xf numFmtId="38" fontId="8" fillId="0" borderId="50" xfId="60" applyNumberFormat="1" applyFont="1" applyBorder="1" applyAlignment="1" applyProtection="1">
      <alignment horizontal="center"/>
      <protection/>
    </xf>
    <xf numFmtId="0" fontId="12" fillId="0" borderId="32" xfId="0" applyFont="1" applyFill="1" applyBorder="1" applyAlignment="1">
      <alignment horizontal="center"/>
    </xf>
    <xf numFmtId="166" fontId="11" fillId="22" borderId="37" xfId="42" applyNumberFormat="1" applyFont="1" applyFill="1" applyBorder="1" applyAlignment="1">
      <alignment/>
    </xf>
    <xf numFmtId="0" fontId="31" fillId="0" borderId="32" xfId="60" applyFont="1" applyFill="1" applyBorder="1" applyAlignment="1" applyProtection="1">
      <alignment/>
      <protection/>
    </xf>
    <xf numFmtId="0" fontId="32" fillId="0" borderId="32" xfId="60" applyFont="1" applyFill="1" applyBorder="1" applyAlignment="1" applyProtection="1">
      <alignment/>
      <protection/>
    </xf>
    <xf numFmtId="0" fontId="33" fillId="0" borderId="32" xfId="60" applyFont="1" applyFill="1" applyBorder="1" applyAlignment="1" applyProtection="1">
      <alignment horizontal="left"/>
      <protection/>
    </xf>
    <xf numFmtId="0" fontId="18" fillId="0" borderId="32" xfId="60" applyFont="1" applyFill="1" applyBorder="1" applyProtection="1">
      <alignment/>
      <protection/>
    </xf>
    <xf numFmtId="0" fontId="12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Protection="1">
      <alignment/>
      <protection/>
    </xf>
    <xf numFmtId="0" fontId="8" fillId="0" borderId="32" xfId="60" applyFont="1" applyFill="1" applyBorder="1" applyProtection="1">
      <alignment/>
      <protection locked="0"/>
    </xf>
    <xf numFmtId="0" fontId="8" fillId="0" borderId="32" xfId="0" applyFont="1" applyFill="1" applyBorder="1" applyAlignment="1">
      <alignment horizontal="left"/>
    </xf>
    <xf numFmtId="0" fontId="8" fillId="0" borderId="32" xfId="60" applyFont="1" applyFill="1" applyBorder="1" applyAlignment="1" applyProtection="1">
      <alignment horizontal="left"/>
      <protection locked="0"/>
    </xf>
    <xf numFmtId="0" fontId="13" fillId="0" borderId="32" xfId="60" applyFont="1" applyFill="1" applyBorder="1" applyProtection="1">
      <alignment/>
      <protection/>
    </xf>
    <xf numFmtId="38" fontId="0" fillId="0" borderId="33" xfId="0" applyNumberFormat="1" applyFont="1" applyFill="1" applyBorder="1" applyAlignment="1">
      <alignment horizontal="right"/>
    </xf>
    <xf numFmtId="0" fontId="34" fillId="0" borderId="34" xfId="60" applyFont="1" applyBorder="1" applyProtection="1">
      <alignment/>
      <protection/>
    </xf>
    <xf numFmtId="0" fontId="12" fillId="0" borderId="3" xfId="60" applyFont="1" applyBorder="1" applyProtection="1">
      <alignment/>
      <protection/>
    </xf>
    <xf numFmtId="0" fontId="12" fillId="0" borderId="3" xfId="60" applyFont="1" applyBorder="1" applyAlignment="1" applyProtection="1">
      <alignment horizontal="center"/>
      <protection/>
    </xf>
    <xf numFmtId="38" fontId="12" fillId="0" borderId="3" xfId="60" applyNumberFormat="1" applyFont="1" applyFill="1" applyBorder="1" applyProtection="1">
      <alignment/>
      <protection/>
    </xf>
    <xf numFmtId="38" fontId="2" fillId="0" borderId="3" xfId="60" applyNumberFormat="1" applyFont="1" applyFill="1" applyBorder="1" applyProtection="1">
      <alignment/>
      <protection/>
    </xf>
    <xf numFmtId="38" fontId="16" fillId="0" borderId="3" xfId="60" applyNumberFormat="1" applyFont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>
      <alignment horizontal="right"/>
    </xf>
    <xf numFmtId="0" fontId="12" fillId="0" borderId="34" xfId="60" applyFont="1" applyFill="1" applyBorder="1" applyAlignment="1" applyProtection="1">
      <alignment horizontal="center"/>
      <protection/>
    </xf>
    <xf numFmtId="0" fontId="30" fillId="0" borderId="3" xfId="0" applyFont="1" applyFill="1" applyBorder="1" applyAlignment="1">
      <alignment horizontal="center"/>
    </xf>
    <xf numFmtId="0" fontId="30" fillId="0" borderId="3" xfId="60" applyFont="1" applyFill="1" applyBorder="1" applyAlignment="1" applyProtection="1">
      <alignment horizontal="center"/>
      <protection/>
    </xf>
    <xf numFmtId="164" fontId="12" fillId="0" borderId="3" xfId="60" applyNumberFormat="1" applyFont="1" applyFill="1" applyBorder="1" applyProtection="1">
      <alignment/>
      <protection/>
    </xf>
    <xf numFmtId="0" fontId="42" fillId="0" borderId="32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62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8" fillId="0" borderId="54" xfId="0" applyFont="1" applyFill="1" applyBorder="1" applyAlignment="1">
      <alignment horizontal="center"/>
    </xf>
    <xf numFmtId="38" fontId="8" fillId="0" borderId="55" xfId="60" applyNumberFormat="1" applyFont="1" applyBorder="1" applyAlignment="1" applyProtection="1">
      <alignment horizontal="center"/>
      <protection/>
    </xf>
    <xf numFmtId="0" fontId="8" fillId="0" borderId="53" xfId="0" applyFont="1" applyFill="1" applyBorder="1" applyAlignment="1">
      <alignment/>
    </xf>
    <xf numFmtId="0" fontId="60" fillId="0" borderId="33" xfId="0" applyFont="1" applyBorder="1" applyAlignment="1">
      <alignment/>
    </xf>
    <xf numFmtId="10" fontId="60" fillId="0" borderId="0" xfId="0" applyNumberFormat="1" applyFont="1" applyBorder="1" applyAlignment="1">
      <alignment/>
    </xf>
    <xf numFmtId="0" fontId="8" fillId="0" borderId="50" xfId="60" applyFont="1" applyBorder="1" applyAlignment="1" applyProtection="1">
      <alignment horizontal="center"/>
      <protection/>
    </xf>
    <xf numFmtId="6" fontId="13" fillId="0" borderId="0" xfId="62" applyNumberFormat="1" applyFont="1" applyFill="1" applyBorder="1">
      <alignment/>
      <protection/>
    </xf>
    <xf numFmtId="6" fontId="13" fillId="0" borderId="33" xfId="62" applyNumberFormat="1" applyFont="1" applyFill="1" applyBorder="1">
      <alignment/>
      <protection/>
    </xf>
    <xf numFmtId="49" fontId="11" fillId="0" borderId="36" xfId="60" applyNumberFormat="1" applyFont="1" applyFill="1" applyBorder="1" applyAlignment="1" applyProtection="1">
      <alignment horizontal="center"/>
      <protection locked="0"/>
    </xf>
    <xf numFmtId="0" fontId="8" fillId="0" borderId="56" xfId="60" applyFont="1" applyBorder="1" applyAlignment="1" applyProtection="1">
      <alignment horizontal="center"/>
      <protection/>
    </xf>
    <xf numFmtId="0" fontId="13" fillId="0" borderId="57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8" xfId="62" applyFont="1" applyBorder="1" applyAlignment="1">
      <alignment horizontal="center"/>
      <protection/>
    </xf>
    <xf numFmtId="0" fontId="8" fillId="0" borderId="59" xfId="62" applyFont="1" applyBorder="1" applyAlignment="1">
      <alignment horizontal="center"/>
      <protection/>
    </xf>
    <xf numFmtId="0" fontId="8" fillId="0" borderId="57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60" xfId="62" applyFont="1" applyBorder="1" applyAlignment="1">
      <alignment horizontal="center"/>
      <protection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62" xfId="62" applyFont="1" applyBorder="1" applyAlignment="1">
      <alignment horizontal="center"/>
      <protection/>
    </xf>
    <xf numFmtId="0" fontId="8" fillId="0" borderId="63" xfId="62" applyFont="1" applyBorder="1" applyAlignment="1">
      <alignment horizontal="center"/>
      <protection/>
    </xf>
    <xf numFmtId="0" fontId="8" fillId="0" borderId="62" xfId="0" applyFont="1" applyFill="1" applyBorder="1" applyAlignment="1">
      <alignment horizontal="center"/>
    </xf>
    <xf numFmtId="0" fontId="8" fillId="0" borderId="62" xfId="62" applyFont="1" applyFill="1" applyBorder="1" applyAlignment="1">
      <alignment horizontal="center"/>
      <protection/>
    </xf>
    <xf numFmtId="0" fontId="8" fillId="0" borderId="61" xfId="0" applyFont="1" applyFill="1" applyBorder="1" applyAlignment="1">
      <alignment horizontal="center"/>
    </xf>
    <xf numFmtId="0" fontId="60" fillId="0" borderId="36" xfId="60" applyFont="1" applyBorder="1" applyAlignment="1" applyProtection="1">
      <alignment horizontal="center"/>
      <protection/>
    </xf>
    <xf numFmtId="0" fontId="61" fillId="0" borderId="36" xfId="60" applyFont="1" applyFill="1" applyBorder="1" applyAlignment="1" applyProtection="1">
      <alignment horizontal="center"/>
      <protection locked="0"/>
    </xf>
    <xf numFmtId="0" fontId="60" fillId="0" borderId="0" xfId="62" applyFont="1" applyBorder="1" applyAlignment="1">
      <alignment horizontal="center"/>
      <protection/>
    </xf>
    <xf numFmtId="0" fontId="8" fillId="0" borderId="20" xfId="59" applyFont="1" applyBorder="1" applyAlignment="1">
      <alignment horizontal="center" vertical="center"/>
      <protection/>
    </xf>
    <xf numFmtId="177" fontId="8" fillId="0" borderId="20" xfId="45" applyNumberFormat="1" applyFont="1" applyBorder="1" applyAlignment="1">
      <alignment horizontal="center" vertical="center"/>
    </xf>
    <xf numFmtId="177" fontId="8" fillId="0" borderId="21" xfId="45" applyNumberFormat="1" applyFont="1" applyBorder="1" applyAlignment="1">
      <alignment horizontal="center" vertical="center"/>
    </xf>
    <xf numFmtId="38" fontId="8" fillId="0" borderId="64" xfId="60" applyNumberFormat="1" applyFont="1" applyFill="1" applyBorder="1" applyAlignment="1" applyProtection="1">
      <alignment horizontal="center" vertical="center"/>
      <protection/>
    </xf>
    <xf numFmtId="38" fontId="8" fillId="0" borderId="64" xfId="60" applyNumberFormat="1" applyFont="1" applyBorder="1" applyAlignment="1" applyProtection="1">
      <alignment horizontal="center" vertical="center"/>
      <protection/>
    </xf>
    <xf numFmtId="38" fontId="8" fillId="0" borderId="65" xfId="60" applyNumberFormat="1" applyFont="1" applyBorder="1" applyAlignment="1" applyProtection="1">
      <alignment horizontal="center" vertical="center"/>
      <protection/>
    </xf>
    <xf numFmtId="38" fontId="16" fillId="0" borderId="44" xfId="60" applyNumberFormat="1" applyFont="1" applyFill="1" applyBorder="1" applyAlignment="1" applyProtection="1">
      <alignment horizontal="center" vertical="center"/>
      <protection/>
    </xf>
    <xf numFmtId="38" fontId="16" fillId="0" borderId="44" xfId="60" applyNumberFormat="1" applyFont="1" applyBorder="1" applyAlignment="1" applyProtection="1">
      <alignment horizontal="center" vertical="center"/>
      <protection/>
    </xf>
    <xf numFmtId="38" fontId="16" fillId="0" borderId="66" xfId="60" applyNumberFormat="1" applyFont="1" applyBorder="1" applyAlignment="1" applyProtection="1">
      <alignment horizontal="center" vertical="center"/>
      <protection/>
    </xf>
    <xf numFmtId="0" fontId="8" fillId="0" borderId="38" xfId="60" applyFont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Border="1" applyAlignment="1" applyProtection="1">
      <alignment horizontal="center" vertical="center"/>
      <protection/>
    </xf>
    <xf numFmtId="38" fontId="8" fillId="0" borderId="68" xfId="60" applyNumberFormat="1" applyFont="1" applyBorder="1" applyAlignment="1" applyProtection="1">
      <alignment horizontal="center" vertical="center"/>
      <protection/>
    </xf>
    <xf numFmtId="0" fontId="8" fillId="0" borderId="69" xfId="60" applyFont="1" applyBorder="1" applyAlignment="1" applyProtection="1">
      <alignment horizontal="center" vertical="center"/>
      <protection/>
    </xf>
    <xf numFmtId="0" fontId="8" fillId="0" borderId="70" xfId="60" applyFont="1" applyFill="1" applyBorder="1" applyAlignment="1" applyProtection="1">
      <alignment horizontal="center" vertical="center"/>
      <protection/>
    </xf>
    <xf numFmtId="0" fontId="8" fillId="0" borderId="71" xfId="60" applyFont="1" applyFill="1" applyBorder="1" applyAlignment="1" applyProtection="1">
      <alignment horizontal="center" vertical="center"/>
      <protection/>
    </xf>
    <xf numFmtId="38" fontId="8" fillId="0" borderId="69" xfId="60" applyNumberFormat="1" applyFont="1" applyFill="1" applyBorder="1" applyAlignment="1" applyProtection="1">
      <alignment horizontal="center" vertical="center"/>
      <protection/>
    </xf>
    <xf numFmtId="38" fontId="8" fillId="0" borderId="69" xfId="60" applyNumberFormat="1" applyFont="1" applyBorder="1" applyAlignment="1" applyProtection="1">
      <alignment horizontal="center" vertical="center"/>
      <protection/>
    </xf>
    <xf numFmtId="38" fontId="8" fillId="0" borderId="72" xfId="60" applyNumberFormat="1" applyFont="1" applyBorder="1" applyAlignment="1" applyProtection="1">
      <alignment horizontal="center" vertical="center"/>
      <protection/>
    </xf>
    <xf numFmtId="0" fontId="8" fillId="0" borderId="73" xfId="60" applyFont="1" applyFill="1" applyBorder="1" applyAlignment="1" applyProtection="1">
      <alignment horizontal="centerContinuous" vertical="center"/>
      <protection/>
    </xf>
    <xf numFmtId="0" fontId="12" fillId="0" borderId="49" xfId="60" applyFont="1" applyFill="1" applyBorder="1" applyAlignment="1" applyProtection="1">
      <alignment horizontal="centerContinuous" vertical="center"/>
      <protection/>
    </xf>
    <xf numFmtId="0" fontId="8" fillId="0" borderId="74" xfId="60" applyFont="1" applyFill="1" applyBorder="1" applyAlignment="1" applyProtection="1">
      <alignment horizontal="centerContinuous" vertical="center"/>
      <protection/>
    </xf>
    <xf numFmtId="0" fontId="8" fillId="0" borderId="75" xfId="60" applyFont="1" applyFill="1" applyBorder="1" applyAlignment="1" applyProtection="1">
      <alignment horizontal="centerContinuous" vertical="center"/>
      <protection/>
    </xf>
    <xf numFmtId="0" fontId="8" fillId="0" borderId="76" xfId="60" applyFont="1" applyFill="1" applyBorder="1" applyAlignment="1" applyProtection="1">
      <alignment horizontal="centerContinuous" vertical="center"/>
      <protection/>
    </xf>
    <xf numFmtId="0" fontId="8" fillId="0" borderId="77" xfId="60" applyFont="1" applyFill="1" applyBorder="1" applyAlignment="1" applyProtection="1">
      <alignment horizontal="centerContinuous" vertical="center"/>
      <protection/>
    </xf>
    <xf numFmtId="0" fontId="8" fillId="0" borderId="45" xfId="60" applyFont="1" applyFill="1" applyBorder="1" applyAlignment="1" applyProtection="1">
      <alignment horizontal="centerContinuous" vertical="center"/>
      <protection/>
    </xf>
    <xf numFmtId="0" fontId="8" fillId="0" borderId="44" xfId="60" applyFont="1" applyBorder="1" applyAlignment="1" applyProtection="1">
      <alignment horizontal="center" vertical="center"/>
      <protection/>
    </xf>
    <xf numFmtId="0" fontId="8" fillId="0" borderId="44" xfId="60" applyFont="1" applyFill="1" applyBorder="1" applyAlignment="1" applyProtection="1">
      <alignment horizontal="center" vertical="center"/>
      <protection/>
    </xf>
    <xf numFmtId="0" fontId="8" fillId="0" borderId="38" xfId="60" applyFont="1" applyFill="1" applyBorder="1" applyAlignment="1" applyProtection="1">
      <alignment horizontal="center" vertical="center"/>
      <protection/>
    </xf>
    <xf numFmtId="0" fontId="8" fillId="0" borderId="45" xfId="60" applyFont="1" applyBorder="1" applyAlignment="1" applyProtection="1">
      <alignment horizontal="center" vertical="center"/>
      <protection/>
    </xf>
    <xf numFmtId="0" fontId="8" fillId="0" borderId="45" xfId="60" applyFont="1" applyFill="1" applyBorder="1" applyAlignment="1" applyProtection="1">
      <alignment horizontal="center" vertical="center"/>
      <protection/>
    </xf>
    <xf numFmtId="38" fontId="8" fillId="0" borderId="78" xfId="60" applyNumberFormat="1" applyFont="1" applyBorder="1" applyAlignment="1" applyProtection="1">
      <alignment horizontal="center" vertical="center"/>
      <protection/>
    </xf>
    <xf numFmtId="0" fontId="8" fillId="0" borderId="79" xfId="60" applyFont="1" applyFill="1" applyBorder="1" applyAlignment="1" applyProtection="1">
      <alignment horizontal="centerContinuous" vertical="center"/>
      <protection/>
    </xf>
    <xf numFmtId="38" fontId="8" fillId="0" borderId="80" xfId="60" applyNumberFormat="1" applyFont="1" applyBorder="1" applyAlignment="1" applyProtection="1">
      <alignment horizontal="center" vertical="center"/>
      <protection/>
    </xf>
    <xf numFmtId="0" fontId="8" fillId="0" borderId="69" xfId="60" applyFont="1" applyFill="1" applyBorder="1" applyAlignment="1" applyProtection="1">
      <alignment horizontal="center" vertical="center"/>
      <protection/>
    </xf>
    <xf numFmtId="38" fontId="8" fillId="0" borderId="66" xfId="60" applyNumberFormat="1" applyFont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Continuous" vertical="center"/>
      <protection/>
    </xf>
    <xf numFmtId="0" fontId="12" fillId="0" borderId="64" xfId="60" applyFont="1" applyFill="1" applyBorder="1" applyAlignment="1" applyProtection="1">
      <alignment horizontal="centerContinuous" vertical="center"/>
      <protection/>
    </xf>
    <xf numFmtId="38" fontId="37" fillId="0" borderId="33" xfId="60" applyNumberFormat="1" applyFont="1" applyFill="1" applyBorder="1" applyAlignment="1" applyProtection="1">
      <alignment horizontal="centerContinuous"/>
      <protection/>
    </xf>
    <xf numFmtId="0" fontId="60" fillId="0" borderId="0" xfId="62" applyFont="1" applyBorder="1" applyAlignment="1" quotePrefix="1">
      <alignment horizontal="center"/>
      <protection/>
    </xf>
    <xf numFmtId="0" fontId="8" fillId="4" borderId="81" xfId="0" applyFont="1" applyFill="1" applyBorder="1" applyAlignment="1">
      <alignment horizontal="centerContinuous" vertical="center"/>
    </xf>
    <xf numFmtId="0" fontId="10" fillId="0" borderId="32" xfId="60" applyFont="1" applyBorder="1" applyAlignment="1" applyProtection="1">
      <alignment horizontal="centerContinuous"/>
      <protection/>
    </xf>
    <xf numFmtId="38" fontId="11" fillId="22" borderId="36" xfId="42" applyNumberFormat="1" applyFont="1" applyFill="1" applyBorder="1" applyAlignment="1" applyProtection="1">
      <alignment/>
      <protection/>
    </xf>
    <xf numFmtId="38" fontId="21" fillId="0" borderId="0" xfId="60" applyNumberFormat="1" applyFont="1" applyFill="1" applyBorder="1" applyProtection="1">
      <alignment/>
      <protection/>
    </xf>
    <xf numFmtId="38" fontId="21" fillId="0" borderId="3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33" xfId="42" applyNumberFormat="1" applyFont="1" applyFill="1" applyBorder="1" applyAlignment="1" applyProtection="1">
      <alignment horizontal="right"/>
      <protection locked="0"/>
    </xf>
    <xf numFmtId="38" fontId="21" fillId="0" borderId="3" xfId="60" applyNumberFormat="1" applyFont="1" applyFill="1" applyBorder="1" applyProtection="1">
      <alignment/>
      <protection/>
    </xf>
    <xf numFmtId="38" fontId="21" fillId="0" borderId="35" xfId="60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11" fillId="0" borderId="0" xfId="60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82" xfId="0" applyBorder="1" applyAlignment="1">
      <alignment/>
    </xf>
    <xf numFmtId="0" fontId="0" fillId="0" borderId="47" xfId="0" applyBorder="1" applyAlignment="1">
      <alignment/>
    </xf>
    <xf numFmtId="0" fontId="8" fillId="0" borderId="76" xfId="60" applyFont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" vertical="center"/>
      <protection/>
    </xf>
    <xf numFmtId="0" fontId="8" fillId="0" borderId="65" xfId="60" applyFont="1" applyFill="1" applyBorder="1" applyAlignment="1" applyProtection="1">
      <alignment horizontal="center" vertical="center"/>
      <protection/>
    </xf>
    <xf numFmtId="0" fontId="60" fillId="0" borderId="83" xfId="62" applyFont="1" applyBorder="1" applyAlignment="1">
      <alignment horizontal="centerContinuous"/>
      <protection/>
    </xf>
    <xf numFmtId="0" fontId="60" fillId="0" borderId="84" xfId="0" applyFont="1" applyBorder="1" applyAlignment="1">
      <alignment horizontal="centerContinuous"/>
    </xf>
    <xf numFmtId="0" fontId="60" fillId="0" borderId="42" xfId="0" applyFont="1" applyBorder="1" applyAlignment="1">
      <alignment horizontal="centerContinuous"/>
    </xf>
    <xf numFmtId="0" fontId="60" fillId="0" borderId="43" xfId="0" applyFont="1" applyBorder="1" applyAlignment="1">
      <alignment horizontal="centerContinuous"/>
    </xf>
    <xf numFmtId="0" fontId="60" fillId="0" borderId="44" xfId="62" applyFont="1" applyBorder="1" applyAlignment="1">
      <alignment horizontal="center"/>
      <protection/>
    </xf>
    <xf numFmtId="0" fontId="60" fillId="0" borderId="45" xfId="62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10" fillId="0" borderId="0" xfId="60" applyFont="1" applyBorder="1" applyAlignment="1" applyProtection="1">
      <alignment/>
      <protection/>
    </xf>
    <xf numFmtId="0" fontId="10" fillId="0" borderId="33" xfId="6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4" fontId="0" fillId="0" borderId="0" xfId="45" applyBorder="1" applyAlignment="1">
      <alignment horizontal="right"/>
    </xf>
    <xf numFmtId="44" fontId="0" fillId="0" borderId="33" xfId="45" applyBorder="1" applyAlignment="1">
      <alignment horizontal="right"/>
    </xf>
    <xf numFmtId="169" fontId="11" fillId="0" borderId="0" xfId="65" applyNumberFormat="1" applyFont="1" applyBorder="1" applyAlignment="1" quotePrefix="1">
      <alignment horizontal="center"/>
    </xf>
    <xf numFmtId="0" fontId="64" fillId="0" borderId="8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60" applyFont="1" applyBorder="1" applyAlignment="1" applyProtection="1">
      <alignment/>
      <protection/>
    </xf>
    <xf numFmtId="0" fontId="65" fillId="0" borderId="32" xfId="60" applyFont="1" applyBorder="1" applyAlignment="1" applyProtection="1">
      <alignment horizontal="centerContinuous"/>
      <protection/>
    </xf>
    <xf numFmtId="0" fontId="63" fillId="0" borderId="32" xfId="60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Continuous"/>
    </xf>
    <xf numFmtId="0" fontId="66" fillId="0" borderId="0" xfId="60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8" fillId="24" borderId="0" xfId="0" applyFont="1" applyFill="1" applyBorder="1" applyAlignment="1" applyProtection="1">
      <alignment/>
      <protection hidden="1"/>
    </xf>
    <xf numFmtId="0" fontId="10" fillId="0" borderId="42" xfId="60" applyFont="1" applyBorder="1" applyAlignment="1" applyProtection="1">
      <alignment horizontal="center"/>
      <protection/>
    </xf>
    <xf numFmtId="0" fontId="8" fillId="0" borderId="32" xfId="60" applyFont="1" applyBorder="1" applyAlignment="1" applyProtection="1">
      <alignment horizontal="center"/>
      <protection/>
    </xf>
    <xf numFmtId="0" fontId="8" fillId="0" borderId="33" xfId="60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2" xfId="60" applyFont="1" applyFill="1" applyBorder="1" applyAlignment="1" applyProtection="1">
      <alignment horizontal="center"/>
      <protection/>
    </xf>
    <xf numFmtId="0" fontId="60" fillId="0" borderId="33" xfId="0" applyFont="1" applyFill="1" applyBorder="1" applyAlignment="1">
      <alignment/>
    </xf>
    <xf numFmtId="0" fontId="8" fillId="0" borderId="86" xfId="60" applyFont="1" applyFill="1" applyBorder="1" applyAlignment="1" applyProtection="1">
      <alignment horizontal="centerContinuous" vertical="center"/>
      <protection/>
    </xf>
    <xf numFmtId="0" fontId="8" fillId="0" borderId="87" xfId="60" applyFont="1" applyFill="1" applyBorder="1" applyAlignment="1" applyProtection="1">
      <alignment horizontal="centerContinuous" vertical="center"/>
      <protection/>
    </xf>
    <xf numFmtId="0" fontId="23" fillId="0" borderId="0" xfId="59" applyFont="1" applyBorder="1">
      <alignment/>
      <protection/>
    </xf>
    <xf numFmtId="0" fontId="32" fillId="0" borderId="32" xfId="60" applyFont="1" applyFill="1" applyBorder="1" applyProtection="1">
      <alignment/>
      <protection/>
    </xf>
    <xf numFmtId="0" fontId="8" fillId="0" borderId="32" xfId="61" applyFont="1" applyBorder="1">
      <alignment/>
      <protection/>
    </xf>
    <xf numFmtId="0" fontId="11" fillId="0" borderId="32" xfId="61" applyFont="1" applyBorder="1">
      <alignment/>
      <protection/>
    </xf>
    <xf numFmtId="0" fontId="6" fillId="0" borderId="34" xfId="0" applyFont="1" applyBorder="1" applyAlignment="1">
      <alignment/>
    </xf>
    <xf numFmtId="0" fontId="10" fillId="0" borderId="88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9" xfId="60" applyFont="1" applyBorder="1" applyAlignment="1" applyProtection="1">
      <alignment horizontal="center"/>
      <protection/>
    </xf>
    <xf numFmtId="38" fontId="11" fillId="0" borderId="0" xfId="60" applyNumberFormat="1" applyFont="1" applyFill="1" applyBorder="1" applyProtection="1">
      <alignment/>
      <protection/>
    </xf>
    <xf numFmtId="38" fontId="11" fillId="0" borderId="33" xfId="60" applyNumberFormat="1" applyFont="1" applyFill="1" applyBorder="1" applyProtection="1">
      <alignment/>
      <protection/>
    </xf>
    <xf numFmtId="38" fontId="11" fillId="0" borderId="0" xfId="60" applyNumberFormat="1" applyFont="1" applyFill="1" applyBorder="1" applyProtection="1">
      <alignment/>
      <protection locked="0"/>
    </xf>
    <xf numFmtId="38" fontId="11" fillId="0" borderId="33" xfId="60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33" xfId="42" applyNumberFormat="1" applyFont="1" applyFill="1" applyBorder="1" applyAlignment="1" applyProtection="1">
      <alignment/>
      <protection locked="0"/>
    </xf>
    <xf numFmtId="38" fontId="11" fillId="0" borderId="0" xfId="60" applyNumberFormat="1" applyFont="1" applyBorder="1" applyAlignment="1" applyProtection="1">
      <alignment horizontal="right"/>
      <protection/>
    </xf>
    <xf numFmtId="38" fontId="11" fillId="0" borderId="33" xfId="60" applyNumberFormat="1" applyFont="1" applyBorder="1" applyAlignment="1" applyProtection="1">
      <alignment horizontal="right"/>
      <protection/>
    </xf>
    <xf numFmtId="38" fontId="11" fillId="0" borderId="3" xfId="60" applyNumberFormat="1" applyFont="1" applyFill="1" applyBorder="1" applyAlignment="1" applyProtection="1">
      <alignment horizontal="right"/>
      <protection/>
    </xf>
    <xf numFmtId="38" fontId="11" fillId="0" borderId="35" xfId="60" applyNumberFormat="1" applyFont="1" applyFill="1" applyBorder="1" applyAlignment="1" applyProtection="1">
      <alignment horizontal="right"/>
      <protection/>
    </xf>
    <xf numFmtId="38" fontId="11" fillId="0" borderId="0" xfId="42" applyNumberFormat="1" applyFont="1" applyBorder="1" applyAlignment="1" applyProtection="1">
      <alignment/>
      <protection locked="0"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33" xfId="0" applyNumberFormat="1" applyFont="1" applyFill="1" applyBorder="1" applyAlignment="1" applyProtection="1">
      <alignment horizontal="right"/>
      <protection/>
    </xf>
    <xf numFmtId="38" fontId="11" fillId="0" borderId="0" xfId="60" applyNumberFormat="1" applyFont="1" applyBorder="1" applyProtection="1">
      <alignment/>
      <protection locked="0"/>
    </xf>
    <xf numFmtId="38" fontId="11" fillId="0" borderId="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33" xfId="42" applyNumberFormat="1" applyFont="1" applyFill="1" applyBorder="1" applyAlignment="1">
      <alignment/>
    </xf>
    <xf numFmtId="0" fontId="8" fillId="0" borderId="88" xfId="60" applyFont="1" applyBorder="1" applyAlignment="1" applyProtection="1">
      <alignment horizontal="center"/>
      <protection/>
    </xf>
    <xf numFmtId="0" fontId="8" fillId="0" borderId="89" xfId="60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35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33" xfId="0" applyNumberFormat="1" applyFont="1" applyBorder="1" applyAlignment="1" applyProtection="1">
      <alignment horizontal="right"/>
      <protection/>
    </xf>
    <xf numFmtId="166" fontId="11" fillId="22" borderId="90" xfId="42" applyNumberFormat="1" applyFont="1" applyFill="1" applyBorder="1" applyAlignment="1">
      <alignment/>
    </xf>
    <xf numFmtId="166" fontId="11" fillId="22" borderId="91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1" fillId="0" borderId="33" xfId="42" applyNumberFormat="1" applyFont="1" applyFill="1" applyBorder="1" applyAlignment="1">
      <alignment/>
    </xf>
    <xf numFmtId="0" fontId="11" fillId="0" borderId="0" xfId="60" applyFont="1" applyBorder="1" applyProtection="1">
      <alignment/>
      <protection/>
    </xf>
    <xf numFmtId="0" fontId="11" fillId="0" borderId="57" xfId="0" applyFont="1" applyBorder="1" applyAlignment="1">
      <alignment/>
    </xf>
    <xf numFmtId="176" fontId="11" fillId="22" borderId="36" xfId="45" applyNumberFormat="1" applyFont="1" applyFill="1" applyBorder="1" applyAlignment="1">
      <alignment horizontal="center"/>
    </xf>
    <xf numFmtId="167" fontId="11" fillId="22" borderId="92" xfId="65" applyNumberFormat="1" applyFont="1" applyFill="1" applyBorder="1" applyAlignment="1">
      <alignment horizontal="center"/>
    </xf>
    <xf numFmtId="10" fontId="11" fillId="22" borderId="92" xfId="65" applyNumberFormat="1" applyFont="1" applyFill="1" applyBorder="1" applyAlignment="1">
      <alignment horizontal="center"/>
    </xf>
    <xf numFmtId="169" fontId="11" fillId="22" borderId="93" xfId="65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53" xfId="0" applyFont="1" applyBorder="1" applyAlignment="1">
      <alignment/>
    </xf>
    <xf numFmtId="167" fontId="11" fillId="22" borderId="36" xfId="65" applyNumberFormat="1" applyFont="1" applyFill="1" applyBorder="1" applyAlignment="1">
      <alignment horizontal="center"/>
    </xf>
    <xf numFmtId="10" fontId="11" fillId="22" borderId="36" xfId="65" applyNumberFormat="1" applyFont="1" applyFill="1" applyBorder="1" applyAlignment="1">
      <alignment horizontal="center"/>
    </xf>
    <xf numFmtId="169" fontId="11" fillId="22" borderId="94" xfId="65" applyNumberFormat="1" applyFont="1" applyFill="1" applyBorder="1" applyAlignment="1">
      <alignment horizontal="center"/>
    </xf>
    <xf numFmtId="177" fontId="11" fillId="22" borderId="95" xfId="45" applyNumberFormat="1" applyFont="1" applyFill="1" applyBorder="1" applyAlignment="1">
      <alignment/>
    </xf>
    <xf numFmtId="177" fontId="11" fillId="22" borderId="96" xfId="45" applyNumberFormat="1" applyFont="1" applyFill="1" applyBorder="1" applyAlignment="1">
      <alignment/>
    </xf>
    <xf numFmtId="177" fontId="11" fillId="22" borderId="97" xfId="45" applyNumberFormat="1" applyFont="1" applyFill="1" applyBorder="1" applyAlignment="1">
      <alignment/>
    </xf>
    <xf numFmtId="169" fontId="11" fillId="22" borderId="98" xfId="0" applyNumberFormat="1" applyFont="1" applyFill="1" applyBorder="1" applyAlignment="1">
      <alignment/>
    </xf>
    <xf numFmtId="169" fontId="11" fillId="22" borderId="36" xfId="0" applyNumberFormat="1" applyFont="1" applyFill="1" applyBorder="1" applyAlignment="1">
      <alignment/>
    </xf>
    <xf numFmtId="169" fontId="11" fillId="22" borderId="37" xfId="0" applyNumberFormat="1" applyFont="1" applyFill="1" applyBorder="1" applyAlignment="1">
      <alignment/>
    </xf>
    <xf numFmtId="0" fontId="11" fillId="0" borderId="0" xfId="62" applyFont="1" applyFill="1" applyBorder="1">
      <alignment/>
      <protection/>
    </xf>
    <xf numFmtId="176" fontId="21" fillId="7" borderId="58" xfId="45" applyNumberFormat="1" applyFont="1" applyFill="1" applyBorder="1" applyAlignment="1">
      <alignment horizontal="center"/>
    </xf>
    <xf numFmtId="169" fontId="21" fillId="7" borderId="58" xfId="65" applyNumberFormat="1" applyFont="1" applyFill="1" applyBorder="1" applyAlignment="1">
      <alignment horizontal="center"/>
    </xf>
    <xf numFmtId="0" fontId="21" fillId="7" borderId="58" xfId="0" applyFont="1" applyFill="1" applyBorder="1" applyAlignment="1">
      <alignment horizontal="center"/>
    </xf>
    <xf numFmtId="169" fontId="21" fillId="7" borderId="60" xfId="65" applyNumberFormat="1" applyFont="1" applyFill="1" applyBorder="1" applyAlignment="1">
      <alignment horizontal="center"/>
    </xf>
    <xf numFmtId="169" fontId="62" fillId="7" borderId="99" xfId="65" applyNumberFormat="1" applyFont="1" applyFill="1" applyBorder="1" applyAlignment="1">
      <alignment horizontal="center"/>
    </xf>
    <xf numFmtId="189" fontId="21" fillId="7" borderId="100" xfId="0" applyNumberFormat="1" applyFont="1" applyFill="1" applyBorder="1" applyAlignment="1">
      <alignment/>
    </xf>
    <xf numFmtId="189" fontId="21" fillId="7" borderId="58" xfId="0" applyNumberFormat="1" applyFont="1" applyFill="1" applyBorder="1" applyAlignment="1">
      <alignment/>
    </xf>
    <xf numFmtId="189" fontId="21" fillId="7" borderId="101" xfId="0" applyNumberFormat="1" applyFont="1" applyFill="1" applyBorder="1" applyAlignment="1">
      <alignment/>
    </xf>
    <xf numFmtId="0" fontId="13" fillId="0" borderId="102" xfId="0" applyFont="1" applyBorder="1" applyAlignment="1">
      <alignment/>
    </xf>
    <xf numFmtId="0" fontId="13" fillId="0" borderId="103" xfId="0" applyFont="1" applyBorder="1" applyAlignment="1">
      <alignment/>
    </xf>
    <xf numFmtId="0" fontId="8" fillId="0" borderId="104" xfId="0" applyFont="1" applyFill="1" applyBorder="1" applyAlignment="1">
      <alignment horizontal="center"/>
    </xf>
    <xf numFmtId="167" fontId="11" fillId="22" borderId="50" xfId="65" applyNumberFormat="1" applyFont="1" applyFill="1" applyBorder="1" applyAlignment="1">
      <alignment horizontal="center"/>
    </xf>
    <xf numFmtId="10" fontId="11" fillId="22" borderId="50" xfId="65" applyNumberFormat="1" applyFont="1" applyFill="1" applyBorder="1" applyAlignment="1">
      <alignment horizontal="center"/>
    </xf>
    <xf numFmtId="169" fontId="11" fillId="22" borderId="105" xfId="65" applyNumberFormat="1" applyFont="1" applyFill="1" applyBorder="1" applyAlignment="1">
      <alignment horizontal="center"/>
    </xf>
    <xf numFmtId="169" fontId="13" fillId="0" borderId="33" xfId="65" applyNumberFormat="1" applyFont="1" applyFill="1" applyBorder="1" applyAlignment="1">
      <alignment horizontal="center"/>
    </xf>
    <xf numFmtId="10" fontId="13" fillId="0" borderId="33" xfId="65" applyNumberFormat="1" applyFont="1" applyFill="1" applyBorder="1" applyAlignment="1">
      <alignment horizontal="center"/>
    </xf>
    <xf numFmtId="0" fontId="13" fillId="0" borderId="106" xfId="0" applyFont="1" applyBorder="1" applyAlignment="1">
      <alignment/>
    </xf>
    <xf numFmtId="0" fontId="13" fillId="0" borderId="107" xfId="0" applyFont="1" applyBorder="1" applyAlignment="1">
      <alignment/>
    </xf>
    <xf numFmtId="0" fontId="13" fillId="0" borderId="108" xfId="0" applyFont="1" applyBorder="1" applyAlignment="1">
      <alignment/>
    </xf>
    <xf numFmtId="177" fontId="11" fillId="22" borderId="98" xfId="45" applyNumberFormat="1" applyFont="1" applyFill="1" applyBorder="1" applyAlignment="1">
      <alignment/>
    </xf>
    <xf numFmtId="6" fontId="21" fillId="7" borderId="58" xfId="0" applyNumberFormat="1" applyFont="1" applyFill="1" applyBorder="1" applyAlignment="1">
      <alignment/>
    </xf>
    <xf numFmtId="0" fontId="21" fillId="7" borderId="58" xfId="0" applyFont="1" applyFill="1" applyBorder="1" applyAlignment="1">
      <alignment/>
    </xf>
    <xf numFmtId="10" fontId="21" fillId="7" borderId="58" xfId="62" applyNumberFormat="1" applyFont="1" applyFill="1" applyBorder="1">
      <alignment/>
      <protection/>
    </xf>
    <xf numFmtId="6" fontId="21" fillId="7" borderId="60" xfId="62" applyNumberFormat="1" applyFont="1" applyFill="1" applyBorder="1" applyAlignment="1">
      <alignment horizontal="right"/>
      <protection/>
    </xf>
    <xf numFmtId="10" fontId="21" fillId="7" borderId="64" xfId="62" applyNumberFormat="1" applyFont="1" applyFill="1" applyBorder="1" applyAlignment="1" quotePrefix="1">
      <alignment horizontal="center"/>
      <protection/>
    </xf>
    <xf numFmtId="10" fontId="21" fillId="7" borderId="41" xfId="65" applyNumberFormat="1" applyFont="1" applyFill="1" applyBorder="1" applyAlignment="1">
      <alignment horizontal="center"/>
    </xf>
    <xf numFmtId="10" fontId="11" fillId="22" borderId="64" xfId="65" applyNumberFormat="1" applyFont="1" applyFill="1" applyBorder="1" applyAlignment="1">
      <alignment horizontal="center"/>
    </xf>
    <xf numFmtId="10" fontId="11" fillId="22" borderId="51" xfId="65" applyNumberFormat="1" applyFont="1" applyFill="1" applyBorder="1" applyAlignment="1">
      <alignment horizontal="center"/>
    </xf>
    <xf numFmtId="169" fontId="11" fillId="22" borderId="55" xfId="65" applyNumberFormat="1" applyFont="1" applyFill="1" applyBorder="1" applyAlignment="1">
      <alignment horizontal="center"/>
    </xf>
    <xf numFmtId="10" fontId="62" fillId="0" borderId="0" xfId="0" applyNumberFormat="1" applyFont="1" applyAlignment="1">
      <alignment/>
    </xf>
    <xf numFmtId="10" fontId="11" fillId="22" borderId="98" xfId="65" applyNumberFormat="1" applyFont="1" applyFill="1" applyBorder="1" applyAlignment="1">
      <alignment horizontal="center"/>
    </xf>
    <xf numFmtId="10" fontId="11" fillId="22" borderId="37" xfId="65" applyNumberFormat="1" applyFont="1" applyFill="1" applyBorder="1" applyAlignment="1">
      <alignment horizontal="center"/>
    </xf>
    <xf numFmtId="169" fontId="21" fillId="7" borderId="109" xfId="65" applyNumberFormat="1" applyFont="1" applyFill="1" applyBorder="1" applyAlignment="1">
      <alignment horizontal="center"/>
    </xf>
    <xf numFmtId="10" fontId="62" fillId="0" borderId="0" xfId="62" applyNumberFormat="1" applyFont="1" applyBorder="1" applyAlignment="1" quotePrefix="1">
      <alignment horizontal="center"/>
      <protection/>
    </xf>
    <xf numFmtId="10" fontId="11" fillId="7" borderId="100" xfId="65" applyNumberFormat="1" applyFont="1" applyFill="1" applyBorder="1" applyAlignment="1">
      <alignment horizontal="center"/>
    </xf>
    <xf numFmtId="10" fontId="11" fillId="7" borderId="101" xfId="65" applyNumberFormat="1" applyFont="1" applyFill="1" applyBorder="1" applyAlignment="1">
      <alignment horizontal="center"/>
    </xf>
    <xf numFmtId="6" fontId="11" fillId="22" borderId="92" xfId="0" applyNumberFormat="1" applyFont="1" applyFill="1" applyBorder="1" applyAlignment="1">
      <alignment/>
    </xf>
    <xf numFmtId="10" fontId="11" fillId="22" borderId="92" xfId="65" applyNumberFormat="1" applyFont="1" applyFill="1" applyBorder="1" applyAlignment="1">
      <alignment/>
    </xf>
    <xf numFmtId="6" fontId="11" fillId="22" borderId="93" xfId="62" applyNumberFormat="1" applyFont="1" applyFill="1" applyBorder="1" applyAlignment="1">
      <alignment horizontal="right"/>
      <protection/>
    </xf>
    <xf numFmtId="10" fontId="11" fillId="0" borderId="110" xfId="65" applyNumberFormat="1" applyFont="1" applyFill="1" applyBorder="1" applyAlignment="1">
      <alignment horizontal="center"/>
    </xf>
    <xf numFmtId="10" fontId="11" fillId="22" borderId="40" xfId="65" applyNumberFormat="1" applyFont="1" applyFill="1" applyBorder="1" applyAlignment="1">
      <alignment horizontal="center"/>
    </xf>
    <xf numFmtId="38" fontId="11" fillId="22" borderId="36" xfId="0" applyNumberFormat="1" applyFont="1" applyFill="1" applyBorder="1" applyAlignment="1">
      <alignment/>
    </xf>
    <xf numFmtId="38" fontId="11" fillId="22" borderId="94" xfId="62" applyNumberFormat="1" applyFont="1" applyFill="1" applyBorder="1" applyAlignment="1">
      <alignment horizontal="right"/>
      <protection/>
    </xf>
    <xf numFmtId="10" fontId="62" fillId="0" borderId="0" xfId="0" applyNumberFormat="1" applyFont="1" applyFill="1" applyAlignment="1">
      <alignment/>
    </xf>
    <xf numFmtId="10" fontId="11" fillId="22" borderId="39" xfId="65" applyNumberFormat="1" applyFont="1" applyFill="1" applyBorder="1" applyAlignment="1">
      <alignment horizontal="center"/>
    </xf>
    <xf numFmtId="10" fontId="29" fillId="22" borderId="92" xfId="65" applyNumberFormat="1" applyFont="1" applyFill="1" applyBorder="1" applyAlignment="1">
      <alignment horizontal="center"/>
    </xf>
    <xf numFmtId="169" fontId="29" fillId="22" borderId="93" xfId="65" applyNumberFormat="1" applyFont="1" applyFill="1" applyBorder="1" applyAlignment="1">
      <alignment horizontal="center"/>
    </xf>
    <xf numFmtId="10" fontId="29" fillId="22" borderId="64" xfId="65" applyNumberFormat="1" applyFont="1" applyFill="1" applyBorder="1" applyAlignment="1">
      <alignment horizontal="center"/>
    </xf>
    <xf numFmtId="10" fontId="29" fillId="22" borderId="51" xfId="65" applyNumberFormat="1" applyFont="1" applyFill="1" applyBorder="1" applyAlignment="1">
      <alignment horizontal="center"/>
    </xf>
    <xf numFmtId="169" fontId="29" fillId="22" borderId="55" xfId="65" applyNumberFormat="1" applyFont="1" applyFill="1" applyBorder="1" applyAlignment="1">
      <alignment horizontal="center"/>
    </xf>
    <xf numFmtId="10" fontId="29" fillId="22" borderId="36" xfId="65" applyNumberFormat="1" applyFont="1" applyFill="1" applyBorder="1" applyAlignment="1">
      <alignment horizontal="center"/>
    </xf>
    <xf numFmtId="169" fontId="29" fillId="22" borderId="94" xfId="65" applyNumberFormat="1" applyFont="1" applyFill="1" applyBorder="1" applyAlignment="1">
      <alignment horizontal="center"/>
    </xf>
    <xf numFmtId="10" fontId="69" fillId="0" borderId="0" xfId="0" applyNumberFormat="1" applyFont="1" applyAlignment="1">
      <alignment/>
    </xf>
    <xf numFmtId="10" fontId="29" fillId="22" borderId="98" xfId="65" applyNumberFormat="1" applyFont="1" applyFill="1" applyBorder="1" applyAlignment="1">
      <alignment horizontal="center"/>
    </xf>
    <xf numFmtId="169" fontId="29" fillId="22" borderId="37" xfId="65" applyNumberFormat="1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  <xf numFmtId="169" fontId="30" fillId="7" borderId="60" xfId="65" applyNumberFormat="1" applyFont="1" applyFill="1" applyBorder="1" applyAlignment="1">
      <alignment horizontal="center"/>
    </xf>
    <xf numFmtId="10" fontId="69" fillId="0" borderId="0" xfId="62" applyNumberFormat="1" applyFont="1" applyBorder="1" applyAlignment="1" quotePrefix="1">
      <alignment horizontal="center"/>
      <protection/>
    </xf>
    <xf numFmtId="10" fontId="29" fillId="7" borderId="100" xfId="65" applyNumberFormat="1" applyFont="1" applyFill="1" applyBorder="1" applyAlignment="1">
      <alignment horizontal="center"/>
    </xf>
    <xf numFmtId="10" fontId="29" fillId="7" borderId="101" xfId="6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center"/>
    </xf>
    <xf numFmtId="1" fontId="11" fillId="22" borderId="92" xfId="65" applyNumberFormat="1" applyFont="1" applyFill="1" applyBorder="1" applyAlignment="1">
      <alignment horizontal="center"/>
    </xf>
    <xf numFmtId="177" fontId="11" fillId="22" borderId="111" xfId="45" applyNumberFormat="1" applyFont="1" applyFill="1" applyBorder="1" applyAlignment="1">
      <alignment horizontal="center"/>
    </xf>
    <xf numFmtId="177" fontId="11" fillId="22" borderId="36" xfId="45" applyNumberFormat="1" applyFont="1" applyFill="1" applyBorder="1" applyAlignment="1">
      <alignment horizontal="center"/>
    </xf>
    <xf numFmtId="177" fontId="11" fillId="22" borderId="112" xfId="45" applyNumberFormat="1" applyFont="1" applyFill="1" applyBorder="1" applyAlignment="1">
      <alignment/>
    </xf>
    <xf numFmtId="177" fontId="11" fillId="22" borderId="113" xfId="45" applyNumberFormat="1" applyFont="1" applyFill="1" applyBorder="1" applyAlignment="1">
      <alignment/>
    </xf>
    <xf numFmtId="9" fontId="11" fillId="22" borderId="98" xfId="65" applyFont="1" applyFill="1" applyBorder="1" applyAlignment="1">
      <alignment/>
    </xf>
    <xf numFmtId="9" fontId="11" fillId="22" borderId="36" xfId="65" applyFont="1" applyFill="1" applyBorder="1" applyAlignment="1">
      <alignment/>
    </xf>
    <xf numFmtId="9" fontId="11" fillId="22" borderId="37" xfId="65" applyFont="1" applyFill="1" applyBorder="1" applyAlignment="1">
      <alignment/>
    </xf>
    <xf numFmtId="169" fontId="70" fillId="0" borderId="0" xfId="60" applyNumberFormat="1" applyFont="1" applyBorder="1" applyAlignment="1" applyProtection="1">
      <alignment/>
      <protection/>
    </xf>
    <xf numFmtId="9" fontId="70" fillId="0" borderId="0" xfId="65" applyFont="1" applyBorder="1" applyAlignment="1">
      <alignment/>
    </xf>
    <xf numFmtId="169" fontId="72" fillId="0" borderId="0" xfId="0" applyNumberFormat="1" applyFont="1" applyBorder="1" applyAlignment="1">
      <alignment horizontal="right"/>
    </xf>
    <xf numFmtId="169" fontId="62" fillId="7" borderId="99" xfId="65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34" fillId="0" borderId="32" xfId="0" applyFont="1" applyBorder="1" applyAlignment="1">
      <alignment/>
    </xf>
    <xf numFmtId="0" fontId="34" fillId="0" borderId="32" xfId="0" applyFont="1" applyBorder="1" applyAlignment="1">
      <alignment horizontal="left"/>
    </xf>
    <xf numFmtId="38" fontId="11" fillId="22" borderId="36" xfId="42" applyNumberFormat="1" applyFont="1" applyFill="1" applyBorder="1" applyAlignment="1">
      <alignment/>
    </xf>
    <xf numFmtId="38" fontId="11" fillId="0" borderId="3" xfId="60" applyNumberFormat="1" applyFont="1" applyBorder="1">
      <alignment/>
      <protection/>
    </xf>
    <xf numFmtId="38" fontId="11" fillId="0" borderId="35" xfId="60" applyNumberFormat="1" applyFont="1" applyBorder="1">
      <alignment/>
      <protection/>
    </xf>
    <xf numFmtId="0" fontId="30" fillId="7" borderId="36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>
      <alignment/>
    </xf>
    <xf numFmtId="177" fontId="21" fillId="7" borderId="37" xfId="45" applyNumberFormat="1" applyFont="1" applyFill="1" applyBorder="1" applyAlignment="1">
      <alignment/>
    </xf>
    <xf numFmtId="166" fontId="21" fillId="7" borderId="37" xfId="42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3" xfId="0" applyNumberFormat="1" applyFont="1" applyFill="1" applyBorder="1" applyAlignment="1" applyProtection="1">
      <alignment horizontal="right"/>
      <protection/>
    </xf>
    <xf numFmtId="3" fontId="11" fillId="0" borderId="3" xfId="60" applyNumberFormat="1" applyFont="1" applyFill="1" applyBorder="1" applyAlignment="1" applyProtection="1">
      <alignment horizontal="right"/>
      <protection/>
    </xf>
    <xf numFmtId="3" fontId="11" fillId="0" borderId="35" xfId="6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60" applyNumberFormat="1" applyFont="1" applyBorder="1">
      <alignment/>
      <protection/>
    </xf>
    <xf numFmtId="3" fontId="11" fillId="0" borderId="33" xfId="60" applyNumberFormat="1" applyFont="1" applyBorder="1">
      <alignment/>
      <protection/>
    </xf>
    <xf numFmtId="3" fontId="11" fillId="0" borderId="114" xfId="60" applyNumberFormat="1" applyFont="1" applyFill="1" applyBorder="1">
      <alignment/>
      <protection/>
    </xf>
    <xf numFmtId="44" fontId="21" fillId="7" borderId="36" xfId="45" applyFont="1" applyFill="1" applyBorder="1" applyAlignment="1">
      <alignment/>
    </xf>
    <xf numFmtId="0" fontId="30" fillId="7" borderId="92" xfId="60" applyFont="1" applyFill="1" applyBorder="1" applyAlignment="1" applyProtection="1">
      <alignment horizontal="center"/>
      <protection/>
    </xf>
    <xf numFmtId="0" fontId="30" fillId="7" borderId="115" xfId="60" applyFont="1" applyFill="1" applyBorder="1" applyAlignment="1" applyProtection="1">
      <alignment horizontal="center"/>
      <protection/>
    </xf>
    <xf numFmtId="0" fontId="30" fillId="7" borderId="107" xfId="60" applyFont="1" applyFill="1" applyBorder="1" applyAlignment="1" applyProtection="1">
      <alignment horizontal="center"/>
      <protection/>
    </xf>
    <xf numFmtId="0" fontId="30" fillId="7" borderId="116" xfId="60" applyFont="1" applyFill="1" applyBorder="1" applyAlignment="1" applyProtection="1">
      <alignment horizontal="center"/>
      <protection/>
    </xf>
    <xf numFmtId="44" fontId="21" fillId="7" borderId="37" xfId="45" applyFont="1" applyFill="1" applyBorder="1" applyAlignment="1">
      <alignment/>
    </xf>
    <xf numFmtId="177" fontId="21" fillId="7" borderId="92" xfId="45" applyNumberFormat="1" applyFont="1" applyFill="1" applyBorder="1" applyAlignment="1">
      <alignment/>
    </xf>
    <xf numFmtId="177" fontId="21" fillId="7" borderId="117" xfId="45" applyNumberFormat="1" applyFont="1" applyFill="1" applyBorder="1" applyAlignment="1">
      <alignment/>
    </xf>
    <xf numFmtId="177" fontId="30" fillId="7" borderId="36" xfId="45" applyNumberFormat="1" applyFont="1" applyFill="1" applyBorder="1" applyAlignment="1" applyProtection="1">
      <alignment horizontal="center"/>
      <protection/>
    </xf>
    <xf numFmtId="0" fontId="11" fillId="0" borderId="50" xfId="61" applyFont="1" applyBorder="1">
      <alignment/>
      <protection/>
    </xf>
    <xf numFmtId="166" fontId="11" fillId="0" borderId="50" xfId="44" applyNumberFormat="1" applyFont="1" applyFill="1" applyBorder="1" applyAlignment="1">
      <alignment/>
    </xf>
    <xf numFmtId="0" fontId="11" fillId="0" borderId="36" xfId="61" applyFont="1" applyBorder="1">
      <alignment/>
      <protection/>
    </xf>
    <xf numFmtId="166" fontId="11" fillId="0" borderId="36" xfId="44" applyNumberFormat="1" applyFont="1" applyFill="1" applyBorder="1" applyAlignment="1">
      <alignment/>
    </xf>
    <xf numFmtId="177" fontId="11" fillId="22" borderId="50" xfId="45" applyNumberFormat="1" applyFont="1" applyFill="1" applyBorder="1" applyAlignment="1">
      <alignment/>
    </xf>
    <xf numFmtId="166" fontId="11" fillId="22" borderId="55" xfId="42" applyNumberFormat="1" applyFont="1" applyFill="1" applyBorder="1" applyAlignment="1">
      <alignment/>
    </xf>
    <xf numFmtId="177" fontId="21" fillId="7" borderId="36" xfId="45" applyNumberFormat="1" applyFont="1" applyFill="1" applyBorder="1" applyAlignment="1" applyProtection="1">
      <alignment horizontal="right"/>
      <protection/>
    </xf>
    <xf numFmtId="177" fontId="21" fillId="7" borderId="118" xfId="45" applyNumberFormat="1" applyFont="1" applyFill="1" applyBorder="1" applyAlignment="1" applyProtection="1">
      <alignment horizontal="right"/>
      <protection/>
    </xf>
    <xf numFmtId="166" fontId="21" fillId="7" borderId="119" xfId="42" applyNumberFormat="1" applyFont="1" applyFill="1" applyBorder="1" applyAlignment="1">
      <alignment/>
    </xf>
    <xf numFmtId="0" fontId="30" fillId="7" borderId="120" xfId="60" applyFont="1" applyFill="1" applyBorder="1" applyAlignment="1" applyProtection="1">
      <alignment horizontal="center"/>
      <protection/>
    </xf>
    <xf numFmtId="0" fontId="30" fillId="7" borderId="121" xfId="60" applyFont="1" applyFill="1" applyBorder="1" applyAlignment="1" applyProtection="1">
      <alignment horizontal="center"/>
      <protection/>
    </xf>
    <xf numFmtId="0" fontId="30" fillId="7" borderId="122" xfId="60" applyFont="1" applyFill="1" applyBorder="1" applyAlignment="1" applyProtection="1">
      <alignment horizontal="center"/>
      <protection/>
    </xf>
    <xf numFmtId="177" fontId="21" fillId="7" borderId="123" xfId="45" applyNumberFormat="1" applyFont="1" applyFill="1" applyBorder="1" applyAlignment="1">
      <alignment/>
    </xf>
    <xf numFmtId="177" fontId="21" fillId="7" borderId="124" xfId="45" applyNumberFormat="1" applyFont="1" applyFill="1" applyBorder="1" applyAlignment="1">
      <alignment/>
    </xf>
    <xf numFmtId="0" fontId="30" fillId="7" borderId="125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 applyProtection="1">
      <alignment/>
      <protection/>
    </xf>
    <xf numFmtId="177" fontId="21" fillId="7" borderId="37" xfId="45" applyNumberFormat="1" applyFont="1" applyFill="1" applyBorder="1" applyAlignment="1" applyProtection="1">
      <alignment/>
      <protection/>
    </xf>
    <xf numFmtId="0" fontId="30" fillId="7" borderId="126" xfId="60" applyFont="1" applyFill="1" applyBorder="1" applyAlignment="1" applyProtection="1">
      <alignment horizontal="center"/>
      <protection/>
    </xf>
    <xf numFmtId="0" fontId="30" fillId="7" borderId="127" xfId="60" applyFont="1" applyFill="1" applyBorder="1" applyAlignment="1" applyProtection="1">
      <alignment horizontal="center"/>
      <protection/>
    </xf>
    <xf numFmtId="0" fontId="30" fillId="7" borderId="128" xfId="60" applyFont="1" applyFill="1" applyBorder="1" applyAlignment="1" applyProtection="1">
      <alignment horizontal="center"/>
      <protection/>
    </xf>
    <xf numFmtId="177" fontId="21" fillId="7" borderId="129" xfId="60" applyNumberFormat="1" applyFont="1" applyFill="1" applyBorder="1" applyProtection="1">
      <alignment/>
      <protection/>
    </xf>
    <xf numFmtId="177" fontId="21" fillId="7" borderId="91" xfId="60" applyNumberFormat="1" applyFont="1" applyFill="1" applyBorder="1" applyProtection="1">
      <alignment/>
      <protection/>
    </xf>
    <xf numFmtId="166" fontId="11" fillId="22" borderId="125" xfId="42" applyNumberFormat="1" applyFont="1" applyFill="1" applyBorder="1" applyAlignment="1">
      <alignment/>
    </xf>
    <xf numFmtId="166" fontId="11" fillId="22" borderId="10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right"/>
    </xf>
    <xf numFmtId="177" fontId="11" fillId="22" borderId="50" xfId="4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right"/>
    </xf>
    <xf numFmtId="177" fontId="11" fillId="22" borderId="36" xfId="45" applyNumberFormat="1" applyFont="1" applyFill="1" applyBorder="1" applyAlignment="1">
      <alignment horizontal="right"/>
    </xf>
    <xf numFmtId="10" fontId="21" fillId="7" borderId="58" xfId="0" applyNumberFormat="1" applyFont="1" applyFill="1" applyBorder="1" applyAlignment="1">
      <alignment horizontal="center"/>
    </xf>
    <xf numFmtId="0" fontId="73" fillId="0" borderId="0" xfId="60" applyFont="1" applyBorder="1" applyAlignment="1" applyProtection="1">
      <alignment horizontal="right"/>
      <protection/>
    </xf>
    <xf numFmtId="0" fontId="8" fillId="0" borderId="88" xfId="60" applyFont="1" applyBorder="1" applyAlignment="1" applyProtection="1">
      <alignment horizontal="centerContinuous"/>
      <protection/>
    </xf>
    <xf numFmtId="38" fontId="8" fillId="0" borderId="89" xfId="60" applyNumberFormat="1" applyFont="1" applyFill="1" applyBorder="1" applyAlignment="1" applyProtection="1">
      <alignment horizontal="centerContinuous"/>
      <protection/>
    </xf>
    <xf numFmtId="38" fontId="16" fillId="0" borderId="130" xfId="60" applyNumberFormat="1" applyFont="1" applyBorder="1" applyAlignment="1" applyProtection="1">
      <alignment horizontal="center" vertical="center"/>
      <protection/>
    </xf>
    <xf numFmtId="38" fontId="8" fillId="0" borderId="131" xfId="60" applyNumberFormat="1" applyFont="1" applyBorder="1" applyAlignment="1" applyProtection="1">
      <alignment horizontal="center" vertical="center"/>
      <protection/>
    </xf>
    <xf numFmtId="38" fontId="8" fillId="0" borderId="132" xfId="60" applyNumberFormat="1" applyFont="1" applyBorder="1" applyAlignment="1" applyProtection="1">
      <alignment horizontal="center" vertical="center"/>
      <protection/>
    </xf>
    <xf numFmtId="0" fontId="20" fillId="0" borderId="0" xfId="60" applyFont="1" applyFill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horizontal="left"/>
      <protection/>
    </xf>
    <xf numFmtId="0" fontId="10" fillId="0" borderId="32" xfId="60" applyFont="1" applyFill="1" applyBorder="1" applyAlignment="1" applyProtection="1">
      <alignment horizontal="centerContinuous"/>
      <protection/>
    </xf>
    <xf numFmtId="0" fontId="73" fillId="0" borderId="0" xfId="6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62" applyFont="1" applyFill="1" applyBorder="1">
      <alignment/>
      <protection/>
    </xf>
    <xf numFmtId="0" fontId="13" fillId="0" borderId="30" xfId="62" applyFont="1" applyBorder="1" applyAlignment="1">
      <alignment horizontal="center"/>
      <protection/>
    </xf>
    <xf numFmtId="0" fontId="11" fillId="0" borderId="30" xfId="62" applyFont="1" applyBorder="1" applyAlignment="1" quotePrefix="1">
      <alignment horizontal="center"/>
      <protection/>
    </xf>
    <xf numFmtId="189" fontId="13" fillId="0" borderId="30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34" fillId="0" borderId="34" xfId="0" applyFont="1" applyFill="1" applyBorder="1" applyAlignment="1">
      <alignment horizontal="left"/>
    </xf>
    <xf numFmtId="3" fontId="11" fillId="0" borderId="0" xfId="60" applyNumberFormat="1" applyFont="1" applyFill="1" applyBorder="1" applyAlignment="1">
      <alignment horizontal="left"/>
      <protection/>
    </xf>
    <xf numFmtId="3" fontId="11" fillId="0" borderId="33" xfId="60" applyNumberFormat="1" applyFont="1" applyFill="1" applyBorder="1" applyAlignment="1">
      <alignment horizontal="left"/>
      <protection/>
    </xf>
    <xf numFmtId="0" fontId="8" fillId="0" borderId="32" xfId="60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>
      <alignment horizontal="centerContinuous"/>
      <protection/>
    </xf>
    <xf numFmtId="0" fontId="10" fillId="0" borderId="32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33" xfId="60" applyFont="1" applyFill="1" applyBorder="1" applyAlignment="1" applyProtection="1">
      <alignment horizontal="center"/>
      <protection/>
    </xf>
    <xf numFmtId="38" fontId="12" fillId="0" borderId="66" xfId="60" applyNumberFormat="1" applyFont="1" applyBorder="1" applyAlignment="1" applyProtection="1">
      <alignment horizontal="center" vertical="center"/>
      <protection/>
    </xf>
    <xf numFmtId="0" fontId="11" fillId="0" borderId="36" xfId="62" applyFont="1" applyFill="1" applyBorder="1" applyAlignment="1">
      <alignment horizontal="center"/>
      <protection/>
    </xf>
    <xf numFmtId="0" fontId="11" fillId="0" borderId="36" xfId="62" applyFont="1" applyFill="1" applyBorder="1" applyAlignment="1" quotePrefix="1">
      <alignment horizontal="center"/>
      <protection/>
    </xf>
    <xf numFmtId="0" fontId="11" fillId="0" borderId="36" xfId="62" applyFont="1" applyBorder="1" applyAlignment="1">
      <alignment horizontal="center"/>
      <protection/>
    </xf>
    <xf numFmtId="0" fontId="11" fillId="0" borderId="36" xfId="62" applyFont="1" applyBorder="1" applyAlignment="1" quotePrefix="1">
      <alignment horizontal="center"/>
      <protection/>
    </xf>
    <xf numFmtId="38" fontId="11" fillId="0" borderId="0" xfId="62" applyNumberFormat="1" applyFont="1" applyFill="1" applyBorder="1">
      <alignment/>
      <protection/>
    </xf>
    <xf numFmtId="38" fontId="11" fillId="0" borderId="33" xfId="62" applyNumberFormat="1" applyFont="1" applyFill="1" applyBorder="1">
      <alignment/>
      <protection/>
    </xf>
    <xf numFmtId="38" fontId="11" fillId="0" borderId="0" xfId="62" applyNumberFormat="1" applyFont="1" applyBorder="1">
      <alignment/>
      <protection/>
    </xf>
    <xf numFmtId="38" fontId="11" fillId="0" borderId="33" xfId="62" applyNumberFormat="1" applyFont="1" applyBorder="1">
      <alignment/>
      <protection/>
    </xf>
    <xf numFmtId="6" fontId="11" fillId="0" borderId="0" xfId="62" applyNumberFormat="1" applyFont="1" applyFill="1" applyBorder="1">
      <alignment/>
      <protection/>
    </xf>
    <xf numFmtId="6" fontId="11" fillId="0" borderId="33" xfId="62" applyNumberFormat="1" applyFont="1" applyFill="1" applyBorder="1">
      <alignment/>
      <protection/>
    </xf>
    <xf numFmtId="177" fontId="0" fillId="0" borderId="0" xfId="45" applyNumberFormat="1" applyAlignment="1">
      <alignment/>
    </xf>
    <xf numFmtId="0" fontId="21" fillId="0" borderId="32" xfId="60" applyFont="1" applyBorder="1" applyAlignment="1" applyProtection="1">
      <alignment horizontal="left"/>
      <protection/>
    </xf>
    <xf numFmtId="0" fontId="11" fillId="0" borderId="36" xfId="60" applyFont="1" applyBorder="1" applyAlignment="1">
      <alignment horizontal="center"/>
      <protection/>
    </xf>
    <xf numFmtId="166" fontId="11" fillId="22" borderId="20" xfId="42" applyNumberFormat="1" applyFont="1" applyFill="1" applyBorder="1" applyAlignment="1">
      <alignment/>
    </xf>
    <xf numFmtId="166" fontId="11" fillId="22" borderId="21" xfId="42" applyNumberFormat="1" applyFont="1" applyFill="1" applyBorder="1" applyAlignment="1">
      <alignment/>
    </xf>
    <xf numFmtId="0" fontId="11" fillId="0" borderId="36" xfId="60" applyFont="1" applyFill="1" applyBorder="1" applyAlignment="1">
      <alignment horizontal="center"/>
      <protection/>
    </xf>
    <xf numFmtId="0" fontId="11" fillId="0" borderId="32" xfId="60" applyFont="1" applyFill="1" applyBorder="1" applyAlignment="1" applyProtection="1">
      <alignment horizontal="center"/>
      <protection/>
    </xf>
    <xf numFmtId="0" fontId="13" fillId="7" borderId="133" xfId="60" applyFont="1" applyFill="1" applyBorder="1" applyAlignment="1" applyProtection="1">
      <alignment horizontal="center"/>
      <protection/>
    </xf>
    <xf numFmtId="0" fontId="13" fillId="7" borderId="134" xfId="60" applyFont="1" applyFill="1" applyBorder="1" applyAlignment="1" applyProtection="1">
      <alignment horizontal="center"/>
      <protection/>
    </xf>
    <xf numFmtId="0" fontId="13" fillId="7" borderId="116" xfId="60" applyFont="1" applyFill="1" applyBorder="1" applyAlignment="1" applyProtection="1">
      <alignment horizontal="center"/>
      <protection/>
    </xf>
    <xf numFmtId="177" fontId="21" fillId="7" borderId="20" xfId="45" applyNumberFormat="1" applyFont="1" applyFill="1" applyBorder="1" applyAlignment="1">
      <alignment/>
    </xf>
    <xf numFmtId="177" fontId="21" fillId="7" borderId="21" xfId="45" applyNumberFormat="1" applyFont="1" applyFill="1" applyBorder="1" applyAlignment="1">
      <alignment/>
    </xf>
    <xf numFmtId="0" fontId="13" fillId="7" borderId="125" xfId="60" applyFont="1" applyFill="1" applyBorder="1" applyAlignment="1" applyProtection="1">
      <alignment horizontal="center"/>
      <protection/>
    </xf>
    <xf numFmtId="0" fontId="13" fillId="7" borderId="107" xfId="60" applyFont="1" applyFill="1" applyBorder="1" applyAlignment="1" applyProtection="1">
      <alignment horizontal="center"/>
      <protection/>
    </xf>
    <xf numFmtId="0" fontId="13" fillId="7" borderId="135" xfId="60" applyFont="1" applyFill="1" applyBorder="1" applyAlignment="1" applyProtection="1">
      <alignment horizontal="center"/>
      <protection/>
    </xf>
    <xf numFmtId="177" fontId="21" fillId="7" borderId="136" xfId="45" applyNumberFormat="1" applyFont="1" applyFill="1" applyBorder="1" applyAlignment="1">
      <alignment/>
    </xf>
    <xf numFmtId="0" fontId="40" fillId="0" borderId="0" xfId="60" applyFont="1" applyBorder="1" applyProtection="1">
      <alignment/>
      <protection locked="0"/>
    </xf>
    <xf numFmtId="0" fontId="40" fillId="0" borderId="0" xfId="60" applyFont="1" applyBorder="1" applyAlignment="1" applyProtection="1">
      <alignment horizontal="left"/>
      <protection locked="0"/>
    </xf>
    <xf numFmtId="177" fontId="13" fillId="22" borderId="40" xfId="45" applyNumberFormat="1" applyFont="1" applyFill="1" applyBorder="1" applyAlignment="1" applyProtection="1">
      <alignment horizontal="right"/>
      <protection/>
    </xf>
    <xf numFmtId="177" fontId="13" fillId="22" borderId="39" xfId="45" applyNumberFormat="1" applyFont="1" applyFill="1" applyBorder="1" applyAlignment="1" applyProtection="1">
      <alignment horizontal="right"/>
      <protection/>
    </xf>
    <xf numFmtId="177" fontId="13" fillId="22" borderId="41" xfId="45" applyNumberFormat="1" applyFont="1" applyFill="1" applyBorder="1" applyAlignment="1" applyProtection="1">
      <alignment horizontal="center"/>
      <protection/>
    </xf>
    <xf numFmtId="0" fontId="11" fillId="0" borderId="0" xfId="61" applyFont="1" applyBorder="1">
      <alignment/>
      <protection/>
    </xf>
    <xf numFmtId="38" fontId="11" fillId="7" borderId="125" xfId="60" applyNumberFormat="1" applyFont="1" applyFill="1" applyBorder="1" applyAlignment="1" applyProtection="1">
      <alignment horizontal="right"/>
      <protection/>
    </xf>
    <xf numFmtId="189" fontId="21" fillId="7" borderId="108" xfId="0" applyNumberFormat="1" applyFont="1" applyFill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6" fillId="0" borderId="0" xfId="60" applyNumberFormat="1" applyFont="1" applyBorder="1" applyAlignment="1" applyProtection="1">
      <alignment horizontal="center"/>
      <protection/>
    </xf>
    <xf numFmtId="0" fontId="8" fillId="0" borderId="32" xfId="60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166" fontId="11" fillId="0" borderId="36" xfId="42" applyNumberFormat="1" applyFont="1" applyFill="1" applyBorder="1" applyAlignment="1">
      <alignment/>
    </xf>
    <xf numFmtId="166" fontId="11" fillId="0" borderId="3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center"/>
    </xf>
    <xf numFmtId="1" fontId="21" fillId="7" borderId="58" xfId="65" applyNumberFormat="1" applyFont="1" applyFill="1" applyBorder="1" applyAlignment="1">
      <alignment horizontal="center"/>
    </xf>
    <xf numFmtId="10" fontId="21" fillId="7" borderId="58" xfId="65" applyNumberFormat="1" applyFont="1" applyFill="1" applyBorder="1" applyAlignment="1">
      <alignment horizontal="center"/>
    </xf>
    <xf numFmtId="177" fontId="21" fillId="7" borderId="59" xfId="45" applyNumberFormat="1" applyFont="1" applyFill="1" applyBorder="1" applyAlignment="1">
      <alignment horizontal="center"/>
    </xf>
    <xf numFmtId="169" fontId="21" fillId="7" borderId="64" xfId="65" applyNumberFormat="1" applyFont="1" applyFill="1" applyBorder="1" applyAlignment="1">
      <alignment horizontal="center"/>
    </xf>
    <xf numFmtId="169" fontId="71" fillId="25" borderId="99" xfId="45" applyNumberFormat="1" applyFont="1" applyFill="1" applyBorder="1" applyAlignment="1">
      <alignment horizontal="right"/>
    </xf>
    <xf numFmtId="38" fontId="11" fillId="26" borderId="36" xfId="42" applyNumberFormat="1" applyFont="1" applyFill="1" applyBorder="1" applyAlignment="1">
      <alignment/>
    </xf>
    <xf numFmtId="0" fontId="13" fillId="7" borderId="125" xfId="62" applyFont="1" applyFill="1" applyBorder="1" applyAlignment="1">
      <alignment horizontal="center"/>
      <protection/>
    </xf>
    <xf numFmtId="0" fontId="13" fillId="7" borderId="107" xfId="62" applyFont="1" applyFill="1" applyBorder="1" applyAlignment="1" quotePrefix="1">
      <alignment horizontal="center"/>
      <protection/>
    </xf>
    <xf numFmtId="0" fontId="13" fillId="7" borderId="116" xfId="60" applyFont="1" applyFill="1" applyBorder="1" applyAlignment="1" applyProtection="1">
      <alignment horizontal="center"/>
      <protection locked="0"/>
    </xf>
    <xf numFmtId="177" fontId="13" fillId="8" borderId="64" xfId="45" applyNumberFormat="1" applyFont="1" applyFill="1" applyBorder="1" applyAlignment="1" applyProtection="1">
      <alignment horizontal="right"/>
      <protection/>
    </xf>
    <xf numFmtId="177" fontId="13" fillId="8" borderId="65" xfId="45" applyNumberFormat="1" applyFont="1" applyFill="1" applyBorder="1" applyAlignment="1" applyProtection="1">
      <alignment horizontal="right"/>
      <protection/>
    </xf>
    <xf numFmtId="177" fontId="8" fillId="8" borderId="64" xfId="45" applyNumberFormat="1" applyFont="1" applyFill="1" applyBorder="1" applyAlignment="1" applyProtection="1">
      <alignment horizontal="right"/>
      <protection/>
    </xf>
    <xf numFmtId="177" fontId="8" fillId="8" borderId="65" xfId="45" applyNumberFormat="1" applyFont="1" applyFill="1" applyBorder="1" applyAlignment="1" applyProtection="1">
      <alignment horizontal="right"/>
      <protection/>
    </xf>
    <xf numFmtId="0" fontId="8" fillId="8" borderId="137" xfId="60" applyFont="1" applyFill="1" applyBorder="1" applyProtection="1">
      <alignment/>
      <protection/>
    </xf>
    <xf numFmtId="0" fontId="35" fillId="8" borderId="137" xfId="60" applyFont="1" applyFill="1" applyBorder="1" applyProtection="1">
      <alignment/>
      <protection/>
    </xf>
    <xf numFmtId="38" fontId="8" fillId="8" borderId="64" xfId="60" applyNumberFormat="1" applyFont="1" applyFill="1" applyBorder="1" applyAlignment="1" applyProtection="1">
      <alignment horizontal="right"/>
      <protection/>
    </xf>
    <xf numFmtId="2" fontId="35" fillId="8" borderId="64" xfId="45" applyNumberFormat="1" applyFont="1" applyFill="1" applyBorder="1" applyAlignment="1" applyProtection="1">
      <alignment horizontal="right"/>
      <protection/>
    </xf>
    <xf numFmtId="0" fontId="13" fillId="7" borderId="138" xfId="59" applyFont="1" applyFill="1" applyBorder="1">
      <alignment/>
      <protection/>
    </xf>
    <xf numFmtId="177" fontId="13" fillId="7" borderId="129" xfId="45" applyNumberFormat="1" applyFont="1" applyFill="1" applyBorder="1" applyAlignment="1">
      <alignment/>
    </xf>
    <xf numFmtId="177" fontId="13" fillId="7" borderId="139" xfId="45" applyNumberFormat="1" applyFont="1" applyFill="1" applyBorder="1" applyAlignment="1">
      <alignment/>
    </xf>
    <xf numFmtId="9" fontId="8" fillId="7" borderId="129" xfId="65" applyFont="1" applyFill="1" applyBorder="1" applyAlignment="1">
      <alignment/>
    </xf>
    <xf numFmtId="9" fontId="8" fillId="7" borderId="139" xfId="65" applyFont="1" applyFill="1" applyBorder="1" applyAlignment="1">
      <alignment/>
    </xf>
    <xf numFmtId="0" fontId="13" fillId="7" borderId="20" xfId="59" applyFont="1" applyFill="1" applyBorder="1">
      <alignment/>
      <protection/>
    </xf>
    <xf numFmtId="177" fontId="13" fillId="7" borderId="20" xfId="45" applyNumberFormat="1" applyFont="1" applyFill="1" applyBorder="1" applyAlignment="1">
      <alignment/>
    </xf>
    <xf numFmtId="177" fontId="13" fillId="7" borderId="21" xfId="45" applyNumberFormat="1" applyFont="1" applyFill="1" applyBorder="1" applyAlignment="1">
      <alignment/>
    </xf>
    <xf numFmtId="9" fontId="8" fillId="7" borderId="20" xfId="65" applyFont="1" applyFill="1" applyBorder="1" applyAlignment="1">
      <alignment/>
    </xf>
    <xf numFmtId="9" fontId="8" fillId="7" borderId="21" xfId="65" applyFont="1" applyFill="1" applyBorder="1" applyAlignment="1">
      <alignment/>
    </xf>
    <xf numFmtId="0" fontId="13" fillId="7" borderId="140" xfId="59" applyFont="1" applyFill="1" applyBorder="1">
      <alignment/>
      <protection/>
    </xf>
    <xf numFmtId="9" fontId="8" fillId="7" borderId="140" xfId="65" applyFont="1" applyFill="1" applyBorder="1" applyAlignment="1">
      <alignment/>
    </xf>
    <xf numFmtId="9" fontId="8" fillId="7" borderId="141" xfId="65" applyFont="1" applyFill="1" applyBorder="1" applyAlignment="1">
      <alignment/>
    </xf>
    <xf numFmtId="10" fontId="8" fillId="7" borderId="142" xfId="65" applyNumberFormat="1" applyFont="1" applyFill="1" applyBorder="1" applyAlignment="1">
      <alignment/>
    </xf>
    <xf numFmtId="10" fontId="8" fillId="7" borderId="143" xfId="65" applyNumberFormat="1" applyFont="1" applyFill="1" applyBorder="1" applyAlignment="1">
      <alignment/>
    </xf>
    <xf numFmtId="10" fontId="8" fillId="7" borderId="144" xfId="65" applyNumberFormat="1" applyFont="1" applyFill="1" applyBorder="1" applyAlignment="1">
      <alignment/>
    </xf>
    <xf numFmtId="10" fontId="8" fillId="7" borderId="145" xfId="65" applyNumberFormat="1" applyFont="1" applyFill="1" applyBorder="1" applyAlignment="1">
      <alignment/>
    </xf>
    <xf numFmtId="10" fontId="8" fillId="7" borderId="20" xfId="65" applyNumberFormat="1" applyFont="1" applyFill="1" applyBorder="1" applyAlignment="1">
      <alignment/>
    </xf>
    <xf numFmtId="10" fontId="8" fillId="7" borderId="21" xfId="65" applyNumberFormat="1" applyFont="1" applyFill="1" applyBorder="1" applyAlignment="1">
      <alignment/>
    </xf>
    <xf numFmtId="10" fontId="8" fillId="7" borderId="146" xfId="65" applyNumberFormat="1" applyFont="1" applyFill="1" applyBorder="1" applyAlignment="1">
      <alignment/>
    </xf>
    <xf numFmtId="10" fontId="8" fillId="7" borderId="147" xfId="65" applyNumberFormat="1" applyFont="1" applyFill="1" applyBorder="1" applyAlignment="1">
      <alignment/>
    </xf>
    <xf numFmtId="10" fontId="8" fillId="7" borderId="148" xfId="65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5" xfId="45" applyNumberFormat="1" applyFont="1" applyFill="1" applyBorder="1" applyAlignment="1">
      <alignment/>
    </xf>
    <xf numFmtId="166" fontId="11" fillId="27" borderId="20" xfId="42" applyNumberFormat="1" applyFont="1" applyFill="1" applyBorder="1" applyAlignment="1">
      <alignment/>
    </xf>
    <xf numFmtId="38" fontId="12" fillId="22" borderId="0" xfId="42" applyNumberFormat="1" applyFont="1" applyFill="1" applyAlignment="1" applyProtection="1">
      <alignment/>
      <protection/>
    </xf>
    <xf numFmtId="38" fontId="12" fillId="22" borderId="0" xfId="42" applyNumberFormat="1" applyFont="1" applyFill="1" applyAlignment="1" applyProtection="1">
      <alignment horizontal="right"/>
      <protection locked="0"/>
    </xf>
    <xf numFmtId="38" fontId="11" fillId="22" borderId="0" xfId="62" applyNumberFormat="1" applyFont="1" applyFill="1">
      <alignment/>
      <protection/>
    </xf>
    <xf numFmtId="38" fontId="12" fillId="22" borderId="0" xfId="60" applyNumberFormat="1" applyFont="1" applyFill="1" applyBorder="1" applyAlignment="1" applyProtection="1">
      <alignment horizontal="right"/>
      <protection/>
    </xf>
    <xf numFmtId="0" fontId="74" fillId="0" borderId="43" xfId="60" applyFont="1" applyBorder="1" applyAlignment="1" applyProtection="1">
      <alignment horizontal="center"/>
      <protection/>
    </xf>
    <xf numFmtId="0" fontId="34" fillId="0" borderId="32" xfId="0" applyFont="1" applyBorder="1" applyAlignment="1">
      <alignment horizontal="left" wrapText="1"/>
    </xf>
    <xf numFmtId="0" fontId="8" fillId="7" borderId="149" xfId="60" applyFont="1" applyFill="1" applyBorder="1" applyAlignment="1" applyProtection="1">
      <alignment horizontal="center"/>
      <protection/>
    </xf>
    <xf numFmtId="15" fontId="8" fillId="7" borderId="150" xfId="60" applyNumberFormat="1" applyFont="1" applyFill="1" applyBorder="1" applyAlignment="1" applyProtection="1">
      <alignment horizontal="center"/>
      <protection/>
    </xf>
    <xf numFmtId="0" fontId="8" fillId="7" borderId="151" xfId="60" applyFont="1" applyFill="1" applyBorder="1" applyAlignment="1" applyProtection="1">
      <alignment horizontal="center"/>
      <protection/>
    </xf>
    <xf numFmtId="0" fontId="8" fillId="7" borderId="152" xfId="60" applyFont="1" applyFill="1" applyBorder="1" applyAlignment="1" applyProtection="1">
      <alignment horizontal="center"/>
      <protection/>
    </xf>
    <xf numFmtId="0" fontId="8" fillId="0" borderId="82" xfId="60" applyFont="1" applyFill="1" applyBorder="1" applyAlignment="1" applyProtection="1">
      <alignment horizontal="center" vertical="center"/>
      <protection/>
    </xf>
    <xf numFmtId="0" fontId="8" fillId="0" borderId="47" xfId="60" applyFont="1" applyFill="1" applyBorder="1" applyAlignment="1" applyProtection="1">
      <alignment horizontal="center" vertical="center"/>
      <protection/>
    </xf>
    <xf numFmtId="0" fontId="74" fillId="0" borderId="47" xfId="60" applyFont="1" applyBorder="1" applyAlignment="1" applyProtection="1">
      <alignment horizontal="center"/>
      <protection/>
    </xf>
    <xf numFmtId="0" fontId="74" fillId="0" borderId="42" xfId="60" applyFont="1" applyBorder="1" applyAlignment="1" applyProtection="1">
      <alignment horizontal="center"/>
      <protection/>
    </xf>
    <xf numFmtId="0" fontId="8" fillId="0" borderId="89" xfId="60" applyFont="1" applyBorder="1" applyAlignment="1" applyProtection="1">
      <alignment horizontal="center"/>
      <protection/>
    </xf>
    <xf numFmtId="0" fontId="8" fillId="0" borderId="8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7" borderId="153" xfId="60" applyFont="1" applyFill="1" applyBorder="1" applyAlignment="1" applyProtection="1">
      <alignment horizontal="center"/>
      <protection/>
    </xf>
    <xf numFmtId="0" fontId="8" fillId="7" borderId="154" xfId="60" applyFont="1" applyFill="1" applyBorder="1" applyAlignment="1" applyProtection="1">
      <alignment horizontal="center"/>
      <protection/>
    </xf>
    <xf numFmtId="0" fontId="8" fillId="7" borderId="155" xfId="60" applyFont="1" applyFill="1" applyBorder="1" applyAlignment="1" applyProtection="1">
      <alignment horizontal="center"/>
      <protection/>
    </xf>
    <xf numFmtId="0" fontId="8" fillId="7" borderId="156" xfId="60" applyFont="1" applyFill="1" applyBorder="1" applyAlignment="1" applyProtection="1">
      <alignment horizontal="center"/>
      <protection/>
    </xf>
    <xf numFmtId="0" fontId="8" fillId="7" borderId="127" xfId="60" applyFont="1" applyFill="1" applyBorder="1" applyAlignment="1" applyProtection="1">
      <alignment horizontal="center"/>
      <protection/>
    </xf>
    <xf numFmtId="0" fontId="11" fillId="0" borderId="125" xfId="60" applyFont="1" applyFill="1" applyBorder="1" applyAlignment="1" applyProtection="1">
      <alignment horizontal="center"/>
      <protection/>
    </xf>
    <xf numFmtId="0" fontId="11" fillId="0" borderId="107" xfId="60" applyFont="1" applyFill="1" applyBorder="1" applyAlignment="1" applyProtection="1">
      <alignment horizontal="center"/>
      <protection/>
    </xf>
    <xf numFmtId="0" fontId="11" fillId="0" borderId="116" xfId="60" applyFont="1" applyFill="1" applyBorder="1" applyAlignment="1" applyProtection="1">
      <alignment horizontal="center"/>
      <protection/>
    </xf>
    <xf numFmtId="0" fontId="10" fillId="0" borderId="88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9" xfId="60" applyFont="1" applyBorder="1" applyAlignment="1" applyProtection="1">
      <alignment horizontal="center"/>
      <protection/>
    </xf>
    <xf numFmtId="38" fontId="8" fillId="0" borderId="44" xfId="60" applyNumberFormat="1" applyFont="1" applyBorder="1" applyAlignment="1" applyProtection="1">
      <alignment horizontal="center" vertical="center"/>
      <protection/>
    </xf>
    <xf numFmtId="38" fontId="8" fillId="0" borderId="38" xfId="60" applyNumberFormat="1" applyFont="1" applyBorder="1" applyAlignment="1" applyProtection="1">
      <alignment horizontal="center" vertical="center"/>
      <protection/>
    </xf>
    <xf numFmtId="38" fontId="8" fillId="0" borderId="45" xfId="60" applyNumberFormat="1" applyFont="1" applyBorder="1" applyAlignment="1" applyProtection="1">
      <alignment horizontal="center" vertical="center"/>
      <protection/>
    </xf>
    <xf numFmtId="0" fontId="35" fillId="0" borderId="157" xfId="0" applyFont="1" applyBorder="1" applyAlignment="1">
      <alignment horizontal="center"/>
    </xf>
    <xf numFmtId="0" fontId="35" fillId="0" borderId="158" xfId="0" applyFont="1" applyBorder="1" applyAlignment="1">
      <alignment horizontal="center"/>
    </xf>
    <xf numFmtId="0" fontId="35" fillId="0" borderId="159" xfId="0" applyFont="1" applyBorder="1" applyAlignment="1">
      <alignment horizontal="center"/>
    </xf>
    <xf numFmtId="0" fontId="8" fillId="0" borderId="160" xfId="60" applyFont="1" applyFill="1" applyBorder="1" applyAlignment="1" applyProtection="1">
      <alignment horizontal="center" vertical="center"/>
      <protection/>
    </xf>
    <xf numFmtId="0" fontId="8" fillId="0" borderId="75" xfId="60" applyFont="1" applyFill="1" applyBorder="1" applyAlignment="1" applyProtection="1">
      <alignment horizontal="center" vertical="center"/>
      <protection/>
    </xf>
    <xf numFmtId="0" fontId="8" fillId="0" borderId="88" xfId="60" applyFont="1" applyFill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0" fontId="8" fillId="0" borderId="161" xfId="60" applyFont="1" applyFill="1" applyBorder="1" applyAlignment="1" applyProtection="1">
      <alignment horizontal="center" vertical="center"/>
      <protection/>
    </xf>
    <xf numFmtId="0" fontId="8" fillId="0" borderId="77" xfId="60" applyFont="1" applyFill="1" applyBorder="1" applyAlignment="1" applyProtection="1">
      <alignment horizontal="center" vertical="center"/>
      <protection/>
    </xf>
    <xf numFmtId="38" fontId="8" fillId="0" borderId="44" xfId="60" applyNumberFormat="1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Fill="1" applyBorder="1" applyAlignment="1" applyProtection="1">
      <alignment horizontal="center" vertical="center"/>
      <protection/>
    </xf>
    <xf numFmtId="38" fontId="8" fillId="0" borderId="45" xfId="60" applyNumberFormat="1" applyFont="1" applyFill="1" applyBorder="1" applyAlignment="1" applyProtection="1">
      <alignment horizontal="center" vertical="center"/>
      <protection/>
    </xf>
    <xf numFmtId="0" fontId="8" fillId="0" borderId="88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/>
      <protection/>
    </xf>
    <xf numFmtId="0" fontId="34" fillId="0" borderId="0" xfId="0" applyFont="1" applyBorder="1" applyAlignment="1">
      <alignment horizontal="left" wrapText="1"/>
    </xf>
    <xf numFmtId="0" fontId="8" fillId="0" borderId="50" xfId="60" applyFont="1" applyBorder="1" applyAlignment="1" applyProtection="1">
      <alignment horizontal="center"/>
      <protection/>
    </xf>
    <xf numFmtId="0" fontId="8" fillId="0" borderId="105" xfId="60" applyFont="1" applyBorder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38" fontId="8" fillId="0" borderId="162" xfId="60" applyNumberFormat="1" applyFont="1" applyBorder="1" applyAlignment="1" applyProtection="1">
      <alignment horizontal="center" vertical="center"/>
      <protection/>
    </xf>
    <xf numFmtId="38" fontId="8" fillId="0" borderId="69" xfId="60" applyNumberFormat="1" applyFont="1" applyBorder="1" applyAlignment="1" applyProtection="1">
      <alignment horizontal="center" vertical="center"/>
      <protection/>
    </xf>
    <xf numFmtId="0" fontId="8" fillId="0" borderId="29" xfId="60" applyFont="1" applyFill="1" applyBorder="1" applyAlignment="1" applyProtection="1">
      <alignment horizontal="center" vertical="center"/>
      <protection/>
    </xf>
    <xf numFmtId="0" fontId="8" fillId="0" borderId="87" xfId="60" applyFont="1" applyFill="1" applyBorder="1" applyAlignment="1" applyProtection="1">
      <alignment horizontal="center" vertical="center"/>
      <protection/>
    </xf>
    <xf numFmtId="0" fontId="8" fillId="0" borderId="32" xfId="60" applyFont="1" applyFill="1" applyBorder="1" applyAlignment="1" applyProtection="1">
      <alignment horizontal="center" vertical="center"/>
      <protection/>
    </xf>
    <xf numFmtId="0" fontId="8" fillId="0" borderId="34" xfId="60" applyFont="1" applyFill="1" applyBorder="1" applyAlignment="1" applyProtection="1">
      <alignment horizontal="center" vertical="center"/>
      <protection/>
    </xf>
    <xf numFmtId="0" fontId="8" fillId="0" borderId="70" xfId="60" applyFont="1" applyFill="1" applyBorder="1" applyAlignment="1" applyProtection="1">
      <alignment horizontal="center" vertical="center"/>
      <protection/>
    </xf>
    <xf numFmtId="38" fontId="21" fillId="0" borderId="162" xfId="60" applyNumberFormat="1" applyFont="1" applyFill="1" applyBorder="1" applyAlignment="1" applyProtection="1">
      <alignment horizontal="center" vertical="center"/>
      <protection/>
    </xf>
    <xf numFmtId="38" fontId="21" fillId="0" borderId="38" xfId="60" applyNumberFormat="1" applyFont="1" applyFill="1" applyBorder="1" applyAlignment="1" applyProtection="1">
      <alignment horizontal="center" vertical="center"/>
      <protection/>
    </xf>
    <xf numFmtId="38" fontId="21" fillId="0" borderId="69" xfId="60" applyNumberFormat="1" applyFont="1" applyFill="1" applyBorder="1" applyAlignment="1" applyProtection="1">
      <alignment horizontal="center" vertical="center"/>
      <protection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60" applyFont="1" applyBorder="1" applyAlignment="1" applyProtection="1">
      <alignment horizontal="center"/>
      <protection/>
    </xf>
    <xf numFmtId="0" fontId="8" fillId="0" borderId="33" xfId="60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163" xfId="61" applyFont="1" applyBorder="1" applyAlignment="1">
      <alignment horizontal="center"/>
      <protection/>
    </xf>
    <xf numFmtId="0" fontId="11" fillId="0" borderId="164" xfId="61" applyFont="1" applyBorder="1" applyAlignment="1">
      <alignment horizontal="center"/>
      <protection/>
    </xf>
    <xf numFmtId="0" fontId="8" fillId="26" borderId="74" xfId="0" applyFont="1" applyFill="1" applyBorder="1" applyAlignment="1">
      <alignment horizontal="center" vertical="center"/>
    </xf>
    <xf numFmtId="0" fontId="8" fillId="26" borderId="84" xfId="0" applyFont="1" applyFill="1" applyBorder="1" applyAlignment="1">
      <alignment horizontal="center" vertical="center"/>
    </xf>
    <xf numFmtId="0" fontId="8" fillId="26" borderId="76" xfId="0" applyFont="1" applyFill="1" applyBorder="1" applyAlignment="1">
      <alignment horizontal="center" vertical="center"/>
    </xf>
    <xf numFmtId="0" fontId="8" fillId="26" borderId="43" xfId="0" applyFont="1" applyFill="1" applyBorder="1" applyAlignment="1">
      <alignment horizontal="center" vertical="center"/>
    </xf>
    <xf numFmtId="0" fontId="11" fillId="0" borderId="125" xfId="61" applyFont="1" applyBorder="1" applyAlignment="1">
      <alignment horizontal="center"/>
      <protection/>
    </xf>
    <xf numFmtId="0" fontId="11" fillId="0" borderId="116" xfId="61" applyFont="1" applyBorder="1" applyAlignment="1">
      <alignment horizontal="center"/>
      <protection/>
    </xf>
    <xf numFmtId="0" fontId="10" fillId="0" borderId="32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33" xfId="60" applyFont="1" applyFill="1" applyBorder="1" applyAlignment="1" applyProtection="1">
      <alignment horizontal="center"/>
      <protection/>
    </xf>
    <xf numFmtId="0" fontId="8" fillId="0" borderId="44" xfId="60" applyFont="1" applyFill="1" applyBorder="1" applyAlignment="1" applyProtection="1">
      <alignment horizontal="center" vertical="center" wrapText="1"/>
      <protection/>
    </xf>
    <xf numFmtId="0" fontId="8" fillId="0" borderId="38" xfId="60" applyFont="1" applyFill="1" applyBorder="1" applyAlignment="1" applyProtection="1">
      <alignment horizontal="center" vertical="center" wrapText="1"/>
      <protection/>
    </xf>
    <xf numFmtId="0" fontId="8" fillId="0" borderId="45" xfId="60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66" xfId="60" applyFont="1" applyFill="1" applyBorder="1" applyAlignment="1" applyProtection="1">
      <alignment horizontal="center" vertical="center"/>
      <protection/>
    </xf>
    <xf numFmtId="0" fontId="8" fillId="0" borderId="68" xfId="60" applyFont="1" applyFill="1" applyBorder="1" applyAlignment="1" applyProtection="1">
      <alignment horizontal="center" vertical="center"/>
      <protection/>
    </xf>
    <xf numFmtId="0" fontId="8" fillId="0" borderId="78" xfId="60" applyFont="1" applyFill="1" applyBorder="1" applyAlignment="1" applyProtection="1">
      <alignment horizontal="center" vertical="center"/>
      <protection/>
    </xf>
    <xf numFmtId="0" fontId="8" fillId="0" borderId="8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1" xfId="59"/>
    <cellStyle name="Normal_Last Approved" xfId="60"/>
    <cellStyle name="Normal_Sheet2" xfId="61"/>
    <cellStyle name="Normal_Sheet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565"/>
  <sheetViews>
    <sheetView view="pageBreakPreview" zoomScaleSheetLayoutView="100" workbookViewId="0" topLeftCell="A26">
      <selection activeCell="B16" sqref="B16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4.50390625" style="44" customWidth="1"/>
    <col min="8" max="10" width="14.50390625" style="58" customWidth="1"/>
    <col min="11" max="11" width="2.25390625" style="74" customWidth="1"/>
    <col min="12" max="18" width="17.625" style="1" customWidth="1"/>
    <col min="19" max="16384" width="9.00390625" style="1" customWidth="1"/>
  </cols>
  <sheetData>
    <row r="1" spans="1:18" ht="19.5" customHeight="1" thickTop="1">
      <c r="A1" s="872" t="s">
        <v>89</v>
      </c>
      <c r="B1" s="873"/>
      <c r="C1" s="873"/>
      <c r="D1" s="873"/>
      <c r="E1" s="873"/>
      <c r="F1" s="873"/>
      <c r="G1" s="873"/>
      <c r="H1" s="873"/>
      <c r="I1" s="873"/>
      <c r="J1" s="874"/>
      <c r="K1" s="16"/>
      <c r="L1" s="17"/>
      <c r="P1" s="527" t="s">
        <v>2</v>
      </c>
      <c r="Q1" s="527" t="s">
        <v>2</v>
      </c>
      <c r="R1" s="527" t="s">
        <v>2</v>
      </c>
    </row>
    <row r="2" spans="1:18" ht="19.5" customHeight="1">
      <c r="A2" s="855" t="s">
        <v>468</v>
      </c>
      <c r="B2" s="856"/>
      <c r="C2" s="856"/>
      <c r="D2" s="856"/>
      <c r="E2" s="856"/>
      <c r="F2" s="856"/>
      <c r="G2" s="856"/>
      <c r="H2" s="856"/>
      <c r="I2" s="856"/>
      <c r="J2" s="857"/>
      <c r="K2" s="732"/>
      <c r="L2" s="733"/>
      <c r="P2" s="527"/>
      <c r="Q2" s="527"/>
      <c r="R2" s="527"/>
    </row>
    <row r="3" spans="1:18" ht="17.25" customHeight="1">
      <c r="A3" s="884" t="s">
        <v>459</v>
      </c>
      <c r="B3" s="885"/>
      <c r="C3" s="885"/>
      <c r="D3" s="885"/>
      <c r="E3" s="885"/>
      <c r="F3" s="885"/>
      <c r="G3" s="885"/>
      <c r="H3" s="885"/>
      <c r="I3" s="885"/>
      <c r="J3" s="854"/>
      <c r="K3" s="732"/>
      <c r="L3" s="733"/>
      <c r="P3" s="527" t="s">
        <v>11</v>
      </c>
      <c r="Q3" s="527" t="s">
        <v>392</v>
      </c>
      <c r="R3" s="527" t="s">
        <v>394</v>
      </c>
    </row>
    <row r="4" spans="1:18" ht="9" customHeight="1" thickBot="1">
      <c r="A4" s="564"/>
      <c r="B4" s="296"/>
      <c r="C4" s="296"/>
      <c r="D4" s="296"/>
      <c r="E4" s="296"/>
      <c r="F4" s="296"/>
      <c r="G4" s="296"/>
      <c r="H4" s="296"/>
      <c r="I4" s="296"/>
      <c r="J4" s="565"/>
      <c r="K4" s="16"/>
      <c r="L4" s="17"/>
      <c r="P4" s="527"/>
      <c r="Q4" s="527"/>
      <c r="R4" s="527"/>
    </row>
    <row r="5" spans="1:18" ht="15.75" customHeight="1">
      <c r="A5" s="564"/>
      <c r="B5" s="296"/>
      <c r="C5" s="296"/>
      <c r="D5" s="726" t="s">
        <v>460</v>
      </c>
      <c r="E5" s="858" t="s">
        <v>472</v>
      </c>
      <c r="F5" s="859"/>
      <c r="G5" s="860"/>
      <c r="H5" s="296"/>
      <c r="I5" s="296"/>
      <c r="J5" s="565"/>
      <c r="K5" s="16"/>
      <c r="L5" s="17"/>
      <c r="P5" s="527"/>
      <c r="Q5" s="527"/>
      <c r="R5" s="527"/>
    </row>
    <row r="6" spans="1:18" ht="15.75" customHeight="1">
      <c r="A6" s="564"/>
      <c r="B6" s="296"/>
      <c r="C6" s="296"/>
      <c r="D6" s="726" t="s">
        <v>462</v>
      </c>
      <c r="E6" s="861" t="s">
        <v>473</v>
      </c>
      <c r="F6" s="862"/>
      <c r="G6" s="846"/>
      <c r="H6" s="296"/>
      <c r="I6" s="296"/>
      <c r="J6" s="565"/>
      <c r="K6" s="16"/>
      <c r="L6" s="17"/>
      <c r="P6" s="527"/>
      <c r="Q6" s="527"/>
      <c r="R6" s="527"/>
    </row>
    <row r="7" spans="1:18" ht="15.75" customHeight="1" thickBot="1">
      <c r="A7" s="564"/>
      <c r="B7" s="296"/>
      <c r="C7" s="296"/>
      <c r="D7" s="726" t="s">
        <v>463</v>
      </c>
      <c r="E7" s="847">
        <v>39575</v>
      </c>
      <c r="F7" s="848"/>
      <c r="G7" s="849"/>
      <c r="H7" s="296"/>
      <c r="I7" s="296"/>
      <c r="J7" s="565"/>
      <c r="K7" s="16"/>
      <c r="L7" s="17"/>
      <c r="P7" s="527"/>
      <c r="Q7" s="527"/>
      <c r="R7" s="527"/>
    </row>
    <row r="8" spans="1:12" ht="9.75" customHeight="1">
      <c r="A8" s="727"/>
      <c r="B8" s="136"/>
      <c r="C8" s="3"/>
      <c r="D8" s="3"/>
      <c r="E8" s="4"/>
      <c r="F8" s="4"/>
      <c r="G8" s="5"/>
      <c r="H8" s="6"/>
      <c r="I8" s="19"/>
      <c r="J8" s="728"/>
      <c r="K8" s="16"/>
      <c r="L8" s="17"/>
    </row>
    <row r="9" spans="1:12" ht="1.5" customHeight="1">
      <c r="A9" s="727"/>
      <c r="B9" s="136"/>
      <c r="C9" s="3"/>
      <c r="D9" s="3"/>
      <c r="E9" s="4"/>
      <c r="F9" s="4"/>
      <c r="G9" s="5"/>
      <c r="H9" s="6"/>
      <c r="I9" s="19"/>
      <c r="J9" s="728"/>
      <c r="K9" s="16"/>
      <c r="L9" s="17"/>
    </row>
    <row r="10" spans="1:12" ht="15.75" customHeight="1">
      <c r="A10" s="866" t="s">
        <v>169</v>
      </c>
      <c r="B10" s="867"/>
      <c r="C10" s="867"/>
      <c r="D10" s="867"/>
      <c r="E10" s="867"/>
      <c r="F10" s="867"/>
      <c r="G10" s="867"/>
      <c r="H10" s="867"/>
      <c r="I10" s="867"/>
      <c r="J10" s="868"/>
      <c r="K10" s="16"/>
      <c r="L10" s="17"/>
    </row>
    <row r="11" spans="1:12" ht="7.5" customHeight="1" thickBot="1">
      <c r="A11" s="543"/>
      <c r="B11" s="544"/>
      <c r="C11" s="528"/>
      <c r="D11" s="528"/>
      <c r="E11" s="544"/>
      <c r="F11" s="544"/>
      <c r="G11" s="544"/>
      <c r="H11" s="544"/>
      <c r="I11" s="544"/>
      <c r="J11" s="545"/>
      <c r="K11" s="16"/>
      <c r="L11" s="17"/>
    </row>
    <row r="12" spans="1:14" ht="15" customHeight="1" thickBot="1">
      <c r="A12" s="875" t="s">
        <v>12</v>
      </c>
      <c r="B12" s="876"/>
      <c r="C12" s="476" t="s">
        <v>315</v>
      </c>
      <c r="D12" s="477"/>
      <c r="E12" s="461" t="s">
        <v>351</v>
      </c>
      <c r="F12" s="462"/>
      <c r="G12" s="881" t="s">
        <v>14</v>
      </c>
      <c r="H12" s="869" t="s">
        <v>15</v>
      </c>
      <c r="I12" s="869" t="s">
        <v>16</v>
      </c>
      <c r="J12" s="729"/>
      <c r="K12" s="27"/>
      <c r="L12" s="869" t="s">
        <v>15</v>
      </c>
      <c r="M12" s="869" t="s">
        <v>16</v>
      </c>
      <c r="N12" s="447"/>
    </row>
    <row r="13" spans="1:14" ht="15" customHeight="1" thickBot="1">
      <c r="A13" s="877"/>
      <c r="B13" s="878"/>
      <c r="C13" s="448" t="s">
        <v>311</v>
      </c>
      <c r="D13" s="468" t="s">
        <v>8</v>
      </c>
      <c r="E13" s="463" t="s">
        <v>13</v>
      </c>
      <c r="F13" s="464"/>
      <c r="G13" s="882"/>
      <c r="H13" s="870"/>
      <c r="I13" s="870"/>
      <c r="J13" s="730" t="s">
        <v>10</v>
      </c>
      <c r="K13" s="28"/>
      <c r="L13" s="870"/>
      <c r="M13" s="870"/>
      <c r="N13" s="452" t="s">
        <v>10</v>
      </c>
    </row>
    <row r="14" spans="1:14" ht="15" customHeight="1" thickBot="1">
      <c r="A14" s="879"/>
      <c r="B14" s="880"/>
      <c r="C14" s="469" t="s">
        <v>312</v>
      </c>
      <c r="D14" s="470" t="s">
        <v>238</v>
      </c>
      <c r="E14" s="470" t="s">
        <v>349</v>
      </c>
      <c r="F14" s="470" t="s">
        <v>350</v>
      </c>
      <c r="G14" s="883"/>
      <c r="H14" s="871"/>
      <c r="I14" s="871"/>
      <c r="J14" s="731" t="s">
        <v>17</v>
      </c>
      <c r="K14" s="29"/>
      <c r="L14" s="871"/>
      <c r="M14" s="871"/>
      <c r="N14" s="471" t="s">
        <v>17</v>
      </c>
    </row>
    <row r="15" spans="1:12" ht="15" customHeight="1">
      <c r="A15" s="302" t="s">
        <v>51</v>
      </c>
      <c r="B15" s="122"/>
      <c r="C15" s="43"/>
      <c r="D15" s="10"/>
      <c r="E15" s="10"/>
      <c r="F15" s="10"/>
      <c r="G15" s="31"/>
      <c r="H15" s="32"/>
      <c r="I15" s="32"/>
      <c r="J15" s="257"/>
      <c r="K15" s="27"/>
      <c r="L15" s="30"/>
    </row>
    <row r="16" spans="1:20" ht="15" customHeight="1">
      <c r="A16" s="381"/>
      <c r="B16" s="82" t="s">
        <v>177</v>
      </c>
      <c r="C16" s="351" t="s">
        <v>105</v>
      </c>
      <c r="D16" s="261">
        <v>301</v>
      </c>
      <c r="E16" s="266" t="s">
        <v>392</v>
      </c>
      <c r="F16" s="266" t="s">
        <v>9</v>
      </c>
      <c r="G16" s="352"/>
      <c r="H16" s="352">
        <f>VLOOKUP($E16,Ratio,2,FALSE)*$G16</f>
        <v>0</v>
      </c>
      <c r="I16" s="352">
        <f>VLOOKUP($E16,Ratio,3,FALSE)*$G16</f>
        <v>0</v>
      </c>
      <c r="J16" s="382">
        <f>VLOOKUP($E16,Ratio,4,FALSE)*$G16</f>
        <v>0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81"/>
      <c r="B17" s="82" t="s">
        <v>178</v>
      </c>
      <c r="C17" s="351" t="s">
        <v>105</v>
      </c>
      <c r="D17" s="261">
        <v>302</v>
      </c>
      <c r="E17" s="266" t="s">
        <v>2</v>
      </c>
      <c r="F17" s="266" t="s">
        <v>11</v>
      </c>
      <c r="G17" s="840">
        <v>4862081.76</v>
      </c>
      <c r="H17" s="352">
        <f>IF($E17="DIRECT",$L17,VLOOKUP($E17,Ratio,2,FALSE)*$G17)</f>
        <v>4862081.76</v>
      </c>
      <c r="I17" s="352">
        <f>IF($E17="DIRECT",$M17,VLOOKUP($E17,Ratio,3,FALSE)*$G17)</f>
        <v>0</v>
      </c>
      <c r="J17" s="382">
        <f>IF($E17="DIRECT",$N17,VLOOKUP($E17,Ratio,4,FALSE)*$G17)</f>
        <v>0</v>
      </c>
      <c r="K17" s="33"/>
      <c r="L17" s="352">
        <f>+G17</f>
        <v>4862081.76</v>
      </c>
      <c r="M17" s="352"/>
      <c r="N17" s="382"/>
      <c r="O17" s="14"/>
      <c r="P17" s="35"/>
      <c r="Q17" s="35"/>
      <c r="R17" s="35"/>
      <c r="S17" s="35"/>
      <c r="T17" s="35"/>
    </row>
    <row r="18" spans="1:20" ht="15" customHeight="1">
      <c r="A18" s="381"/>
      <c r="B18" s="82" t="s">
        <v>179</v>
      </c>
      <c r="C18" s="351" t="s">
        <v>105</v>
      </c>
      <c r="D18" s="261">
        <v>303</v>
      </c>
      <c r="E18" s="266" t="s">
        <v>2</v>
      </c>
      <c r="F18" s="266" t="s">
        <v>392</v>
      </c>
      <c r="G18" s="352"/>
      <c r="H18" s="352">
        <f>IF($E18="DIRECT",$L18,VLOOKUP($E18,Ratio,2,FALSE)*$G18)</f>
        <v>0</v>
      </c>
      <c r="I18" s="352">
        <f>IF($E18="DIRECT",$M18,VLOOKUP($E18,Ratio,3,FALSE)*$G18)</f>
        <v>0</v>
      </c>
      <c r="J18" s="382">
        <f>IF($E18="DIRECT",$N18,VLOOKUP($E18,Ratio,4,FALSE)*$G18)</f>
        <v>0</v>
      </c>
      <c r="K18" s="33"/>
      <c r="L18" s="352"/>
      <c r="M18" s="352"/>
      <c r="N18" s="382"/>
      <c r="O18" s="14"/>
      <c r="P18" s="35"/>
      <c r="Q18" s="35"/>
      <c r="R18" s="35"/>
      <c r="S18" s="35"/>
      <c r="T18" s="35"/>
    </row>
    <row r="19" spans="1:20" ht="15" customHeight="1">
      <c r="A19" s="383" t="s">
        <v>156</v>
      </c>
      <c r="B19" s="51"/>
      <c r="C19" s="690"/>
      <c r="D19" s="691"/>
      <c r="E19" s="691"/>
      <c r="F19" s="692"/>
      <c r="G19" s="688">
        <f>SUM(G16:G18)</f>
        <v>4862081.76</v>
      </c>
      <c r="H19" s="688">
        <f>SUM(H16:H18)</f>
        <v>4862081.76</v>
      </c>
      <c r="I19" s="688">
        <f>SUM(I16:I18)</f>
        <v>0</v>
      </c>
      <c r="J19" s="693">
        <f>SUM(J16:J18)</f>
        <v>0</v>
      </c>
      <c r="K19" s="36"/>
      <c r="L19" s="37"/>
      <c r="M19" s="14"/>
      <c r="N19" s="14"/>
      <c r="O19" s="14"/>
      <c r="P19" s="35"/>
      <c r="Q19" s="35"/>
      <c r="R19" s="35"/>
      <c r="S19" s="35"/>
      <c r="T19" s="35"/>
    </row>
    <row r="20" spans="1:20" s="12" customFormat="1" ht="7.5" customHeight="1">
      <c r="A20" s="384"/>
      <c r="B20" s="51"/>
      <c r="C20" s="85"/>
      <c r="D20" s="85"/>
      <c r="E20" s="85"/>
      <c r="F20" s="85"/>
      <c r="G20" s="546"/>
      <c r="H20" s="109"/>
      <c r="I20" s="546"/>
      <c r="J20" s="547"/>
      <c r="K20" s="33"/>
      <c r="L20" s="34"/>
      <c r="M20" s="38"/>
      <c r="N20" s="38"/>
      <c r="O20" s="38"/>
      <c r="P20" s="35"/>
      <c r="Q20" s="35"/>
      <c r="R20" s="35"/>
      <c r="S20" s="35"/>
      <c r="T20" s="35"/>
    </row>
    <row r="21" spans="1:12" ht="15" customHeight="1">
      <c r="A21" s="302" t="s">
        <v>20</v>
      </c>
      <c r="B21" s="123"/>
      <c r="C21" s="85"/>
      <c r="D21" s="85"/>
      <c r="E21" s="85"/>
      <c r="F21" s="85"/>
      <c r="G21" s="546"/>
      <c r="H21" s="205"/>
      <c r="I21" s="205"/>
      <c r="J21" s="362"/>
      <c r="K21" s="27"/>
      <c r="L21" s="30"/>
    </row>
    <row r="22" spans="1:15" ht="15" customHeight="1">
      <c r="A22" s="237"/>
      <c r="B22" s="84" t="s">
        <v>21</v>
      </c>
      <c r="C22" s="351" t="s">
        <v>105</v>
      </c>
      <c r="D22" s="261" t="s">
        <v>22</v>
      </c>
      <c r="E22" s="266" t="s">
        <v>394</v>
      </c>
      <c r="F22" s="266"/>
      <c r="G22" s="482"/>
      <c r="H22" s="352">
        <f>VLOOKUP($E22,Ratio,2,FALSE)*$G22</f>
        <v>0</v>
      </c>
      <c r="I22" s="352">
        <f>VLOOKUP($E22,Ratio,3,FALSE)*$G22</f>
        <v>0</v>
      </c>
      <c r="J22" s="382">
        <f>VLOOKUP($E22,Ratio,4,FALSE)*$G22</f>
        <v>0</v>
      </c>
      <c r="K22" s="36"/>
      <c r="L22" s="37"/>
      <c r="M22" s="39"/>
      <c r="N22" s="39"/>
      <c r="O22" s="39"/>
    </row>
    <row r="23" spans="1:20" ht="15" customHeight="1">
      <c r="A23" s="237"/>
      <c r="B23" s="84" t="s">
        <v>23</v>
      </c>
      <c r="C23" s="351" t="s">
        <v>105</v>
      </c>
      <c r="D23" s="261" t="s">
        <v>24</v>
      </c>
      <c r="E23" s="266" t="s">
        <v>394</v>
      </c>
      <c r="F23" s="266"/>
      <c r="G23" s="482"/>
      <c r="H23" s="352">
        <f>VLOOKUP($E23,Ratio,2,FALSE)*$G23</f>
        <v>0</v>
      </c>
      <c r="I23" s="352">
        <f>VLOOKUP($E23,Ratio,3,FALSE)*$G23</f>
        <v>0</v>
      </c>
      <c r="J23" s="382">
        <f>VLOOKUP($E23,Ratio,4,FALSE)*$G23</f>
        <v>0</v>
      </c>
      <c r="K23" s="36"/>
      <c r="L23" s="37"/>
      <c r="M23" s="40"/>
      <c r="N23" s="41"/>
      <c r="O23" s="39"/>
      <c r="P23" s="35"/>
      <c r="Q23" s="35"/>
      <c r="R23" s="35"/>
      <c r="S23" s="35"/>
      <c r="T23" s="35"/>
    </row>
    <row r="24" spans="1:20" ht="15" customHeight="1">
      <c r="A24" s="237"/>
      <c r="B24" s="84" t="s">
        <v>25</v>
      </c>
      <c r="C24" s="351" t="s">
        <v>105</v>
      </c>
      <c r="D24" s="261" t="s">
        <v>26</v>
      </c>
      <c r="E24" s="266" t="s">
        <v>394</v>
      </c>
      <c r="F24" s="266"/>
      <c r="G24" s="482">
        <f>970748.79+12746614.88+3219603.49+398001.15+12371.5</f>
        <v>17347339.810000002</v>
      </c>
      <c r="H24" s="352">
        <f>VLOOKUP($E24,Ratio,2,FALSE)*$G24</f>
        <v>17347339.810000002</v>
      </c>
      <c r="I24" s="352">
        <f>VLOOKUP($E24,Ratio,3,FALSE)*$G24</f>
        <v>0</v>
      </c>
      <c r="J24" s="382">
        <f>VLOOKUP($E24,Ratio,4,FALSE)*$G24</f>
        <v>0</v>
      </c>
      <c r="K24" s="36"/>
      <c r="L24" s="37"/>
      <c r="M24" s="14"/>
      <c r="N24" s="14"/>
      <c r="O24" s="14"/>
      <c r="P24" s="35"/>
      <c r="Q24" s="35"/>
      <c r="R24" s="35"/>
      <c r="S24" s="35"/>
      <c r="T24" s="35"/>
    </row>
    <row r="25" spans="1:20" ht="15" customHeight="1">
      <c r="A25" s="237"/>
      <c r="B25" s="84" t="s">
        <v>27</v>
      </c>
      <c r="C25" s="351" t="s">
        <v>105</v>
      </c>
      <c r="D25" s="261" t="s">
        <v>28</v>
      </c>
      <c r="E25" s="266" t="s">
        <v>394</v>
      </c>
      <c r="F25" s="266"/>
      <c r="G25" s="482"/>
      <c r="H25" s="352">
        <f>VLOOKUP($E25,Ratio,2,FALSE)*$G25</f>
        <v>0</v>
      </c>
      <c r="I25" s="352">
        <f>VLOOKUP($E25,Ratio,3,FALSE)*$G25</f>
        <v>0</v>
      </c>
      <c r="J25" s="382">
        <f>VLOOKUP($E25,Ratio,4,FALSE)*$G25</f>
        <v>0</v>
      </c>
      <c r="K25" s="36"/>
      <c r="L25" s="37"/>
      <c r="M25" s="14"/>
      <c r="N25" s="14"/>
      <c r="O25" s="14"/>
      <c r="P25" s="35"/>
      <c r="Q25" s="35"/>
      <c r="R25" s="35"/>
      <c r="S25" s="35"/>
      <c r="T25" s="35"/>
    </row>
    <row r="26" spans="1:20" ht="15" customHeight="1">
      <c r="A26" s="383" t="s">
        <v>29</v>
      </c>
      <c r="B26" s="51"/>
      <c r="C26" s="690"/>
      <c r="D26" s="691"/>
      <c r="E26" s="691"/>
      <c r="F26" s="692"/>
      <c r="G26" s="688">
        <f>SUM(G22:G25)</f>
        <v>17347339.810000002</v>
      </c>
      <c r="H26" s="688">
        <f>SUM(H22:H25)</f>
        <v>17347339.810000002</v>
      </c>
      <c r="I26" s="688">
        <f>SUM(I22:I25)</f>
        <v>0</v>
      </c>
      <c r="J26" s="693">
        <f>SUM(J22:J25)</f>
        <v>0</v>
      </c>
      <c r="K26" s="36"/>
      <c r="L26" s="37"/>
      <c r="M26" s="14"/>
      <c r="N26" s="14"/>
      <c r="O26" s="14"/>
      <c r="P26" s="35"/>
      <c r="Q26" s="35"/>
      <c r="R26" s="35"/>
      <c r="S26" s="35"/>
      <c r="T26" s="35"/>
    </row>
    <row r="27" spans="1:15" ht="7.5" customHeight="1">
      <c r="A27" s="384"/>
      <c r="B27" s="51"/>
      <c r="C27" s="85"/>
      <c r="D27" s="85"/>
      <c r="E27" s="85"/>
      <c r="F27" s="85"/>
      <c r="G27" s="493"/>
      <c r="H27" s="205"/>
      <c r="I27" s="205"/>
      <c r="J27" s="362"/>
      <c r="K27" s="36"/>
      <c r="L27" s="37"/>
      <c r="M27" s="14"/>
      <c r="N27" s="14"/>
      <c r="O27" s="14"/>
    </row>
    <row r="28" spans="1:15" ht="15" customHeight="1">
      <c r="A28" s="302" t="s">
        <v>262</v>
      </c>
      <c r="B28" s="82"/>
      <c r="C28" s="85"/>
      <c r="D28" s="85"/>
      <c r="E28" s="124"/>
      <c r="F28" s="124"/>
      <c r="G28" s="546"/>
      <c r="H28" s="205"/>
      <c r="I28" s="205"/>
      <c r="J28" s="362"/>
      <c r="K28" s="36"/>
      <c r="L28" s="37"/>
      <c r="M28" s="14"/>
      <c r="N28" s="14"/>
      <c r="O28" s="14"/>
    </row>
    <row r="29" spans="1:20" ht="15" customHeight="1">
      <c r="A29" s="237"/>
      <c r="B29" s="84" t="s">
        <v>259</v>
      </c>
      <c r="C29" s="351" t="s">
        <v>105</v>
      </c>
      <c r="D29" s="261" t="s">
        <v>30</v>
      </c>
      <c r="E29" s="266" t="s">
        <v>393</v>
      </c>
      <c r="F29" s="266"/>
      <c r="G29" s="482">
        <f>28179.77+3748.74+46112.09+1176501.29</f>
        <v>1254541.8900000001</v>
      </c>
      <c r="H29" s="352">
        <f>VLOOKUP($E29,Ratio,2,FALSE)*$G29</f>
        <v>0</v>
      </c>
      <c r="I29" s="352">
        <f>VLOOKUP($E29,Ratio,3,FALSE)*$G29</f>
        <v>1254541.8900000001</v>
      </c>
      <c r="J29" s="382">
        <f>VLOOKUP($E29,Ratio,4,FALSE)*$G29</f>
        <v>0</v>
      </c>
      <c r="K29" s="36"/>
      <c r="L29" s="37"/>
      <c r="M29" s="14"/>
      <c r="N29" s="14"/>
      <c r="O29" s="14"/>
      <c r="P29" s="35"/>
      <c r="Q29" s="35"/>
      <c r="R29" s="35"/>
      <c r="S29" s="35"/>
      <c r="T29" s="35"/>
    </row>
    <row r="30" spans="1:20" ht="15" customHeight="1">
      <c r="A30" s="383" t="s">
        <v>31</v>
      </c>
      <c r="B30" s="125"/>
      <c r="C30" s="690"/>
      <c r="D30" s="691"/>
      <c r="E30" s="691"/>
      <c r="F30" s="692"/>
      <c r="G30" s="688">
        <f>SUM(G29)</f>
        <v>1254541.8900000001</v>
      </c>
      <c r="H30" s="688">
        <f>SUM(H29)</f>
        <v>0</v>
      </c>
      <c r="I30" s="688">
        <f>SUM(I29)</f>
        <v>1254541.8900000001</v>
      </c>
      <c r="J30" s="693">
        <f>SUM(J29)</f>
        <v>0</v>
      </c>
      <c r="K30" s="36"/>
      <c r="L30" s="37"/>
      <c r="M30" s="14"/>
      <c r="N30" s="14"/>
      <c r="O30" s="14"/>
      <c r="P30" s="35"/>
      <c r="Q30" s="35"/>
      <c r="R30" s="35"/>
      <c r="S30" s="35"/>
      <c r="T30" s="35"/>
    </row>
    <row r="31" spans="1:20" s="12" customFormat="1" ht="7.5" customHeight="1">
      <c r="A31" s="384"/>
      <c r="B31" s="125"/>
      <c r="C31" s="126"/>
      <c r="D31" s="85"/>
      <c r="E31" s="85"/>
      <c r="F31" s="85"/>
      <c r="G31" s="548"/>
      <c r="H31" s="548"/>
      <c r="I31" s="548"/>
      <c r="J31" s="549"/>
      <c r="K31" s="33"/>
      <c r="L31" s="34"/>
      <c r="M31" s="38"/>
      <c r="N31" s="38"/>
      <c r="O31" s="38"/>
      <c r="P31" s="35"/>
      <c r="Q31" s="35"/>
      <c r="R31" s="35"/>
      <c r="S31" s="35"/>
      <c r="T31" s="35"/>
    </row>
    <row r="32" spans="1:15" ht="15" customHeight="1">
      <c r="A32" s="302" t="s">
        <v>50</v>
      </c>
      <c r="B32" s="82"/>
      <c r="C32" s="85"/>
      <c r="D32" s="85"/>
      <c r="E32" s="51"/>
      <c r="F32" s="51"/>
      <c r="G32" s="546"/>
      <c r="H32" s="205"/>
      <c r="I32" s="205"/>
      <c r="J32" s="362"/>
      <c r="K32" s="36"/>
      <c r="L32" s="37"/>
      <c r="M32" s="14"/>
      <c r="N32" s="14"/>
      <c r="O32" s="14"/>
    </row>
    <row r="33" spans="1:20" ht="15" customHeight="1">
      <c r="A33" s="237"/>
      <c r="B33" s="84" t="s">
        <v>260</v>
      </c>
      <c r="C33" s="351" t="s">
        <v>105</v>
      </c>
      <c r="D33" s="261" t="s">
        <v>33</v>
      </c>
      <c r="E33" s="266" t="s">
        <v>392</v>
      </c>
      <c r="F33" s="266"/>
      <c r="G33" s="482">
        <f>105243.99+44212.15+67836.78+85583.82+71767.75+9420.65+1031268.42+16997373.16</f>
        <v>18412706.72</v>
      </c>
      <c r="H33" s="352">
        <f>VLOOKUP($E33,Ratio,2,FALSE)*$G33</f>
        <v>0</v>
      </c>
      <c r="I33" s="352">
        <f>VLOOKUP($E33,Ratio,3,FALSE)*$G33</f>
        <v>0</v>
      </c>
      <c r="J33" s="382">
        <f>VLOOKUP($E33,Ratio,4,FALSE)*$G33</f>
        <v>18412706.72</v>
      </c>
      <c r="K33" s="36"/>
      <c r="L33" s="37"/>
      <c r="M33" s="14"/>
      <c r="N33" s="14"/>
      <c r="O33" s="14"/>
      <c r="P33" s="35"/>
      <c r="Q33" s="35"/>
      <c r="R33" s="35"/>
      <c r="S33" s="35"/>
      <c r="T33" s="35"/>
    </row>
    <row r="34" spans="1:20" ht="15" customHeight="1">
      <c r="A34" s="300" t="s">
        <v>32</v>
      </c>
      <c r="B34" s="82"/>
      <c r="C34" s="690"/>
      <c r="D34" s="691"/>
      <c r="E34" s="691"/>
      <c r="F34" s="692"/>
      <c r="G34" s="688">
        <f>SUM(G33)</f>
        <v>18412706.72</v>
      </c>
      <c r="H34" s="688">
        <f>SUM(H33)</f>
        <v>0</v>
      </c>
      <c r="I34" s="688">
        <f>SUM(I33)</f>
        <v>0</v>
      </c>
      <c r="J34" s="693">
        <f>SUM(J33)</f>
        <v>18412706.72</v>
      </c>
      <c r="K34" s="36"/>
      <c r="L34" s="37"/>
      <c r="M34" s="14"/>
      <c r="N34" s="14"/>
      <c r="O34" s="14"/>
      <c r="P34" s="35"/>
      <c r="Q34" s="35"/>
      <c r="R34" s="35"/>
      <c r="S34" s="35"/>
      <c r="T34" s="35"/>
    </row>
    <row r="35" spans="1:20" s="12" customFormat="1" ht="7.5" customHeight="1">
      <c r="A35" s="385"/>
      <c r="B35" s="82"/>
      <c r="C35" s="85"/>
      <c r="D35" s="85"/>
      <c r="E35" s="85"/>
      <c r="F35" s="85"/>
      <c r="G35" s="550"/>
      <c r="H35" s="550"/>
      <c r="I35" s="550"/>
      <c r="J35" s="551"/>
      <c r="K35" s="33"/>
      <c r="L35" s="34"/>
      <c r="M35" s="38"/>
      <c r="N35" s="38"/>
      <c r="O35" s="38"/>
      <c r="P35" s="35"/>
      <c r="Q35" s="35"/>
      <c r="R35" s="35"/>
      <c r="S35" s="35"/>
      <c r="T35" s="35"/>
    </row>
    <row r="36" spans="1:15" ht="15" customHeight="1">
      <c r="A36" s="302" t="s">
        <v>34</v>
      </c>
      <c r="B36" s="125"/>
      <c r="C36" s="85"/>
      <c r="D36" s="83"/>
      <c r="E36" s="83"/>
      <c r="F36" s="83"/>
      <c r="G36" s="552"/>
      <c r="H36" s="552"/>
      <c r="I36" s="552"/>
      <c r="J36" s="553"/>
      <c r="K36" s="36"/>
      <c r="L36" s="37"/>
      <c r="M36" s="14"/>
      <c r="N36" s="14"/>
      <c r="O36" s="14"/>
    </row>
    <row r="37" spans="1:15" ht="15" customHeight="1">
      <c r="A37" s="237"/>
      <c r="B37" s="91" t="s">
        <v>35</v>
      </c>
      <c r="C37" s="351" t="s">
        <v>105</v>
      </c>
      <c r="D37" s="261">
        <v>389</v>
      </c>
      <c r="E37" s="266" t="s">
        <v>11</v>
      </c>
      <c r="F37" s="266"/>
      <c r="G37" s="482">
        <f>7646.5+1633.61+7181.62</f>
        <v>16461.73</v>
      </c>
      <c r="H37" s="352">
        <f aca="true" t="shared" si="0" ref="H37:H46">VLOOKUP($E37,Ratio,2,FALSE)*$G37</f>
        <v>7714.99120644474</v>
      </c>
      <c r="I37" s="352">
        <f aca="true" t="shared" si="1" ref="I37:I46">VLOOKUP($E37,Ratio,3,FALSE)*$G37</f>
        <v>557.9402810733645</v>
      </c>
      <c r="J37" s="382">
        <f aca="true" t="shared" si="2" ref="J37:J46">VLOOKUP($E37,Ratio,4,FALSE)*$G37</f>
        <v>8188.798512481894</v>
      </c>
      <c r="K37" s="36"/>
      <c r="L37" s="37"/>
      <c r="M37" s="14"/>
      <c r="N37" s="14"/>
      <c r="O37" s="14"/>
    </row>
    <row r="38" spans="1:15" ht="15" customHeight="1">
      <c r="A38" s="237"/>
      <c r="B38" s="91" t="s">
        <v>36</v>
      </c>
      <c r="C38" s="351" t="s">
        <v>105</v>
      </c>
      <c r="D38" s="261">
        <v>390</v>
      </c>
      <c r="E38" s="266" t="s">
        <v>11</v>
      </c>
      <c r="F38" s="266"/>
      <c r="G38" s="482">
        <f>380460.08</f>
        <v>380460.08</v>
      </c>
      <c r="H38" s="352">
        <f t="shared" si="0"/>
        <v>178307.27217633036</v>
      </c>
      <c r="I38" s="352">
        <f t="shared" si="1"/>
        <v>12894.999734073803</v>
      </c>
      <c r="J38" s="382">
        <f t="shared" si="2"/>
        <v>189257.80808959587</v>
      </c>
      <c r="K38" s="36"/>
      <c r="L38" s="37"/>
      <c r="M38" s="14"/>
      <c r="N38" s="14"/>
      <c r="O38" s="14"/>
    </row>
    <row r="39" spans="1:15" ht="15" customHeight="1">
      <c r="A39" s="237"/>
      <c r="B39" s="91" t="s">
        <v>37</v>
      </c>
      <c r="C39" s="351" t="s">
        <v>105</v>
      </c>
      <c r="D39" s="261">
        <v>391</v>
      </c>
      <c r="E39" s="266" t="s">
        <v>7</v>
      </c>
      <c r="F39" s="266"/>
      <c r="G39" s="482">
        <f>4898.24+2481.22+4999.36</f>
        <v>12378.82</v>
      </c>
      <c r="H39" s="352">
        <f t="shared" si="0"/>
        <v>3447.7160463317173</v>
      </c>
      <c r="I39" s="352">
        <f t="shared" si="1"/>
        <v>1350.4607290323524</v>
      </c>
      <c r="J39" s="382">
        <f t="shared" si="2"/>
        <v>7580.643224635929</v>
      </c>
      <c r="K39" s="36"/>
      <c r="L39" s="37"/>
      <c r="M39" s="14"/>
      <c r="N39" s="14"/>
      <c r="O39" s="14"/>
    </row>
    <row r="40" spans="1:15" ht="15" customHeight="1">
      <c r="A40" s="237"/>
      <c r="B40" s="91" t="s">
        <v>38</v>
      </c>
      <c r="C40" s="351" t="s">
        <v>105</v>
      </c>
      <c r="D40" s="261">
        <v>392</v>
      </c>
      <c r="E40" s="266" t="s">
        <v>19</v>
      </c>
      <c r="F40" s="266"/>
      <c r="G40" s="482">
        <f>1484895.62-6770.76-2481.22-4999.36-6937.19-13674.32-4898.24-29311.63-81293.09-15622.92-33148.6-6537.24-26127.86-7582.58-7639.6</f>
        <v>1237871.0099999998</v>
      </c>
      <c r="H40" s="352">
        <f t="shared" si="0"/>
        <v>0</v>
      </c>
      <c r="I40" s="352">
        <f t="shared" si="1"/>
        <v>78961.78399209287</v>
      </c>
      <c r="J40" s="382">
        <f t="shared" si="2"/>
        <v>1158909.226007907</v>
      </c>
      <c r="K40" s="36"/>
      <c r="L40" s="37"/>
      <c r="M40" s="14"/>
      <c r="N40" s="14"/>
      <c r="O40" s="14"/>
    </row>
    <row r="41" spans="1:15" ht="15" customHeight="1">
      <c r="A41" s="237"/>
      <c r="B41" s="91" t="s">
        <v>39</v>
      </c>
      <c r="C41" s="351" t="s">
        <v>105</v>
      </c>
      <c r="D41" s="261">
        <v>393</v>
      </c>
      <c r="E41" s="266" t="s">
        <v>11</v>
      </c>
      <c r="F41" s="266"/>
      <c r="G41" s="482"/>
      <c r="H41" s="352">
        <f t="shared" si="0"/>
        <v>0</v>
      </c>
      <c r="I41" s="352">
        <f t="shared" si="1"/>
        <v>0</v>
      </c>
      <c r="J41" s="382">
        <f t="shared" si="2"/>
        <v>0</v>
      </c>
      <c r="K41" s="36"/>
      <c r="L41" s="37"/>
      <c r="M41" s="14"/>
      <c r="N41" s="14"/>
      <c r="O41" s="14"/>
    </row>
    <row r="42" spans="1:15" ht="15" customHeight="1">
      <c r="A42" s="237"/>
      <c r="B42" s="91" t="s">
        <v>40</v>
      </c>
      <c r="C42" s="351" t="s">
        <v>105</v>
      </c>
      <c r="D42" s="261">
        <v>394</v>
      </c>
      <c r="E42" s="266" t="s">
        <v>11</v>
      </c>
      <c r="F42" s="266"/>
      <c r="G42" s="482">
        <f>6770.76+13674.32+6937.19+33148.6</f>
        <v>60530.869999999995</v>
      </c>
      <c r="H42" s="352">
        <f t="shared" si="0"/>
        <v>28368.532940854315</v>
      </c>
      <c r="I42" s="352">
        <f t="shared" si="1"/>
        <v>2051.5833160558022</v>
      </c>
      <c r="J42" s="382">
        <f t="shared" si="2"/>
        <v>30110.753743089877</v>
      </c>
      <c r="K42" s="36"/>
      <c r="L42" s="37"/>
      <c r="M42" s="14"/>
      <c r="N42" s="14"/>
      <c r="O42" s="14"/>
    </row>
    <row r="43" spans="1:15" ht="15" customHeight="1">
      <c r="A43" s="237"/>
      <c r="B43" s="91" t="s">
        <v>41</v>
      </c>
      <c r="C43" s="351" t="s">
        <v>105</v>
      </c>
      <c r="D43" s="261">
        <v>395</v>
      </c>
      <c r="E43" s="266" t="s">
        <v>11</v>
      </c>
      <c r="F43" s="266"/>
      <c r="G43" s="482"/>
      <c r="H43" s="352">
        <f t="shared" si="0"/>
        <v>0</v>
      </c>
      <c r="I43" s="352">
        <f t="shared" si="1"/>
        <v>0</v>
      </c>
      <c r="J43" s="382">
        <f t="shared" si="2"/>
        <v>0</v>
      </c>
      <c r="K43" s="36"/>
      <c r="L43" s="37"/>
      <c r="M43" s="14"/>
      <c r="N43" s="14"/>
      <c r="O43" s="14"/>
    </row>
    <row r="44" spans="1:15" ht="15" customHeight="1">
      <c r="A44" s="237"/>
      <c r="B44" s="91" t="s">
        <v>42</v>
      </c>
      <c r="C44" s="351" t="s">
        <v>105</v>
      </c>
      <c r="D44" s="261">
        <v>396</v>
      </c>
      <c r="E44" s="266" t="s">
        <v>19</v>
      </c>
      <c r="F44" s="266"/>
      <c r="G44" s="482">
        <f>6537.24+7582.58+7639.6+15622.92+81293.09+29311.63+26127.86</f>
        <v>174114.91999999998</v>
      </c>
      <c r="H44" s="352">
        <f t="shared" si="0"/>
        <v>0</v>
      </c>
      <c r="I44" s="352">
        <f t="shared" si="1"/>
        <v>11106.50834519546</v>
      </c>
      <c r="J44" s="382">
        <f t="shared" si="2"/>
        <v>163008.4116548045</v>
      </c>
      <c r="K44" s="36"/>
      <c r="L44" s="37"/>
      <c r="M44" s="14"/>
      <c r="N44" s="14"/>
      <c r="O44" s="14"/>
    </row>
    <row r="45" spans="1:15" ht="15" customHeight="1">
      <c r="A45" s="237"/>
      <c r="B45" s="91" t="s">
        <v>43</v>
      </c>
      <c r="C45" s="351" t="s">
        <v>105</v>
      </c>
      <c r="D45" s="261">
        <v>397</v>
      </c>
      <c r="E45" s="266" t="s">
        <v>11</v>
      </c>
      <c r="F45" s="266"/>
      <c r="G45" s="482"/>
      <c r="H45" s="352">
        <f t="shared" si="0"/>
        <v>0</v>
      </c>
      <c r="I45" s="352">
        <f t="shared" si="1"/>
        <v>0</v>
      </c>
      <c r="J45" s="382">
        <f t="shared" si="2"/>
        <v>0</v>
      </c>
      <c r="K45" s="36"/>
      <c r="L45" s="37"/>
      <c r="M45" s="14"/>
      <c r="N45" s="14"/>
      <c r="O45" s="14"/>
    </row>
    <row r="46" spans="1:15" ht="15" customHeight="1">
      <c r="A46" s="237"/>
      <c r="B46" s="91" t="s">
        <v>44</v>
      </c>
      <c r="C46" s="351" t="s">
        <v>105</v>
      </c>
      <c r="D46" s="261">
        <v>398</v>
      </c>
      <c r="E46" s="266" t="s">
        <v>11</v>
      </c>
      <c r="F46" s="266"/>
      <c r="G46" s="482"/>
      <c r="H46" s="352">
        <f t="shared" si="0"/>
        <v>0</v>
      </c>
      <c r="I46" s="352">
        <f t="shared" si="1"/>
        <v>0</v>
      </c>
      <c r="J46" s="382">
        <f t="shared" si="2"/>
        <v>0</v>
      </c>
      <c r="K46" s="36"/>
      <c r="L46" s="37"/>
      <c r="M46" s="14"/>
      <c r="N46" s="14"/>
      <c r="O46" s="14"/>
    </row>
    <row r="47" spans="1:15" ht="15" customHeight="1">
      <c r="A47" s="237"/>
      <c r="B47" s="91" t="s">
        <v>242</v>
      </c>
      <c r="C47" s="351" t="s">
        <v>105</v>
      </c>
      <c r="D47" s="261">
        <v>399</v>
      </c>
      <c r="E47" s="266" t="s">
        <v>2</v>
      </c>
      <c r="F47" s="266" t="s">
        <v>11</v>
      </c>
      <c r="G47" s="482"/>
      <c r="H47" s="352">
        <f>IF($E47="DIRECT",$L47,VLOOKUP($E47,Ratio,2,FALSE)*$G47)</f>
        <v>0</v>
      </c>
      <c r="I47" s="352">
        <f>IF($E47="DIRECT",$M47,VLOOKUP($E47,Ratio,3,FALSE)*$G47)</f>
        <v>0</v>
      </c>
      <c r="J47" s="382">
        <f>IF($E47="DIRECT",$N47,VLOOKUP($E47,Ratio,4,FALSE)*$G47)</f>
        <v>0</v>
      </c>
      <c r="K47" s="36"/>
      <c r="L47" s="352"/>
      <c r="M47" s="352"/>
      <c r="N47" s="382"/>
      <c r="O47" s="14"/>
    </row>
    <row r="48" spans="1:15" ht="15" customHeight="1">
      <c r="A48" s="237"/>
      <c r="B48" s="91" t="s">
        <v>159</v>
      </c>
      <c r="C48" s="351" t="s">
        <v>160</v>
      </c>
      <c r="D48" s="261">
        <v>399.1</v>
      </c>
      <c r="E48" s="266" t="s">
        <v>11</v>
      </c>
      <c r="F48" s="266"/>
      <c r="G48" s="482"/>
      <c r="H48" s="352">
        <f>VLOOKUP($E48,Ratio,2,FALSE)*$G48</f>
        <v>0</v>
      </c>
      <c r="I48" s="352">
        <f>VLOOKUP($E48,Ratio,3,FALSE)*$G48</f>
        <v>0</v>
      </c>
      <c r="J48" s="382">
        <f>VLOOKUP($E48,Ratio,4,FALSE)*$G48</f>
        <v>0</v>
      </c>
      <c r="K48" s="36"/>
      <c r="L48"/>
      <c r="M48"/>
      <c r="N48"/>
      <c r="O48" s="14"/>
    </row>
    <row r="49" spans="1:15" ht="7.5" customHeight="1">
      <c r="A49" s="386"/>
      <c r="B49" s="100"/>
      <c r="C49" s="10"/>
      <c r="D49" s="52"/>
      <c r="E49" s="52"/>
      <c r="F49" s="52"/>
      <c r="G49" s="489"/>
      <c r="H49" s="490"/>
      <c r="I49" s="490"/>
      <c r="J49" s="491"/>
      <c r="K49" s="36"/>
      <c r="L49" s="37"/>
      <c r="M49" s="14"/>
      <c r="N49" s="14"/>
      <c r="O49" s="14"/>
    </row>
    <row r="50" spans="1:15" ht="15" customHeight="1">
      <c r="A50" s="248" t="s">
        <v>45</v>
      </c>
      <c r="B50" s="50"/>
      <c r="C50" s="706"/>
      <c r="D50" s="707"/>
      <c r="E50" s="707"/>
      <c r="F50" s="708"/>
      <c r="G50" s="709">
        <f>SUM(G37:G49)</f>
        <v>1881817.4299999997</v>
      </c>
      <c r="H50" s="709">
        <f>SUM(H37:H49)</f>
        <v>217838.51236996113</v>
      </c>
      <c r="I50" s="709">
        <f>SUM(I37:I49)</f>
        <v>106923.27639752364</v>
      </c>
      <c r="J50" s="710">
        <f>SUM(J37:J49)</f>
        <v>1557055.6412325152</v>
      </c>
      <c r="K50" s="36"/>
      <c r="L50" s="37"/>
      <c r="M50" s="14"/>
      <c r="N50" s="14"/>
      <c r="O50" s="14"/>
    </row>
    <row r="51" spans="1:15" ht="7.5" customHeight="1">
      <c r="A51" s="539"/>
      <c r="B51" s="50"/>
      <c r="C51" s="10"/>
      <c r="D51" s="10"/>
      <c r="E51" s="10"/>
      <c r="F51" s="10"/>
      <c r="G51" s="109"/>
      <c r="H51" s="109"/>
      <c r="I51" s="109"/>
      <c r="J51" s="325"/>
      <c r="K51" s="36"/>
      <c r="L51" s="37"/>
      <c r="M51" s="14"/>
      <c r="N51" s="14"/>
      <c r="O51" s="14"/>
    </row>
    <row r="52" spans="1:15" ht="15" customHeight="1">
      <c r="A52" s="300" t="s">
        <v>46</v>
      </c>
      <c r="B52" s="50"/>
      <c r="C52" s="711"/>
      <c r="D52" s="691"/>
      <c r="E52" s="691"/>
      <c r="F52" s="692"/>
      <c r="G52" s="673">
        <f>G19+G26+G30+G34+G50</f>
        <v>43758487.61</v>
      </c>
      <c r="H52" s="673">
        <f>H19+H26+H30+H34+H50</f>
        <v>22427260.08236996</v>
      </c>
      <c r="I52" s="673">
        <f>I19+I26+I30+I34+I50</f>
        <v>1361465.1663975238</v>
      </c>
      <c r="J52" s="674">
        <f>J19+J26+J30+J34+J50</f>
        <v>19969762.361232515</v>
      </c>
      <c r="K52" s="36"/>
      <c r="L52" s="790"/>
      <c r="M52" s="14"/>
      <c r="N52" s="14"/>
      <c r="O52" s="14"/>
    </row>
    <row r="53" spans="1:15" s="12" customFormat="1" ht="15" customHeight="1" thickBot="1">
      <c r="A53" s="249" t="s">
        <v>157</v>
      </c>
      <c r="B53" s="250"/>
      <c r="C53" s="251"/>
      <c r="D53" s="251"/>
      <c r="E53" s="275"/>
      <c r="F53" s="275"/>
      <c r="G53" s="554"/>
      <c r="H53" s="554"/>
      <c r="I53" s="554"/>
      <c r="J53" s="555"/>
      <c r="K53" s="33"/>
      <c r="L53" s="34"/>
      <c r="M53" s="38"/>
      <c r="N53" s="38"/>
      <c r="O53" s="38"/>
    </row>
    <row r="54" spans="1:15" ht="15" customHeight="1" thickTop="1">
      <c r="A54" s="306"/>
      <c r="B54" s="101"/>
      <c r="C54" s="10"/>
      <c r="D54" s="10"/>
      <c r="E54" s="10"/>
      <c r="F54" s="10"/>
      <c r="G54" s="552"/>
      <c r="H54" s="552"/>
      <c r="I54" s="552"/>
      <c r="J54" s="553"/>
      <c r="K54" s="36"/>
      <c r="L54" s="37"/>
      <c r="M54" s="14"/>
      <c r="N54" s="14"/>
      <c r="O54" s="14"/>
    </row>
    <row r="55" spans="1:15" ht="15" customHeight="1">
      <c r="A55" s="302" t="s">
        <v>52</v>
      </c>
      <c r="B55" s="101"/>
      <c r="C55" s="10"/>
      <c r="D55" s="10"/>
      <c r="E55" s="10"/>
      <c r="F55" s="10"/>
      <c r="G55" s="205"/>
      <c r="H55" s="205"/>
      <c r="I55" s="205"/>
      <c r="J55" s="362"/>
      <c r="K55" s="36"/>
      <c r="L55" s="37"/>
      <c r="M55" s="14"/>
      <c r="N55" s="14"/>
      <c r="O55" s="14"/>
    </row>
    <row r="56" spans="1:15" ht="15" customHeight="1">
      <c r="A56" s="302" t="s">
        <v>444</v>
      </c>
      <c r="B56" s="101"/>
      <c r="C56" s="10"/>
      <c r="D56" s="10"/>
      <c r="E56" s="10"/>
      <c r="F56" s="10"/>
      <c r="G56" s="205"/>
      <c r="H56" s="205"/>
      <c r="I56" s="205"/>
      <c r="J56" s="362"/>
      <c r="K56" s="36"/>
      <c r="L56" s="37"/>
      <c r="M56" s="14"/>
      <c r="N56" s="14"/>
      <c r="O56" s="14"/>
    </row>
    <row r="57" spans="1:15" ht="15" customHeight="1">
      <c r="A57" s="237"/>
      <c r="B57" s="84" t="s">
        <v>0</v>
      </c>
      <c r="C57" s="261">
        <v>219</v>
      </c>
      <c r="D57" s="353">
        <v>108</v>
      </c>
      <c r="E57" s="266" t="str">
        <f>E22</f>
        <v>PROD</v>
      </c>
      <c r="F57" s="266"/>
      <c r="G57" s="482"/>
      <c r="H57" s="352">
        <f aca="true" t="shared" si="3" ref="H57:H64">VLOOKUP($E57,Ratio,2,FALSE)*$G57</f>
        <v>0</v>
      </c>
      <c r="I57" s="352">
        <f aca="true" t="shared" si="4" ref="I57:I64">VLOOKUP($E57,Ratio,3,FALSE)*$G57</f>
        <v>0</v>
      </c>
      <c r="J57" s="382">
        <f aca="true" t="shared" si="5" ref="J57:J64">VLOOKUP($E57,Ratio,4,FALSE)*$G57</f>
        <v>0</v>
      </c>
      <c r="K57" s="36"/>
      <c r="L57" s="37"/>
      <c r="M57" s="14"/>
      <c r="N57" s="14"/>
      <c r="O57" s="14"/>
    </row>
    <row r="58" spans="1:15" ht="15" customHeight="1">
      <c r="A58" s="237"/>
      <c r="B58" s="84" t="s">
        <v>1</v>
      </c>
      <c r="C58" s="261">
        <v>219</v>
      </c>
      <c r="D58" s="353">
        <v>108</v>
      </c>
      <c r="E58" s="266" t="str">
        <f>E23</f>
        <v>PROD</v>
      </c>
      <c r="F58" s="266"/>
      <c r="G58" s="482"/>
      <c r="H58" s="352">
        <f t="shared" si="3"/>
        <v>0</v>
      </c>
      <c r="I58" s="352">
        <f t="shared" si="4"/>
        <v>0</v>
      </c>
      <c r="J58" s="382">
        <f t="shared" si="5"/>
        <v>0</v>
      </c>
      <c r="K58" s="36"/>
      <c r="L58" s="37"/>
      <c r="M58" s="14"/>
      <c r="N58" s="14"/>
      <c r="O58" s="14"/>
    </row>
    <row r="59" spans="1:15" ht="15" customHeight="1">
      <c r="A59" s="237"/>
      <c r="B59" s="84" t="s">
        <v>170</v>
      </c>
      <c r="C59" s="261">
        <v>219</v>
      </c>
      <c r="D59" s="261">
        <v>108</v>
      </c>
      <c r="E59" s="266" t="str">
        <f>E24</f>
        <v>PROD</v>
      </c>
      <c r="F59" s="266"/>
      <c r="G59" s="482">
        <f>366894.21+3337291.83+2028533.47</f>
        <v>5732719.51</v>
      </c>
      <c r="H59" s="352">
        <f t="shared" si="3"/>
        <v>5732719.51</v>
      </c>
      <c r="I59" s="352">
        <f t="shared" si="4"/>
        <v>0</v>
      </c>
      <c r="J59" s="382">
        <f t="shared" si="5"/>
        <v>0</v>
      </c>
      <c r="K59" s="36"/>
      <c r="L59" s="37"/>
      <c r="M59" s="14"/>
      <c r="N59" s="14"/>
      <c r="O59" s="14"/>
    </row>
    <row r="60" spans="1:15" ht="15" customHeight="1">
      <c r="A60" s="237"/>
      <c r="B60" s="84" t="s">
        <v>47</v>
      </c>
      <c r="C60" s="261">
        <v>219</v>
      </c>
      <c r="D60" s="353">
        <v>108</v>
      </c>
      <c r="E60" s="266" t="str">
        <f>E25</f>
        <v>PROD</v>
      </c>
      <c r="F60" s="266"/>
      <c r="G60" s="482"/>
      <c r="H60" s="352">
        <f t="shared" si="3"/>
        <v>0</v>
      </c>
      <c r="I60" s="352">
        <f t="shared" si="4"/>
        <v>0</v>
      </c>
      <c r="J60" s="382">
        <f t="shared" si="5"/>
        <v>0</v>
      </c>
      <c r="K60" s="36"/>
      <c r="L60" s="37"/>
      <c r="M60" s="14"/>
      <c r="N60" s="14"/>
      <c r="O60" s="14"/>
    </row>
    <row r="61" spans="1:15" ht="15" customHeight="1">
      <c r="A61" s="237"/>
      <c r="B61" s="84" t="s">
        <v>263</v>
      </c>
      <c r="C61" s="261">
        <v>219</v>
      </c>
      <c r="D61" s="353">
        <v>108</v>
      </c>
      <c r="E61" s="266" t="str">
        <f>E29</f>
        <v>TRANS</v>
      </c>
      <c r="F61" s="266"/>
      <c r="G61" s="482">
        <f>41878.04+3748.74+969477.26-11067.87</f>
        <v>1004036.17</v>
      </c>
      <c r="H61" s="352">
        <f t="shared" si="3"/>
        <v>0</v>
      </c>
      <c r="I61" s="352">
        <f t="shared" si="4"/>
        <v>1004036.17</v>
      </c>
      <c r="J61" s="382">
        <f t="shared" si="5"/>
        <v>0</v>
      </c>
      <c r="K61" s="36"/>
      <c r="L61" s="37"/>
      <c r="M61" s="14"/>
      <c r="N61" s="14"/>
      <c r="O61" s="14"/>
    </row>
    <row r="62" spans="1:15" ht="15" customHeight="1">
      <c r="A62" s="237"/>
      <c r="B62" s="84" t="s">
        <v>48</v>
      </c>
      <c r="C62" s="261">
        <v>219</v>
      </c>
      <c r="D62" s="353">
        <v>108</v>
      </c>
      <c r="E62" s="266" t="str">
        <f>E33</f>
        <v>DIST</v>
      </c>
      <c r="F62" s="266"/>
      <c r="G62" s="482">
        <f>6515636.5-430846.18+341900.69</f>
        <v>6426691.010000001</v>
      </c>
      <c r="H62" s="352">
        <f t="shared" si="3"/>
        <v>0</v>
      </c>
      <c r="I62" s="352">
        <f t="shared" si="4"/>
        <v>0</v>
      </c>
      <c r="J62" s="382">
        <f t="shared" si="5"/>
        <v>6426691.010000001</v>
      </c>
      <c r="K62" s="36"/>
      <c r="L62" s="37"/>
      <c r="M62" s="14"/>
      <c r="N62" s="14"/>
      <c r="O62" s="14"/>
    </row>
    <row r="63" spans="1:15" ht="15" customHeight="1">
      <c r="A63" s="237"/>
      <c r="B63" s="84" t="s">
        <v>4</v>
      </c>
      <c r="C63" s="261">
        <v>219</v>
      </c>
      <c r="D63" s="353">
        <v>108</v>
      </c>
      <c r="E63" s="266" t="s">
        <v>3</v>
      </c>
      <c r="F63" s="266"/>
      <c r="G63" s="482">
        <f>653788.29+81968.46</f>
        <v>735756.75</v>
      </c>
      <c r="H63" s="352">
        <f t="shared" si="3"/>
        <v>85170.93812132318</v>
      </c>
      <c r="I63" s="352">
        <f t="shared" si="4"/>
        <v>41805.07688335829</v>
      </c>
      <c r="J63" s="382">
        <f t="shared" si="5"/>
        <v>608780.7349953186</v>
      </c>
      <c r="K63" s="36"/>
      <c r="L63" s="37"/>
      <c r="M63" s="14"/>
      <c r="N63" s="14"/>
      <c r="O63" s="14"/>
    </row>
    <row r="64" spans="1:15" ht="15" customHeight="1">
      <c r="A64" s="237"/>
      <c r="B64" s="84" t="s">
        <v>370</v>
      </c>
      <c r="C64" s="261">
        <v>219</v>
      </c>
      <c r="D64" s="353">
        <v>111</v>
      </c>
      <c r="E64" s="266" t="str">
        <f>E16</f>
        <v>DIST</v>
      </c>
      <c r="F64" s="419" t="str">
        <f>F16</f>
        <v> </v>
      </c>
      <c r="G64" s="482"/>
      <c r="H64" s="352">
        <f t="shared" si="3"/>
        <v>0</v>
      </c>
      <c r="I64" s="352">
        <f t="shared" si="4"/>
        <v>0</v>
      </c>
      <c r="J64" s="382">
        <f t="shared" si="5"/>
        <v>0</v>
      </c>
      <c r="K64" s="36"/>
      <c r="L64" s="37"/>
      <c r="M64" s="14"/>
      <c r="N64" s="14"/>
      <c r="O64" s="14"/>
    </row>
    <row r="65" spans="1:15" ht="15" customHeight="1">
      <c r="A65" s="237"/>
      <c r="B65" s="84" t="s">
        <v>371</v>
      </c>
      <c r="C65" s="261">
        <v>219</v>
      </c>
      <c r="D65" s="353">
        <v>111</v>
      </c>
      <c r="E65" s="266" t="s">
        <v>2</v>
      </c>
      <c r="F65" s="419" t="s">
        <v>11</v>
      </c>
      <c r="G65" s="352">
        <v>1000543.94</v>
      </c>
      <c r="H65" s="352">
        <f>IF($E65="DIRECT",$L65,VLOOKUP($E65,Ratio,2,FALSE)*$G65)</f>
        <v>1000543.94</v>
      </c>
      <c r="I65" s="352">
        <f>IF($E65="DIRECT",$M65,VLOOKUP($E65,Ratio,3,FALSE)*$G65)</f>
        <v>0</v>
      </c>
      <c r="J65" s="382">
        <f>IF($E65="DIRECT",$N65,VLOOKUP($E65,Ratio,4,FALSE)*$G65)</f>
        <v>0</v>
      </c>
      <c r="K65" s="36"/>
      <c r="L65" s="352">
        <f>+G65</f>
        <v>1000543.94</v>
      </c>
      <c r="M65" s="352"/>
      <c r="N65" s="382"/>
      <c r="O65" s="14"/>
    </row>
    <row r="66" spans="1:15" ht="15" customHeight="1">
      <c r="A66" s="237"/>
      <c r="B66" s="84" t="s">
        <v>401</v>
      </c>
      <c r="C66" s="261">
        <v>219</v>
      </c>
      <c r="D66" s="353">
        <v>111</v>
      </c>
      <c r="E66" s="266" t="s">
        <v>2</v>
      </c>
      <c r="F66" s="419" t="s">
        <v>392</v>
      </c>
      <c r="G66" s="352"/>
      <c r="H66" s="352">
        <f>IF($E66="DIRECT",$L66,VLOOKUP($E66,Ratio,2,FALSE)*$G66)</f>
        <v>0</v>
      </c>
      <c r="I66" s="352">
        <f>IF($E66="DIRECT",$M66,VLOOKUP($E66,Ratio,3,FALSE)*$G66)</f>
        <v>0</v>
      </c>
      <c r="J66" s="382">
        <f>IF($E66="DIRECT",$N66,VLOOKUP($E66,Ratio,4,FALSE)*$G66)</f>
        <v>0</v>
      </c>
      <c r="K66" s="36"/>
      <c r="L66" s="352"/>
      <c r="M66" s="352"/>
      <c r="N66" s="382"/>
      <c r="O66" s="14"/>
    </row>
    <row r="67" spans="1:15" ht="15" customHeight="1">
      <c r="A67" s="237"/>
      <c r="B67" s="84" t="s">
        <v>239</v>
      </c>
      <c r="C67" s="261">
        <v>219</v>
      </c>
      <c r="D67" s="353">
        <v>108</v>
      </c>
      <c r="E67" s="266" t="s">
        <v>394</v>
      </c>
      <c r="F67" s="266"/>
      <c r="G67" s="482"/>
      <c r="H67" s="352">
        <f>VLOOKUP($E67,Ratio,2,FALSE)*$G67</f>
        <v>0</v>
      </c>
      <c r="I67" s="352">
        <f>VLOOKUP($E67,Ratio,3,FALSE)*$G67</f>
        <v>0</v>
      </c>
      <c r="J67" s="382">
        <f>VLOOKUP($E67,Ratio,4,FALSE)*$G67</f>
        <v>0</v>
      </c>
      <c r="K67" s="36"/>
      <c r="L67" s="37"/>
      <c r="M67" s="14"/>
      <c r="N67" s="14"/>
      <c r="O67" s="14"/>
    </row>
    <row r="68" spans="1:15" ht="15" customHeight="1">
      <c r="A68" s="237"/>
      <c r="B68" s="84" t="s">
        <v>224</v>
      </c>
      <c r="C68" s="261">
        <v>219</v>
      </c>
      <c r="D68" s="353">
        <v>108</v>
      </c>
      <c r="E68" s="266" t="s">
        <v>392</v>
      </c>
      <c r="F68" s="266"/>
      <c r="G68" s="482"/>
      <c r="H68" s="352">
        <f>VLOOKUP($E68,Ratio,2,FALSE)*$G68</f>
        <v>0</v>
      </c>
      <c r="I68" s="352">
        <f>VLOOKUP($E68,Ratio,3,FALSE)*$G68</f>
        <v>0</v>
      </c>
      <c r="J68" s="382">
        <f>VLOOKUP($E68,Ratio,4,FALSE)*$G68</f>
        <v>0</v>
      </c>
      <c r="K68" s="36"/>
      <c r="L68" s="37"/>
      <c r="M68" s="14"/>
      <c r="N68" s="14"/>
      <c r="O68" s="14"/>
    </row>
    <row r="69" spans="1:15" ht="15" customHeight="1">
      <c r="A69" s="237"/>
      <c r="B69" s="84" t="s">
        <v>225</v>
      </c>
      <c r="C69" s="261">
        <v>219</v>
      </c>
      <c r="D69" s="353">
        <v>108</v>
      </c>
      <c r="E69" s="266" t="s">
        <v>2</v>
      </c>
      <c r="F69" s="266" t="s">
        <v>11</v>
      </c>
      <c r="G69" s="482"/>
      <c r="H69" s="352">
        <f>IF($E69="DIRECT",$L69,VLOOKUP($E69,Ratio,2,FALSE)*$G69)</f>
        <v>0</v>
      </c>
      <c r="I69" s="352">
        <f>IF($E69="DIRECT",$M69,VLOOKUP($E69,Ratio,3,FALSE)*$G69)</f>
        <v>0</v>
      </c>
      <c r="J69" s="382">
        <f>IF($E69="DIRECT",$N69,VLOOKUP($E69,Ratio,4,FALSE)*$G69)</f>
        <v>0</v>
      </c>
      <c r="K69" s="36"/>
      <c r="L69" s="352"/>
      <c r="M69" s="352"/>
      <c r="N69" s="382"/>
      <c r="O69" s="14"/>
    </row>
    <row r="70" spans="1:15" ht="15" customHeight="1">
      <c r="A70" s="237"/>
      <c r="B70" s="84" t="s">
        <v>194</v>
      </c>
      <c r="C70" s="261" t="s">
        <v>104</v>
      </c>
      <c r="D70" s="353">
        <v>108</v>
      </c>
      <c r="E70" s="266" t="s">
        <v>2</v>
      </c>
      <c r="F70" s="266" t="s">
        <v>392</v>
      </c>
      <c r="G70" s="482"/>
      <c r="H70" s="352">
        <f>IF($E70="DIRECT",$L70,VLOOKUP($E70,Ratio,2,FALSE)*$G70)</f>
        <v>0</v>
      </c>
      <c r="I70" s="352">
        <f>IF($E70="DIRECT",$M70,VLOOKUP($E70,Ratio,3,FALSE)*$G70)</f>
        <v>0</v>
      </c>
      <c r="J70" s="382">
        <f>IF($E70="DIRECT",$N70,VLOOKUP($E70,Ratio,4,FALSE)*$G70)</f>
        <v>0</v>
      </c>
      <c r="K70" s="36"/>
      <c r="L70" s="352"/>
      <c r="M70" s="352"/>
      <c r="N70" s="382"/>
      <c r="O70" s="14"/>
    </row>
    <row r="71" spans="1:15" s="12" customFormat="1" ht="15" customHeight="1">
      <c r="A71" s="237"/>
      <c r="B71" s="84" t="s">
        <v>402</v>
      </c>
      <c r="C71" s="261" t="s">
        <v>104</v>
      </c>
      <c r="D71" s="261">
        <v>108</v>
      </c>
      <c r="E71" s="266" t="s">
        <v>2</v>
      </c>
      <c r="F71" s="266" t="s">
        <v>11</v>
      </c>
      <c r="G71" s="482"/>
      <c r="H71" s="352">
        <f>IF($E71="DIRECT",$L71,VLOOKUP($E71,Ratio,2,FALSE)*$G71)</f>
        <v>0</v>
      </c>
      <c r="I71" s="352">
        <f>IF($E71="DIRECT",$M71,VLOOKUP($E71,Ratio,3,FALSE)*$G71)</f>
        <v>0</v>
      </c>
      <c r="J71" s="382">
        <f>IF($E71="DIRECT",$N71,VLOOKUP($E71,Ratio,4,FALSE)*$G71)</f>
        <v>0</v>
      </c>
      <c r="K71" s="33"/>
      <c r="L71" s="352"/>
      <c r="M71" s="352"/>
      <c r="N71" s="382"/>
      <c r="O71" s="38"/>
    </row>
    <row r="72" spans="1:15" s="12" customFormat="1" ht="15" customHeight="1">
      <c r="A72" s="237"/>
      <c r="B72" s="84" t="s">
        <v>403</v>
      </c>
      <c r="C72" s="261" t="s">
        <v>104</v>
      </c>
      <c r="D72" s="261">
        <v>108</v>
      </c>
      <c r="E72" s="266" t="s">
        <v>2</v>
      </c>
      <c r="F72" s="266" t="s">
        <v>392</v>
      </c>
      <c r="G72" s="482"/>
      <c r="H72" s="352">
        <f>IF($E72="DIRECT",$L72,VLOOKUP($E72,Ratio,2,FALSE)*$G72)</f>
        <v>0</v>
      </c>
      <c r="I72" s="352">
        <f>IF($E72="DIRECT",$M72,VLOOKUP($E72,Ratio,3,FALSE)*$G72)</f>
        <v>0</v>
      </c>
      <c r="J72" s="382">
        <f>IF($E72="DIRECT",$N72,VLOOKUP($E72,Ratio,4,FALSE)*$G72)</f>
        <v>0</v>
      </c>
      <c r="K72" s="33"/>
      <c r="L72" s="352"/>
      <c r="M72" s="352"/>
      <c r="N72" s="382"/>
      <c r="O72" s="38"/>
    </row>
    <row r="73" spans="1:15" s="12" customFormat="1" ht="15" customHeight="1">
      <c r="A73" s="237"/>
      <c r="B73" s="84" t="s">
        <v>429</v>
      </c>
      <c r="C73" s="261" t="s">
        <v>104</v>
      </c>
      <c r="D73" s="261">
        <v>115</v>
      </c>
      <c r="E73" s="266" t="s">
        <v>2</v>
      </c>
      <c r="F73" s="266" t="s">
        <v>392</v>
      </c>
      <c r="G73" s="482"/>
      <c r="H73" s="352">
        <f>IF($E73="DIRECT",$L73,VLOOKUP($E73,Ratio,2,FALSE)*$G73)</f>
        <v>0</v>
      </c>
      <c r="I73" s="352">
        <f>IF($E73="DIRECT",$M73,VLOOKUP($E73,Ratio,3,FALSE)*$G73)</f>
        <v>0</v>
      </c>
      <c r="J73" s="382">
        <f>IF($E73="DIRECT",$N73,VLOOKUP($E73,Ratio,4,FALSE)*$G73)</f>
        <v>0</v>
      </c>
      <c r="K73" s="33"/>
      <c r="L73" s="719"/>
      <c r="M73" s="720"/>
      <c r="N73" s="720"/>
      <c r="O73" s="38"/>
    </row>
    <row r="74" spans="1:15" s="12" customFormat="1" ht="15" customHeight="1">
      <c r="A74" s="237"/>
      <c r="B74" s="84"/>
      <c r="C74" s="85"/>
      <c r="D74" s="83"/>
      <c r="E74" s="83"/>
      <c r="F74" s="83"/>
      <c r="G74" s="556"/>
      <c r="H74" s="557"/>
      <c r="I74" s="557"/>
      <c r="J74" s="558"/>
      <c r="K74" s="33"/>
      <c r="L74" s="34"/>
      <c r="M74" s="38"/>
      <c r="N74" s="38"/>
      <c r="O74" s="38"/>
    </row>
    <row r="75" spans="1:15" ht="15" customHeight="1">
      <c r="A75" s="302" t="s">
        <v>445</v>
      </c>
      <c r="B75" s="84"/>
      <c r="C75" s="261"/>
      <c r="D75" s="261"/>
      <c r="E75" s="266" t="s">
        <v>2</v>
      </c>
      <c r="F75" s="266" t="s">
        <v>2</v>
      </c>
      <c r="G75" s="482"/>
      <c r="H75" s="352"/>
      <c r="I75" s="352"/>
      <c r="J75" s="382"/>
      <c r="K75" s="36"/>
      <c r="L75" s="37"/>
      <c r="M75" s="14"/>
      <c r="N75" s="14"/>
      <c r="O75" s="14"/>
    </row>
    <row r="76" spans="1:15" ht="15" customHeight="1">
      <c r="A76" s="387"/>
      <c r="B76" s="84"/>
      <c r="C76" s="85"/>
      <c r="D76" s="83"/>
      <c r="E76" s="83"/>
      <c r="F76" s="83"/>
      <c r="G76" s="559"/>
      <c r="H76" s="490"/>
      <c r="I76" s="490"/>
      <c r="J76" s="491"/>
      <c r="K76" s="36"/>
      <c r="L76" s="37"/>
      <c r="M76" s="14"/>
      <c r="N76" s="14"/>
      <c r="O76" s="14"/>
    </row>
    <row r="77" spans="1:15" ht="15" customHeight="1">
      <c r="A77" s="300" t="s">
        <v>446</v>
      </c>
      <c r="B77" s="51"/>
      <c r="C77" s="711"/>
      <c r="D77" s="691"/>
      <c r="E77" s="691"/>
      <c r="F77" s="692"/>
      <c r="G77" s="673">
        <f>SUM(G57:G75)</f>
        <v>14899747.38</v>
      </c>
      <c r="H77" s="673">
        <f>SUM(H57:H75)</f>
        <v>6818434.388121324</v>
      </c>
      <c r="I77" s="673">
        <f>SUM(I57:I75)</f>
        <v>1045841.2468833583</v>
      </c>
      <c r="J77" s="674">
        <f>SUM(J57:J75)</f>
        <v>7035471.744995319</v>
      </c>
      <c r="K77" s="36"/>
      <c r="L77" s="37"/>
      <c r="M77" s="14"/>
      <c r="N77" s="14"/>
      <c r="O77" s="14"/>
    </row>
    <row r="78" spans="1:15" ht="15" customHeight="1">
      <c r="A78" s="387"/>
      <c r="B78" s="102"/>
      <c r="C78" s="85"/>
      <c r="D78" s="83"/>
      <c r="E78" s="83"/>
      <c r="F78" s="83"/>
      <c r="G78" s="548"/>
      <c r="H78" s="548"/>
      <c r="I78" s="548"/>
      <c r="J78" s="549"/>
      <c r="K78" s="36"/>
      <c r="L78" s="37"/>
      <c r="M78" s="14"/>
      <c r="N78" s="14"/>
      <c r="O78" s="14"/>
    </row>
    <row r="79" spans="1:15" ht="15" customHeight="1">
      <c r="A79" s="300" t="s">
        <v>53</v>
      </c>
      <c r="B79" s="50"/>
      <c r="C79" s="711"/>
      <c r="D79" s="691"/>
      <c r="E79" s="691"/>
      <c r="F79" s="692"/>
      <c r="G79" s="673">
        <f>G52-G77</f>
        <v>28858740.229999997</v>
      </c>
      <c r="H79" s="673">
        <f>H52-H77</f>
        <v>15608825.694248637</v>
      </c>
      <c r="I79" s="673">
        <f>I52-I77</f>
        <v>315623.9195141655</v>
      </c>
      <c r="J79" s="674">
        <f>J52-J77</f>
        <v>12934290.616237197</v>
      </c>
      <c r="K79" s="36"/>
      <c r="L79" s="37"/>
      <c r="M79" s="14"/>
      <c r="N79" s="14"/>
      <c r="O79" s="14"/>
    </row>
    <row r="80" spans="1:15" s="12" customFormat="1" ht="15" customHeight="1">
      <c r="A80" s="308" t="s">
        <v>119</v>
      </c>
      <c r="B80" s="50"/>
      <c r="C80" s="10"/>
      <c r="D80" s="10"/>
      <c r="E80" s="127"/>
      <c r="F80" s="127"/>
      <c r="G80" s="546"/>
      <c r="H80" s="546"/>
      <c r="I80" s="546"/>
      <c r="J80" s="325"/>
      <c r="K80" s="33"/>
      <c r="L80" s="34"/>
      <c r="M80" s="38"/>
      <c r="N80" s="38"/>
      <c r="O80" s="38"/>
    </row>
    <row r="81" spans="1:15" s="12" customFormat="1" ht="15" customHeight="1" thickBot="1">
      <c r="A81" s="249"/>
      <c r="B81" s="250"/>
      <c r="C81" s="251"/>
      <c r="D81" s="251"/>
      <c r="E81" s="404"/>
      <c r="F81" s="404"/>
      <c r="G81" s="560"/>
      <c r="H81" s="560"/>
      <c r="I81" s="560"/>
      <c r="J81" s="555"/>
      <c r="K81" s="33"/>
      <c r="L81" s="34"/>
      <c r="M81" s="38"/>
      <c r="N81" s="38"/>
      <c r="O81" s="38"/>
    </row>
    <row r="82" spans="1:15" ht="15" customHeight="1" thickTop="1">
      <c r="A82" s="305" t="s">
        <v>111</v>
      </c>
      <c r="B82" s="50"/>
      <c r="C82" s="10"/>
      <c r="D82" s="10"/>
      <c r="E82" s="127"/>
      <c r="F82" s="127"/>
      <c r="G82" s="205"/>
      <c r="H82" s="205"/>
      <c r="I82" s="205"/>
      <c r="J82" s="553"/>
      <c r="K82" s="36"/>
      <c r="L82" s="37"/>
      <c r="M82" s="14"/>
      <c r="N82" s="14"/>
      <c r="O82" s="14"/>
    </row>
    <row r="83" spans="1:15" ht="15" customHeight="1">
      <c r="A83" s="388"/>
      <c r="B83" s="50"/>
      <c r="C83" s="10"/>
      <c r="D83" s="10"/>
      <c r="E83" s="127"/>
      <c r="F83" s="127"/>
      <c r="G83" s="205"/>
      <c r="H83" s="205"/>
      <c r="I83" s="205"/>
      <c r="J83" s="553"/>
      <c r="K83" s="36"/>
      <c r="L83" s="37"/>
      <c r="M83" s="14"/>
      <c r="N83" s="14"/>
      <c r="O83" s="14"/>
    </row>
    <row r="84" spans="1:15" ht="15" customHeight="1">
      <c r="A84" s="389" t="s">
        <v>264</v>
      </c>
      <c r="B84" s="121"/>
      <c r="C84" s="863" t="s">
        <v>469</v>
      </c>
      <c r="D84" s="864"/>
      <c r="E84" s="864"/>
      <c r="F84" s="865"/>
      <c r="G84" s="482">
        <f>'Sch 1A - Cash Working Capital'!C23</f>
        <v>654025.51</v>
      </c>
      <c r="H84" s="352">
        <f>'Sch 1A - Cash Working Capital'!D23</f>
        <v>141093.02884310007</v>
      </c>
      <c r="I84" s="571">
        <f>'Sch 1A - Cash Working Capital'!E23</f>
        <v>160809.54274227915</v>
      </c>
      <c r="J84" s="572">
        <f>'Sch 1A - Cash Working Capital'!F23</f>
        <v>352122.9384146207</v>
      </c>
      <c r="K84" s="36"/>
      <c r="L84" s="37"/>
      <c r="M84" s="14"/>
      <c r="N84" s="14"/>
      <c r="O84" s="14"/>
    </row>
    <row r="85" spans="1:15" ht="15" customHeight="1">
      <c r="A85" s="237"/>
      <c r="B85" s="91"/>
      <c r="C85" s="85"/>
      <c r="D85" s="85"/>
      <c r="E85" s="83"/>
      <c r="F85" s="83"/>
      <c r="G85" s="561"/>
      <c r="H85" s="573"/>
      <c r="I85" s="573"/>
      <c r="J85" s="574"/>
      <c r="K85" s="36"/>
      <c r="L85" s="37"/>
      <c r="M85" s="14"/>
      <c r="N85" s="14"/>
      <c r="O85" s="14"/>
    </row>
    <row r="86" spans="1:15" ht="15" customHeight="1">
      <c r="A86" s="390" t="s">
        <v>313</v>
      </c>
      <c r="B86" s="128"/>
      <c r="C86" s="129"/>
      <c r="D86" s="83"/>
      <c r="E86" s="83"/>
      <c r="F86" s="83"/>
      <c r="G86" s="489"/>
      <c r="H86" s="490"/>
      <c r="I86" s="490"/>
      <c r="J86" s="491"/>
      <c r="K86" s="37"/>
      <c r="L86" s="37"/>
      <c r="M86" s="14"/>
      <c r="N86" s="14"/>
      <c r="O86" s="14"/>
    </row>
    <row r="87" spans="1:15" ht="15" customHeight="1">
      <c r="A87" s="237"/>
      <c r="B87" s="91" t="s">
        <v>150</v>
      </c>
      <c r="C87" s="261" t="s">
        <v>104</v>
      </c>
      <c r="D87" s="261">
        <v>105</v>
      </c>
      <c r="E87" s="266" t="s">
        <v>392</v>
      </c>
      <c r="F87" s="266"/>
      <c r="G87" s="482"/>
      <c r="H87" s="352">
        <f>VLOOKUP($E87,Ratio,2,FALSE)*$G87</f>
        <v>0</v>
      </c>
      <c r="I87" s="352">
        <f>VLOOKUP($E87,Ratio,3,FALSE)*$G87</f>
        <v>0</v>
      </c>
      <c r="J87" s="382">
        <f>VLOOKUP($E87,Ratio,4,FALSE)*$G87</f>
        <v>0</v>
      </c>
      <c r="K87" s="37"/>
      <c r="L87" s="37"/>
      <c r="M87" s="14"/>
      <c r="N87" s="14"/>
      <c r="O87" s="14"/>
    </row>
    <row r="88" spans="1:15" ht="15" customHeight="1">
      <c r="A88" s="237"/>
      <c r="B88" s="91" t="s">
        <v>112</v>
      </c>
      <c r="C88" s="261" t="s">
        <v>104</v>
      </c>
      <c r="D88" s="353">
        <v>106</v>
      </c>
      <c r="E88" s="437" t="s">
        <v>11</v>
      </c>
      <c r="F88" s="266"/>
      <c r="G88" s="482"/>
      <c r="H88" s="352">
        <f>VLOOKUP($E88,Ratio,2,FALSE)*$G88</f>
        <v>0</v>
      </c>
      <c r="I88" s="352">
        <f>VLOOKUP($E88,Ratio,3,FALSE)*$G88</f>
        <v>0</v>
      </c>
      <c r="J88" s="382">
        <f>VLOOKUP($E88,Ratio,4,FALSE)*$G88</f>
        <v>0</v>
      </c>
      <c r="K88" s="37"/>
      <c r="L88" s="37"/>
      <c r="M88" s="14"/>
      <c r="N88" s="14"/>
      <c r="O88" s="14"/>
    </row>
    <row r="89" spans="1:15" ht="15" customHeight="1">
      <c r="A89" s="237"/>
      <c r="B89" s="51" t="s">
        <v>54</v>
      </c>
      <c r="C89" s="261"/>
      <c r="D89" s="261" t="s">
        <v>243</v>
      </c>
      <c r="E89" s="266" t="s">
        <v>394</v>
      </c>
      <c r="F89" s="266"/>
      <c r="G89" s="482"/>
      <c r="H89" s="352">
        <f>VLOOKUP($E89,Ratio,2,FALSE)*$G89</f>
        <v>0</v>
      </c>
      <c r="I89" s="352">
        <f>VLOOKUP($E89,Ratio,3,FALSE)*$G89</f>
        <v>0</v>
      </c>
      <c r="J89" s="382">
        <f>VLOOKUP($E89,Ratio,4,FALSE)*$G89</f>
        <v>0</v>
      </c>
      <c r="K89" s="36"/>
      <c r="L89" s="37"/>
      <c r="M89" s="14"/>
      <c r="N89" s="14"/>
      <c r="O89" s="14"/>
    </row>
    <row r="90" spans="1:15" ht="15" customHeight="1">
      <c r="A90" s="237"/>
      <c r="B90" s="91" t="s">
        <v>115</v>
      </c>
      <c r="C90" s="261" t="s">
        <v>104</v>
      </c>
      <c r="D90" s="261" t="s">
        <v>244</v>
      </c>
      <c r="E90" s="266" t="s">
        <v>392</v>
      </c>
      <c r="F90" s="266"/>
      <c r="G90" s="841">
        <v>4098931.1</v>
      </c>
      <c r="H90" s="352">
        <f>VLOOKUP($E90,Ratio,2,FALSE)*$G90</f>
        <v>0</v>
      </c>
      <c r="I90" s="352">
        <f>VLOOKUP($E90,Ratio,3,FALSE)*$G90</f>
        <v>0</v>
      </c>
      <c r="J90" s="382">
        <f>VLOOKUP($E90,Ratio,4,FALSE)*$G90</f>
        <v>4098931.1</v>
      </c>
      <c r="K90" s="37"/>
      <c r="L90" s="37"/>
      <c r="M90" s="14"/>
      <c r="N90" s="14"/>
      <c r="O90" s="14"/>
    </row>
    <row r="91" spans="1:15" ht="15" customHeight="1">
      <c r="A91" s="237"/>
      <c r="B91" s="91" t="s">
        <v>447</v>
      </c>
      <c r="C91" s="261" t="s">
        <v>448</v>
      </c>
      <c r="D91" s="261"/>
      <c r="E91" s="266" t="s">
        <v>2</v>
      </c>
      <c r="F91" s="266" t="s">
        <v>2</v>
      </c>
      <c r="G91" s="482"/>
      <c r="H91" s="352"/>
      <c r="I91" s="352"/>
      <c r="J91" s="382"/>
      <c r="K91" s="37"/>
      <c r="L91" s="37"/>
      <c r="M91" s="14"/>
      <c r="N91" s="14"/>
      <c r="O91" s="14"/>
    </row>
    <row r="92" spans="1:15" s="12" customFormat="1" ht="15" customHeight="1">
      <c r="A92" s="237"/>
      <c r="B92" s="91" t="s">
        <v>106</v>
      </c>
      <c r="C92" s="261" t="s">
        <v>104</v>
      </c>
      <c r="D92" s="261">
        <v>114</v>
      </c>
      <c r="E92" s="266" t="s">
        <v>2</v>
      </c>
      <c r="F92" s="266" t="s">
        <v>392</v>
      </c>
      <c r="G92" s="482"/>
      <c r="H92" s="352">
        <f>IF($E92="DIRECT",$L92,VLOOKUP($E92,Ratio,2,FALSE)*$G92)</f>
        <v>0</v>
      </c>
      <c r="I92" s="352">
        <f>IF($E92="DIRECT",$M92,VLOOKUP($E92,Ratio,3,FALSE)*$G92)</f>
        <v>0</v>
      </c>
      <c r="J92" s="382">
        <f>IF($E92="DIRECT",$N92,VLOOKUP($E92,Ratio,4,FALSE)*$G92)</f>
        <v>0</v>
      </c>
      <c r="K92" s="34"/>
      <c r="L92" s="352"/>
      <c r="M92" s="352"/>
      <c r="N92" s="382"/>
      <c r="O92" s="38"/>
    </row>
    <row r="93" spans="1:15" ht="15" customHeight="1">
      <c r="A93" s="237"/>
      <c r="B93" s="120" t="s">
        <v>14</v>
      </c>
      <c r="C93" s="711"/>
      <c r="D93" s="691"/>
      <c r="E93" s="691"/>
      <c r="F93" s="692"/>
      <c r="G93" s="712">
        <f>SUM(G87:G92)</f>
        <v>4098931.1</v>
      </c>
      <c r="H93" s="712">
        <f>SUM(H87:H92)</f>
        <v>0</v>
      </c>
      <c r="I93" s="712">
        <f>SUM(I87:I92)</f>
        <v>0</v>
      </c>
      <c r="J93" s="713">
        <f>SUM(J87:J92)</f>
        <v>4098931.1</v>
      </c>
      <c r="K93" s="37"/>
      <c r="L93" s="37"/>
      <c r="M93" s="14"/>
      <c r="N93" s="14"/>
      <c r="O93" s="14"/>
    </row>
    <row r="94" spans="1:15" ht="15" customHeight="1">
      <c r="A94" s="237"/>
      <c r="B94" s="120"/>
      <c r="C94" s="130"/>
      <c r="D94" s="130"/>
      <c r="E94" s="130"/>
      <c r="F94" s="130"/>
      <c r="G94" s="483"/>
      <c r="H94" s="483"/>
      <c r="I94" s="483"/>
      <c r="J94" s="484"/>
      <c r="K94" s="37"/>
      <c r="L94" s="37"/>
      <c r="M94" s="14"/>
      <c r="N94" s="14"/>
      <c r="O94" s="14"/>
    </row>
    <row r="95" spans="1:15" ht="15" customHeight="1">
      <c r="A95" s="391" t="s">
        <v>314</v>
      </c>
      <c r="B95" s="128"/>
      <c r="C95" s="129"/>
      <c r="D95" s="83"/>
      <c r="E95" s="83"/>
      <c r="F95" s="83"/>
      <c r="G95" s="485"/>
      <c r="H95" s="485"/>
      <c r="I95" s="485"/>
      <c r="J95" s="486"/>
      <c r="K95" s="37"/>
      <c r="L95" s="37"/>
      <c r="M95" s="14"/>
      <c r="N95" s="14"/>
      <c r="O95" s="14"/>
    </row>
    <row r="96" spans="1:15" ht="15" customHeight="1">
      <c r="A96" s="237"/>
      <c r="B96" s="84" t="s">
        <v>161</v>
      </c>
      <c r="C96" s="261" t="s">
        <v>113</v>
      </c>
      <c r="D96" s="261">
        <v>123</v>
      </c>
      <c r="E96" s="266" t="s">
        <v>2</v>
      </c>
      <c r="F96" s="266" t="s">
        <v>392</v>
      </c>
      <c r="G96" s="482"/>
      <c r="H96" s="352">
        <f>IF($E96="DIRECT",$L96,VLOOKUP($E96,Ratio,2,FALSE)*$G96)</f>
        <v>0</v>
      </c>
      <c r="I96" s="352">
        <f>IF($E96="DIRECT",$M96,VLOOKUP($E96,Ratio,3,FALSE)*$G96)</f>
        <v>0</v>
      </c>
      <c r="J96" s="382">
        <f>IF($E96="DIRECT",$N96,VLOOKUP($E96,Ratio,4,FALSE)*$G96)</f>
        <v>0</v>
      </c>
      <c r="K96" s="37"/>
      <c r="L96" s="352"/>
      <c r="M96" s="352"/>
      <c r="N96" s="382"/>
      <c r="O96" s="14"/>
    </row>
    <row r="97" spans="1:15" ht="15" customHeight="1">
      <c r="A97" s="237"/>
      <c r="B97" s="91" t="s">
        <v>55</v>
      </c>
      <c r="C97" s="261" t="s">
        <v>113</v>
      </c>
      <c r="D97" s="261">
        <v>124</v>
      </c>
      <c r="E97" s="266" t="s">
        <v>392</v>
      </c>
      <c r="F97" s="266"/>
      <c r="G97" s="482"/>
      <c r="H97" s="352">
        <f>VLOOKUP($E97,Ratio,2,FALSE)*$G97</f>
        <v>0</v>
      </c>
      <c r="I97" s="352">
        <f>VLOOKUP($E97,Ratio,3,FALSE)*$G97</f>
        <v>0</v>
      </c>
      <c r="J97" s="382">
        <f>VLOOKUP($E97,Ratio,4,FALSE)*$G97</f>
        <v>0</v>
      </c>
      <c r="K97" s="37"/>
      <c r="L97" s="37"/>
      <c r="M97" s="14"/>
      <c r="N97" s="14"/>
      <c r="O97" s="14"/>
    </row>
    <row r="98" spans="1:15" ht="15" customHeight="1">
      <c r="A98" s="237"/>
      <c r="B98" s="92" t="s">
        <v>202</v>
      </c>
      <c r="C98" s="261" t="s">
        <v>113</v>
      </c>
      <c r="D98" s="261">
        <v>175</v>
      </c>
      <c r="E98" s="266" t="s">
        <v>392</v>
      </c>
      <c r="F98" s="266"/>
      <c r="G98" s="482"/>
      <c r="H98" s="352">
        <f>VLOOKUP($E98,Ratio,2,FALSE)*$G98</f>
        <v>0</v>
      </c>
      <c r="I98" s="352">
        <f>VLOOKUP($E98,Ratio,3,FALSE)*$G98</f>
        <v>0</v>
      </c>
      <c r="J98" s="382">
        <f>VLOOKUP($E98,Ratio,4,FALSE)*$G98</f>
        <v>0</v>
      </c>
      <c r="K98" s="37"/>
      <c r="L98" s="37"/>
      <c r="M98" s="14"/>
      <c r="N98" s="14"/>
      <c r="O98" s="14"/>
    </row>
    <row r="99" spans="1:15" ht="15" customHeight="1">
      <c r="A99" s="237"/>
      <c r="B99" s="92" t="s">
        <v>372</v>
      </c>
      <c r="C99" s="261" t="s">
        <v>113</v>
      </c>
      <c r="D99" s="261">
        <v>176</v>
      </c>
      <c r="E99" s="266" t="s">
        <v>392</v>
      </c>
      <c r="F99" s="266"/>
      <c r="G99" s="482"/>
      <c r="H99" s="352">
        <f>VLOOKUP($E99,Ratio,2,FALSE)*$G99</f>
        <v>0</v>
      </c>
      <c r="I99" s="352">
        <f>VLOOKUP($E99,Ratio,3,FALSE)*$G99</f>
        <v>0</v>
      </c>
      <c r="J99" s="382">
        <f>VLOOKUP($E99,Ratio,4,FALSE)*$G99</f>
        <v>0</v>
      </c>
      <c r="K99" s="37"/>
      <c r="L99" s="37"/>
      <c r="M99" s="14"/>
      <c r="N99" s="14"/>
      <c r="O99" s="14"/>
    </row>
    <row r="100" spans="1:15" ht="15" customHeight="1">
      <c r="A100" s="237"/>
      <c r="B100" s="120" t="s">
        <v>14</v>
      </c>
      <c r="C100" s="711"/>
      <c r="D100" s="691"/>
      <c r="E100" s="691"/>
      <c r="F100" s="692"/>
      <c r="G100" s="712">
        <f>SUM(G96:G99)</f>
        <v>0</v>
      </c>
      <c r="H100" s="712">
        <f>SUM(H96:H99)</f>
        <v>0</v>
      </c>
      <c r="I100" s="712">
        <f>SUM(I96:I99)</f>
        <v>0</v>
      </c>
      <c r="J100" s="713">
        <f>SUM(J96:J99)</f>
        <v>0</v>
      </c>
      <c r="K100" s="37"/>
      <c r="L100" s="37"/>
      <c r="M100" s="14"/>
      <c r="N100" s="14"/>
      <c r="O100" s="14"/>
    </row>
    <row r="101" spans="1:15" ht="15" customHeight="1">
      <c r="A101" s="237"/>
      <c r="B101" s="120"/>
      <c r="C101" s="130"/>
      <c r="D101" s="130"/>
      <c r="E101" s="130"/>
      <c r="F101" s="130"/>
      <c r="G101" s="483"/>
      <c r="H101" s="483"/>
      <c r="I101" s="483"/>
      <c r="J101" s="484"/>
      <c r="K101" s="37"/>
      <c r="L101" s="37"/>
      <c r="M101" s="14"/>
      <c r="N101" s="14"/>
      <c r="O101" s="14"/>
    </row>
    <row r="102" spans="1:15" s="12" customFormat="1" ht="15" customHeight="1">
      <c r="A102" s="390" t="s">
        <v>404</v>
      </c>
      <c r="B102" s="131"/>
      <c r="C102" s="129"/>
      <c r="D102" s="83"/>
      <c r="E102" s="83"/>
      <c r="F102" s="83"/>
      <c r="G102" s="562"/>
      <c r="H102" s="562"/>
      <c r="I102" s="562"/>
      <c r="J102" s="563"/>
      <c r="K102" s="34"/>
      <c r="L102" s="34"/>
      <c r="M102" s="38"/>
      <c r="N102" s="38"/>
      <c r="O102" s="38"/>
    </row>
    <row r="103" spans="1:15" ht="15" customHeight="1">
      <c r="A103" s="237"/>
      <c r="B103" s="91" t="s">
        <v>153</v>
      </c>
      <c r="C103" s="261" t="s">
        <v>113</v>
      </c>
      <c r="D103" s="261">
        <v>151</v>
      </c>
      <c r="E103" s="266" t="s">
        <v>394</v>
      </c>
      <c r="F103" s="266"/>
      <c r="G103" s="482"/>
      <c r="H103" s="352">
        <f aca="true" t="shared" si="6" ref="H103:H115">VLOOKUP($E103,Ratio,2,FALSE)*$G103</f>
        <v>0</v>
      </c>
      <c r="I103" s="352">
        <f aca="true" t="shared" si="7" ref="I103:I115">VLOOKUP($E103,Ratio,3,FALSE)*$G103</f>
        <v>0</v>
      </c>
      <c r="J103" s="382">
        <f aca="true" t="shared" si="8" ref="J103:J115">VLOOKUP($E103,Ratio,4,FALSE)*$G103</f>
        <v>0</v>
      </c>
      <c r="K103" s="37"/>
      <c r="L103" s="37"/>
      <c r="M103" s="14"/>
      <c r="N103" s="14"/>
      <c r="O103" s="14"/>
    </row>
    <row r="104" spans="1:15" ht="15" customHeight="1">
      <c r="A104" s="237"/>
      <c r="B104" s="92" t="s">
        <v>203</v>
      </c>
      <c r="C104" s="261" t="s">
        <v>113</v>
      </c>
      <c r="D104" s="261">
        <v>152</v>
      </c>
      <c r="E104" s="266" t="s">
        <v>394</v>
      </c>
      <c r="F104" s="266"/>
      <c r="G104" s="482"/>
      <c r="H104" s="352">
        <f t="shared" si="6"/>
        <v>0</v>
      </c>
      <c r="I104" s="352">
        <f t="shared" si="7"/>
        <v>0</v>
      </c>
      <c r="J104" s="382">
        <f t="shared" si="8"/>
        <v>0</v>
      </c>
      <c r="K104" s="37"/>
      <c r="L104" s="37"/>
      <c r="M104" s="14"/>
      <c r="N104" s="14"/>
      <c r="O104" s="14"/>
    </row>
    <row r="105" spans="1:15" ht="15" customHeight="1">
      <c r="A105" s="237"/>
      <c r="B105" s="91" t="s">
        <v>114</v>
      </c>
      <c r="C105" s="261" t="s">
        <v>113</v>
      </c>
      <c r="D105" s="261">
        <v>154</v>
      </c>
      <c r="E105" s="266" t="s">
        <v>11</v>
      </c>
      <c r="F105" s="266"/>
      <c r="G105" s="841">
        <v>404389.11</v>
      </c>
      <c r="H105" s="352">
        <f t="shared" si="6"/>
        <v>189521.90490501391</v>
      </c>
      <c r="I105" s="352">
        <f t="shared" si="7"/>
        <v>13706.030514193084</v>
      </c>
      <c r="J105" s="382">
        <f t="shared" si="8"/>
        <v>201161.17458079298</v>
      </c>
      <c r="K105" s="37"/>
      <c r="L105" s="37"/>
      <c r="M105" s="14"/>
      <c r="N105" s="14"/>
      <c r="O105" s="14"/>
    </row>
    <row r="106" spans="1:15" ht="15" customHeight="1">
      <c r="A106" s="237"/>
      <c r="B106" s="91" t="s">
        <v>352</v>
      </c>
      <c r="C106" s="261" t="s">
        <v>241</v>
      </c>
      <c r="D106" s="261">
        <v>155</v>
      </c>
      <c r="E106" s="266" t="s">
        <v>392</v>
      </c>
      <c r="F106" s="266"/>
      <c r="G106" s="482"/>
      <c r="H106" s="352">
        <f t="shared" si="6"/>
        <v>0</v>
      </c>
      <c r="I106" s="352">
        <f t="shared" si="7"/>
        <v>0</v>
      </c>
      <c r="J106" s="382">
        <f t="shared" si="8"/>
        <v>0</v>
      </c>
      <c r="K106" s="37"/>
      <c r="L106" s="37"/>
      <c r="M106" s="14"/>
      <c r="N106" s="14"/>
      <c r="O106" s="14"/>
    </row>
    <row r="107" spans="1:15" ht="15" customHeight="1">
      <c r="A107" s="237"/>
      <c r="B107" s="91" t="s">
        <v>353</v>
      </c>
      <c r="C107" s="261" t="s">
        <v>113</v>
      </c>
      <c r="D107" s="261">
        <v>156</v>
      </c>
      <c r="E107" s="266" t="s">
        <v>392</v>
      </c>
      <c r="F107" s="266"/>
      <c r="G107" s="482"/>
      <c r="H107" s="352">
        <f t="shared" si="6"/>
        <v>0</v>
      </c>
      <c r="I107" s="352">
        <f t="shared" si="7"/>
        <v>0</v>
      </c>
      <c r="J107" s="382">
        <f t="shared" si="8"/>
        <v>0</v>
      </c>
      <c r="K107" s="37"/>
      <c r="L107" s="37"/>
      <c r="M107" s="14"/>
      <c r="N107" s="14"/>
      <c r="O107" s="14"/>
    </row>
    <row r="108" spans="1:15" ht="15" customHeight="1">
      <c r="A108" s="237"/>
      <c r="B108" s="91" t="s">
        <v>354</v>
      </c>
      <c r="C108" s="261" t="s">
        <v>241</v>
      </c>
      <c r="D108" s="261">
        <v>158.1</v>
      </c>
      <c r="E108" s="266" t="s">
        <v>394</v>
      </c>
      <c r="F108" s="266"/>
      <c r="G108" s="482"/>
      <c r="H108" s="352">
        <f t="shared" si="6"/>
        <v>0</v>
      </c>
      <c r="I108" s="352">
        <f t="shared" si="7"/>
        <v>0</v>
      </c>
      <c r="J108" s="382">
        <f t="shared" si="8"/>
        <v>0</v>
      </c>
      <c r="K108" s="37"/>
      <c r="L108" s="37"/>
      <c r="M108" s="14"/>
      <c r="N108" s="14"/>
      <c r="O108" s="14"/>
    </row>
    <row r="109" spans="1:15" ht="15" customHeight="1">
      <c r="A109" s="237"/>
      <c r="B109" s="91" t="s">
        <v>405</v>
      </c>
      <c r="C109" s="261" t="s">
        <v>241</v>
      </c>
      <c r="D109" s="261">
        <v>158.2</v>
      </c>
      <c r="E109" s="266" t="s">
        <v>394</v>
      </c>
      <c r="F109" s="266"/>
      <c r="G109" s="482"/>
      <c r="H109" s="352">
        <f t="shared" si="6"/>
        <v>0</v>
      </c>
      <c r="I109" s="352">
        <f t="shared" si="7"/>
        <v>0</v>
      </c>
      <c r="J109" s="382">
        <f t="shared" si="8"/>
        <v>0</v>
      </c>
      <c r="K109" s="37"/>
      <c r="L109" s="37"/>
      <c r="M109" s="14"/>
      <c r="N109" s="14"/>
      <c r="O109" s="14"/>
    </row>
    <row r="110" spans="1:15" ht="14.25" customHeight="1">
      <c r="A110" s="237"/>
      <c r="B110" s="91" t="s">
        <v>90</v>
      </c>
      <c r="C110" s="261" t="s">
        <v>113</v>
      </c>
      <c r="D110" s="261">
        <v>163</v>
      </c>
      <c r="E110" s="266" t="s">
        <v>11</v>
      </c>
      <c r="F110" s="266"/>
      <c r="G110" s="482"/>
      <c r="H110" s="352">
        <f t="shared" si="6"/>
        <v>0</v>
      </c>
      <c r="I110" s="352">
        <f t="shared" si="7"/>
        <v>0</v>
      </c>
      <c r="J110" s="382">
        <f t="shared" si="8"/>
        <v>0</v>
      </c>
      <c r="K110" s="37"/>
      <c r="L110" s="37"/>
      <c r="M110" s="14"/>
      <c r="N110" s="14"/>
      <c r="O110" s="14"/>
    </row>
    <row r="111" spans="1:15" ht="15" customHeight="1">
      <c r="A111" s="237"/>
      <c r="B111" s="91" t="s">
        <v>204</v>
      </c>
      <c r="C111" s="261" t="s">
        <v>113</v>
      </c>
      <c r="D111" s="261">
        <v>165</v>
      </c>
      <c r="E111" s="266" t="s">
        <v>11</v>
      </c>
      <c r="F111" s="266"/>
      <c r="G111" s="482"/>
      <c r="H111" s="352">
        <f t="shared" si="6"/>
        <v>0</v>
      </c>
      <c r="I111" s="352">
        <f t="shared" si="7"/>
        <v>0</v>
      </c>
      <c r="J111" s="382">
        <f t="shared" si="8"/>
        <v>0</v>
      </c>
      <c r="K111" s="34"/>
      <c r="L111" s="34"/>
      <c r="M111" s="14"/>
      <c r="N111" s="14"/>
      <c r="O111" s="14"/>
    </row>
    <row r="112" spans="1:15" ht="15" customHeight="1">
      <c r="A112" s="237"/>
      <c r="B112" s="92" t="s">
        <v>205</v>
      </c>
      <c r="C112" s="261" t="s">
        <v>113</v>
      </c>
      <c r="D112" s="261">
        <v>175</v>
      </c>
      <c r="E112" s="266" t="s">
        <v>392</v>
      </c>
      <c r="F112" s="266"/>
      <c r="G112" s="482"/>
      <c r="H112" s="352">
        <f t="shared" si="6"/>
        <v>0</v>
      </c>
      <c r="I112" s="352">
        <f t="shared" si="7"/>
        <v>0</v>
      </c>
      <c r="J112" s="382">
        <f t="shared" si="8"/>
        <v>0</v>
      </c>
      <c r="K112" s="34"/>
      <c r="L112" s="34"/>
      <c r="M112" s="14"/>
      <c r="N112" s="14"/>
      <c r="O112" s="14"/>
    </row>
    <row r="113" spans="1:15" ht="15" customHeight="1">
      <c r="A113" s="237"/>
      <c r="B113" s="206" t="s">
        <v>411</v>
      </c>
      <c r="C113" s="261" t="s">
        <v>241</v>
      </c>
      <c r="D113" s="261">
        <v>175</v>
      </c>
      <c r="E113" s="266" t="s">
        <v>392</v>
      </c>
      <c r="F113" s="266"/>
      <c r="G113" s="482"/>
      <c r="H113" s="352">
        <f t="shared" si="6"/>
        <v>0</v>
      </c>
      <c r="I113" s="352">
        <f t="shared" si="7"/>
        <v>0</v>
      </c>
      <c r="J113" s="382">
        <f t="shared" si="8"/>
        <v>0</v>
      </c>
      <c r="K113" s="34"/>
      <c r="L113" s="34"/>
      <c r="M113" s="14"/>
      <c r="N113" s="14"/>
      <c r="O113" s="14"/>
    </row>
    <row r="114" spans="1:15" ht="15" customHeight="1">
      <c r="A114" s="237"/>
      <c r="B114" s="92" t="s">
        <v>331</v>
      </c>
      <c r="C114" s="142" t="s">
        <v>113</v>
      </c>
      <c r="D114" s="142">
        <v>176</v>
      </c>
      <c r="E114" s="354" t="s">
        <v>392</v>
      </c>
      <c r="F114" s="266"/>
      <c r="G114" s="482"/>
      <c r="H114" s="352">
        <f t="shared" si="6"/>
        <v>0</v>
      </c>
      <c r="I114" s="352">
        <f t="shared" si="7"/>
        <v>0</v>
      </c>
      <c r="J114" s="382">
        <f t="shared" si="8"/>
        <v>0</v>
      </c>
      <c r="K114" s="37"/>
      <c r="L114" s="37"/>
      <c r="M114" s="14"/>
      <c r="N114" s="14"/>
      <c r="O114" s="14"/>
    </row>
    <row r="115" spans="1:15" ht="15" customHeight="1">
      <c r="A115" s="237"/>
      <c r="B115" s="206" t="s">
        <v>461</v>
      </c>
      <c r="C115" s="142" t="s">
        <v>241</v>
      </c>
      <c r="D115" s="142">
        <v>176</v>
      </c>
      <c r="E115" s="354" t="s">
        <v>392</v>
      </c>
      <c r="F115" s="266"/>
      <c r="G115" s="482"/>
      <c r="H115" s="352">
        <f t="shared" si="6"/>
        <v>0</v>
      </c>
      <c r="I115" s="352">
        <f t="shared" si="7"/>
        <v>0</v>
      </c>
      <c r="J115" s="382">
        <f t="shared" si="8"/>
        <v>0</v>
      </c>
      <c r="K115" s="37"/>
      <c r="L115" s="37"/>
      <c r="M115" s="14"/>
      <c r="N115" s="14"/>
      <c r="O115" s="14"/>
    </row>
    <row r="116" spans="1:15" ht="15" customHeight="1">
      <c r="A116" s="237"/>
      <c r="B116" s="120" t="s">
        <v>14</v>
      </c>
      <c r="C116" s="711"/>
      <c r="D116" s="691"/>
      <c r="E116" s="691"/>
      <c r="F116" s="692"/>
      <c r="G116" s="712">
        <f>SUM(G103:G112,G114)-G113-G115</f>
        <v>404389.11</v>
      </c>
      <c r="H116" s="712">
        <f>SUM(H103:H112,H114)-H113-H115</f>
        <v>189521.90490501391</v>
      </c>
      <c r="I116" s="712">
        <f>SUM(I103:I112,I114)-I113-I115</f>
        <v>13706.030514193084</v>
      </c>
      <c r="J116" s="713">
        <f>SUM(J103:J112,J114)-J113-J115</f>
        <v>201161.17458079298</v>
      </c>
      <c r="K116" s="37"/>
      <c r="L116" s="37"/>
      <c r="M116" s="14"/>
      <c r="N116" s="14"/>
      <c r="O116" s="14"/>
    </row>
    <row r="117" spans="1:15" ht="15" customHeight="1" thickBot="1">
      <c r="A117" s="401"/>
      <c r="B117" s="402"/>
      <c r="C117" s="403"/>
      <c r="D117" s="403"/>
      <c r="E117" s="403"/>
      <c r="F117" s="403"/>
      <c r="G117" s="487"/>
      <c r="H117" s="487"/>
      <c r="I117" s="487"/>
      <c r="J117" s="488"/>
      <c r="K117" s="37"/>
      <c r="L117" s="37"/>
      <c r="M117" s="14"/>
      <c r="N117" s="14"/>
      <c r="O117" s="14"/>
    </row>
    <row r="118" spans="1:15" ht="15" customHeight="1" thickTop="1">
      <c r="A118" s="390" t="s">
        <v>406</v>
      </c>
      <c r="B118" s="132"/>
      <c r="C118" s="129"/>
      <c r="D118" s="83"/>
      <c r="E118" s="83"/>
      <c r="F118" s="83"/>
      <c r="G118" s="489"/>
      <c r="H118" s="490"/>
      <c r="I118" s="490"/>
      <c r="J118" s="491"/>
      <c r="K118" s="37"/>
      <c r="L118" s="37"/>
      <c r="M118" s="14"/>
      <c r="N118" s="14"/>
      <c r="O118" s="14"/>
    </row>
    <row r="119" spans="1:15" ht="15" customHeight="1">
      <c r="A119" s="237"/>
      <c r="B119" s="92" t="s">
        <v>206</v>
      </c>
      <c r="C119" s="261" t="s">
        <v>113</v>
      </c>
      <c r="D119" s="261">
        <v>181</v>
      </c>
      <c r="E119" s="266" t="s">
        <v>18</v>
      </c>
      <c r="F119" s="266"/>
      <c r="G119" s="482">
        <f>77410.32+10077.6</f>
        <v>87487.92000000001</v>
      </c>
      <c r="H119" s="352">
        <f>VLOOKUP($E119,Ratio,2,FALSE)*$G119</f>
        <v>44839.62867713875</v>
      </c>
      <c r="I119" s="352">
        <f>VLOOKUP($E119,Ratio,3,FALSE)*$G119</f>
        <v>2722.0263328605765</v>
      </c>
      <c r="J119" s="382">
        <f>VLOOKUP($E119,Ratio,4,FALSE)*$G119</f>
        <v>39926.26499000068</v>
      </c>
      <c r="K119" s="37"/>
      <c r="L119" s="37"/>
      <c r="M119" s="14"/>
      <c r="N119" s="14"/>
      <c r="O119" s="14"/>
    </row>
    <row r="120" spans="1:15" ht="15" customHeight="1">
      <c r="A120" s="237"/>
      <c r="B120" s="92" t="s">
        <v>207</v>
      </c>
      <c r="C120" s="261" t="s">
        <v>113</v>
      </c>
      <c r="D120" s="261">
        <v>182.1</v>
      </c>
      <c r="E120" s="266" t="s">
        <v>2</v>
      </c>
      <c r="F120" s="266" t="s">
        <v>392</v>
      </c>
      <c r="G120" s="482"/>
      <c r="H120" s="352">
        <f>IF($E120="DIRECT",$L120,VLOOKUP($E120,Ratio,2,FALSE)*$G120)</f>
        <v>0</v>
      </c>
      <c r="I120" s="352">
        <f>IF($E120="DIRECT",$M120,VLOOKUP($E120,Ratio,3,FALSE)*$G120)</f>
        <v>0</v>
      </c>
      <c r="J120" s="382">
        <f>IF($E120="DIRECT",$N120,VLOOKUP($E120,Ratio,4,FALSE)*$G120)</f>
        <v>0</v>
      </c>
      <c r="K120" s="37"/>
      <c r="L120" s="352"/>
      <c r="M120" s="352"/>
      <c r="N120" s="382"/>
      <c r="O120" s="14"/>
    </row>
    <row r="121" spans="1:15" ht="15" customHeight="1">
      <c r="A121" s="237"/>
      <c r="B121" s="92" t="s">
        <v>208</v>
      </c>
      <c r="C121" s="261" t="s">
        <v>113</v>
      </c>
      <c r="D121" s="261">
        <v>182.2</v>
      </c>
      <c r="E121" s="266" t="s">
        <v>2</v>
      </c>
      <c r="F121" s="266" t="s">
        <v>392</v>
      </c>
      <c r="G121" s="482"/>
      <c r="H121" s="352">
        <f>IF($E121="DIRECT",$L121,VLOOKUP($E121,Ratio,2,FALSE)*$G121)</f>
        <v>0</v>
      </c>
      <c r="I121" s="352">
        <f>IF($E121="DIRECT",$M121,VLOOKUP($E121,Ratio,3,FALSE)*$G121)</f>
        <v>0</v>
      </c>
      <c r="J121" s="382">
        <f>IF($E121="DIRECT",$N121,VLOOKUP($E121,Ratio,4,FALSE)*$G121)</f>
        <v>0</v>
      </c>
      <c r="K121" s="37"/>
      <c r="L121" s="352"/>
      <c r="M121" s="352"/>
      <c r="N121" s="382"/>
      <c r="O121" s="14"/>
    </row>
    <row r="122" spans="1:15" s="12" customFormat="1" ht="15" customHeight="1">
      <c r="A122" s="237"/>
      <c r="B122" s="92" t="s">
        <v>209</v>
      </c>
      <c r="C122" s="261" t="s">
        <v>113</v>
      </c>
      <c r="D122" s="261">
        <v>182.3</v>
      </c>
      <c r="E122" s="266" t="s">
        <v>2</v>
      </c>
      <c r="F122" s="266" t="s">
        <v>392</v>
      </c>
      <c r="G122" s="482"/>
      <c r="H122" s="352">
        <f>IF($E122="DIRECT",$L122,VLOOKUP($E122,Ratio,2,FALSE)*$G122)</f>
        <v>0</v>
      </c>
      <c r="I122" s="352">
        <f>IF($E122="DIRECT",$M122,VLOOKUP($E122,Ratio,3,FALSE)*$G122)</f>
        <v>0</v>
      </c>
      <c r="J122" s="382">
        <f>IF($E122="DIRECT",$N122,VLOOKUP($E122,Ratio,4,FALSE)*$G122)</f>
        <v>0</v>
      </c>
      <c r="K122" s="34"/>
      <c r="L122" s="352"/>
      <c r="M122" s="352"/>
      <c r="N122" s="382"/>
      <c r="O122" s="38"/>
    </row>
    <row r="123" spans="1:15" ht="15" customHeight="1">
      <c r="A123" s="237"/>
      <c r="B123" s="92" t="s">
        <v>410</v>
      </c>
      <c r="C123" s="261" t="s">
        <v>113</v>
      </c>
      <c r="D123" s="261">
        <v>183</v>
      </c>
      <c r="E123" s="266" t="s">
        <v>392</v>
      </c>
      <c r="F123" s="266"/>
      <c r="G123" s="482"/>
      <c r="H123" s="352">
        <f aca="true" t="shared" si="9" ref="H123:H132">VLOOKUP($E123,Ratio,2,FALSE)*$G123</f>
        <v>0</v>
      </c>
      <c r="I123" s="352">
        <f aca="true" t="shared" si="10" ref="I123:I132">VLOOKUP($E123,Ratio,3,FALSE)*$G123</f>
        <v>0</v>
      </c>
      <c r="J123" s="382">
        <f aca="true" t="shared" si="11" ref="J123:J132">VLOOKUP($E123,Ratio,4,FALSE)*$G123</f>
        <v>0</v>
      </c>
      <c r="K123" s="37"/>
      <c r="O123" s="14"/>
    </row>
    <row r="124" spans="1:15" ht="15" customHeight="1">
      <c r="A124" s="237"/>
      <c r="B124" s="92" t="s">
        <v>210</v>
      </c>
      <c r="C124" s="261" t="s">
        <v>113</v>
      </c>
      <c r="D124" s="261">
        <v>183.1</v>
      </c>
      <c r="E124" s="266" t="s">
        <v>392</v>
      </c>
      <c r="F124" s="266"/>
      <c r="G124" s="482"/>
      <c r="H124" s="352">
        <f t="shared" si="9"/>
        <v>0</v>
      </c>
      <c r="I124" s="352">
        <f t="shared" si="10"/>
        <v>0</v>
      </c>
      <c r="J124" s="382">
        <f t="shared" si="11"/>
        <v>0</v>
      </c>
      <c r="K124" s="37"/>
      <c r="L124" s="37"/>
      <c r="M124" s="14"/>
      <c r="N124" s="14"/>
      <c r="O124" s="14"/>
    </row>
    <row r="125" spans="1:15" ht="15" customHeight="1">
      <c r="A125" s="237"/>
      <c r="B125" s="92" t="s">
        <v>162</v>
      </c>
      <c r="C125" s="261" t="s">
        <v>113</v>
      </c>
      <c r="D125" s="261">
        <v>183.2</v>
      </c>
      <c r="E125" s="266" t="s">
        <v>392</v>
      </c>
      <c r="F125" s="266"/>
      <c r="G125" s="482"/>
      <c r="H125" s="352">
        <f t="shared" si="9"/>
        <v>0</v>
      </c>
      <c r="I125" s="352">
        <f t="shared" si="10"/>
        <v>0</v>
      </c>
      <c r="J125" s="382">
        <f t="shared" si="11"/>
        <v>0</v>
      </c>
      <c r="K125" s="37"/>
      <c r="L125" s="37"/>
      <c r="M125" s="14"/>
      <c r="N125" s="14"/>
      <c r="O125" s="14"/>
    </row>
    <row r="126" spans="1:15" ht="15" customHeight="1">
      <c r="A126" s="237"/>
      <c r="B126" s="92" t="s">
        <v>211</v>
      </c>
      <c r="C126" s="261" t="s">
        <v>113</v>
      </c>
      <c r="D126" s="261">
        <v>184</v>
      </c>
      <c r="E126" s="266" t="s">
        <v>392</v>
      </c>
      <c r="F126" s="266"/>
      <c r="G126" s="482"/>
      <c r="H126" s="352">
        <f t="shared" si="9"/>
        <v>0</v>
      </c>
      <c r="I126" s="352">
        <f t="shared" si="10"/>
        <v>0</v>
      </c>
      <c r="J126" s="382">
        <f t="shared" si="11"/>
        <v>0</v>
      </c>
      <c r="K126" s="37"/>
      <c r="L126" s="37"/>
      <c r="M126" s="14"/>
      <c r="N126" s="14"/>
      <c r="O126" s="14"/>
    </row>
    <row r="127" spans="1:15" ht="15" customHeight="1">
      <c r="A127" s="237"/>
      <c r="B127" s="92" t="s">
        <v>212</v>
      </c>
      <c r="C127" s="261" t="s">
        <v>113</v>
      </c>
      <c r="D127" s="261">
        <v>185</v>
      </c>
      <c r="E127" s="266" t="s">
        <v>18</v>
      </c>
      <c r="F127" s="266"/>
      <c r="G127" s="482"/>
      <c r="H127" s="352">
        <f t="shared" si="9"/>
        <v>0</v>
      </c>
      <c r="I127" s="352">
        <f t="shared" si="10"/>
        <v>0</v>
      </c>
      <c r="J127" s="382">
        <f t="shared" si="11"/>
        <v>0</v>
      </c>
      <c r="K127" s="37"/>
      <c r="L127" s="37"/>
      <c r="M127" s="14"/>
      <c r="N127" s="14"/>
      <c r="O127" s="14"/>
    </row>
    <row r="128" spans="1:15" s="12" customFormat="1" ht="15" customHeight="1">
      <c r="A128" s="237"/>
      <c r="B128" s="92" t="s">
        <v>213</v>
      </c>
      <c r="C128" s="261" t="s">
        <v>113</v>
      </c>
      <c r="D128" s="261">
        <v>186</v>
      </c>
      <c r="E128" s="266" t="s">
        <v>2</v>
      </c>
      <c r="F128" s="266" t="s">
        <v>392</v>
      </c>
      <c r="G128" s="482"/>
      <c r="H128" s="352">
        <f>IF($E128="DIRECT",$L128,VLOOKUP($E128,Ratio,2,FALSE)*$G128)</f>
        <v>0</v>
      </c>
      <c r="I128" s="352">
        <f>IF($E128="DIRECT",$M128,VLOOKUP($E128,Ratio,3,FALSE)*$G128)</f>
        <v>0</v>
      </c>
      <c r="J128" s="382">
        <f>IF($E128="DIRECT",$N128,VLOOKUP($E128,Ratio,4,FALSE)*$G128)</f>
        <v>0</v>
      </c>
      <c r="K128" s="34"/>
      <c r="L128" s="352"/>
      <c r="M128" s="352"/>
      <c r="N128" s="382"/>
      <c r="O128" s="38"/>
    </row>
    <row r="129" spans="1:15" ht="15" customHeight="1">
      <c r="A129" s="237"/>
      <c r="B129" s="92" t="s">
        <v>214</v>
      </c>
      <c r="C129" s="261" t="s">
        <v>113</v>
      </c>
      <c r="D129" s="261">
        <v>187</v>
      </c>
      <c r="E129" s="266" t="s">
        <v>2</v>
      </c>
      <c r="F129" s="266" t="s">
        <v>2</v>
      </c>
      <c r="G129" s="482"/>
      <c r="H129" s="352"/>
      <c r="I129" s="352"/>
      <c r="J129" s="382"/>
      <c r="K129" s="37"/>
      <c r="L129" s="37"/>
      <c r="M129" s="14"/>
      <c r="N129" s="14"/>
      <c r="O129" s="14"/>
    </row>
    <row r="130" spans="1:15" ht="15" customHeight="1">
      <c r="A130" s="237"/>
      <c r="B130" s="92" t="s">
        <v>215</v>
      </c>
      <c r="C130" s="261" t="s">
        <v>113</v>
      </c>
      <c r="D130" s="261">
        <v>188</v>
      </c>
      <c r="E130" s="266" t="s">
        <v>392</v>
      </c>
      <c r="F130" s="266"/>
      <c r="G130" s="482"/>
      <c r="H130" s="352">
        <f t="shared" si="9"/>
        <v>0</v>
      </c>
      <c r="I130" s="352">
        <f t="shared" si="10"/>
        <v>0</v>
      </c>
      <c r="J130" s="382">
        <f t="shared" si="11"/>
        <v>0</v>
      </c>
      <c r="K130" s="37"/>
      <c r="L130" s="37"/>
      <c r="M130" s="14"/>
      <c r="N130" s="14"/>
      <c r="O130" s="14"/>
    </row>
    <row r="131" spans="1:15" ht="15" customHeight="1">
      <c r="A131" s="237"/>
      <c r="B131" s="92" t="s">
        <v>216</v>
      </c>
      <c r="C131" s="261" t="s">
        <v>113</v>
      </c>
      <c r="D131" s="261">
        <v>189</v>
      </c>
      <c r="E131" s="266" t="s">
        <v>18</v>
      </c>
      <c r="F131" s="266"/>
      <c r="G131" s="482"/>
      <c r="H131" s="352">
        <f t="shared" si="9"/>
        <v>0</v>
      </c>
      <c r="I131" s="352">
        <f t="shared" si="10"/>
        <v>0</v>
      </c>
      <c r="J131" s="382">
        <f t="shared" si="11"/>
        <v>0</v>
      </c>
      <c r="K131" s="37"/>
      <c r="L131" s="37"/>
      <c r="M131" s="14"/>
      <c r="N131" s="14"/>
      <c r="O131" s="14"/>
    </row>
    <row r="132" spans="1:15" ht="15" customHeight="1">
      <c r="A132" s="237"/>
      <c r="B132" s="92" t="s">
        <v>217</v>
      </c>
      <c r="C132" s="261" t="s">
        <v>113</v>
      </c>
      <c r="D132" s="261">
        <v>190</v>
      </c>
      <c r="E132" s="266" t="s">
        <v>392</v>
      </c>
      <c r="F132" s="266"/>
      <c r="G132" s="482"/>
      <c r="H132" s="352">
        <f t="shared" si="9"/>
        <v>0</v>
      </c>
      <c r="I132" s="352">
        <f t="shared" si="10"/>
        <v>0</v>
      </c>
      <c r="J132" s="382">
        <f t="shared" si="11"/>
        <v>0</v>
      </c>
      <c r="K132" s="34"/>
      <c r="L132" s="34"/>
      <c r="M132" s="14"/>
      <c r="N132" s="14"/>
      <c r="O132" s="14"/>
    </row>
    <row r="133" spans="1:15" ht="15" customHeight="1">
      <c r="A133" s="386"/>
      <c r="B133" s="120" t="s">
        <v>14</v>
      </c>
      <c r="C133" s="711"/>
      <c r="D133" s="691"/>
      <c r="E133" s="691"/>
      <c r="F133" s="692"/>
      <c r="G133" s="712">
        <f>SUM(G119:G132)</f>
        <v>87487.92000000001</v>
      </c>
      <c r="H133" s="712">
        <f>SUM(H119:H132)</f>
        <v>44839.62867713875</v>
      </c>
      <c r="I133" s="712">
        <f>SUM(I119:I132)</f>
        <v>2722.0263328605765</v>
      </c>
      <c r="J133" s="713">
        <f>SUM(J119:J132)</f>
        <v>39926.26499000068</v>
      </c>
      <c r="K133" s="34"/>
      <c r="L133" s="34"/>
      <c r="M133" s="14"/>
      <c r="N133" s="14"/>
      <c r="O133" s="14"/>
    </row>
    <row r="134" spans="1:15" s="12" customFormat="1" ht="15" customHeight="1">
      <c r="A134" s="386"/>
      <c r="B134" s="103"/>
      <c r="C134" s="133"/>
      <c r="D134" s="52"/>
      <c r="E134" s="52"/>
      <c r="F134" s="52"/>
      <c r="G134" s="492"/>
      <c r="H134" s="557"/>
      <c r="I134" s="557"/>
      <c r="J134" s="558"/>
      <c r="K134" s="34"/>
      <c r="L134" s="34"/>
      <c r="M134" s="38"/>
      <c r="N134" s="38"/>
      <c r="O134" s="38"/>
    </row>
    <row r="135" spans="1:15" ht="15" customHeight="1">
      <c r="A135" s="300" t="s">
        <v>109</v>
      </c>
      <c r="B135" s="50"/>
      <c r="C135" s="711"/>
      <c r="D135" s="691"/>
      <c r="E135" s="691"/>
      <c r="F135" s="692"/>
      <c r="G135" s="712">
        <f>G84+G93+G100+G116+G133</f>
        <v>5244833.640000001</v>
      </c>
      <c r="H135" s="712">
        <f>H84+H93+H100+H116+H133</f>
        <v>375454.56242525275</v>
      </c>
      <c r="I135" s="712">
        <f>I84+I93+I100+I116+I133</f>
        <v>177237.59958933282</v>
      </c>
      <c r="J135" s="713">
        <f>J84+J93+J100+J116+J133</f>
        <v>4692141.477985415</v>
      </c>
      <c r="K135" s="33"/>
      <c r="L135" s="34"/>
      <c r="M135" s="14"/>
      <c r="N135" s="14"/>
      <c r="O135" s="14"/>
    </row>
    <row r="136" spans="1:15" s="12" customFormat="1" ht="15" customHeight="1" thickBot="1">
      <c r="A136" s="249"/>
      <c r="B136" s="250"/>
      <c r="C136" s="251"/>
      <c r="D136" s="251"/>
      <c r="E136" s="275"/>
      <c r="F136" s="275"/>
      <c r="G136" s="566"/>
      <c r="H136" s="566"/>
      <c r="I136" s="566"/>
      <c r="J136" s="567"/>
      <c r="K136" s="33"/>
      <c r="L136" s="34"/>
      <c r="M136" s="38"/>
      <c r="N136" s="38"/>
      <c r="O136" s="38"/>
    </row>
    <row r="137" spans="1:15" ht="15" customHeight="1" thickTop="1">
      <c r="A137" s="305" t="s">
        <v>110</v>
      </c>
      <c r="B137" s="50"/>
      <c r="C137" s="10"/>
      <c r="D137" s="52"/>
      <c r="E137" s="52"/>
      <c r="F137" s="52"/>
      <c r="G137" s="204"/>
      <c r="H137" s="204"/>
      <c r="I137" s="204"/>
      <c r="J137" s="361"/>
      <c r="K137" s="33"/>
      <c r="L137" s="34"/>
      <c r="M137" s="14"/>
      <c r="N137" s="14"/>
      <c r="O137" s="14"/>
    </row>
    <row r="138" spans="1:15" ht="15" customHeight="1">
      <c r="A138" s="237"/>
      <c r="B138" s="90" t="s">
        <v>151</v>
      </c>
      <c r="C138" s="83"/>
      <c r="D138" s="119"/>
      <c r="E138" s="83"/>
      <c r="F138" s="83"/>
      <c r="G138" s="490"/>
      <c r="H138" s="490"/>
      <c r="I138" s="490"/>
      <c r="J138" s="491"/>
      <c r="K138" s="33"/>
      <c r="L138" s="34"/>
      <c r="M138" s="14"/>
      <c r="N138" s="14"/>
      <c r="O138" s="14"/>
    </row>
    <row r="139" spans="1:15" ht="15" customHeight="1">
      <c r="A139" s="237"/>
      <c r="B139" s="92" t="s">
        <v>329</v>
      </c>
      <c r="C139" s="261" t="s">
        <v>116</v>
      </c>
      <c r="D139" s="261">
        <v>244</v>
      </c>
      <c r="E139" s="266" t="s">
        <v>392</v>
      </c>
      <c r="F139" s="266"/>
      <c r="G139" s="482"/>
      <c r="H139" s="352">
        <f>VLOOKUP($E139,Ratio,2,FALSE)*$G139</f>
        <v>0</v>
      </c>
      <c r="I139" s="352">
        <f>VLOOKUP($E139,Ratio,3,FALSE)*$G139</f>
        <v>0</v>
      </c>
      <c r="J139" s="382">
        <f>VLOOKUP($E139,Ratio,4,FALSE)*$G139</f>
        <v>0</v>
      </c>
      <c r="K139" s="33"/>
      <c r="L139" s="34"/>
      <c r="M139" s="14"/>
      <c r="N139" s="14"/>
      <c r="O139" s="14"/>
    </row>
    <row r="140" spans="1:15" ht="15" customHeight="1">
      <c r="A140" s="237"/>
      <c r="B140" s="206" t="s">
        <v>347</v>
      </c>
      <c r="C140" s="261" t="s">
        <v>345</v>
      </c>
      <c r="D140" s="261">
        <v>244</v>
      </c>
      <c r="E140" s="266" t="s">
        <v>392</v>
      </c>
      <c r="F140" s="266"/>
      <c r="G140" s="482"/>
      <c r="H140" s="352">
        <f>VLOOKUP($E140,Ratio,2,FALSE)*$G140</f>
        <v>0</v>
      </c>
      <c r="I140" s="352">
        <f>VLOOKUP($E140,Ratio,3,FALSE)*$G140</f>
        <v>0</v>
      </c>
      <c r="J140" s="382">
        <f>VLOOKUP($E140,Ratio,4,FALSE)*$G140</f>
        <v>0</v>
      </c>
      <c r="K140" s="33"/>
      <c r="L140" s="34"/>
      <c r="M140" s="14"/>
      <c r="N140" s="14"/>
      <c r="O140" s="14"/>
    </row>
    <row r="141" spans="1:15" ht="15" customHeight="1">
      <c r="A141" s="237"/>
      <c r="B141" s="92" t="s">
        <v>330</v>
      </c>
      <c r="C141" s="261" t="s">
        <v>373</v>
      </c>
      <c r="D141" s="261">
        <v>245</v>
      </c>
      <c r="E141" s="266" t="s">
        <v>392</v>
      </c>
      <c r="F141" s="266"/>
      <c r="G141" s="482"/>
      <c r="H141" s="352">
        <f>VLOOKUP($E141,Ratio,2,FALSE)*$G141</f>
        <v>0</v>
      </c>
      <c r="I141" s="352">
        <f>VLOOKUP($E141,Ratio,3,FALSE)*$G141</f>
        <v>0</v>
      </c>
      <c r="J141" s="382">
        <f>VLOOKUP($E141,Ratio,4,FALSE)*$G141</f>
        <v>0</v>
      </c>
      <c r="K141" s="33"/>
      <c r="L141" s="34"/>
      <c r="M141" s="14"/>
      <c r="N141" s="14"/>
      <c r="O141" s="14"/>
    </row>
    <row r="142" spans="1:15" ht="15" customHeight="1">
      <c r="A142" s="237"/>
      <c r="B142" s="206" t="s">
        <v>346</v>
      </c>
      <c r="C142" s="261" t="s">
        <v>345</v>
      </c>
      <c r="D142" s="261">
        <v>245</v>
      </c>
      <c r="E142" s="266" t="s">
        <v>392</v>
      </c>
      <c r="F142" s="266"/>
      <c r="G142" s="482"/>
      <c r="H142" s="352">
        <f>VLOOKUP($E142,Ratio,2,FALSE)*$G142</f>
        <v>0</v>
      </c>
      <c r="I142" s="352">
        <f>VLOOKUP($E142,Ratio,3,FALSE)*$G142</f>
        <v>0</v>
      </c>
      <c r="J142" s="382">
        <f>VLOOKUP($E142,Ratio,4,FALSE)*$G142</f>
        <v>0</v>
      </c>
      <c r="K142" s="33"/>
      <c r="L142" s="34"/>
      <c r="M142" s="14"/>
      <c r="N142" s="14"/>
      <c r="O142" s="14"/>
    </row>
    <row r="143" spans="1:15" ht="15" customHeight="1">
      <c r="A143" s="237"/>
      <c r="B143" s="120" t="s">
        <v>14</v>
      </c>
      <c r="C143" s="711"/>
      <c r="D143" s="691"/>
      <c r="E143" s="691"/>
      <c r="F143" s="692"/>
      <c r="G143" s="712">
        <f>G139-G140+G141-G142</f>
        <v>0</v>
      </c>
      <c r="H143" s="712">
        <f>H139-H140+H141-H142</f>
        <v>0</v>
      </c>
      <c r="I143" s="712">
        <f>I139-I140+I141-I142</f>
        <v>0</v>
      </c>
      <c r="J143" s="713">
        <f>J139-J140+J141-J142</f>
        <v>0</v>
      </c>
      <c r="K143" s="33"/>
      <c r="L143" s="34"/>
      <c r="M143" s="14"/>
      <c r="N143" s="14"/>
      <c r="O143" s="14"/>
    </row>
    <row r="144" spans="1:15" ht="15" customHeight="1">
      <c r="A144" s="237"/>
      <c r="B144" s="90" t="s">
        <v>152</v>
      </c>
      <c r="C144" s="83"/>
      <c r="D144" s="119"/>
      <c r="E144" s="83"/>
      <c r="F144" s="83"/>
      <c r="G144" s="204"/>
      <c r="H144" s="490"/>
      <c r="I144" s="490"/>
      <c r="J144" s="491"/>
      <c r="K144" s="33"/>
      <c r="L144" s="34"/>
      <c r="M144" s="14"/>
      <c r="N144" s="14"/>
      <c r="O144" s="14"/>
    </row>
    <row r="145" spans="1:15" ht="15" customHeight="1">
      <c r="A145" s="237"/>
      <c r="B145" s="92" t="s">
        <v>374</v>
      </c>
      <c r="C145" s="261" t="s">
        <v>116</v>
      </c>
      <c r="D145" s="261">
        <v>244</v>
      </c>
      <c r="E145" s="266" t="s">
        <v>392</v>
      </c>
      <c r="F145" s="266"/>
      <c r="G145" s="482"/>
      <c r="H145" s="352">
        <f>VLOOKUP($E145,Ratio,2,FALSE)*$G145</f>
        <v>0</v>
      </c>
      <c r="I145" s="352">
        <f>VLOOKUP($E145,Ratio,3,FALSE)*$G145</f>
        <v>0</v>
      </c>
      <c r="J145" s="382">
        <f>VLOOKUP($E145,Ratio,4,FALSE)*$G145</f>
        <v>0</v>
      </c>
      <c r="K145" s="33"/>
      <c r="L145" s="34"/>
      <c r="M145" s="14"/>
      <c r="N145" s="14"/>
      <c r="O145" s="14"/>
    </row>
    <row r="146" spans="1:15" ht="15" customHeight="1">
      <c r="A146" s="237"/>
      <c r="B146" s="92" t="s">
        <v>375</v>
      </c>
      <c r="C146" s="261" t="s">
        <v>345</v>
      </c>
      <c r="D146" s="261">
        <v>245</v>
      </c>
      <c r="E146" s="266" t="s">
        <v>392</v>
      </c>
      <c r="F146" s="266"/>
      <c r="G146" s="482"/>
      <c r="H146" s="352">
        <f>VLOOKUP($E146,Ratio,2,FALSE)*$G146</f>
        <v>0</v>
      </c>
      <c r="I146" s="352">
        <f>VLOOKUP($E146,Ratio,3,FALSE)*$G146</f>
        <v>0</v>
      </c>
      <c r="J146" s="382">
        <f>VLOOKUP($E146,Ratio,4,FALSE)*$G146</f>
        <v>0</v>
      </c>
      <c r="K146" s="33"/>
      <c r="L146" s="34"/>
      <c r="M146" s="14"/>
      <c r="N146" s="14"/>
      <c r="O146" s="14"/>
    </row>
    <row r="147" spans="1:15" ht="15" customHeight="1">
      <c r="A147" s="237"/>
      <c r="B147" s="92" t="s">
        <v>218</v>
      </c>
      <c r="C147" s="261" t="s">
        <v>116</v>
      </c>
      <c r="D147" s="261">
        <v>252</v>
      </c>
      <c r="E147" s="266" t="s">
        <v>392</v>
      </c>
      <c r="F147" s="266"/>
      <c r="G147" s="482"/>
      <c r="H147" s="352">
        <f aca="true" t="shared" si="12" ref="H147:H155">VLOOKUP($E147,Ratio,2,FALSE)*$G147</f>
        <v>0</v>
      </c>
      <c r="I147" s="352">
        <f aca="true" t="shared" si="13" ref="I147:I155">VLOOKUP($E147,Ratio,3,FALSE)*$G147</f>
        <v>0</v>
      </c>
      <c r="J147" s="382">
        <f aca="true" t="shared" si="14" ref="J147:J155">VLOOKUP($E147,Ratio,4,FALSE)*$G147</f>
        <v>0</v>
      </c>
      <c r="K147" s="33"/>
      <c r="L147" s="34"/>
      <c r="M147" s="14"/>
      <c r="N147" s="14"/>
      <c r="O147" s="14"/>
    </row>
    <row r="148" spans="1:15" ht="15" customHeight="1">
      <c r="A148" s="237"/>
      <c r="B148" s="92" t="s">
        <v>221</v>
      </c>
      <c r="C148" s="261" t="s">
        <v>116</v>
      </c>
      <c r="D148" s="261">
        <v>253</v>
      </c>
      <c r="E148" s="266" t="s">
        <v>2</v>
      </c>
      <c r="F148" s="266" t="s">
        <v>392</v>
      </c>
      <c r="G148" s="482"/>
      <c r="H148" s="352">
        <f>IF($E148="DIRECT",$L148,VLOOKUP($E148,Ratio,2,FALSE)*$G148)</f>
        <v>0</v>
      </c>
      <c r="I148" s="352">
        <f>IF($E148="DIRECT",$M148,VLOOKUP($E148,Ratio,3,FALSE)*$G148)</f>
        <v>0</v>
      </c>
      <c r="J148" s="382">
        <f>IF($E148="DIRECT",$N148,VLOOKUP($E148,Ratio,4,FALSE)*$G148)</f>
        <v>0</v>
      </c>
      <c r="K148" s="33"/>
      <c r="L148" s="352"/>
      <c r="M148" s="352"/>
      <c r="N148" s="382"/>
      <c r="O148" s="14"/>
    </row>
    <row r="149" spans="1:15" ht="15" customHeight="1">
      <c r="A149" s="237"/>
      <c r="B149" s="92" t="s">
        <v>222</v>
      </c>
      <c r="C149" s="261" t="s">
        <v>116</v>
      </c>
      <c r="D149" s="261">
        <v>254</v>
      </c>
      <c r="E149" s="266" t="s">
        <v>2</v>
      </c>
      <c r="F149" s="266" t="s">
        <v>392</v>
      </c>
      <c r="G149" s="482"/>
      <c r="H149" s="352">
        <f>IF($E149="DIRECT",$L149,VLOOKUP($E149,Ratio,2,FALSE)*$G149)</f>
        <v>0</v>
      </c>
      <c r="I149" s="352">
        <f>IF($E149="DIRECT",$M149,VLOOKUP($E149,Ratio,3,FALSE)*$G149)</f>
        <v>0</v>
      </c>
      <c r="J149" s="382">
        <f>IF($E149="DIRECT",$N149,VLOOKUP($E149,Ratio,4,FALSE)*$G149)</f>
        <v>0</v>
      </c>
      <c r="K149" s="33"/>
      <c r="L149" s="352"/>
      <c r="M149" s="352"/>
      <c r="N149" s="382"/>
      <c r="O149" s="14"/>
    </row>
    <row r="150" spans="1:15" ht="15" customHeight="1">
      <c r="A150" s="237"/>
      <c r="B150" s="92" t="s">
        <v>219</v>
      </c>
      <c r="C150" s="261" t="s">
        <v>116</v>
      </c>
      <c r="D150" s="261">
        <v>255</v>
      </c>
      <c r="E150" s="266" t="s">
        <v>392</v>
      </c>
      <c r="F150" s="266"/>
      <c r="G150" s="482"/>
      <c r="H150" s="352">
        <f t="shared" si="12"/>
        <v>0</v>
      </c>
      <c r="I150" s="352">
        <f t="shared" si="13"/>
        <v>0</v>
      </c>
      <c r="J150" s="382">
        <f t="shared" si="14"/>
        <v>0</v>
      </c>
      <c r="K150" s="33"/>
      <c r="L150" s="34"/>
      <c r="M150" s="14"/>
      <c r="N150" s="14"/>
      <c r="O150" s="14"/>
    </row>
    <row r="151" spans="1:15" ht="15" customHeight="1">
      <c r="A151" s="237"/>
      <c r="B151" s="92" t="s">
        <v>220</v>
      </c>
      <c r="C151" s="261" t="s">
        <v>116</v>
      </c>
      <c r="D151" s="261">
        <v>256</v>
      </c>
      <c r="E151" s="266" t="s">
        <v>2</v>
      </c>
      <c r="F151" s="266" t="s">
        <v>2</v>
      </c>
      <c r="G151" s="482"/>
      <c r="H151" s="352"/>
      <c r="I151" s="352"/>
      <c r="J151" s="382"/>
      <c r="K151" s="33"/>
      <c r="L151" s="34"/>
      <c r="M151" s="14"/>
      <c r="N151" s="14"/>
      <c r="O151" s="14"/>
    </row>
    <row r="152" spans="1:15" ht="15.75" customHeight="1">
      <c r="A152" s="237"/>
      <c r="B152" s="92" t="s">
        <v>223</v>
      </c>
      <c r="C152" s="261" t="s">
        <v>116</v>
      </c>
      <c r="D152" s="261">
        <v>257</v>
      </c>
      <c r="E152" s="266" t="s">
        <v>18</v>
      </c>
      <c r="F152" s="266"/>
      <c r="G152" s="482"/>
      <c r="H152" s="352">
        <f t="shared" si="12"/>
        <v>0</v>
      </c>
      <c r="I152" s="352">
        <f t="shared" si="13"/>
        <v>0</v>
      </c>
      <c r="J152" s="382">
        <f t="shared" si="14"/>
        <v>0</v>
      </c>
      <c r="K152" s="33"/>
      <c r="L152" s="34"/>
      <c r="M152" s="14"/>
      <c r="N152" s="14"/>
      <c r="O152" s="14"/>
    </row>
    <row r="153" spans="1:15" ht="15" customHeight="1">
      <c r="A153" s="237"/>
      <c r="B153" s="92" t="s">
        <v>227</v>
      </c>
      <c r="C153" s="261" t="s">
        <v>116</v>
      </c>
      <c r="D153" s="261">
        <v>281</v>
      </c>
      <c r="E153" s="266" t="s">
        <v>392</v>
      </c>
      <c r="F153" s="266"/>
      <c r="G153" s="482"/>
      <c r="H153" s="352">
        <f t="shared" si="12"/>
        <v>0</v>
      </c>
      <c r="I153" s="352">
        <f t="shared" si="13"/>
        <v>0</v>
      </c>
      <c r="J153" s="382">
        <f t="shared" si="14"/>
        <v>0</v>
      </c>
      <c r="K153" s="33"/>
      <c r="L153" s="34"/>
      <c r="M153" s="14"/>
      <c r="N153" s="14"/>
      <c r="O153" s="14"/>
    </row>
    <row r="154" spans="1:15" ht="15" customHeight="1">
      <c r="A154" s="237"/>
      <c r="B154" s="92" t="s">
        <v>228</v>
      </c>
      <c r="C154" s="261" t="s">
        <v>116</v>
      </c>
      <c r="D154" s="261">
        <v>282</v>
      </c>
      <c r="E154" s="266" t="s">
        <v>392</v>
      </c>
      <c r="F154" s="266"/>
      <c r="G154" s="482"/>
      <c r="H154" s="352">
        <f t="shared" si="12"/>
        <v>0</v>
      </c>
      <c r="I154" s="352">
        <f t="shared" si="13"/>
        <v>0</v>
      </c>
      <c r="J154" s="382">
        <f t="shared" si="14"/>
        <v>0</v>
      </c>
      <c r="K154" s="33"/>
      <c r="L154" s="34"/>
      <c r="M154" s="14"/>
      <c r="N154" s="14"/>
      <c r="O154" s="14"/>
    </row>
    <row r="155" spans="1:15" ht="15" customHeight="1">
      <c r="A155" s="237"/>
      <c r="B155" s="92" t="s">
        <v>229</v>
      </c>
      <c r="C155" s="261" t="s">
        <v>116</v>
      </c>
      <c r="D155" s="261">
        <v>283</v>
      </c>
      <c r="E155" s="266" t="s">
        <v>392</v>
      </c>
      <c r="F155" s="266"/>
      <c r="G155" s="482"/>
      <c r="H155" s="352">
        <f t="shared" si="12"/>
        <v>0</v>
      </c>
      <c r="I155" s="352">
        <f t="shared" si="13"/>
        <v>0</v>
      </c>
      <c r="J155" s="382">
        <f t="shared" si="14"/>
        <v>0</v>
      </c>
      <c r="K155" s="33"/>
      <c r="L155" s="34"/>
      <c r="M155" s="14"/>
      <c r="N155" s="14"/>
      <c r="O155" s="14"/>
    </row>
    <row r="156" spans="1:15" ht="15" customHeight="1">
      <c r="A156" s="237"/>
      <c r="B156" s="120" t="s">
        <v>14</v>
      </c>
      <c r="C156" s="711"/>
      <c r="D156" s="691"/>
      <c r="E156" s="691"/>
      <c r="F156" s="692"/>
      <c r="G156" s="712">
        <f>SUM(G145:G155)</f>
        <v>0</v>
      </c>
      <c r="H156" s="712">
        <f>SUM(H145:H155)</f>
        <v>0</v>
      </c>
      <c r="I156" s="712">
        <f>SUM(I145:I155)</f>
        <v>0</v>
      </c>
      <c r="J156" s="713">
        <f>SUM(J145:J155)</f>
        <v>0</v>
      </c>
      <c r="K156" s="33"/>
      <c r="L156" s="34"/>
      <c r="M156" s="14"/>
      <c r="N156" s="14"/>
      <c r="O156" s="14"/>
    </row>
    <row r="157" spans="1:15" ht="15" customHeight="1">
      <c r="A157" s="237"/>
      <c r="B157" s="104"/>
      <c r="C157" s="52"/>
      <c r="D157" s="134"/>
      <c r="E157" s="52"/>
      <c r="F157" s="52"/>
      <c r="G157" s="568"/>
      <c r="H157" s="569"/>
      <c r="I157" s="569"/>
      <c r="J157" s="570"/>
      <c r="K157" s="33"/>
      <c r="L157" s="34"/>
      <c r="M157" s="14"/>
      <c r="N157" s="14"/>
      <c r="O157" s="14"/>
    </row>
    <row r="158" spans="1:15" ht="15" customHeight="1">
      <c r="A158" s="300" t="s">
        <v>108</v>
      </c>
      <c r="B158" s="50"/>
      <c r="C158" s="711"/>
      <c r="D158" s="691"/>
      <c r="E158" s="691"/>
      <c r="F158" s="692"/>
      <c r="G158" s="712">
        <f>+G156+G143</f>
        <v>0</v>
      </c>
      <c r="H158" s="712">
        <f>+H156+H143</f>
        <v>0</v>
      </c>
      <c r="I158" s="712">
        <f>+I156+I143</f>
        <v>0</v>
      </c>
      <c r="J158" s="713">
        <f>+J156+J143</f>
        <v>0</v>
      </c>
      <c r="K158" s="56"/>
      <c r="L158" s="33"/>
      <c r="M158" s="14"/>
      <c r="N158" s="14"/>
      <c r="O158" s="14"/>
    </row>
    <row r="159" spans="1:15" ht="15" customHeight="1">
      <c r="A159" s="392"/>
      <c r="B159" s="50"/>
      <c r="C159" s="10"/>
      <c r="D159" s="10"/>
      <c r="E159" s="10"/>
      <c r="F159" s="10"/>
      <c r="G159" s="205"/>
      <c r="H159" s="205"/>
      <c r="I159" s="205"/>
      <c r="J159" s="362"/>
      <c r="K159" s="56"/>
      <c r="L159" s="33"/>
      <c r="M159" s="14"/>
      <c r="N159" s="14"/>
      <c r="O159" s="14"/>
    </row>
    <row r="160" spans="1:12" ht="15" customHeight="1">
      <c r="A160" s="246"/>
      <c r="B160" s="104"/>
      <c r="C160" s="134"/>
      <c r="D160" s="134"/>
      <c r="E160" s="131"/>
      <c r="F160" s="131"/>
      <c r="G160" s="493"/>
      <c r="H160" s="493"/>
      <c r="I160" s="493"/>
      <c r="J160" s="494"/>
      <c r="K160" s="56"/>
      <c r="L160" s="12"/>
    </row>
    <row r="161" spans="1:15" ht="15" customHeight="1">
      <c r="A161" s="248" t="s">
        <v>56</v>
      </c>
      <c r="B161" s="50"/>
      <c r="C161" s="714"/>
      <c r="D161" s="715"/>
      <c r="E161" s="715"/>
      <c r="F161" s="716"/>
      <c r="G161" s="717">
        <f>G79+G135-G158</f>
        <v>34103573.87</v>
      </c>
      <c r="H161" s="717">
        <f>H79+H135-H158</f>
        <v>15984280.25667389</v>
      </c>
      <c r="I161" s="717">
        <f>I79+I135-I158</f>
        <v>492861.5191034983</v>
      </c>
      <c r="J161" s="718">
        <f>J79+J135-J158</f>
        <v>17626432.094222613</v>
      </c>
      <c r="K161" s="56"/>
      <c r="L161" s="59"/>
      <c r="M161" s="14"/>
      <c r="N161" s="14"/>
      <c r="O161" s="14"/>
    </row>
    <row r="162" spans="1:13" ht="15" customHeight="1">
      <c r="A162" s="324" t="s">
        <v>118</v>
      </c>
      <c r="B162" s="49"/>
      <c r="C162" s="43"/>
      <c r="D162" s="43"/>
      <c r="E162" s="43"/>
      <c r="F162" s="43"/>
      <c r="G162" s="60"/>
      <c r="H162" s="31"/>
      <c r="I162" s="47"/>
      <c r="J162" s="393"/>
      <c r="K162" s="14"/>
      <c r="L162" s="14"/>
      <c r="M162" s="14"/>
    </row>
    <row r="163" spans="1:13" ht="15" customHeight="1" thickBot="1">
      <c r="A163" s="394"/>
      <c r="B163" s="395"/>
      <c r="C163" s="396"/>
      <c r="D163" s="396"/>
      <c r="E163" s="396"/>
      <c r="F163" s="396"/>
      <c r="G163" s="397"/>
      <c r="H163" s="398"/>
      <c r="I163" s="399"/>
      <c r="J163" s="400"/>
      <c r="K163" s="14"/>
      <c r="L163" s="14"/>
      <c r="M163" s="14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mergeCells count="14"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  <mergeCell ref="C84:F84"/>
    <mergeCell ref="A10:J10"/>
    <mergeCell ref="L12:L14"/>
    <mergeCell ref="M12:M14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3" bottom="0.3" header="0.25" footer="0.25"/>
  <pageSetup fitToHeight="5" horizontalDpi="600" verticalDpi="600" orientation="landscape" scale="80" r:id="rId1"/>
  <headerFooter alignWithMargins="0">
    <oddFooter>&amp;LPage &amp;P of &amp;N&amp;R&amp;D</oddFooter>
  </headerFooter>
  <rowBreaks count="4" manualBreakCount="4">
    <brk id="53" max="9" man="1"/>
    <brk id="81" max="9" man="1"/>
    <brk id="117" max="9" man="1"/>
    <brk id="136" max="9" man="1"/>
  </rowBreaks>
  <ignoredErrors>
    <ignoredError sqref="G50 H50:J50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workbookViewId="0" topLeftCell="A65">
      <selection activeCell="D77" sqref="D77"/>
    </sheetView>
  </sheetViews>
  <sheetFormatPr defaultColWidth="9.00390625" defaultRowHeight="15.75"/>
  <cols>
    <col min="1" max="1" width="13.00390625" style="113" bestFit="1" customWidth="1"/>
    <col min="2" max="2" width="54.625" style="107" customWidth="1"/>
    <col min="3" max="3" width="12.00390625" style="107" customWidth="1"/>
    <col min="4" max="5" width="13.25390625" style="108" bestFit="1" customWidth="1"/>
    <col min="6" max="6" width="12.125" style="108" bestFit="1" customWidth="1"/>
    <col min="7" max="7" width="13.625" style="108" customWidth="1"/>
    <col min="8" max="8" width="8.125" style="107" bestFit="1" customWidth="1"/>
    <col min="9" max="16384" width="8.00390625" style="107" customWidth="1"/>
  </cols>
  <sheetData>
    <row r="1" spans="1:7" ht="19.5" thickTop="1">
      <c r="A1" s="159" t="s">
        <v>89</v>
      </c>
      <c r="B1" s="160"/>
      <c r="C1" s="161"/>
      <c r="D1" s="162"/>
      <c r="E1" s="161"/>
      <c r="F1" s="178"/>
      <c r="G1" s="179"/>
    </row>
    <row r="2" spans="1:7" ht="15.75">
      <c r="A2" s="163" t="s">
        <v>91</v>
      </c>
      <c r="B2" s="135"/>
      <c r="C2" s="152"/>
      <c r="D2" s="156"/>
      <c r="E2" s="152"/>
      <c r="F2" s="180"/>
      <c r="G2" s="181"/>
    </row>
    <row r="3" spans="1:7" ht="15.75">
      <c r="A3" s="164" t="s">
        <v>400</v>
      </c>
      <c r="B3" s="136"/>
      <c r="C3" s="152"/>
      <c r="D3" s="156"/>
      <c r="E3" s="152"/>
      <c r="F3" s="180"/>
      <c r="G3" s="181"/>
    </row>
    <row r="4" spans="1:7" ht="7.5" customHeight="1" thickBot="1">
      <c r="A4" s="164"/>
      <c r="B4" s="136"/>
      <c r="C4" s="152"/>
      <c r="D4" s="156"/>
      <c r="E4" s="152"/>
      <c r="F4" s="180"/>
      <c r="G4" s="181"/>
    </row>
    <row r="5" spans="1:7" ht="15.75">
      <c r="A5" s="164"/>
      <c r="B5" s="726" t="s">
        <v>460</v>
      </c>
      <c r="C5" s="858" t="s">
        <v>472</v>
      </c>
      <c r="D5" s="859"/>
      <c r="E5" s="860"/>
      <c r="F5" s="180"/>
      <c r="G5" s="181"/>
    </row>
    <row r="6" spans="1:7" ht="15.75">
      <c r="A6" s="164"/>
      <c r="B6" s="726" t="s">
        <v>462</v>
      </c>
      <c r="C6" s="861" t="s">
        <v>473</v>
      </c>
      <c r="D6" s="862"/>
      <c r="E6" s="846"/>
      <c r="F6" s="180"/>
      <c r="G6" s="181"/>
    </row>
    <row r="7" spans="1:7" ht="16.5" thickBot="1">
      <c r="A7" s="164"/>
      <c r="B7" s="726" t="s">
        <v>463</v>
      </c>
      <c r="C7" s="847">
        <v>39575</v>
      </c>
      <c r="D7" s="848"/>
      <c r="E7" s="849"/>
      <c r="F7" s="180"/>
      <c r="G7" s="181"/>
    </row>
    <row r="8" spans="1:7" ht="10.5" customHeight="1">
      <c r="A8" s="164"/>
      <c r="B8" s="136"/>
      <c r="C8" s="152"/>
      <c r="D8" s="156"/>
      <c r="E8" s="152"/>
      <c r="F8" s="180"/>
      <c r="G8" s="181"/>
    </row>
    <row r="9" spans="1:7" ht="19.5">
      <c r="A9" s="793" t="s">
        <v>332</v>
      </c>
      <c r="B9" s="792"/>
      <c r="C9" s="152"/>
      <c r="D9" s="156"/>
      <c r="E9" s="152"/>
      <c r="F9" s="180"/>
      <c r="G9" s="181"/>
    </row>
    <row r="10" spans="1:7" ht="5.25" customHeight="1" thickBot="1">
      <c r="A10" s="193"/>
      <c r="B10" s="194"/>
      <c r="C10" s="195"/>
      <c r="D10" s="196"/>
      <c r="E10" s="195"/>
      <c r="F10" s="197"/>
      <c r="G10" s="198"/>
    </row>
    <row r="11" spans="1:7" ht="15.75">
      <c r="A11" s="166"/>
      <c r="B11" s="167"/>
      <c r="C11" s="538"/>
      <c r="D11" s="168"/>
      <c r="E11" s="168"/>
      <c r="F11" s="168"/>
      <c r="G11" s="169"/>
    </row>
    <row r="12" spans="1:7" ht="18.75">
      <c r="A12" s="182" t="s">
        <v>285</v>
      </c>
      <c r="B12" s="188"/>
      <c r="C12" s="439" t="s">
        <v>289</v>
      </c>
      <c r="D12" s="440" t="s">
        <v>14</v>
      </c>
      <c r="E12" s="440" t="s">
        <v>15</v>
      </c>
      <c r="F12" s="440" t="s">
        <v>16</v>
      </c>
      <c r="G12" s="441" t="s">
        <v>280</v>
      </c>
    </row>
    <row r="13" spans="1:7" ht="15.75">
      <c r="A13" s="166"/>
      <c r="B13" s="167" t="s">
        <v>15</v>
      </c>
      <c r="C13" s="184" t="s">
        <v>394</v>
      </c>
      <c r="D13" s="185">
        <f>Salaries!D33</f>
        <v>635527.9400000001</v>
      </c>
      <c r="E13" s="185">
        <f aca="true" t="shared" si="0" ref="E13:E19">VLOOKUP($C13,Ratio,2,FALSE)*$D13</f>
        <v>635527.9400000001</v>
      </c>
      <c r="F13" s="185">
        <f aca="true" t="shared" si="1" ref="F13:F19">VLOOKUP($C13,Ratio,3,FALSE)*$D13</f>
        <v>0</v>
      </c>
      <c r="G13" s="190">
        <f aca="true" t="shared" si="2" ref="G13:G19">VLOOKUP($C13,Ratio,4,FALSE)*$D13</f>
        <v>0</v>
      </c>
    </row>
    <row r="14" spans="1:7" ht="15.75">
      <c r="A14" s="166"/>
      <c r="B14" s="167" t="s">
        <v>16</v>
      </c>
      <c r="C14" s="184" t="s">
        <v>393</v>
      </c>
      <c r="D14" s="186">
        <f>Salaries!D34</f>
        <v>260521.97</v>
      </c>
      <c r="E14" s="186">
        <f t="shared" si="0"/>
        <v>0</v>
      </c>
      <c r="F14" s="186">
        <f t="shared" si="1"/>
        <v>260521.97</v>
      </c>
      <c r="G14" s="187">
        <f t="shared" si="2"/>
        <v>0</v>
      </c>
    </row>
    <row r="15" spans="1:7" ht="15.75">
      <c r="A15" s="166"/>
      <c r="B15" s="167" t="s">
        <v>280</v>
      </c>
      <c r="C15" s="184" t="s">
        <v>392</v>
      </c>
      <c r="D15" s="186">
        <f>Salaries!D35</f>
        <v>1139920.31</v>
      </c>
      <c r="E15" s="186">
        <f t="shared" si="0"/>
        <v>0</v>
      </c>
      <c r="F15" s="186">
        <f t="shared" si="1"/>
        <v>0</v>
      </c>
      <c r="G15" s="187">
        <f t="shared" si="2"/>
        <v>1139920.31</v>
      </c>
    </row>
    <row r="16" spans="1:7" ht="15.75">
      <c r="A16" s="166"/>
      <c r="B16" s="167" t="s">
        <v>281</v>
      </c>
      <c r="C16" s="184" t="s">
        <v>392</v>
      </c>
      <c r="D16" s="186">
        <f>Salaries!D36</f>
        <v>246265.71000000002</v>
      </c>
      <c r="E16" s="186">
        <f t="shared" si="0"/>
        <v>0</v>
      </c>
      <c r="F16" s="186">
        <f t="shared" si="1"/>
        <v>0</v>
      </c>
      <c r="G16" s="187">
        <f t="shared" si="2"/>
        <v>246265.71000000002</v>
      </c>
    </row>
    <row r="17" spans="1:7" ht="15.75">
      <c r="A17" s="166"/>
      <c r="B17" s="167" t="s">
        <v>282</v>
      </c>
      <c r="C17" s="184" t="s">
        <v>392</v>
      </c>
      <c r="D17" s="186">
        <f>Salaries!D37</f>
        <v>52440.69</v>
      </c>
      <c r="E17" s="186">
        <f t="shared" si="0"/>
        <v>0</v>
      </c>
      <c r="F17" s="186">
        <f t="shared" si="1"/>
        <v>0</v>
      </c>
      <c r="G17" s="187">
        <f t="shared" si="2"/>
        <v>52440.69</v>
      </c>
    </row>
    <row r="18" spans="1:7" ht="15.75">
      <c r="A18" s="166"/>
      <c r="B18" s="167" t="s">
        <v>283</v>
      </c>
      <c r="C18" s="184" t="s">
        <v>392</v>
      </c>
      <c r="D18" s="186">
        <f>Salaries!D38</f>
        <v>0</v>
      </c>
      <c r="E18" s="186">
        <f t="shared" si="0"/>
        <v>0</v>
      </c>
      <c r="F18" s="186">
        <f t="shared" si="1"/>
        <v>0</v>
      </c>
      <c r="G18" s="187">
        <f t="shared" si="2"/>
        <v>0</v>
      </c>
    </row>
    <row r="19" spans="1:7" ht="15.75">
      <c r="A19" s="166"/>
      <c r="B19" s="167" t="s">
        <v>286</v>
      </c>
      <c r="C19" s="184" t="s">
        <v>11</v>
      </c>
      <c r="D19" s="186">
        <f>Salaries!D39</f>
        <v>77414.58</v>
      </c>
      <c r="E19" s="186">
        <f t="shared" si="0"/>
        <v>36281.29023806203</v>
      </c>
      <c r="F19" s="186">
        <f t="shared" si="1"/>
        <v>2623.8258387409137</v>
      </c>
      <c r="G19" s="187">
        <f t="shared" si="2"/>
        <v>38509.46392319706</v>
      </c>
    </row>
    <row r="20" spans="1:7" ht="15.75">
      <c r="A20" s="166"/>
      <c r="B20" s="167"/>
      <c r="C20" s="167"/>
      <c r="D20" s="170"/>
      <c r="E20" s="170"/>
      <c r="F20" s="170"/>
      <c r="G20" s="171"/>
    </row>
    <row r="21" spans="1:7" ht="18.75">
      <c r="A21" s="182" t="s">
        <v>287</v>
      </c>
      <c r="B21" s="167"/>
      <c r="C21" s="815"/>
      <c r="D21" s="816">
        <f>SUM(D13:D20)</f>
        <v>2412091.2</v>
      </c>
      <c r="E21" s="816">
        <f>SUM(E13:E20)</f>
        <v>671809.2302380621</v>
      </c>
      <c r="F21" s="816">
        <f>SUM(F13:F20)</f>
        <v>263145.7958387409</v>
      </c>
      <c r="G21" s="817">
        <f>SUM(G13:G20)</f>
        <v>1477136.173923197</v>
      </c>
    </row>
    <row r="22" spans="1:7" ht="15.75">
      <c r="A22" s="166"/>
      <c r="B22" s="183" t="s">
        <v>333</v>
      </c>
      <c r="C22" s="815"/>
      <c r="D22" s="818">
        <f>IF($D21=0,0,D21/$D21)</f>
        <v>1</v>
      </c>
      <c r="E22" s="818">
        <f>IF($D21=0,0,E21/$D21)</f>
        <v>0.2785173422290426</v>
      </c>
      <c r="F22" s="818">
        <f>IF($D21=0,0,F21/$D21)</f>
        <v>0.1090944636913981</v>
      </c>
      <c r="G22" s="819">
        <f>IF($D21=0,0,G21/$D21)</f>
        <v>0.6123881940795592</v>
      </c>
    </row>
    <row r="23" spans="1:7" ht="15.75">
      <c r="A23" s="166"/>
      <c r="B23" s="167"/>
      <c r="C23" s="167"/>
      <c r="D23" s="170"/>
      <c r="E23" s="170"/>
      <c r="F23" s="170"/>
      <c r="G23" s="171"/>
    </row>
    <row r="24" spans="1:7" ht="18.75">
      <c r="A24" s="182" t="s">
        <v>3</v>
      </c>
      <c r="B24" s="189" t="s">
        <v>334</v>
      </c>
      <c r="C24" s="439" t="s">
        <v>289</v>
      </c>
      <c r="D24" s="440" t="s">
        <v>14</v>
      </c>
      <c r="E24" s="440" t="s">
        <v>15</v>
      </c>
      <c r="F24" s="440" t="s">
        <v>16</v>
      </c>
      <c r="G24" s="441" t="s">
        <v>280</v>
      </c>
    </row>
    <row r="25" spans="1:7" ht="15.75">
      <c r="A25" s="166"/>
      <c r="B25" s="167" t="s">
        <v>35</v>
      </c>
      <c r="C25" s="184" t="s">
        <v>11</v>
      </c>
      <c r="D25" s="185">
        <f>'Sch 1- Rate Base '!G37</f>
        <v>16461.73</v>
      </c>
      <c r="E25" s="185">
        <f aca="true" t="shared" si="3" ref="E25:E36">VLOOKUP($C25,Ratio,2,FALSE)*$D25</f>
        <v>7714.99120644474</v>
      </c>
      <c r="F25" s="185">
        <f aca="true" t="shared" si="4" ref="F25:F36">VLOOKUP($C25,Ratio,3,FALSE)*$D25</f>
        <v>557.9402810733645</v>
      </c>
      <c r="G25" s="190">
        <f aca="true" t="shared" si="5" ref="G25:G36">VLOOKUP($C25,Ratio,4,FALSE)*$D25</f>
        <v>8188.798512481894</v>
      </c>
    </row>
    <row r="26" spans="1:7" ht="15.75">
      <c r="A26" s="166"/>
      <c r="B26" s="167" t="s">
        <v>36</v>
      </c>
      <c r="C26" s="184" t="s">
        <v>11</v>
      </c>
      <c r="D26" s="186">
        <f>'Sch 1- Rate Base '!G38</f>
        <v>380460.08</v>
      </c>
      <c r="E26" s="186">
        <f t="shared" si="3"/>
        <v>178307.27217633036</v>
      </c>
      <c r="F26" s="186">
        <f t="shared" si="4"/>
        <v>12894.999734073803</v>
      </c>
      <c r="G26" s="187">
        <f t="shared" si="5"/>
        <v>189257.80808959587</v>
      </c>
    </row>
    <row r="27" spans="1:7" ht="15.75">
      <c r="A27" s="166"/>
      <c r="B27" s="167" t="s">
        <v>37</v>
      </c>
      <c r="C27" s="184" t="s">
        <v>7</v>
      </c>
      <c r="D27" s="186">
        <f>'Sch 1- Rate Base '!G39</f>
        <v>12378.82</v>
      </c>
      <c r="E27" s="186">
        <f t="shared" si="3"/>
        <v>3447.7160463317173</v>
      </c>
      <c r="F27" s="186">
        <f t="shared" si="4"/>
        <v>1350.4607290323524</v>
      </c>
      <c r="G27" s="187">
        <f t="shared" si="5"/>
        <v>7580.643224635929</v>
      </c>
    </row>
    <row r="28" spans="1:7" ht="15.75">
      <c r="A28" s="166"/>
      <c r="B28" s="167" t="s">
        <v>38</v>
      </c>
      <c r="C28" s="184" t="s">
        <v>19</v>
      </c>
      <c r="D28" s="186">
        <f>'Sch 1- Rate Base '!G40</f>
        <v>1237871.0099999998</v>
      </c>
      <c r="E28" s="186">
        <f t="shared" si="3"/>
        <v>0</v>
      </c>
      <c r="F28" s="186">
        <f t="shared" si="4"/>
        <v>78961.78399209287</v>
      </c>
      <c r="G28" s="187">
        <f t="shared" si="5"/>
        <v>1158909.226007907</v>
      </c>
    </row>
    <row r="29" spans="1:7" ht="15.75">
      <c r="A29" s="166"/>
      <c r="B29" s="167" t="s">
        <v>39</v>
      </c>
      <c r="C29" s="184" t="s">
        <v>11</v>
      </c>
      <c r="D29" s="186">
        <f>'Sch 1- Rate Base '!G41</f>
        <v>0</v>
      </c>
      <c r="E29" s="186">
        <f t="shared" si="3"/>
        <v>0</v>
      </c>
      <c r="F29" s="186">
        <f t="shared" si="4"/>
        <v>0</v>
      </c>
      <c r="G29" s="187">
        <f t="shared" si="5"/>
        <v>0</v>
      </c>
    </row>
    <row r="30" spans="1:7" ht="15.75">
      <c r="A30" s="166"/>
      <c r="B30" s="167" t="s">
        <v>40</v>
      </c>
      <c r="C30" s="184" t="s">
        <v>11</v>
      </c>
      <c r="D30" s="186">
        <f>'Sch 1- Rate Base '!G42</f>
        <v>60530.869999999995</v>
      </c>
      <c r="E30" s="186">
        <f t="shared" si="3"/>
        <v>28368.532940854315</v>
      </c>
      <c r="F30" s="186">
        <f t="shared" si="4"/>
        <v>2051.5833160558022</v>
      </c>
      <c r="G30" s="187">
        <f t="shared" si="5"/>
        <v>30110.753743089877</v>
      </c>
    </row>
    <row r="31" spans="1:7" ht="15.75">
      <c r="A31" s="166"/>
      <c r="B31" s="167" t="s">
        <v>41</v>
      </c>
      <c r="C31" s="184" t="s">
        <v>11</v>
      </c>
      <c r="D31" s="186">
        <f>'Sch 1- Rate Base '!G43</f>
        <v>0</v>
      </c>
      <c r="E31" s="186">
        <f t="shared" si="3"/>
        <v>0</v>
      </c>
      <c r="F31" s="186">
        <f t="shared" si="4"/>
        <v>0</v>
      </c>
      <c r="G31" s="187">
        <f t="shared" si="5"/>
        <v>0</v>
      </c>
    </row>
    <row r="32" spans="1:7" ht="15.75">
      <c r="A32" s="166"/>
      <c r="B32" s="167" t="s">
        <v>42</v>
      </c>
      <c r="C32" s="184" t="s">
        <v>19</v>
      </c>
      <c r="D32" s="186">
        <f>'Sch 1- Rate Base '!G44</f>
        <v>174114.91999999998</v>
      </c>
      <c r="E32" s="186">
        <f t="shared" si="3"/>
        <v>0</v>
      </c>
      <c r="F32" s="186">
        <f t="shared" si="4"/>
        <v>11106.50834519546</v>
      </c>
      <c r="G32" s="187">
        <f t="shared" si="5"/>
        <v>163008.4116548045</v>
      </c>
    </row>
    <row r="33" spans="1:7" ht="15.75">
      <c r="A33" s="166"/>
      <c r="B33" s="167" t="s">
        <v>43</v>
      </c>
      <c r="C33" s="184" t="s">
        <v>11</v>
      </c>
      <c r="D33" s="186">
        <f>'Sch 1- Rate Base '!G45</f>
        <v>0</v>
      </c>
      <c r="E33" s="186">
        <f t="shared" si="3"/>
        <v>0</v>
      </c>
      <c r="F33" s="186">
        <f t="shared" si="4"/>
        <v>0</v>
      </c>
      <c r="G33" s="187">
        <f t="shared" si="5"/>
        <v>0</v>
      </c>
    </row>
    <row r="34" spans="1:7" ht="15.75">
      <c r="A34" s="166"/>
      <c r="B34" s="167" t="s">
        <v>44</v>
      </c>
      <c r="C34" s="184" t="s">
        <v>11</v>
      </c>
      <c r="D34" s="186">
        <f>'Sch 1- Rate Base '!G46</f>
        <v>0</v>
      </c>
      <c r="E34" s="186">
        <f t="shared" si="3"/>
        <v>0</v>
      </c>
      <c r="F34" s="186">
        <f t="shared" si="4"/>
        <v>0</v>
      </c>
      <c r="G34" s="187">
        <f t="shared" si="5"/>
        <v>0</v>
      </c>
    </row>
    <row r="35" spans="1:7" ht="15.75">
      <c r="A35" s="166"/>
      <c r="B35" s="167" t="s">
        <v>242</v>
      </c>
      <c r="C35" s="184" t="s">
        <v>2</v>
      </c>
      <c r="D35" s="186">
        <f>'Sch 1- Rate Base '!G47</f>
        <v>0</v>
      </c>
      <c r="E35" s="186">
        <f>'Sch 1- Rate Base '!H47</f>
        <v>0</v>
      </c>
      <c r="F35" s="186">
        <f>'Sch 1- Rate Base '!I47</f>
        <v>0</v>
      </c>
      <c r="G35" s="187">
        <f>'Sch 1- Rate Base '!J47</f>
        <v>0</v>
      </c>
    </row>
    <row r="36" spans="1:7" ht="15.75">
      <c r="A36" s="166"/>
      <c r="B36" s="167" t="s">
        <v>159</v>
      </c>
      <c r="C36" s="184" t="s">
        <v>11</v>
      </c>
      <c r="D36" s="186">
        <f>'Sch 1- Rate Base '!G48</f>
        <v>0</v>
      </c>
      <c r="E36" s="186">
        <f t="shared" si="3"/>
        <v>0</v>
      </c>
      <c r="F36" s="186">
        <f t="shared" si="4"/>
        <v>0</v>
      </c>
      <c r="G36" s="187">
        <f t="shared" si="5"/>
        <v>0</v>
      </c>
    </row>
    <row r="37" spans="1:7" ht="15.75">
      <c r="A37" s="166"/>
      <c r="B37" s="167" t="s">
        <v>290</v>
      </c>
      <c r="C37" s="820"/>
      <c r="D37" s="821">
        <f>SUM(D25:D36)</f>
        <v>1881817.4299999997</v>
      </c>
      <c r="E37" s="821">
        <f>SUM(E25:E36)</f>
        <v>217838.51236996113</v>
      </c>
      <c r="F37" s="821">
        <f>SUM(F25:F36)</f>
        <v>106923.27639752364</v>
      </c>
      <c r="G37" s="822">
        <f>SUM(G25:G36)</f>
        <v>1557055.6412325152</v>
      </c>
    </row>
    <row r="38" spans="1:7" ht="15.75">
      <c r="A38" s="166"/>
      <c r="B38" s="183" t="s">
        <v>291</v>
      </c>
      <c r="C38" s="820"/>
      <c r="D38" s="823">
        <f>IF($D37=0,0,D37/$D37)</f>
        <v>1</v>
      </c>
      <c r="E38" s="823">
        <f>IF($D37=0,0,E37/$D37)</f>
        <v>0.11575964219332434</v>
      </c>
      <c r="F38" s="823">
        <f>IF($D37=0,0,F37/$D37)</f>
        <v>0.056819155085370665</v>
      </c>
      <c r="G38" s="824">
        <f>IF($D37=0,0,G37/$D37)</f>
        <v>0.8274212027213051</v>
      </c>
    </row>
    <row r="39" spans="1:7" ht="16.5" thickBot="1">
      <c r="A39" s="174"/>
      <c r="B39" s="175"/>
      <c r="C39" s="199"/>
      <c r="D39" s="200"/>
      <c r="E39" s="200"/>
      <c r="F39" s="200"/>
      <c r="G39" s="201"/>
    </row>
    <row r="40" spans="1:7" ht="16.5" thickTop="1">
      <c r="A40" s="166"/>
      <c r="B40" s="167"/>
      <c r="C40" s="167"/>
      <c r="D40" s="170"/>
      <c r="E40" s="170"/>
      <c r="F40" s="170"/>
      <c r="G40" s="171"/>
    </row>
    <row r="41" spans="1:7" ht="15.75">
      <c r="A41" s="166" t="s">
        <v>11</v>
      </c>
      <c r="B41" s="173" t="s">
        <v>335</v>
      </c>
      <c r="C41" s="439" t="s">
        <v>289</v>
      </c>
      <c r="D41" s="440" t="s">
        <v>14</v>
      </c>
      <c r="E41" s="440" t="s">
        <v>15</v>
      </c>
      <c r="F41" s="440" t="s">
        <v>16</v>
      </c>
      <c r="G41" s="441" t="s">
        <v>280</v>
      </c>
    </row>
    <row r="42" spans="1:7" ht="15.75">
      <c r="A42" s="166"/>
      <c r="B42" s="167" t="s">
        <v>21</v>
      </c>
      <c r="C42" s="184" t="s">
        <v>394</v>
      </c>
      <c r="D42" s="185">
        <f>'Sch 1- Rate Base '!G22</f>
        <v>0</v>
      </c>
      <c r="E42" s="185">
        <f>VLOOKUP($C42,Ratio,2,FALSE)*$D42</f>
        <v>0</v>
      </c>
      <c r="F42" s="185">
        <f>VLOOKUP($C42,Ratio,3,FALSE)*$D42</f>
        <v>0</v>
      </c>
      <c r="G42" s="190">
        <f>VLOOKUP($C42,Ratio,4,FALSE)*$D42</f>
        <v>0</v>
      </c>
    </row>
    <row r="43" spans="1:7" ht="15.75">
      <c r="A43" s="166"/>
      <c r="B43" s="167" t="s">
        <v>23</v>
      </c>
      <c r="C43" s="184" t="s">
        <v>394</v>
      </c>
      <c r="D43" s="186">
        <f>'Sch 1- Rate Base '!G23</f>
        <v>0</v>
      </c>
      <c r="E43" s="186">
        <f>VLOOKUP($C43,Ratio,2,FALSE)*$D43</f>
        <v>0</v>
      </c>
      <c r="F43" s="186">
        <f>VLOOKUP($C43,Ratio,3,FALSE)*$D43</f>
        <v>0</v>
      </c>
      <c r="G43" s="187">
        <f>VLOOKUP($C43,Ratio,4,FALSE)*$D43</f>
        <v>0</v>
      </c>
    </row>
    <row r="44" spans="1:7" ht="15.75">
      <c r="A44" s="166"/>
      <c r="B44" s="167" t="s">
        <v>25</v>
      </c>
      <c r="C44" s="184" t="s">
        <v>394</v>
      </c>
      <c r="D44" s="186">
        <f>'Sch 1- Rate Base '!G24</f>
        <v>17347339.810000002</v>
      </c>
      <c r="E44" s="186">
        <f>VLOOKUP($C44,Ratio,2,FALSE)*$D44</f>
        <v>17347339.810000002</v>
      </c>
      <c r="F44" s="186">
        <f>VLOOKUP($C44,Ratio,3,FALSE)*$D44</f>
        <v>0</v>
      </c>
      <c r="G44" s="187">
        <f>VLOOKUP($C44,Ratio,4,FALSE)*$D44</f>
        <v>0</v>
      </c>
    </row>
    <row r="45" spans="1:7" ht="15.75">
      <c r="A45" s="166"/>
      <c r="B45" s="167" t="s">
        <v>27</v>
      </c>
      <c r="C45" s="184" t="s">
        <v>394</v>
      </c>
      <c r="D45" s="186">
        <f>'Sch 1- Rate Base '!G25</f>
        <v>0</v>
      </c>
      <c r="E45" s="186">
        <f>VLOOKUP($C45,Ratio,2,FALSE)*$D45</f>
        <v>0</v>
      </c>
      <c r="F45" s="186">
        <f>VLOOKUP($C45,Ratio,3,FALSE)*$D45</f>
        <v>0</v>
      </c>
      <c r="G45" s="187">
        <f>VLOOKUP($C45,Ratio,4,FALSE)*$D45</f>
        <v>0</v>
      </c>
    </row>
    <row r="46" spans="1:7" ht="15.75">
      <c r="A46" s="166"/>
      <c r="B46" s="167" t="s">
        <v>29</v>
      </c>
      <c r="C46" s="184"/>
      <c r="D46" s="186">
        <f>SUM(D42:D45)</f>
        <v>17347339.810000002</v>
      </c>
      <c r="E46" s="186">
        <f>SUM(E42:E45)</f>
        <v>17347339.810000002</v>
      </c>
      <c r="F46" s="186">
        <f>SUM(F42:F45)</f>
        <v>0</v>
      </c>
      <c r="G46" s="187">
        <f>SUM(G42:G45)</f>
        <v>0</v>
      </c>
    </row>
    <row r="47" spans="1:7" ht="15.75">
      <c r="A47" s="166"/>
      <c r="B47" s="167" t="s">
        <v>293</v>
      </c>
      <c r="C47" s="184" t="s">
        <v>393</v>
      </c>
      <c r="D47" s="186">
        <f>'Sch 1- Rate Base '!G30</f>
        <v>1254541.8900000001</v>
      </c>
      <c r="E47" s="186">
        <f>VLOOKUP($C47,Ratio,2,FALSE)*$D47</f>
        <v>0</v>
      </c>
      <c r="F47" s="186">
        <f>VLOOKUP($C47,Ratio,3,FALSE)*$D47</f>
        <v>1254541.8900000001</v>
      </c>
      <c r="G47" s="187">
        <f>VLOOKUP($C47,Ratio,4,FALSE)*$D47</f>
        <v>0</v>
      </c>
    </row>
    <row r="48" spans="1:7" ht="15.75">
      <c r="A48" s="166"/>
      <c r="B48" s="167" t="s">
        <v>32</v>
      </c>
      <c r="C48" s="184" t="s">
        <v>392</v>
      </c>
      <c r="D48" s="186">
        <f>'Sch 1- Rate Base '!G34</f>
        <v>18412706.72</v>
      </c>
      <c r="E48" s="186">
        <f>VLOOKUP($C48,Ratio,2,FALSE)*$D48</f>
        <v>0</v>
      </c>
      <c r="F48" s="186">
        <f>VLOOKUP($C48,Ratio,3,FALSE)*$D48</f>
        <v>0</v>
      </c>
      <c r="G48" s="187">
        <f>VLOOKUP($C48,Ratio,4,FALSE)*$D48</f>
        <v>18412706.72</v>
      </c>
    </row>
    <row r="49" spans="1:7" ht="15.75">
      <c r="A49" s="166"/>
      <c r="B49" s="167" t="s">
        <v>290</v>
      </c>
      <c r="C49" s="184"/>
      <c r="D49" s="185">
        <f>D46+D47+D48</f>
        <v>37014588.42</v>
      </c>
      <c r="E49" s="185">
        <f>E46+E47+E48</f>
        <v>17347339.810000002</v>
      </c>
      <c r="F49" s="185">
        <f>F46+F47+F48</f>
        <v>1254541.8900000001</v>
      </c>
      <c r="G49" s="190">
        <f>G46+G47+G48</f>
        <v>18412706.72</v>
      </c>
    </row>
    <row r="50" spans="1:7" ht="15.75">
      <c r="A50" s="166"/>
      <c r="B50" s="183" t="s">
        <v>336</v>
      </c>
      <c r="C50" s="820"/>
      <c r="D50" s="823">
        <f>IF($D49=0,0,D49/$D49)</f>
        <v>1</v>
      </c>
      <c r="E50" s="823">
        <f>IF($D49=0,0,E49/$D49)</f>
        <v>0.4686622369851006</v>
      </c>
      <c r="F50" s="823">
        <f>IF($D49=0,0,F49/$D49)</f>
        <v>0.03389317411191682</v>
      </c>
      <c r="G50" s="824">
        <f>IF($D49=0,0,G49/$D49)</f>
        <v>0.49744458890298254</v>
      </c>
    </row>
    <row r="51" spans="1:7" ht="15.75">
      <c r="A51" s="166"/>
      <c r="B51" s="167"/>
      <c r="C51" s="167"/>
      <c r="D51" s="170"/>
      <c r="E51" s="170"/>
      <c r="F51" s="170"/>
      <c r="G51" s="171"/>
    </row>
    <row r="52" spans="1:7" ht="15.75">
      <c r="A52" s="166" t="s">
        <v>18</v>
      </c>
      <c r="B52" s="173" t="s">
        <v>337</v>
      </c>
      <c r="C52" s="439" t="s">
        <v>289</v>
      </c>
      <c r="D52" s="440" t="s">
        <v>14</v>
      </c>
      <c r="E52" s="440" t="s">
        <v>15</v>
      </c>
      <c r="F52" s="440" t="s">
        <v>16</v>
      </c>
      <c r="G52" s="441" t="s">
        <v>280</v>
      </c>
    </row>
    <row r="53" spans="1:7" ht="15.75">
      <c r="A53" s="166"/>
      <c r="B53" s="167" t="s">
        <v>294</v>
      </c>
      <c r="C53" s="184"/>
      <c r="D53" s="185">
        <f>D49</f>
        <v>37014588.42</v>
      </c>
      <c r="E53" s="185">
        <f>E49</f>
        <v>17347339.810000002</v>
      </c>
      <c r="F53" s="185">
        <f>F49</f>
        <v>1254541.8900000001</v>
      </c>
      <c r="G53" s="190">
        <f>G49</f>
        <v>18412706.72</v>
      </c>
    </row>
    <row r="54" spans="1:7" ht="15.75">
      <c r="A54" s="166"/>
      <c r="B54" s="167" t="s">
        <v>295</v>
      </c>
      <c r="C54" s="184" t="s">
        <v>392</v>
      </c>
      <c r="D54" s="186">
        <f>'Sch 1- Rate Base '!G16</f>
        <v>0</v>
      </c>
      <c r="E54" s="186">
        <f>'Sch 1- Rate Base '!H16</f>
        <v>0</v>
      </c>
      <c r="F54" s="186">
        <f>'Sch 1- Rate Base '!I16</f>
        <v>0</v>
      </c>
      <c r="G54" s="187">
        <f>'Sch 1- Rate Base '!J16</f>
        <v>0</v>
      </c>
    </row>
    <row r="55" spans="1:7" ht="15.75">
      <c r="A55" s="166"/>
      <c r="B55" s="167" t="s">
        <v>296</v>
      </c>
      <c r="C55" s="184" t="s">
        <v>2</v>
      </c>
      <c r="D55" s="186">
        <f>'Sch 1- Rate Base '!G17</f>
        <v>4862081.76</v>
      </c>
      <c r="E55" s="186">
        <f>'Sch 1- Rate Base '!H17</f>
        <v>4862081.76</v>
      </c>
      <c r="F55" s="186">
        <f>'Sch 1- Rate Base '!I17</f>
        <v>0</v>
      </c>
      <c r="G55" s="187">
        <f>'Sch 1- Rate Base '!J17</f>
        <v>0</v>
      </c>
    </row>
    <row r="56" spans="1:7" ht="15.75">
      <c r="A56" s="166"/>
      <c r="B56" s="167" t="s">
        <v>310</v>
      </c>
      <c r="C56" s="184" t="s">
        <v>2</v>
      </c>
      <c r="D56" s="186">
        <f>'Sch 1- Rate Base '!G18</f>
        <v>0</v>
      </c>
      <c r="E56" s="186">
        <f>'Sch 1- Rate Base '!H18</f>
        <v>0</v>
      </c>
      <c r="F56" s="186">
        <f>'Sch 1- Rate Base '!I18</f>
        <v>0</v>
      </c>
      <c r="G56" s="187">
        <f>'Sch 1- Rate Base '!J18</f>
        <v>0</v>
      </c>
    </row>
    <row r="57" spans="1:7" ht="15.75">
      <c r="A57" s="166"/>
      <c r="B57" s="167" t="s">
        <v>338</v>
      </c>
      <c r="C57" s="184"/>
      <c r="D57" s="186">
        <f>D37</f>
        <v>1881817.4299999997</v>
      </c>
      <c r="E57" s="186">
        <f>E37</f>
        <v>217838.51236996113</v>
      </c>
      <c r="F57" s="186">
        <f>F37</f>
        <v>106923.27639752364</v>
      </c>
      <c r="G57" s="187">
        <f>G37</f>
        <v>1557055.6412325152</v>
      </c>
    </row>
    <row r="58" spans="1:7" ht="15.75">
      <c r="A58" s="166"/>
      <c r="B58" s="167" t="s">
        <v>290</v>
      </c>
      <c r="C58" s="184"/>
      <c r="D58" s="185">
        <f>SUM(D53:D57)</f>
        <v>43758487.61</v>
      </c>
      <c r="E58" s="185">
        <f>SUM(E53:E57)</f>
        <v>22427260.08236996</v>
      </c>
      <c r="F58" s="185">
        <f>SUM(F53:F57)</f>
        <v>1361465.1663975238</v>
      </c>
      <c r="G58" s="190">
        <f>SUM(G53:G57)</f>
        <v>19969762.361232515</v>
      </c>
    </row>
    <row r="59" spans="1:7" ht="15.75">
      <c r="A59" s="166"/>
      <c r="B59" s="183" t="s">
        <v>339</v>
      </c>
      <c r="C59" s="820"/>
      <c r="D59" s="823">
        <f>IF($D58=0,0,D58/$D58)</f>
        <v>1</v>
      </c>
      <c r="E59" s="823">
        <f>IF($D58=0,0,E58/$D58)</f>
        <v>0.5125236567189932</v>
      </c>
      <c r="F59" s="823">
        <f>IF($D58=0,0,F58/$D58)</f>
        <v>0.031113167770597083</v>
      </c>
      <c r="G59" s="824">
        <f>IF($D58=0,0,G58/$D58)</f>
        <v>0.4563631755104096</v>
      </c>
    </row>
    <row r="60" spans="1:7" ht="15.75">
      <c r="A60" s="166"/>
      <c r="B60" s="167"/>
      <c r="C60" s="167"/>
      <c r="D60" s="170"/>
      <c r="E60" s="170"/>
      <c r="F60" s="170"/>
      <c r="G60" s="171"/>
    </row>
    <row r="61" spans="1:7" ht="15.75">
      <c r="A61" s="166" t="s">
        <v>19</v>
      </c>
      <c r="B61" s="173" t="s">
        <v>340</v>
      </c>
      <c r="C61" s="439" t="s">
        <v>289</v>
      </c>
      <c r="D61" s="440" t="s">
        <v>14</v>
      </c>
      <c r="E61" s="440" t="s">
        <v>15</v>
      </c>
      <c r="F61" s="440" t="s">
        <v>16</v>
      </c>
      <c r="G61" s="441" t="s">
        <v>280</v>
      </c>
    </row>
    <row r="62" spans="1:7" ht="15.75">
      <c r="A62" s="166"/>
      <c r="B62" s="167" t="s">
        <v>31</v>
      </c>
      <c r="C62" s="184" t="s">
        <v>393</v>
      </c>
      <c r="D62" s="185">
        <f>D47</f>
        <v>1254541.8900000001</v>
      </c>
      <c r="E62" s="185">
        <f>VLOOKUP($C62,Ratio,2,FALSE)*$D62</f>
        <v>0</v>
      </c>
      <c r="F62" s="185">
        <f>VLOOKUP($C62,Ratio,3,FALSE)*$D62</f>
        <v>1254541.8900000001</v>
      </c>
      <c r="G62" s="190">
        <f>VLOOKUP($C62,Ratio,4,FALSE)*$D62</f>
        <v>0</v>
      </c>
    </row>
    <row r="63" spans="1:7" ht="15.75">
      <c r="A63" s="166"/>
      <c r="B63" s="167" t="s">
        <v>32</v>
      </c>
      <c r="C63" s="184" t="s">
        <v>392</v>
      </c>
      <c r="D63" s="186">
        <f>D48</f>
        <v>18412706.72</v>
      </c>
      <c r="E63" s="186">
        <f>VLOOKUP($C63,Ratio,2,FALSE)*$D63</f>
        <v>0</v>
      </c>
      <c r="F63" s="186">
        <f>VLOOKUP($C63,Ratio,3,FALSE)*$D63</f>
        <v>0</v>
      </c>
      <c r="G63" s="187">
        <f>VLOOKUP($C63,Ratio,4,FALSE)*$D63</f>
        <v>18412706.72</v>
      </c>
    </row>
    <row r="64" spans="1:7" ht="15.75">
      <c r="A64" s="166"/>
      <c r="B64" s="167" t="s">
        <v>290</v>
      </c>
      <c r="C64" s="184"/>
      <c r="D64" s="185">
        <f>SUM(D62:D63)</f>
        <v>19667248.61</v>
      </c>
      <c r="E64" s="185">
        <f>SUM(E62:E63)</f>
        <v>0</v>
      </c>
      <c r="F64" s="185">
        <f>SUM(F62:F63)</f>
        <v>1254541.8900000001</v>
      </c>
      <c r="G64" s="190">
        <f>SUM(G62:G63)</f>
        <v>18412706.72</v>
      </c>
    </row>
    <row r="65" spans="1:7" ht="15.75">
      <c r="A65" s="166"/>
      <c r="B65" s="183" t="s">
        <v>341</v>
      </c>
      <c r="C65" s="825"/>
      <c r="D65" s="826">
        <f>IF($D64=0,0,D64/$D64)</f>
        <v>1</v>
      </c>
      <c r="E65" s="826">
        <f>IF($D64=0,0,E64/$D64)</f>
        <v>0</v>
      </c>
      <c r="F65" s="826">
        <f>IF($D64=0,0,F64/$D64)</f>
        <v>0.06378837807348997</v>
      </c>
      <c r="G65" s="827">
        <f>IF($D64=0,0,G64/$D64)</f>
        <v>0.93621162192651</v>
      </c>
    </row>
    <row r="66" spans="1:7" ht="16.5" thickBot="1">
      <c r="A66" s="174"/>
      <c r="B66" s="175"/>
      <c r="C66" s="175"/>
      <c r="D66" s="176"/>
      <c r="E66" s="176"/>
      <c r="F66" s="176"/>
      <c r="G66" s="177"/>
    </row>
    <row r="67" spans="1:7" ht="16.5" thickTop="1">
      <c r="A67" s="166"/>
      <c r="B67" s="167"/>
      <c r="C67" s="167"/>
      <c r="D67" s="170"/>
      <c r="E67" s="170"/>
      <c r="F67" s="170"/>
      <c r="G67" s="171"/>
    </row>
    <row r="68" spans="1:7" ht="15.75">
      <c r="A68" s="166" t="s">
        <v>5</v>
      </c>
      <c r="B68" s="173" t="s">
        <v>342</v>
      </c>
      <c r="C68" s="439" t="s">
        <v>289</v>
      </c>
      <c r="D68" s="440" t="s">
        <v>14</v>
      </c>
      <c r="E68" s="440" t="s">
        <v>15</v>
      </c>
      <c r="F68" s="440" t="s">
        <v>16</v>
      </c>
      <c r="G68" s="441" t="s">
        <v>280</v>
      </c>
    </row>
    <row r="69" spans="1:7" ht="15.75">
      <c r="A69" s="166"/>
      <c r="B69" s="167" t="s">
        <v>36</v>
      </c>
      <c r="C69" s="184" t="s">
        <v>11</v>
      </c>
      <c r="D69" s="185">
        <f>D26</f>
        <v>380460.08</v>
      </c>
      <c r="E69" s="185">
        <f>VLOOKUP($C69,Ratio,2,FALSE)*$D69</f>
        <v>178307.27217633036</v>
      </c>
      <c r="F69" s="185">
        <f>VLOOKUP($C69,Ratio,3,FALSE)*$D69</f>
        <v>12894.999734073803</v>
      </c>
      <c r="G69" s="190">
        <f>VLOOKUP($C69,Ratio,4,FALSE)*$D69</f>
        <v>189257.80808959587</v>
      </c>
    </row>
    <row r="70" spans="1:7" ht="15.75">
      <c r="A70" s="166"/>
      <c r="B70" s="167" t="s">
        <v>37</v>
      </c>
      <c r="C70" s="184" t="s">
        <v>7</v>
      </c>
      <c r="D70" s="186">
        <f>D27</f>
        <v>12378.82</v>
      </c>
      <c r="E70" s="186">
        <f>VLOOKUP($C70,Ratio,2,FALSE)*$D70</f>
        <v>3447.7160463317173</v>
      </c>
      <c r="F70" s="186">
        <f>VLOOKUP($C70,Ratio,3,FALSE)*$D70</f>
        <v>1350.4607290323524</v>
      </c>
      <c r="G70" s="187">
        <f>VLOOKUP($C70,Ratio,4,FALSE)*$D70</f>
        <v>7580.643224635929</v>
      </c>
    </row>
    <row r="71" spans="1:7" ht="15.75">
      <c r="A71" s="166"/>
      <c r="B71" s="167" t="s">
        <v>43</v>
      </c>
      <c r="C71" s="184" t="s">
        <v>11</v>
      </c>
      <c r="D71" s="186">
        <f>D33</f>
        <v>0</v>
      </c>
      <c r="E71" s="186">
        <f>VLOOKUP($C71,Ratio,2,FALSE)*$D71</f>
        <v>0</v>
      </c>
      <c r="F71" s="186">
        <f>VLOOKUP($C71,Ratio,3,FALSE)*$D71</f>
        <v>0</v>
      </c>
      <c r="G71" s="187">
        <f>VLOOKUP($C71,Ratio,4,FALSE)*$D71</f>
        <v>0</v>
      </c>
    </row>
    <row r="72" spans="1:7" ht="15.75">
      <c r="A72" s="166"/>
      <c r="B72" s="167" t="s">
        <v>44</v>
      </c>
      <c r="C72" s="184" t="s">
        <v>392</v>
      </c>
      <c r="D72" s="186">
        <f>D34</f>
        <v>0</v>
      </c>
      <c r="E72" s="186">
        <f>VLOOKUP($C72,Ratio,2,FALSE)*$D72</f>
        <v>0</v>
      </c>
      <c r="F72" s="186">
        <f>VLOOKUP($C72,Ratio,3,FALSE)*$D72</f>
        <v>0</v>
      </c>
      <c r="G72" s="187">
        <f>VLOOKUP($C72,Ratio,4,FALSE)*$D72</f>
        <v>0</v>
      </c>
    </row>
    <row r="73" spans="1:7" ht="15.75">
      <c r="A73" s="166"/>
      <c r="B73" s="167" t="s">
        <v>290</v>
      </c>
      <c r="C73" s="184"/>
      <c r="D73" s="185">
        <f>SUM(D69:D72)</f>
        <v>392838.9</v>
      </c>
      <c r="E73" s="185">
        <f>SUM(E69:E72)</f>
        <v>181754.98822266207</v>
      </c>
      <c r="F73" s="185">
        <f>SUM(F69:F72)</f>
        <v>14245.460463106156</v>
      </c>
      <c r="G73" s="190">
        <f>SUM(G69:G72)</f>
        <v>196838.4513142318</v>
      </c>
    </row>
    <row r="74" spans="1:7" ht="15.75">
      <c r="A74" s="166"/>
      <c r="B74" s="183" t="s">
        <v>343</v>
      </c>
      <c r="C74" s="820"/>
      <c r="D74" s="823">
        <f>IF($D73=0,0,D73/$D73)</f>
        <v>1</v>
      </c>
      <c r="E74" s="823">
        <f>IF($D73=0,0,E73/$D73)</f>
        <v>0.462670545668115</v>
      </c>
      <c r="F74" s="823">
        <f>IF($D73=0,0,F73/$D73)</f>
        <v>0.036262856003074426</v>
      </c>
      <c r="G74" s="824">
        <f>IF($D73=0,0,G73/$D73)</f>
        <v>0.5010665983288105</v>
      </c>
    </row>
    <row r="75" spans="1:7" ht="15.75">
      <c r="A75" s="166"/>
      <c r="B75" s="183"/>
      <c r="C75" s="172"/>
      <c r="D75" s="191"/>
      <c r="E75" s="191"/>
      <c r="F75" s="191"/>
      <c r="G75" s="192"/>
    </row>
    <row r="76" spans="1:7" ht="16.5" thickBot="1">
      <c r="A76" s="166"/>
      <c r="B76" s="183" t="s">
        <v>344</v>
      </c>
      <c r="C76" s="167"/>
      <c r="D76" s="837"/>
      <c r="E76" s="837"/>
      <c r="F76" s="837"/>
      <c r="G76" s="838"/>
    </row>
    <row r="77" spans="1:7" ht="15.75">
      <c r="A77" s="166"/>
      <c r="B77" s="173" t="s">
        <v>432</v>
      </c>
      <c r="C77" s="167"/>
      <c r="D77" s="828" t="s">
        <v>407</v>
      </c>
      <c r="E77" s="829">
        <v>0.7</v>
      </c>
      <c r="F77" s="829">
        <v>0</v>
      </c>
      <c r="G77" s="830">
        <f>1-E77</f>
        <v>0.30000000000000004</v>
      </c>
    </row>
    <row r="78" spans="1:7" ht="15.75">
      <c r="A78" s="166"/>
      <c r="B78" s="173" t="s">
        <v>299</v>
      </c>
      <c r="C78" s="167"/>
      <c r="D78" s="831" t="s">
        <v>392</v>
      </c>
      <c r="E78" s="832">
        <v>0</v>
      </c>
      <c r="F78" s="832">
        <v>0</v>
      </c>
      <c r="G78" s="833">
        <v>1</v>
      </c>
    </row>
    <row r="79" spans="1:7" ht="15.75">
      <c r="A79" s="166"/>
      <c r="B79" s="173" t="s">
        <v>300</v>
      </c>
      <c r="C79" s="167"/>
      <c r="D79" s="831" t="s">
        <v>394</v>
      </c>
      <c r="E79" s="832">
        <v>1</v>
      </c>
      <c r="F79" s="832">
        <v>0</v>
      </c>
      <c r="G79" s="833">
        <v>0</v>
      </c>
    </row>
    <row r="80" spans="1:7" ht="15.75">
      <c r="A80" s="166"/>
      <c r="B80" s="173" t="s">
        <v>301</v>
      </c>
      <c r="C80" s="167"/>
      <c r="D80" s="831" t="s">
        <v>393</v>
      </c>
      <c r="E80" s="832">
        <v>0</v>
      </c>
      <c r="F80" s="832">
        <v>1</v>
      </c>
      <c r="G80" s="833">
        <v>0</v>
      </c>
    </row>
    <row r="81" spans="1:7" ht="15.75">
      <c r="A81" s="166"/>
      <c r="B81" s="173" t="s">
        <v>302</v>
      </c>
      <c r="C81" s="167"/>
      <c r="D81" s="831" t="s">
        <v>2</v>
      </c>
      <c r="E81" s="832">
        <v>0</v>
      </c>
      <c r="F81" s="832">
        <v>0</v>
      </c>
      <c r="G81" s="833">
        <v>0</v>
      </c>
    </row>
    <row r="82" spans="1:7" ht="15.75">
      <c r="A82" s="166"/>
      <c r="B82" s="173" t="s">
        <v>4</v>
      </c>
      <c r="C82" s="167"/>
      <c r="D82" s="831" t="s">
        <v>3</v>
      </c>
      <c r="E82" s="832">
        <f>E38</f>
        <v>0.11575964219332434</v>
      </c>
      <c r="F82" s="832">
        <f>F38</f>
        <v>0.056819155085370665</v>
      </c>
      <c r="G82" s="833">
        <f>G38</f>
        <v>0.8274212027213051</v>
      </c>
    </row>
    <row r="83" spans="1:7" ht="15.75">
      <c r="A83" s="166"/>
      <c r="B83" s="173" t="s">
        <v>6</v>
      </c>
      <c r="C83" s="167"/>
      <c r="D83" s="831" t="s">
        <v>5</v>
      </c>
      <c r="E83" s="832">
        <f>E74</f>
        <v>0.462670545668115</v>
      </c>
      <c r="F83" s="832">
        <f>F74</f>
        <v>0.036262856003074426</v>
      </c>
      <c r="G83" s="833">
        <f>G74</f>
        <v>0.5010665983288105</v>
      </c>
    </row>
    <row r="84" spans="1:7" ht="15.75">
      <c r="A84" s="166"/>
      <c r="B84" s="173" t="s">
        <v>298</v>
      </c>
      <c r="C84" s="167"/>
      <c r="D84" s="831" t="s">
        <v>7</v>
      </c>
      <c r="E84" s="832">
        <f>E22</f>
        <v>0.2785173422290426</v>
      </c>
      <c r="F84" s="832">
        <f>F22</f>
        <v>0.1090944636913981</v>
      </c>
      <c r="G84" s="833">
        <f>G22</f>
        <v>0.6123881940795592</v>
      </c>
    </row>
    <row r="85" spans="1:7" ht="15.75">
      <c r="A85" s="166"/>
      <c r="B85" s="173" t="s">
        <v>292</v>
      </c>
      <c r="C85" s="167"/>
      <c r="D85" s="831" t="s">
        <v>11</v>
      </c>
      <c r="E85" s="832">
        <f>E50</f>
        <v>0.4686622369851006</v>
      </c>
      <c r="F85" s="832">
        <f>F50</f>
        <v>0.03389317411191682</v>
      </c>
      <c r="G85" s="833">
        <f>G50</f>
        <v>0.49744458890298254</v>
      </c>
    </row>
    <row r="86" spans="1:7" ht="15.75">
      <c r="A86" s="166"/>
      <c r="B86" s="173" t="s">
        <v>303</v>
      </c>
      <c r="C86" s="167"/>
      <c r="D86" s="831" t="s">
        <v>18</v>
      </c>
      <c r="E86" s="832">
        <f>E59</f>
        <v>0.5125236567189932</v>
      </c>
      <c r="F86" s="832">
        <f>F59</f>
        <v>0.031113167770597083</v>
      </c>
      <c r="G86" s="833">
        <f>G59</f>
        <v>0.4563631755104096</v>
      </c>
    </row>
    <row r="87" spans="1:7" ht="16.5" thickBot="1">
      <c r="A87" s="166"/>
      <c r="B87" s="173" t="s">
        <v>297</v>
      </c>
      <c r="C87" s="167"/>
      <c r="D87" s="834" t="s">
        <v>19</v>
      </c>
      <c r="E87" s="835">
        <f>E65</f>
        <v>0</v>
      </c>
      <c r="F87" s="835">
        <f>F65</f>
        <v>0.06378837807348997</v>
      </c>
      <c r="G87" s="836">
        <f>G65</f>
        <v>0.93621162192651</v>
      </c>
    </row>
    <row r="88" spans="1:7" ht="16.5" thickBot="1">
      <c r="A88" s="174"/>
      <c r="B88" s="175"/>
      <c r="C88" s="175"/>
      <c r="D88" s="176"/>
      <c r="E88" s="176"/>
      <c r="F88" s="176"/>
      <c r="G88" s="177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&amp;L&amp;F&amp;CPage &amp;P of &amp;N&amp;R&amp;D</oddFooter>
  </headerFooter>
  <rowBreaks count="2" manualBreakCount="2">
    <brk id="39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5"/>
  <sheetViews>
    <sheetView zoomScaleSheetLayoutView="75" workbookViewId="0" topLeftCell="A1">
      <selection activeCell="C8" sqref="C8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26" t="s">
        <v>89</v>
      </c>
      <c r="B1" s="298"/>
      <c r="C1" s="298"/>
      <c r="D1" s="298"/>
      <c r="E1" s="298"/>
      <c r="F1" s="355"/>
    </row>
    <row r="2" spans="1:6" ht="15.75">
      <c r="A2" s="230" t="s">
        <v>91</v>
      </c>
      <c r="B2" s="135"/>
      <c r="C2" s="135"/>
      <c r="D2" s="135"/>
      <c r="E2" s="135"/>
      <c r="F2" s="356"/>
    </row>
    <row r="3" spans="1:6" ht="15.75">
      <c r="A3" s="232" t="s">
        <v>400</v>
      </c>
      <c r="B3" s="136"/>
      <c r="C3" s="202"/>
      <c r="D3" s="20"/>
      <c r="E3" s="203"/>
      <c r="F3" s="233"/>
    </row>
    <row r="4" spans="1:6" ht="12" customHeight="1" thickBot="1">
      <c r="A4" s="481"/>
      <c r="B4" s="136"/>
      <c r="C4" s="202"/>
      <c r="D4" s="20"/>
      <c r="E4" s="203"/>
      <c r="F4" s="233"/>
    </row>
    <row r="5" spans="1:6" ht="15.75">
      <c r="A5" s="481"/>
      <c r="B5" s="726" t="s">
        <v>460</v>
      </c>
      <c r="C5" s="858" t="s">
        <v>472</v>
      </c>
      <c r="D5" s="859"/>
      <c r="E5" s="860"/>
      <c r="F5" s="233"/>
    </row>
    <row r="6" spans="1:6" ht="15.75">
      <c r="A6" s="481"/>
      <c r="B6" s="726" t="s">
        <v>462</v>
      </c>
      <c r="C6" s="861" t="s">
        <v>473</v>
      </c>
      <c r="D6" s="862"/>
      <c r="E6" s="846"/>
      <c r="F6" s="233"/>
    </row>
    <row r="7" spans="1:6" ht="16.5" thickBot="1">
      <c r="A7" s="481"/>
      <c r="B7" s="726" t="s">
        <v>463</v>
      </c>
      <c r="C7" s="847">
        <v>401165</v>
      </c>
      <c r="D7" s="848"/>
      <c r="E7" s="849"/>
      <c r="F7" s="233"/>
    </row>
    <row r="8" spans="1:6" s="736" customFormat="1" ht="15.75">
      <c r="A8" s="734"/>
      <c r="B8" s="735"/>
      <c r="C8" s="258"/>
      <c r="D8" s="258"/>
      <c r="E8" s="258"/>
      <c r="F8" s="233"/>
    </row>
    <row r="9" spans="1:6" ht="15.75">
      <c r="A9" s="481" t="s">
        <v>265</v>
      </c>
      <c r="B9" s="136"/>
      <c r="C9" s="202"/>
      <c r="D9" s="20"/>
      <c r="E9" s="203"/>
      <c r="F9" s="233"/>
    </row>
    <row r="10" spans="1:6" ht="17.25" customHeight="1" thickBot="1">
      <c r="A10" s="852" t="s">
        <v>470</v>
      </c>
      <c r="B10" s="853"/>
      <c r="C10" s="853"/>
      <c r="D10" s="853"/>
      <c r="E10" s="853"/>
      <c r="F10" s="844"/>
    </row>
    <row r="11" spans="1:6" ht="15.75">
      <c r="A11" s="850" t="s">
        <v>12</v>
      </c>
      <c r="B11" s="876"/>
      <c r="C11" s="881" t="s">
        <v>14</v>
      </c>
      <c r="D11" s="869" t="s">
        <v>15</v>
      </c>
      <c r="E11" s="869" t="s">
        <v>16</v>
      </c>
      <c r="F11" s="475" t="s">
        <v>10</v>
      </c>
    </row>
    <row r="12" spans="1:6" ht="16.5" thickBot="1">
      <c r="A12" s="851"/>
      <c r="B12" s="880"/>
      <c r="C12" s="883"/>
      <c r="D12" s="871"/>
      <c r="E12" s="871"/>
      <c r="F12" s="471" t="s">
        <v>17</v>
      </c>
    </row>
    <row r="13" spans="1:6" ht="15.75">
      <c r="A13" s="357" t="s">
        <v>186</v>
      </c>
      <c r="B13" s="49"/>
      <c r="C13" s="54"/>
      <c r="D13" s="204"/>
      <c r="E13" s="204"/>
      <c r="F13" s="358"/>
    </row>
    <row r="14" spans="1:6" ht="15.75">
      <c r="A14" s="359"/>
      <c r="B14" s="575" t="s">
        <v>187</v>
      </c>
      <c r="C14" s="795">
        <f>'Sch 3 - Expenses'!G36</f>
        <v>6501440.6899999995</v>
      </c>
      <c r="D14" s="795">
        <f>'Sch 3 - Expenses'!H36</f>
        <v>6501440.6899999995</v>
      </c>
      <c r="E14" s="795">
        <f>'Sch 3 - Expenses'!I36</f>
        <v>0</v>
      </c>
      <c r="F14" s="796">
        <f>'Sch 3 - Expenses'!J36</f>
        <v>0</v>
      </c>
    </row>
    <row r="15" spans="1:6" ht="15.75">
      <c r="A15" s="359"/>
      <c r="B15" s="575" t="s">
        <v>266</v>
      </c>
      <c r="C15" s="795">
        <f>'Sch 3 - Expenses'!G42</f>
        <v>1170940.34</v>
      </c>
      <c r="D15" s="795">
        <f>'Sch 3 - Expenses'!H42</f>
        <v>0</v>
      </c>
      <c r="E15" s="795">
        <f>'Sch 3 - Expenses'!I42</f>
        <v>1170940.34</v>
      </c>
      <c r="F15" s="796">
        <f>'Sch 3 - Expenses'!J42</f>
        <v>0</v>
      </c>
    </row>
    <row r="16" spans="1:6" ht="15.75">
      <c r="A16" s="359"/>
      <c r="B16" s="575" t="s">
        <v>288</v>
      </c>
      <c r="C16" s="795">
        <f>'Sch 3 - Expenses'!G47</f>
        <v>1749922.89</v>
      </c>
      <c r="D16" s="795">
        <f>'Sch 3 - Expenses'!H47</f>
        <v>0</v>
      </c>
      <c r="E16" s="795">
        <f>'Sch 3 - Expenses'!I47</f>
        <v>0</v>
      </c>
      <c r="F16" s="796">
        <f>'Sch 3 - Expenses'!J47</f>
        <v>1749922.89</v>
      </c>
    </row>
    <row r="17" spans="1:6" ht="15.75">
      <c r="A17" s="359"/>
      <c r="B17" s="575" t="s">
        <v>309</v>
      </c>
      <c r="C17" s="795">
        <f>'Sch 3 - Expenses'!G55</f>
        <v>418513.64999999997</v>
      </c>
      <c r="D17" s="795">
        <f>'Sch 3 - Expenses'!H55</f>
        <v>0</v>
      </c>
      <c r="E17" s="795">
        <f>'Sch 3 - Expenses'!I55</f>
        <v>0</v>
      </c>
      <c r="F17" s="796">
        <f>'Sch 3 - Expenses'!J55</f>
        <v>418513.64999999997</v>
      </c>
    </row>
    <row r="18" spans="1:6" ht="15.75">
      <c r="A18" s="359"/>
      <c r="B18" s="575" t="s">
        <v>188</v>
      </c>
      <c r="C18" s="795">
        <f>'Sch 3 - Expenses'!G75</f>
        <v>1059045.51</v>
      </c>
      <c r="D18" s="795">
        <f>'Sch 3 - Expenses'!H75</f>
        <v>294962.540744801</v>
      </c>
      <c r="E18" s="795">
        <f>'Sch 3 - Expenses'!I75</f>
        <v>115536.00193823318</v>
      </c>
      <c r="F18" s="796">
        <f>'Sch 3 - Expenses'!J75</f>
        <v>648546.9673169658</v>
      </c>
    </row>
    <row r="19" spans="1:6" ht="15.75">
      <c r="A19" s="359"/>
      <c r="B19" s="575" t="s">
        <v>409</v>
      </c>
      <c r="C19" s="795">
        <f>'Sch 3 - Expenses'!G16+'Sch 3 - Expenses'!G20+'Sch 3 - Expenses'!G27+'Sch 3 - Expenses'!G31+'Sch 3 - Expenses'!G34+'Sch 3 - Expenses'!G35</f>
        <v>5667659</v>
      </c>
      <c r="D19" s="795">
        <f>'Sch 3 - Expenses'!H16+'Sch 3 - Expenses'!H20+'Sch 3 - Expenses'!H27+'Sch 3 - Expenses'!H31+'Sch 3 - Expenses'!H34+'Sch 3 - Expenses'!H35</f>
        <v>5667659</v>
      </c>
      <c r="E19" s="795">
        <f>'Sch 3 - Expenses'!I16+'Sch 3 - Expenses'!I20+'Sch 3 - Expenses'!I27+'Sch 3 - Expenses'!I31+'Sch 3 - Expenses'!I34+'Sch 3 - Expenses'!I35</f>
        <v>0</v>
      </c>
      <c r="F19" s="796">
        <f>'Sch 3 - Expenses'!J16+'Sch 3 - Expenses'!J20+'Sch 3 - Expenses'!J27+'Sch 3 - Expenses'!J31+'Sch 3 - Expenses'!J34+'Sch 3 - Expenses'!J35</f>
        <v>0</v>
      </c>
    </row>
    <row r="20" spans="1:6" ht="15.75">
      <c r="A20" s="323" t="s">
        <v>190</v>
      </c>
      <c r="B20" s="49"/>
      <c r="C20" s="673">
        <f>SUM(C14:C18)-C19</f>
        <v>5232204.08</v>
      </c>
      <c r="D20" s="673">
        <f>SUM(D14:D18)-D19</f>
        <v>1128744.2307448005</v>
      </c>
      <c r="E20" s="673">
        <f>SUM(E14:E18)-E19</f>
        <v>1286476.3419382332</v>
      </c>
      <c r="F20" s="674">
        <f>SUM(F14:F18)-F19</f>
        <v>2816983.5073169656</v>
      </c>
    </row>
    <row r="21" spans="1:6" ht="15.75">
      <c r="A21" s="360"/>
      <c r="B21" s="49"/>
      <c r="C21" s="204"/>
      <c r="D21" s="204"/>
      <c r="E21" s="204"/>
      <c r="F21" s="361"/>
    </row>
    <row r="22" spans="1:6" ht="15.75">
      <c r="A22" s="234" t="s">
        <v>191</v>
      </c>
      <c r="B22" s="132"/>
      <c r="C22" s="205"/>
      <c r="D22" s="205"/>
      <c r="E22" s="205"/>
      <c r="F22" s="362"/>
    </row>
    <row r="23" spans="1:6" ht="15.75">
      <c r="A23" s="238" t="s">
        <v>189</v>
      </c>
      <c r="B23" s="104"/>
      <c r="C23" s="673">
        <f>C20/8</f>
        <v>654025.51</v>
      </c>
      <c r="D23" s="673">
        <f>D20/8</f>
        <v>141093.02884310007</v>
      </c>
      <c r="E23" s="673">
        <f>E20/8</f>
        <v>160809.54274227915</v>
      </c>
      <c r="F23" s="674">
        <f>F20/8</f>
        <v>352122.9384146207</v>
      </c>
    </row>
    <row r="24" spans="1:6" ht="15.75">
      <c r="A24" s="322"/>
      <c r="B24" s="128"/>
      <c r="C24" s="153"/>
      <c r="D24" s="153"/>
      <c r="E24" s="153"/>
      <c r="F24" s="347"/>
    </row>
    <row r="25" spans="1:6" ht="16.5" thickBot="1">
      <c r="A25" s="290"/>
      <c r="B25" s="291"/>
      <c r="C25" s="291"/>
      <c r="D25" s="291"/>
      <c r="E25" s="291"/>
      <c r="F25" s="292"/>
    </row>
    <row r="26" ht="16.5" thickTop="1"/>
  </sheetData>
  <mergeCells count="8">
    <mergeCell ref="A10:F10"/>
    <mergeCell ref="C5:E5"/>
    <mergeCell ref="C6:E6"/>
    <mergeCell ref="C7:E7"/>
    <mergeCell ref="A11:B12"/>
    <mergeCell ref="C11:C12"/>
    <mergeCell ref="D11:D12"/>
    <mergeCell ref="E11:E12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28"/>
  <sheetViews>
    <sheetView showZeros="0" view="pageBreakPreview" zoomScaleSheetLayoutView="100" workbookViewId="0" topLeftCell="A117">
      <selection activeCell="B122" sqref="B122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1" width="9.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226" t="s">
        <v>89</v>
      </c>
      <c r="B1" s="363"/>
      <c r="C1" s="363"/>
      <c r="D1" s="363"/>
      <c r="E1" s="363"/>
      <c r="F1" s="364"/>
      <c r="G1" s="364"/>
      <c r="H1" s="365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230" t="s">
        <v>91</v>
      </c>
      <c r="B2" s="135"/>
      <c r="C2" s="135"/>
      <c r="D2" s="135"/>
      <c r="E2" s="135"/>
      <c r="F2" s="207"/>
      <c r="G2" s="207"/>
      <c r="H2" s="366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232" t="s">
        <v>400</v>
      </c>
      <c r="B3" s="135"/>
      <c r="C3" s="135"/>
      <c r="D3" s="135"/>
      <c r="E3" s="135"/>
      <c r="F3" s="207"/>
      <c r="G3" s="207"/>
      <c r="H3" s="366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32"/>
      <c r="B4" s="135"/>
      <c r="C4" s="135"/>
      <c r="D4" s="135"/>
      <c r="E4" s="135"/>
      <c r="F4" s="207"/>
      <c r="G4" s="207"/>
      <c r="H4" s="366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32"/>
      <c r="B5" s="135"/>
      <c r="C5" s="726" t="s">
        <v>460</v>
      </c>
      <c r="D5" s="858" t="s">
        <v>472</v>
      </c>
      <c r="E5" s="859"/>
      <c r="F5" s="860"/>
      <c r="G5" s="207"/>
      <c r="H5" s="366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32"/>
      <c r="B6" s="135"/>
      <c r="C6" s="726" t="s">
        <v>462</v>
      </c>
      <c r="D6" s="861" t="s">
        <v>473</v>
      </c>
      <c r="E6" s="862"/>
      <c r="F6" s="846"/>
      <c r="G6" s="207"/>
      <c r="H6" s="366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32"/>
      <c r="B7" s="135"/>
      <c r="C7" s="726" t="s">
        <v>463</v>
      </c>
      <c r="D7" s="847">
        <v>39575</v>
      </c>
      <c r="E7" s="848"/>
      <c r="F7" s="849"/>
      <c r="G7" s="207"/>
      <c r="H7" s="366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481" t="s">
        <v>267</v>
      </c>
      <c r="B8" s="143"/>
      <c r="C8" s="143"/>
      <c r="D8" s="143"/>
      <c r="E8" s="143"/>
      <c r="F8" s="143"/>
      <c r="G8" s="143"/>
      <c r="H8" s="319"/>
      <c r="I8" s="496"/>
      <c r="J8" s="496"/>
      <c r="K8" s="496"/>
      <c r="L8" s="63"/>
      <c r="M8" s="56"/>
      <c r="N8" s="65"/>
      <c r="O8" s="14"/>
      <c r="P8" s="14"/>
      <c r="Q8" s="14"/>
    </row>
    <row r="9" spans="1:17" s="1" customFormat="1" ht="6.75" customHeight="1" thickBot="1">
      <c r="A9" s="373"/>
      <c r="B9" s="338"/>
      <c r="C9" s="338"/>
      <c r="D9" s="338"/>
      <c r="E9" s="338"/>
      <c r="F9" s="338"/>
      <c r="G9" s="338"/>
      <c r="H9" s="339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518"/>
      <c r="B10" s="519"/>
      <c r="C10" s="519"/>
      <c r="D10" s="525" t="s">
        <v>437</v>
      </c>
      <c r="E10" s="520"/>
      <c r="F10" s="511"/>
      <c r="G10" s="511"/>
      <c r="H10" s="512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9.5" customHeight="1">
      <c r="A11" s="518"/>
      <c r="B11" s="519"/>
      <c r="C11" s="519"/>
      <c r="D11" s="522" t="s">
        <v>435</v>
      </c>
      <c r="E11" s="662">
        <f>E35</f>
        <v>0</v>
      </c>
      <c r="F11" s="511"/>
      <c r="G11" s="511"/>
      <c r="H11" s="512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9.5" customHeight="1">
      <c r="A12" s="521"/>
      <c r="B12" s="519"/>
      <c r="C12" s="519"/>
      <c r="D12" s="523" t="s">
        <v>434</v>
      </c>
      <c r="E12" s="663">
        <f>E90</f>
        <v>0</v>
      </c>
      <c r="F12" s="513"/>
      <c r="G12" s="513"/>
      <c r="H12" s="514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9.5" customHeight="1" thickBot="1">
      <c r="A13" s="521"/>
      <c r="B13" s="524"/>
      <c r="C13" s="519"/>
      <c r="D13" s="523" t="s">
        <v>450</v>
      </c>
      <c r="E13" s="664">
        <f>E118</f>
        <v>0.0465</v>
      </c>
      <c r="F13" s="143"/>
      <c r="G13" s="143"/>
      <c r="H13" s="319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9.5" customHeight="1" thickBot="1">
      <c r="A14" s="521"/>
      <c r="B14" s="524"/>
      <c r="C14" s="524"/>
      <c r="D14" s="523" t="s">
        <v>438</v>
      </c>
      <c r="E14" s="802">
        <f>SUM(E11:E13)</f>
        <v>0.0465</v>
      </c>
      <c r="F14" s="515"/>
      <c r="G14" s="515"/>
      <c r="H14" s="516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21"/>
      <c r="B15" s="207"/>
      <c r="C15" s="207"/>
      <c r="D15" s="207"/>
      <c r="E15" s="207"/>
      <c r="F15" s="207"/>
      <c r="G15" s="128"/>
      <c r="H15" s="315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80" t="s">
        <v>356</v>
      </c>
      <c r="B16" s="374"/>
      <c r="C16" s="375"/>
      <c r="D16" s="376"/>
      <c r="E16" s="377"/>
      <c r="F16" s="208" t="s">
        <v>9</v>
      </c>
      <c r="G16" s="145"/>
      <c r="H16" s="367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89"/>
      <c r="B17" s="209"/>
      <c r="C17" s="210"/>
      <c r="D17" s="211"/>
      <c r="E17" s="211"/>
      <c r="F17" s="212"/>
      <c r="G17" s="7"/>
      <c r="H17" s="368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69" t="s">
        <v>168</v>
      </c>
      <c r="B18" s="213"/>
      <c r="C18" s="214"/>
      <c r="D18" s="215"/>
      <c r="E18" s="211"/>
      <c r="F18" s="212"/>
      <c r="G18" s="7"/>
      <c r="H18" s="368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405" t="s">
        <v>376</v>
      </c>
      <c r="B19" s="213"/>
      <c r="C19" s="214"/>
      <c r="D19" s="215"/>
      <c r="E19" s="211"/>
      <c r="F19" s="212"/>
      <c r="G19" s="7"/>
      <c r="H19" s="368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405" t="s">
        <v>377</v>
      </c>
      <c r="B20" s="213"/>
      <c r="C20" s="214"/>
      <c r="D20" s="215"/>
      <c r="E20" s="211"/>
      <c r="F20" s="212"/>
      <c r="G20" s="7"/>
      <c r="H20" s="368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69"/>
      <c r="B21" s="213"/>
      <c r="C21" s="214"/>
      <c r="D21" s="128"/>
      <c r="E21" s="128"/>
      <c r="F21" s="212"/>
      <c r="G21" s="7"/>
      <c r="H21" s="368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409"/>
      <c r="B22" s="889" t="s">
        <v>306</v>
      </c>
      <c r="C22" s="889"/>
      <c r="D22" s="887" t="s">
        <v>305</v>
      </c>
      <c r="E22" s="888"/>
      <c r="F22" s="219"/>
      <c r="G22" s="128"/>
      <c r="H22" s="315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27" t="s">
        <v>88</v>
      </c>
      <c r="B23" s="423" t="s">
        <v>158</v>
      </c>
      <c r="C23" s="423" t="s">
        <v>307</v>
      </c>
      <c r="D23" s="424" t="s">
        <v>304</v>
      </c>
      <c r="E23" s="428" t="s">
        <v>92</v>
      </c>
      <c r="F23" s="216"/>
      <c r="G23" s="128"/>
      <c r="H23" s="315"/>
      <c r="I23" s="9"/>
      <c r="J23" s="9"/>
      <c r="K23" s="9"/>
      <c r="L23" s="9"/>
      <c r="M23" s="9"/>
      <c r="N23" s="9"/>
      <c r="O23" s="9"/>
      <c r="P23" s="14"/>
      <c r="Q23" s="14"/>
    </row>
    <row r="24" spans="1:17" s="526" customFormat="1" ht="15.75" customHeight="1">
      <c r="A24" s="576" t="s">
        <v>93</v>
      </c>
      <c r="B24" s="577"/>
      <c r="C24" s="578">
        <f>IF($B$27=0,0,B24/$B$27)</f>
        <v>0</v>
      </c>
      <c r="D24" s="579"/>
      <c r="E24" s="580">
        <f>ROUNDUP(D24*C24,5)</f>
        <v>0</v>
      </c>
      <c r="F24" s="216"/>
      <c r="G24" s="581"/>
      <c r="H24" s="347"/>
      <c r="I24" s="98"/>
      <c r="J24" s="98"/>
      <c r="K24" s="98"/>
      <c r="L24" s="98"/>
      <c r="M24" s="98"/>
      <c r="N24" s="98"/>
      <c r="O24" s="98"/>
      <c r="P24" s="14"/>
      <c r="Q24" s="14"/>
    </row>
    <row r="25" spans="1:17" s="526" customFormat="1" ht="15.75" customHeight="1">
      <c r="A25" s="582" t="s">
        <v>94</v>
      </c>
      <c r="B25" s="577"/>
      <c r="C25" s="583">
        <f>IF($B$27=0,0,B25/$B$27)</f>
        <v>0</v>
      </c>
      <c r="D25" s="584"/>
      <c r="E25" s="585">
        <f>ROUNDUP(D25*C25,5)</f>
        <v>0</v>
      </c>
      <c r="F25" s="517"/>
      <c r="G25" s="581"/>
      <c r="H25" s="347"/>
      <c r="I25" s="98"/>
      <c r="J25" s="98"/>
      <c r="K25" s="98"/>
      <c r="L25" s="98"/>
      <c r="M25" s="98"/>
      <c r="N25" s="98"/>
      <c r="O25" s="98"/>
      <c r="P25" s="14"/>
      <c r="Q25" s="14"/>
    </row>
    <row r="26" spans="1:17" s="526" customFormat="1" ht="15.75" customHeight="1">
      <c r="A26" s="582" t="s">
        <v>95</v>
      </c>
      <c r="B26" s="577"/>
      <c r="C26" s="583">
        <f>IF($B$27=0,0,B26/$B$27)</f>
        <v>0</v>
      </c>
      <c r="D26" s="584"/>
      <c r="E26" s="585">
        <f>ROUNDUP(D26*C26,5)</f>
        <v>0</v>
      </c>
      <c r="F26" s="517"/>
      <c r="G26" s="581"/>
      <c r="H26" s="347"/>
      <c r="I26" s="98"/>
      <c r="J26" s="98"/>
      <c r="K26" s="98"/>
      <c r="L26" s="98"/>
      <c r="M26" s="98"/>
      <c r="N26" s="98"/>
      <c r="O26" s="98"/>
      <c r="P26" s="14"/>
      <c r="Q26" s="14"/>
    </row>
    <row r="27" spans="1:17" s="1" customFormat="1" ht="15.75" customHeight="1" thickBot="1">
      <c r="A27" s="411" t="s">
        <v>316</v>
      </c>
      <c r="B27" s="593">
        <f>SUM(B24:B26)</f>
        <v>0</v>
      </c>
      <c r="C27" s="594">
        <f>IF($B$27=0,0,B27/$B$27)</f>
        <v>0</v>
      </c>
      <c r="D27" s="595"/>
      <c r="E27" s="596">
        <f>SUM(E24:E26)</f>
        <v>0</v>
      </c>
      <c r="F27" s="216"/>
      <c r="G27" s="510"/>
      <c r="H27" s="315"/>
      <c r="I27" s="9"/>
      <c r="J27" s="9"/>
      <c r="K27" s="9"/>
      <c r="L27" s="9"/>
      <c r="M27" s="9"/>
      <c r="N27" s="9"/>
      <c r="O27" s="9"/>
      <c r="P27" s="14"/>
      <c r="Q27" s="14"/>
    </row>
    <row r="28" spans="1:17" s="1" customFormat="1" ht="15" customHeight="1">
      <c r="A28" s="246"/>
      <c r="B28" s="92"/>
      <c r="C28" s="92"/>
      <c r="D28" s="592"/>
      <c r="E28" s="219"/>
      <c r="F28" s="216"/>
      <c r="G28" s="218"/>
      <c r="H28" s="315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89" t="s">
        <v>96</v>
      </c>
      <c r="B29" s="209"/>
      <c r="C29" s="131"/>
      <c r="D29" s="105"/>
      <c r="E29" s="217"/>
      <c r="F29" s="216"/>
      <c r="G29" s="128"/>
      <c r="H29" s="315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5" customHeight="1">
      <c r="A30" s="246"/>
      <c r="B30" s="131"/>
      <c r="C30" s="131"/>
      <c r="D30" s="105"/>
      <c r="E30" s="217"/>
      <c r="F30" s="216"/>
      <c r="G30" s="128"/>
      <c r="H30" s="315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.75" customHeight="1" thickBot="1">
      <c r="A31" s="289" t="s">
        <v>230</v>
      </c>
      <c r="B31" s="131"/>
      <c r="C31" s="131"/>
      <c r="D31" s="144">
        <v>0.35</v>
      </c>
      <c r="E31" s="128"/>
      <c r="F31" s="219"/>
      <c r="G31" s="220"/>
      <c r="H31" s="315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89" t="s">
        <v>256</v>
      </c>
      <c r="B32" s="131"/>
      <c r="C32" s="131"/>
      <c r="D32" s="131"/>
      <c r="E32" s="597">
        <f>(E27-(E24))*(D31/(1-D31))</f>
        <v>0</v>
      </c>
      <c r="F32" s="221"/>
      <c r="G32" s="128"/>
      <c r="H32" s="315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>
      <c r="A33" s="845" t="s">
        <v>308</v>
      </c>
      <c r="B33" s="886"/>
      <c r="C33" s="886"/>
      <c r="D33" s="886"/>
      <c r="E33" s="886"/>
      <c r="F33" s="222"/>
      <c r="G33" s="128"/>
      <c r="H33" s="315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8" customHeight="1" thickBot="1">
      <c r="A34" s="370"/>
      <c r="B34" s="223"/>
      <c r="C34" s="131"/>
      <c r="D34" s="105"/>
      <c r="E34" s="217"/>
      <c r="F34" s="222"/>
      <c r="G34" s="128"/>
      <c r="H34" s="315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5.75" customHeight="1" thickBot="1">
      <c r="A35" s="289" t="s">
        <v>98</v>
      </c>
      <c r="B35" s="223"/>
      <c r="C35" s="131"/>
      <c r="D35" s="105"/>
      <c r="E35" s="665">
        <f>E27+E32</f>
        <v>0</v>
      </c>
      <c r="F35" s="222"/>
      <c r="G35" s="128"/>
      <c r="H35" s="315"/>
      <c r="I35" s="9"/>
      <c r="J35" s="9"/>
      <c r="K35" s="9"/>
      <c r="L35" s="9"/>
      <c r="M35" s="9"/>
      <c r="N35" s="9"/>
      <c r="O35" s="9"/>
      <c r="P35" s="14"/>
      <c r="Q35" s="14"/>
    </row>
    <row r="36" spans="1:17" s="1" customFormat="1" ht="15.75" customHeight="1">
      <c r="A36" s="667" t="s">
        <v>257</v>
      </c>
      <c r="B36" s="223"/>
      <c r="C36" s="131"/>
      <c r="D36" s="105"/>
      <c r="E36" s="217"/>
      <c r="F36" s="222"/>
      <c r="G36" s="128"/>
      <c r="H36" s="315"/>
      <c r="I36" s="9"/>
      <c r="J36" s="9"/>
      <c r="K36" s="9"/>
      <c r="L36" s="9"/>
      <c r="M36" s="9"/>
      <c r="N36" s="9"/>
      <c r="O36" s="9"/>
      <c r="P36" s="14"/>
      <c r="Q36" s="14"/>
    </row>
    <row r="37" spans="1:17" s="12" customFormat="1" ht="15" customHeight="1">
      <c r="A37" s="246"/>
      <c r="B37" s="131"/>
      <c r="C37" s="224"/>
      <c r="D37" s="13"/>
      <c r="E37" s="225"/>
      <c r="F37" s="52"/>
      <c r="G37" s="10"/>
      <c r="H37" s="267"/>
      <c r="I37" s="11"/>
      <c r="J37" s="11"/>
      <c r="K37" s="11"/>
      <c r="L37" s="33"/>
      <c r="M37" s="33"/>
      <c r="N37" s="34"/>
      <c r="O37" s="38"/>
      <c r="P37" s="38"/>
      <c r="Q37" s="38"/>
    </row>
    <row r="38" spans="1:8" ht="15.75" customHeight="1" thickBot="1">
      <c r="A38" s="289" t="s">
        <v>258</v>
      </c>
      <c r="B38" s="209"/>
      <c r="C38" s="131"/>
      <c r="D38" s="105"/>
      <c r="E38" s="148"/>
      <c r="F38" s="149"/>
      <c r="G38" s="149"/>
      <c r="H38" s="297"/>
    </row>
    <row r="39" spans="1:8" ht="15.75" customHeight="1">
      <c r="A39" s="289"/>
      <c r="B39" s="209"/>
      <c r="C39" s="131"/>
      <c r="D39" s="105"/>
      <c r="E39" s="379" t="s">
        <v>14</v>
      </c>
      <c r="F39" s="380" t="s">
        <v>15</v>
      </c>
      <c r="G39" s="380" t="s">
        <v>16</v>
      </c>
      <c r="H39" s="412" t="s">
        <v>17</v>
      </c>
    </row>
    <row r="40" spans="1:8" ht="15.75" customHeight="1">
      <c r="A40" s="246" t="s">
        <v>97</v>
      </c>
      <c r="B40" s="131"/>
      <c r="C40" s="131"/>
      <c r="D40" s="131"/>
      <c r="E40" s="586">
        <f>'Sch 1- Rate Base '!G161</f>
        <v>34103573.87</v>
      </c>
      <c r="F40" s="587">
        <f>'Sch 1- Rate Base '!H161</f>
        <v>15984280.25667389</v>
      </c>
      <c r="G40" s="587">
        <f>'Sch 1- Rate Base '!I161</f>
        <v>492861.5191034983</v>
      </c>
      <c r="H40" s="588">
        <f>'Sch 1- Rate Base '!J161</f>
        <v>17626432.094222613</v>
      </c>
    </row>
    <row r="41" spans="1:8" ht="15.75" customHeight="1">
      <c r="A41" s="246" t="s">
        <v>98</v>
      </c>
      <c r="B41" s="131"/>
      <c r="C41" s="131"/>
      <c r="D41" s="131"/>
      <c r="E41" s="589">
        <f>$E$35</f>
        <v>0</v>
      </c>
      <c r="F41" s="590">
        <f>$E$35</f>
        <v>0</v>
      </c>
      <c r="G41" s="590">
        <f>$E$35</f>
        <v>0</v>
      </c>
      <c r="H41" s="591">
        <f>$E$35</f>
        <v>0</v>
      </c>
    </row>
    <row r="42" spans="1:8" ht="15.75" customHeight="1" thickBot="1">
      <c r="A42" s="289" t="s">
        <v>261</v>
      </c>
      <c r="B42" s="209"/>
      <c r="C42" s="209"/>
      <c r="D42" s="209"/>
      <c r="E42" s="598">
        <f>E41*E40</f>
        <v>0</v>
      </c>
      <c r="F42" s="599">
        <f>F41*F40</f>
        <v>0</v>
      </c>
      <c r="G42" s="599">
        <f>G41*G40</f>
        <v>0</v>
      </c>
      <c r="H42" s="600">
        <f>H41*H40</f>
        <v>0</v>
      </c>
    </row>
    <row r="43" spans="1:8" ht="15" customHeight="1">
      <c r="A43" s="666" t="s">
        <v>231</v>
      </c>
      <c r="B43" s="128"/>
      <c r="C43" s="128"/>
      <c r="D43" s="128"/>
      <c r="E43" s="128"/>
      <c r="F43" s="128"/>
      <c r="G43" s="128"/>
      <c r="H43" s="315"/>
    </row>
    <row r="44" spans="1:8" ht="15.75">
      <c r="A44" s="322"/>
      <c r="B44" s="128"/>
      <c r="C44" s="128"/>
      <c r="D44" s="128"/>
      <c r="E44" s="128"/>
      <c r="F44" s="128"/>
      <c r="G44" s="128"/>
      <c r="H44" s="315"/>
    </row>
    <row r="45" spans="1:8" ht="16.5" thickBot="1">
      <c r="A45" s="372"/>
      <c r="B45" s="291"/>
      <c r="C45" s="291"/>
      <c r="D45" s="291"/>
      <c r="E45" s="291"/>
      <c r="F45" s="291"/>
      <c r="G45" s="291"/>
      <c r="H45" s="292"/>
    </row>
    <row r="46" spans="1:8" ht="17.25" thickBot="1" thickTop="1">
      <c r="A46" s="321"/>
      <c r="B46" s="207"/>
      <c r="C46" s="207"/>
      <c r="D46" s="207"/>
      <c r="E46" s="207"/>
      <c r="F46" s="207"/>
      <c r="G46" s="128"/>
      <c r="H46" s="315"/>
    </row>
    <row r="47" spans="1:8" ht="24.75" customHeight="1" thickBot="1">
      <c r="A47" s="480" t="s">
        <v>355</v>
      </c>
      <c r="B47" s="374"/>
      <c r="C47" s="375"/>
      <c r="D47" s="376"/>
      <c r="E47" s="377"/>
      <c r="F47" s="208" t="s">
        <v>9</v>
      </c>
      <c r="G47" s="145"/>
      <c r="H47" s="367"/>
    </row>
    <row r="48" spans="1:9" ht="18.75">
      <c r="A48" s="289" t="s">
        <v>357</v>
      </c>
      <c r="B48" s="209"/>
      <c r="C48" s="210"/>
      <c r="D48" s="211"/>
      <c r="E48" s="211"/>
      <c r="F48" s="212"/>
      <c r="G48" s="7"/>
      <c r="H48" s="368"/>
      <c r="I48" s="15"/>
    </row>
    <row r="49" spans="1:9" ht="15.75">
      <c r="A49" s="369" t="s">
        <v>358</v>
      </c>
      <c r="B49" s="213"/>
      <c r="C49" s="214"/>
      <c r="D49" s="215"/>
      <c r="E49" s="211"/>
      <c r="F49" s="212"/>
      <c r="G49" s="7"/>
      <c r="H49" s="368"/>
      <c r="I49" s="18"/>
    </row>
    <row r="50" spans="1:8" ht="16.5" thickBot="1">
      <c r="A50" s="369"/>
      <c r="B50" s="213"/>
      <c r="C50" s="214"/>
      <c r="D50" s="128"/>
      <c r="E50" s="128"/>
      <c r="F50" s="438"/>
      <c r="G50" s="211"/>
      <c r="H50" s="478"/>
    </row>
    <row r="51" spans="1:8" ht="15.75">
      <c r="A51" s="409"/>
      <c r="B51" s="889" t="s">
        <v>306</v>
      </c>
      <c r="C51" s="889"/>
      <c r="D51" s="887" t="s">
        <v>305</v>
      </c>
      <c r="E51" s="888"/>
      <c r="F51" s="508" t="s">
        <v>433</v>
      </c>
      <c r="G51" s="504" t="s">
        <v>367</v>
      </c>
      <c r="H51" s="505"/>
    </row>
    <row r="52" spans="1:8" ht="16.5" thickBot="1">
      <c r="A52" s="427" t="s">
        <v>88</v>
      </c>
      <c r="B52" s="423" t="s">
        <v>158</v>
      </c>
      <c r="C52" s="423" t="s">
        <v>307</v>
      </c>
      <c r="D52" s="424" t="s">
        <v>304</v>
      </c>
      <c r="E52" s="428" t="s">
        <v>92</v>
      </c>
      <c r="F52" s="509" t="s">
        <v>368</v>
      </c>
      <c r="G52" s="506" t="s">
        <v>369</v>
      </c>
      <c r="H52" s="507"/>
    </row>
    <row r="53" spans="1:8" ht="16.5" thickBot="1">
      <c r="A53" s="601" t="s">
        <v>93</v>
      </c>
      <c r="B53" s="722"/>
      <c r="C53" s="604">
        <f>IF($B$56=0,0,B53/$B$56)</f>
        <v>0</v>
      </c>
      <c r="D53" s="605"/>
      <c r="E53" s="606">
        <f>ROUNDUP(D53*C53,5)</f>
        <v>0</v>
      </c>
      <c r="F53" s="619" t="str">
        <f>IF(B75=0,"0",B75/$B$78)</f>
        <v>0</v>
      </c>
      <c r="G53" s="620">
        <f>E53*$F$53</f>
        <v>0</v>
      </c>
      <c r="H53" s="621">
        <f>C53*$F$53</f>
        <v>0</v>
      </c>
    </row>
    <row r="54" spans="1:8" ht="15.75">
      <c r="A54" s="602" t="s">
        <v>94</v>
      </c>
      <c r="B54" s="656"/>
      <c r="C54" s="578">
        <f>IF($B$56=0,0,B54/$B$56)</f>
        <v>0</v>
      </c>
      <c r="D54" s="584"/>
      <c r="E54" s="585">
        <f>ROUNDUP(D54*C54,5)</f>
        <v>0</v>
      </c>
      <c r="F54" s="622"/>
      <c r="G54" s="623">
        <f>E54*$F$53</f>
        <v>0</v>
      </c>
      <c r="H54" s="624">
        <f>C54*$F$53</f>
        <v>0</v>
      </c>
    </row>
    <row r="55" spans="1:8" ht="15.75">
      <c r="A55" s="602" t="s">
        <v>95</v>
      </c>
      <c r="B55" s="656"/>
      <c r="C55" s="578">
        <f>IF($B$56=0,0,B55/$B$56)</f>
        <v>0</v>
      </c>
      <c r="D55" s="584"/>
      <c r="E55" s="585">
        <f>ROUNDUP(D55*C55,5)</f>
        <v>0</v>
      </c>
      <c r="F55" s="622"/>
      <c r="G55" s="623">
        <f>E55*$F$53</f>
        <v>0</v>
      </c>
      <c r="H55" s="624">
        <f>C55*$F$53</f>
        <v>0</v>
      </c>
    </row>
    <row r="56" spans="1:8" ht="16.5" thickBot="1">
      <c r="A56" s="603" t="s">
        <v>316</v>
      </c>
      <c r="B56" s="721">
        <f>SUM(B53:B55)</f>
        <v>0</v>
      </c>
      <c r="C56" s="725">
        <f>SUM(C53:C55)</f>
        <v>0</v>
      </c>
      <c r="D56" s="595"/>
      <c r="E56" s="625">
        <f>SUM(E53:E55)</f>
        <v>0</v>
      </c>
      <c r="F56" s="626"/>
      <c r="G56" s="627">
        <f>SUM(G53:G55)</f>
        <v>0</v>
      </c>
      <c r="H56" s="628">
        <f>SUM(H53:H55)</f>
        <v>0</v>
      </c>
    </row>
    <row r="57" spans="1:8" ht="15.75">
      <c r="A57" s="246"/>
      <c r="B57" s="131"/>
      <c r="C57" s="131"/>
      <c r="D57" s="105"/>
      <c r="E57" s="217"/>
      <c r="F57" s="479"/>
      <c r="G57" s="415"/>
      <c r="H57" s="414"/>
    </row>
    <row r="58" spans="1:8" ht="15.75">
      <c r="A58" s="369" t="s">
        <v>359</v>
      </c>
      <c r="B58" s="213"/>
      <c r="C58" s="214"/>
      <c r="D58" s="215"/>
      <c r="E58" s="211"/>
      <c r="F58" s="479"/>
      <c r="G58" s="415"/>
      <c r="H58" s="414"/>
    </row>
    <row r="59" spans="1:8" ht="16.5" thickBot="1">
      <c r="A59" s="369"/>
      <c r="B59" s="213"/>
      <c r="C59" s="214"/>
      <c r="D59" s="128"/>
      <c r="E59" s="128"/>
      <c r="F59" s="479"/>
      <c r="G59" s="415"/>
      <c r="H59" s="414"/>
    </row>
    <row r="60" spans="1:8" ht="16.5" thickBot="1">
      <c r="A60" s="429" t="s">
        <v>88</v>
      </c>
      <c r="B60" s="430" t="s">
        <v>158</v>
      </c>
      <c r="C60" s="430" t="s">
        <v>307</v>
      </c>
      <c r="D60" s="431" t="s">
        <v>304</v>
      </c>
      <c r="E60" s="432" t="s">
        <v>92</v>
      </c>
      <c r="F60" s="479"/>
      <c r="G60" s="415"/>
      <c r="H60" s="414"/>
    </row>
    <row r="61" spans="1:8" ht="16.5" thickBot="1">
      <c r="A61" s="421" t="s">
        <v>93</v>
      </c>
      <c r="B61" s="723"/>
      <c r="C61" s="578">
        <f>IF($B$64=0,0,B61/$B$64)</f>
        <v>0</v>
      </c>
      <c r="D61" s="579"/>
      <c r="E61" s="606">
        <f>ROUNDUP(D61*C61,5)</f>
        <v>0</v>
      </c>
      <c r="F61" s="619" t="str">
        <f>IF(B76=0,"0",B76/$B$78)</f>
        <v>0</v>
      </c>
      <c r="G61" s="620">
        <f>E61*$F$61</f>
        <v>0</v>
      </c>
      <c r="H61" s="621">
        <f>C61*$F$61</f>
        <v>0</v>
      </c>
    </row>
    <row r="62" spans="1:8" ht="15.75">
      <c r="A62" s="410" t="s">
        <v>94</v>
      </c>
      <c r="B62" s="724"/>
      <c r="C62" s="583">
        <f>IF($B$64=0,0,B62/$B$64)</f>
        <v>0</v>
      </c>
      <c r="D62" s="584"/>
      <c r="E62" s="585">
        <f>ROUNDUP(D62*C62,5)</f>
        <v>0</v>
      </c>
      <c r="F62" s="622"/>
      <c r="G62" s="623">
        <f>E62*$F$61</f>
        <v>0</v>
      </c>
      <c r="H62" s="624">
        <f>C62*$F$61</f>
        <v>0</v>
      </c>
    </row>
    <row r="63" spans="1:8" ht="15.75">
      <c r="A63" s="410" t="s">
        <v>95</v>
      </c>
      <c r="B63" s="724"/>
      <c r="C63" s="578">
        <f>IF($B$64=0,0,B63/$B$64)</f>
        <v>0</v>
      </c>
      <c r="D63" s="584"/>
      <c r="E63" s="585">
        <f>ROUNDUP(D63*C63,5)</f>
        <v>0</v>
      </c>
      <c r="F63" s="622"/>
      <c r="G63" s="623">
        <f>E63*$F$61</f>
        <v>0</v>
      </c>
      <c r="H63" s="624">
        <f>C63*$F$61</f>
        <v>0</v>
      </c>
    </row>
    <row r="64" spans="1:8" ht="16.5" thickBot="1">
      <c r="A64" s="411" t="s">
        <v>316</v>
      </c>
      <c r="B64" s="721">
        <f>SUM(B61:B63)</f>
        <v>0</v>
      </c>
      <c r="C64" s="725">
        <f>SUM(C61:C63)</f>
        <v>0</v>
      </c>
      <c r="D64" s="595"/>
      <c r="E64" s="596">
        <f>SUM(E61:E63)</f>
        <v>0</v>
      </c>
      <c r="F64" s="626"/>
      <c r="G64" s="627">
        <f>SUM(G61:G63)</f>
        <v>0</v>
      </c>
      <c r="H64" s="628">
        <f>SUM(H61:H63)</f>
        <v>0</v>
      </c>
    </row>
    <row r="65" spans="1:8" ht="15.75">
      <c r="A65" s="246"/>
      <c r="B65" s="131"/>
      <c r="C65" s="131"/>
      <c r="D65" s="105"/>
      <c r="E65" s="217"/>
      <c r="F65" s="479"/>
      <c r="G65" s="415"/>
      <c r="H65" s="414"/>
    </row>
    <row r="66" spans="1:8" ht="15.75">
      <c r="A66" s="369" t="s">
        <v>360</v>
      </c>
      <c r="B66" s="213"/>
      <c r="C66" s="214"/>
      <c r="D66" s="215"/>
      <c r="E66" s="211"/>
      <c r="F66" s="479"/>
      <c r="G66" s="415"/>
      <c r="H66" s="414"/>
    </row>
    <row r="67" spans="1:8" ht="16.5" thickBot="1">
      <c r="A67" s="369"/>
      <c r="B67" s="213"/>
      <c r="C67" s="214"/>
      <c r="D67" s="128"/>
      <c r="E67" s="128"/>
      <c r="F67" s="479"/>
      <c r="G67" s="415"/>
      <c r="H67" s="414"/>
    </row>
    <row r="68" spans="1:8" ht="16.5" thickBot="1">
      <c r="A68" s="429" t="s">
        <v>88</v>
      </c>
      <c r="B68" s="430" t="s">
        <v>158</v>
      </c>
      <c r="C68" s="430" t="s">
        <v>307</v>
      </c>
      <c r="D68" s="431" t="s">
        <v>304</v>
      </c>
      <c r="E68" s="432" t="s">
        <v>92</v>
      </c>
      <c r="F68" s="479"/>
      <c r="G68" s="415"/>
      <c r="H68" s="414"/>
    </row>
    <row r="69" spans="1:8" ht="16.5" thickBot="1">
      <c r="A69" s="421" t="s">
        <v>93</v>
      </c>
      <c r="B69" s="723"/>
      <c r="C69" s="578">
        <f>IF($B$72=0,0,B69/$B$72)</f>
        <v>0</v>
      </c>
      <c r="D69" s="638"/>
      <c r="E69" s="639">
        <f>ROUNDUP(D69*C69,5)</f>
        <v>0</v>
      </c>
      <c r="F69" s="640" t="str">
        <f>IF(B77=0,"0",B77/$B$78)</f>
        <v>0</v>
      </c>
      <c r="G69" s="641">
        <f>E69*$F$69</f>
        <v>0</v>
      </c>
      <c r="H69" s="642">
        <f>C69*$F$69</f>
        <v>0</v>
      </c>
    </row>
    <row r="70" spans="1:8" ht="15.75">
      <c r="A70" s="410" t="s">
        <v>94</v>
      </c>
      <c r="B70" s="724"/>
      <c r="C70" s="578">
        <f>IF($B$72=0,0,B70/$B$72)</f>
        <v>0</v>
      </c>
      <c r="D70" s="643"/>
      <c r="E70" s="644">
        <f>ROUNDUP(D70*C70,5)</f>
        <v>0</v>
      </c>
      <c r="F70" s="645"/>
      <c r="G70" s="646">
        <f>E70*$F$69</f>
        <v>0</v>
      </c>
      <c r="H70" s="647">
        <f>C70*$F$69</f>
        <v>0</v>
      </c>
    </row>
    <row r="71" spans="1:8" ht="15.75">
      <c r="A71" s="410" t="s">
        <v>95</v>
      </c>
      <c r="B71" s="724"/>
      <c r="C71" s="578">
        <f>IF($B$72=0,0,B71/$B$72)</f>
        <v>0</v>
      </c>
      <c r="D71" s="643"/>
      <c r="E71" s="644">
        <f>ROUNDUP(D71*C71,5)</f>
        <v>0</v>
      </c>
      <c r="F71" s="645"/>
      <c r="G71" s="646">
        <f>E71*$F$69</f>
        <v>0</v>
      </c>
      <c r="H71" s="647">
        <f>C71*$F$69</f>
        <v>0</v>
      </c>
    </row>
    <row r="72" spans="1:8" ht="16.5" thickBot="1">
      <c r="A72" s="411" t="s">
        <v>316</v>
      </c>
      <c r="B72" s="721">
        <f>SUM(B69:B71)</f>
        <v>0</v>
      </c>
      <c r="C72" s="725">
        <f>SUM(C69:C71)</f>
        <v>0</v>
      </c>
      <c r="D72" s="648"/>
      <c r="E72" s="649">
        <f>SUM(E69:E71)</f>
        <v>0</v>
      </c>
      <c r="F72" s="650"/>
      <c r="G72" s="651">
        <f>SUM(G69:G71)</f>
        <v>0</v>
      </c>
      <c r="H72" s="652">
        <f>SUM(H69:H71)</f>
        <v>0</v>
      </c>
    </row>
    <row r="73" spans="1:8" ht="16.5" thickBot="1">
      <c r="A73" s="246"/>
      <c r="B73" s="131"/>
      <c r="C73" s="131"/>
      <c r="D73" s="105"/>
      <c r="E73" s="217"/>
      <c r="F73" s="479"/>
      <c r="G73" s="415"/>
      <c r="H73" s="414"/>
    </row>
    <row r="74" spans="1:8" ht="16.5" thickBot="1">
      <c r="A74" s="435" t="s">
        <v>366</v>
      </c>
      <c r="B74" s="433" t="s">
        <v>361</v>
      </c>
      <c r="C74" s="433" t="s">
        <v>362</v>
      </c>
      <c r="D74" s="434" t="s">
        <v>364</v>
      </c>
      <c r="E74" s="432" t="s">
        <v>363</v>
      </c>
      <c r="F74" s="479"/>
      <c r="G74" s="415"/>
      <c r="H74" s="535"/>
    </row>
    <row r="75" spans="1:8" ht="15.75">
      <c r="A75" s="426"/>
      <c r="B75" s="629"/>
      <c r="C75" s="579">
        <f>E56</f>
        <v>0</v>
      </c>
      <c r="D75" s="630">
        <f>C75*F53</f>
        <v>0</v>
      </c>
      <c r="E75" s="631">
        <f>$D$78*B75</f>
        <v>0</v>
      </c>
      <c r="F75" s="632"/>
      <c r="G75" s="633">
        <f>G56</f>
        <v>0</v>
      </c>
      <c r="H75" s="607"/>
    </row>
    <row r="76" spans="1:8" ht="15.75">
      <c r="A76" s="413"/>
      <c r="B76" s="634"/>
      <c r="C76" s="584">
        <f>E64</f>
        <v>0</v>
      </c>
      <c r="D76" s="630">
        <f>C76*F61</f>
        <v>0</v>
      </c>
      <c r="E76" s="635">
        <f>$D$78*B76</f>
        <v>0</v>
      </c>
      <c r="F76" s="636"/>
      <c r="G76" s="637">
        <f>G64</f>
        <v>0</v>
      </c>
      <c r="H76" s="608"/>
    </row>
    <row r="77" spans="1:8" ht="16.5" thickBot="1">
      <c r="A77" s="413"/>
      <c r="B77" s="634"/>
      <c r="C77" s="584">
        <f>E72</f>
        <v>0</v>
      </c>
      <c r="D77" s="630">
        <f>C77*F69</f>
        <v>0</v>
      </c>
      <c r="E77" s="635">
        <f>$D$78*B77</f>
        <v>0</v>
      </c>
      <c r="F77" s="636"/>
      <c r="G77" s="637">
        <f>G72</f>
        <v>0</v>
      </c>
      <c r="H77" s="608"/>
    </row>
    <row r="78" spans="1:8" ht="16.5" thickBot="1">
      <c r="A78" s="411" t="s">
        <v>14</v>
      </c>
      <c r="B78" s="613">
        <f>SUM(B75:B77)</f>
        <v>0</v>
      </c>
      <c r="C78" s="614"/>
      <c r="D78" s="615">
        <f>SUM(D75:D77)</f>
        <v>0</v>
      </c>
      <c r="E78" s="616">
        <f>SUM(E75:E77)</f>
        <v>0</v>
      </c>
      <c r="F78" s="617">
        <f>SUM(F53:F77)</f>
        <v>0</v>
      </c>
      <c r="G78" s="618">
        <f>SUM(G75:G77)</f>
        <v>0</v>
      </c>
      <c r="H78" s="608"/>
    </row>
    <row r="79" spans="1:8" ht="16.5" thickBot="1">
      <c r="A79" s="276"/>
      <c r="B79" s="406"/>
      <c r="C79" s="406"/>
      <c r="D79" s="293"/>
      <c r="E79" s="294"/>
      <c r="F79" s="407"/>
      <c r="G79" s="408"/>
      <c r="H79" s="292"/>
    </row>
    <row r="80" spans="1:8" ht="17.25" thickBot="1" thickTop="1">
      <c r="A80" s="737"/>
      <c r="B80" s="738"/>
      <c r="C80" s="738"/>
      <c r="D80" s="739"/>
      <c r="E80" s="740"/>
      <c r="F80" s="741"/>
      <c r="G80" s="742"/>
      <c r="H80" s="743"/>
    </row>
    <row r="81" spans="1:12" ht="24.75" customHeight="1" thickBot="1">
      <c r="A81" s="480" t="s">
        <v>365</v>
      </c>
      <c r="B81" s="374"/>
      <c r="C81" s="375"/>
      <c r="D81" s="376"/>
      <c r="E81" s="377"/>
      <c r="F81" s="216"/>
      <c r="G81" s="218"/>
      <c r="H81" s="315"/>
      <c r="J81"/>
      <c r="K81"/>
      <c r="L81"/>
    </row>
    <row r="82" spans="1:12" ht="15.75">
      <c r="A82" s="246"/>
      <c r="B82" s="131"/>
      <c r="C82" s="131"/>
      <c r="D82" s="105"/>
      <c r="E82" s="217"/>
      <c r="F82" s="216"/>
      <c r="G82" s="218"/>
      <c r="H82" s="315"/>
      <c r="J82"/>
      <c r="K82"/>
      <c r="L82"/>
    </row>
    <row r="83" spans="1:12" ht="15.75">
      <c r="A83" s="246"/>
      <c r="B83" s="131"/>
      <c r="C83" s="131"/>
      <c r="D83" s="105"/>
      <c r="E83" s="217"/>
      <c r="F83" s="216"/>
      <c r="G83" s="218"/>
      <c r="H83" s="315"/>
      <c r="J83"/>
      <c r="K83"/>
      <c r="L83"/>
    </row>
    <row r="84" spans="1:12" ht="15.75">
      <c r="A84" s="289" t="s">
        <v>96</v>
      </c>
      <c r="B84" s="209"/>
      <c r="C84" s="131"/>
      <c r="D84" s="105"/>
      <c r="E84" s="217"/>
      <c r="F84" s="216"/>
      <c r="G84" s="128"/>
      <c r="H84" s="315"/>
      <c r="J84"/>
      <c r="K84"/>
      <c r="L84"/>
    </row>
    <row r="85" spans="1:12" ht="15.75">
      <c r="A85" s="246"/>
      <c r="B85" s="131"/>
      <c r="C85" s="131"/>
      <c r="D85" s="105"/>
      <c r="E85" s="217"/>
      <c r="F85" s="216"/>
      <c r="G85" s="128"/>
      <c r="H85" s="315"/>
      <c r="J85"/>
      <c r="K85"/>
      <c r="L85"/>
    </row>
    <row r="86" spans="1:12" ht="16.5" thickBot="1">
      <c r="A86" s="289" t="s">
        <v>230</v>
      </c>
      <c r="B86" s="131"/>
      <c r="C86" s="131"/>
      <c r="D86" s="144">
        <v>0.35</v>
      </c>
      <c r="E86" s="153"/>
      <c r="F86" s="219"/>
      <c r="G86" s="220"/>
      <c r="H86" s="315"/>
      <c r="J86"/>
      <c r="K86"/>
      <c r="L86"/>
    </row>
    <row r="87" spans="1:12" ht="16.5" thickBot="1">
      <c r="A87" s="289" t="s">
        <v>256</v>
      </c>
      <c r="B87" s="131"/>
      <c r="C87" s="131"/>
      <c r="D87" s="131"/>
      <c r="E87" s="801">
        <f>(G78-(G53+G61+G69))*(D86/(1-D86))</f>
        <v>0</v>
      </c>
      <c r="F87" s="1"/>
      <c r="G87" s="128"/>
      <c r="H87" s="315"/>
      <c r="J87"/>
      <c r="K87"/>
      <c r="L87"/>
    </row>
    <row r="88" spans="1:12" ht="15.75">
      <c r="A88" s="845" t="s">
        <v>308</v>
      </c>
      <c r="B88" s="886"/>
      <c r="C88" s="886"/>
      <c r="D88" s="886"/>
      <c r="E88" s="886"/>
      <c r="F88" s="222"/>
      <c r="G88" s="128"/>
      <c r="H88" s="315"/>
      <c r="J88"/>
      <c r="K88"/>
      <c r="L88"/>
    </row>
    <row r="89" spans="1:8" ht="16.5" thickBot="1">
      <c r="A89" s="370"/>
      <c r="B89" s="223"/>
      <c r="C89" s="131"/>
      <c r="D89" s="105"/>
      <c r="E89" s="217"/>
      <c r="F89" s="222"/>
      <c r="G89" s="128"/>
      <c r="H89" s="315"/>
    </row>
    <row r="90" spans="1:8" ht="16.5" thickBot="1">
      <c r="A90" s="246" t="s">
        <v>98</v>
      </c>
      <c r="B90" s="223"/>
      <c r="C90" s="131"/>
      <c r="D90" s="105"/>
      <c r="E90" s="801">
        <f>G78+E87</f>
        <v>0</v>
      </c>
      <c r="F90" s="1"/>
      <c r="G90" s="128"/>
      <c r="H90" s="315"/>
    </row>
    <row r="91" spans="1:8" ht="15.75">
      <c r="A91" s="668" t="s">
        <v>257</v>
      </c>
      <c r="B91" s="223"/>
      <c r="C91" s="131"/>
      <c r="D91" s="105"/>
      <c r="E91" s="217"/>
      <c r="F91" s="222"/>
      <c r="G91" s="128"/>
      <c r="H91" s="315"/>
    </row>
    <row r="92" spans="1:8" ht="15.75">
      <c r="A92" s="246"/>
      <c r="B92" s="131"/>
      <c r="C92" s="224"/>
      <c r="D92" s="13"/>
      <c r="E92" s="225"/>
      <c r="F92" s="52"/>
      <c r="G92" s="10"/>
      <c r="H92" s="267"/>
    </row>
    <row r="93" spans="1:8" ht="16.5" thickBot="1">
      <c r="A93" s="289" t="s">
        <v>258</v>
      </c>
      <c r="B93" s="209"/>
      <c r="C93" s="131"/>
      <c r="D93" s="105"/>
      <c r="E93" s="148"/>
      <c r="F93" s="149"/>
      <c r="G93" s="149"/>
      <c r="H93" s="297"/>
    </row>
    <row r="94" spans="1:8" ht="15.75">
      <c r="A94" s="289"/>
      <c r="B94" s="209"/>
      <c r="C94" s="131"/>
      <c r="D94" s="105"/>
      <c r="E94" s="379" t="s">
        <v>14</v>
      </c>
      <c r="F94" s="380" t="s">
        <v>15</v>
      </c>
      <c r="G94" s="380" t="s">
        <v>16</v>
      </c>
      <c r="H94" s="412" t="s">
        <v>17</v>
      </c>
    </row>
    <row r="95" spans="1:8" ht="15.75">
      <c r="A95" s="246"/>
      <c r="B95" s="131"/>
      <c r="C95" s="131"/>
      <c r="D95" s="131"/>
      <c r="E95" s="609"/>
      <c r="F95" s="610"/>
      <c r="G95" s="610"/>
      <c r="H95" s="611"/>
    </row>
    <row r="96" spans="1:8" ht="15.75">
      <c r="A96" s="246" t="s">
        <v>97</v>
      </c>
      <c r="B96" s="131"/>
      <c r="C96" s="131"/>
      <c r="D96" s="131"/>
      <c r="E96" s="612">
        <f>'Sch 1- Rate Base '!G161</f>
        <v>34103573.87</v>
      </c>
      <c r="F96" s="263">
        <f>'Sch 1- Rate Base '!H161</f>
        <v>15984280.25667389</v>
      </c>
      <c r="G96" s="263">
        <f>'Sch 1- Rate Base '!I161</f>
        <v>492861.5191034983</v>
      </c>
      <c r="H96" s="264">
        <f>'Sch 1- Rate Base '!J161</f>
        <v>17626432.094222613</v>
      </c>
    </row>
    <row r="97" spans="1:8" ht="15.75">
      <c r="A97" s="246" t="s">
        <v>98</v>
      </c>
      <c r="B97" s="131"/>
      <c r="C97" s="131"/>
      <c r="D97" s="131"/>
      <c r="E97" s="589">
        <f>$E$90</f>
        <v>0</v>
      </c>
      <c r="F97" s="590">
        <f>$E$90</f>
        <v>0</v>
      </c>
      <c r="G97" s="590">
        <f>$E$90</f>
        <v>0</v>
      </c>
      <c r="H97" s="591">
        <f>$E$90</f>
        <v>0</v>
      </c>
    </row>
    <row r="98" spans="1:8" ht="16.5" thickBot="1">
      <c r="A98" s="289" t="s">
        <v>261</v>
      </c>
      <c r="B98" s="209"/>
      <c r="C98" s="209"/>
      <c r="D98" s="209"/>
      <c r="E98" s="598">
        <f>E97*E96</f>
        <v>0</v>
      </c>
      <c r="F98" s="599">
        <f>F97*F96</f>
        <v>0</v>
      </c>
      <c r="G98" s="599">
        <f>G97*G96</f>
        <v>0</v>
      </c>
      <c r="H98" s="600">
        <f>H97*H96</f>
        <v>0</v>
      </c>
    </row>
    <row r="99" spans="1:8" ht="16.5" thickBot="1">
      <c r="A99" s="744" t="s">
        <v>231</v>
      </c>
      <c r="B99" s="291"/>
      <c r="C99" s="291"/>
      <c r="D99" s="291"/>
      <c r="E99" s="291"/>
      <c r="F99" s="291"/>
      <c r="G99" s="291"/>
      <c r="H99" s="292"/>
    </row>
    <row r="100" spans="1:8" ht="17.25" thickBot="1" thickTop="1">
      <c r="A100" s="321"/>
      <c r="B100" s="207"/>
      <c r="C100" s="207"/>
      <c r="D100" s="207"/>
      <c r="E100" s="207"/>
      <c r="F100" s="207"/>
      <c r="G100" s="128"/>
      <c r="H100" s="315"/>
    </row>
    <row r="101" spans="1:8" ht="24.75" customHeight="1" thickBot="1">
      <c r="A101" s="480" t="s">
        <v>449</v>
      </c>
      <c r="B101" s="374"/>
      <c r="C101" s="375"/>
      <c r="D101" s="376"/>
      <c r="E101" s="377"/>
      <c r="F101" s="208" t="s">
        <v>9</v>
      </c>
      <c r="G101" s="145"/>
      <c r="H101" s="367"/>
    </row>
    <row r="102" spans="1:8" ht="15.75">
      <c r="A102" s="289"/>
      <c r="B102" s="209"/>
      <c r="C102" s="210"/>
      <c r="D102" s="211"/>
      <c r="E102" s="211"/>
      <c r="F102" s="212"/>
      <c r="G102" s="7"/>
      <c r="H102" s="368"/>
    </row>
    <row r="103" spans="1:8" ht="15.75">
      <c r="A103" s="369" t="s">
        <v>378</v>
      </c>
      <c r="B103" s="213"/>
      <c r="C103" s="214"/>
      <c r="D103" s="215"/>
      <c r="E103" s="211"/>
      <c r="F103" s="212"/>
      <c r="G103" s="7"/>
      <c r="H103" s="368"/>
    </row>
    <row r="104" spans="1:8" ht="15.75">
      <c r="A104" s="405"/>
      <c r="B104" s="213"/>
      <c r="C104" s="214"/>
      <c r="D104" s="215"/>
      <c r="E104" s="211"/>
      <c r="F104" s="212"/>
      <c r="G104" s="7"/>
      <c r="H104" s="368"/>
    </row>
    <row r="105" spans="1:8" ht="15.75">
      <c r="A105" s="405"/>
      <c r="B105" s="213"/>
      <c r="C105" s="214"/>
      <c r="D105" s="215"/>
      <c r="E105" s="211"/>
      <c r="F105" s="212"/>
      <c r="G105" s="7"/>
      <c r="H105" s="368"/>
    </row>
    <row r="106" spans="1:8" ht="16.5" thickBot="1">
      <c r="A106" s="369"/>
      <c r="B106" s="213"/>
      <c r="C106" s="214"/>
      <c r="D106" s="128"/>
      <c r="E106" s="128"/>
      <c r="F106" s="212"/>
      <c r="G106" s="7"/>
      <c r="H106" s="368"/>
    </row>
    <row r="107" spans="1:8" ht="15.75">
      <c r="A107" s="409"/>
      <c r="B107" s="378" t="s">
        <v>383</v>
      </c>
      <c r="C107" s="378" t="s">
        <v>379</v>
      </c>
      <c r="D107" s="378" t="s">
        <v>379</v>
      </c>
      <c r="E107" s="416" t="s">
        <v>384</v>
      </c>
      <c r="F107" s="420" t="s">
        <v>385</v>
      </c>
      <c r="G107"/>
      <c r="H107" s="315"/>
    </row>
    <row r="108" spans="1:8" ht="16.5" thickBot="1">
      <c r="A108" s="422" t="s">
        <v>381</v>
      </c>
      <c r="B108" s="423" t="s">
        <v>158</v>
      </c>
      <c r="C108" s="423" t="s">
        <v>382</v>
      </c>
      <c r="D108" s="423" t="s">
        <v>387</v>
      </c>
      <c r="E108" s="424" t="s">
        <v>380</v>
      </c>
      <c r="F108" s="425" t="s">
        <v>386</v>
      </c>
      <c r="G108"/>
      <c r="H108" s="315"/>
    </row>
    <row r="109" spans="1:8" ht="15.75">
      <c r="A109" s="421" t="s">
        <v>474</v>
      </c>
      <c r="B109" s="653">
        <v>7460000</v>
      </c>
      <c r="C109" s="654">
        <v>1999</v>
      </c>
      <c r="D109" s="654">
        <v>2019</v>
      </c>
      <c r="E109" s="579">
        <v>0.0465</v>
      </c>
      <c r="F109" s="655">
        <f>E109*B109</f>
        <v>346890</v>
      </c>
      <c r="G109"/>
      <c r="H109" s="315"/>
    </row>
    <row r="110" spans="1:8" ht="15.75">
      <c r="A110" s="410"/>
      <c r="B110" s="656"/>
      <c r="C110" s="654"/>
      <c r="D110" s="654"/>
      <c r="E110" s="584"/>
      <c r="F110" s="655">
        <f aca="true" t="shared" si="0" ref="F110:F117">E110*B110</f>
        <v>0</v>
      </c>
      <c r="G110"/>
      <c r="H110" s="315"/>
    </row>
    <row r="111" spans="1:8" ht="15.75">
      <c r="A111" s="410"/>
      <c r="B111" s="656"/>
      <c r="C111" s="654"/>
      <c r="D111" s="654"/>
      <c r="E111" s="584"/>
      <c r="F111" s="655">
        <f t="shared" si="0"/>
        <v>0</v>
      </c>
      <c r="G111"/>
      <c r="H111" s="315"/>
    </row>
    <row r="112" spans="1:8" ht="15.75">
      <c r="A112" s="410"/>
      <c r="B112" s="656"/>
      <c r="C112" s="654"/>
      <c r="D112" s="654"/>
      <c r="E112" s="584"/>
      <c r="F112" s="655">
        <f t="shared" si="0"/>
        <v>0</v>
      </c>
      <c r="G112"/>
      <c r="H112" s="315"/>
    </row>
    <row r="113" spans="1:8" ht="15.75">
      <c r="A113" s="410"/>
      <c r="B113" s="656"/>
      <c r="C113" s="654"/>
      <c r="D113" s="654"/>
      <c r="E113" s="584"/>
      <c r="F113" s="655">
        <f t="shared" si="0"/>
        <v>0</v>
      </c>
      <c r="G113"/>
      <c r="H113" s="315"/>
    </row>
    <row r="114" spans="1:8" ht="15.75">
      <c r="A114" s="410"/>
      <c r="B114" s="656"/>
      <c r="C114" s="654"/>
      <c r="D114" s="654"/>
      <c r="E114" s="584"/>
      <c r="F114" s="655">
        <f t="shared" si="0"/>
        <v>0</v>
      </c>
      <c r="G114"/>
      <c r="H114" s="315"/>
    </row>
    <row r="115" spans="1:8" ht="15.75">
      <c r="A115" s="410"/>
      <c r="B115" s="656"/>
      <c r="C115" s="654"/>
      <c r="D115" s="654"/>
      <c r="E115" s="584"/>
      <c r="F115" s="655">
        <f t="shared" si="0"/>
        <v>0</v>
      </c>
      <c r="G115"/>
      <c r="H115" s="315"/>
    </row>
    <row r="116" spans="1:8" ht="15.75">
      <c r="A116" s="410"/>
      <c r="B116" s="656"/>
      <c r="C116" s="654"/>
      <c r="D116" s="654"/>
      <c r="E116" s="584"/>
      <c r="F116" s="655">
        <f t="shared" si="0"/>
        <v>0</v>
      </c>
      <c r="G116"/>
      <c r="H116" s="315"/>
    </row>
    <row r="117" spans="1:8" ht="15.75">
      <c r="A117" s="410"/>
      <c r="B117" s="656"/>
      <c r="C117" s="654"/>
      <c r="D117" s="654"/>
      <c r="E117" s="584"/>
      <c r="F117" s="655">
        <f t="shared" si="0"/>
        <v>0</v>
      </c>
      <c r="G117"/>
      <c r="H117" s="315"/>
    </row>
    <row r="118" spans="1:8" ht="16.5" thickBot="1">
      <c r="A118" s="411" t="s">
        <v>388</v>
      </c>
      <c r="B118" s="797">
        <f>SUM(B109:B117)</f>
        <v>7460000</v>
      </c>
      <c r="C118" s="798"/>
      <c r="D118" s="595"/>
      <c r="E118" s="799">
        <f>IF(B118=0,0,F118/B118)</f>
        <v>0.0465</v>
      </c>
      <c r="F118" s="800">
        <f>SUM(F109:F117)</f>
        <v>346890</v>
      </c>
      <c r="G118"/>
      <c r="H118" s="315"/>
    </row>
    <row r="119" spans="1:8" ht="15.75">
      <c r="A119" s="246"/>
      <c r="B119" s="131"/>
      <c r="C119" s="131"/>
      <c r="D119" s="105"/>
      <c r="E119" s="217"/>
      <c r="F119" s="216"/>
      <c r="G119" s="218"/>
      <c r="H119" s="315"/>
    </row>
    <row r="120" spans="1:8" ht="15.75">
      <c r="A120" s="246"/>
      <c r="B120" s="131"/>
      <c r="C120" s="224"/>
      <c r="D120" s="13"/>
      <c r="E120" s="225"/>
      <c r="F120" s="52"/>
      <c r="G120" s="10"/>
      <c r="H120" s="267"/>
    </row>
    <row r="121" spans="1:8" ht="16.5" thickBot="1">
      <c r="A121" s="289" t="s">
        <v>389</v>
      </c>
      <c r="B121" s="209"/>
      <c r="C121" s="131"/>
      <c r="D121" s="105"/>
      <c r="E121" s="148"/>
      <c r="F121" s="149"/>
      <c r="G121" s="149"/>
      <c r="H121" s="297"/>
    </row>
    <row r="122" spans="1:8" ht="15.75">
      <c r="A122" s="289"/>
      <c r="B122" s="209"/>
      <c r="C122" s="131"/>
      <c r="D122" s="105"/>
      <c r="E122" s="379" t="s">
        <v>14</v>
      </c>
      <c r="F122" s="380" t="s">
        <v>15</v>
      </c>
      <c r="G122" s="380" t="s">
        <v>16</v>
      </c>
      <c r="H122" s="412" t="s">
        <v>17</v>
      </c>
    </row>
    <row r="123" spans="1:8" ht="15.75">
      <c r="A123" s="289" t="s">
        <v>97</v>
      </c>
      <c r="B123" s="131"/>
      <c r="C123" s="131"/>
      <c r="D123" s="131"/>
      <c r="E123" s="657">
        <f>'Sch 1- Rate Base '!G161</f>
        <v>34103573.87</v>
      </c>
      <c r="F123" s="587">
        <f>'Sch 1- Rate Base '!H161</f>
        <v>15984280.25667389</v>
      </c>
      <c r="G123" s="658">
        <f>'Sch 1- Rate Base '!I161</f>
        <v>492861.5191034983</v>
      </c>
      <c r="H123" s="588">
        <f>'Sch 1- Rate Base '!J161</f>
        <v>17626432.094222613</v>
      </c>
    </row>
    <row r="124" spans="1:8" ht="15.75">
      <c r="A124" s="289" t="s">
        <v>388</v>
      </c>
      <c r="B124" s="131"/>
      <c r="C124" s="131"/>
      <c r="D124" s="131"/>
      <c r="E124" s="659">
        <f>$E$118</f>
        <v>0.0465</v>
      </c>
      <c r="F124" s="660">
        <f>$E$118</f>
        <v>0.0465</v>
      </c>
      <c r="G124" s="660">
        <f>$E$118</f>
        <v>0.0465</v>
      </c>
      <c r="H124" s="661">
        <f>$E$118</f>
        <v>0.0465</v>
      </c>
    </row>
    <row r="125" spans="1:8" ht="16.5" thickBot="1">
      <c r="A125" s="289" t="s">
        <v>436</v>
      </c>
      <c r="B125" s="209"/>
      <c r="C125" s="209"/>
      <c r="D125" s="209"/>
      <c r="E125" s="598">
        <f>E124*E123</f>
        <v>1585816.184955</v>
      </c>
      <c r="F125" s="599">
        <f>F124*F123</f>
        <v>743269.0319353358</v>
      </c>
      <c r="G125" s="599">
        <f>G124*G123</f>
        <v>22918.060638312672</v>
      </c>
      <c r="H125" s="600">
        <f>H124*H123</f>
        <v>819629.0923813515</v>
      </c>
    </row>
    <row r="126" spans="1:8" ht="15.75">
      <c r="A126" s="371"/>
      <c r="B126" s="128"/>
      <c r="C126" s="128"/>
      <c r="D126" s="128"/>
      <c r="E126" s="128"/>
      <c r="F126" s="128"/>
      <c r="G126" s="128"/>
      <c r="H126" s="315"/>
    </row>
    <row r="127" spans="1:8" ht="15.75">
      <c r="A127" s="322"/>
      <c r="B127" s="128"/>
      <c r="C127" s="128"/>
      <c r="D127" s="128"/>
      <c r="E127" s="128"/>
      <c r="F127" s="128"/>
      <c r="G127" s="128"/>
      <c r="H127" s="315"/>
    </row>
    <row r="128" spans="1:8" ht="16.5" thickBot="1">
      <c r="A128" s="372"/>
      <c r="B128" s="291"/>
      <c r="C128" s="291"/>
      <c r="D128" s="291"/>
      <c r="E128" s="291"/>
      <c r="F128" s="291"/>
      <c r="G128" s="291"/>
      <c r="H128" s="292"/>
    </row>
    <row r="129" ht="16.5" thickTop="1"/>
  </sheetData>
  <sheetProtection/>
  <mergeCells count="9">
    <mergeCell ref="D5:F5"/>
    <mergeCell ref="D6:F6"/>
    <mergeCell ref="D7:F7"/>
    <mergeCell ref="A88:E88"/>
    <mergeCell ref="D22:E22"/>
    <mergeCell ref="B22:C22"/>
    <mergeCell ref="A33:E33"/>
    <mergeCell ref="B51:C51"/>
    <mergeCell ref="D51:E51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&amp;L&amp;F&amp;CPage &amp;P of &amp;N&amp;R&amp;D</oddFooter>
  </headerFooter>
  <rowBreaks count="3" manualBreakCount="3">
    <brk id="45" max="7" man="1"/>
    <brk id="79" max="7" man="1"/>
    <brk id="9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zoomScaleSheetLayoutView="100" workbookViewId="0" topLeftCell="C69">
      <selection activeCell="K75" sqref="K75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2.375" style="110" customWidth="1"/>
    <col min="8" max="10" width="12.375" style="9" customWidth="1"/>
    <col min="11" max="11" width="10.125" style="9" bestFit="1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27"/>
      <c r="C1" s="227"/>
      <c r="D1" s="227"/>
      <c r="E1" s="227"/>
      <c r="F1" s="227"/>
      <c r="G1" s="228"/>
      <c r="H1" s="227"/>
      <c r="I1" s="227"/>
      <c r="J1" s="229"/>
    </row>
    <row r="2" spans="1:15" ht="15.75">
      <c r="A2" s="230" t="s">
        <v>91</v>
      </c>
      <c r="B2" s="76"/>
      <c r="C2" s="76"/>
      <c r="D2" s="76"/>
      <c r="E2" s="76"/>
      <c r="F2" s="76"/>
      <c r="G2" s="111"/>
      <c r="H2" s="76"/>
      <c r="I2" s="76"/>
      <c r="J2" s="231"/>
      <c r="L2"/>
      <c r="M2"/>
      <c r="N2"/>
      <c r="O2"/>
    </row>
    <row r="3" spans="1:15" ht="15.75">
      <c r="A3" s="232" t="s">
        <v>400</v>
      </c>
      <c r="B3" s="2"/>
      <c r="C3" s="3"/>
      <c r="D3" s="3"/>
      <c r="E3" s="4"/>
      <c r="F3" s="4"/>
      <c r="G3" s="112"/>
      <c r="H3" s="6"/>
      <c r="I3" s="19"/>
      <c r="J3" s="233"/>
      <c r="L3"/>
      <c r="M3"/>
      <c r="N3"/>
      <c r="O3"/>
    </row>
    <row r="4" spans="1:15" ht="10.5" customHeight="1" thickBot="1">
      <c r="A4" s="232"/>
      <c r="B4" s="2"/>
      <c r="C4" s="3"/>
      <c r="D4" s="3"/>
      <c r="E4" s="4"/>
      <c r="F4" s="4"/>
      <c r="G4" s="112"/>
      <c r="H4" s="6"/>
      <c r="I4" s="19"/>
      <c r="J4" s="233"/>
      <c r="L4"/>
      <c r="M4"/>
      <c r="N4"/>
      <c r="O4"/>
    </row>
    <row r="5" spans="1:15" ht="15.75">
      <c r="A5" s="232"/>
      <c r="B5" s="2"/>
      <c r="C5" s="3"/>
      <c r="D5" s="726" t="s">
        <v>460</v>
      </c>
      <c r="E5" s="858" t="s">
        <v>472</v>
      </c>
      <c r="F5" s="859"/>
      <c r="G5" s="860"/>
      <c r="H5" s="6"/>
      <c r="I5" s="19"/>
      <c r="J5" s="233"/>
      <c r="L5"/>
      <c r="M5"/>
      <c r="N5"/>
      <c r="O5"/>
    </row>
    <row r="6" spans="1:15" ht="15.75">
      <c r="A6" s="232"/>
      <c r="B6" s="2"/>
      <c r="C6" s="3"/>
      <c r="D6" s="726" t="s">
        <v>462</v>
      </c>
      <c r="E6" s="861" t="s">
        <v>473</v>
      </c>
      <c r="F6" s="862"/>
      <c r="G6" s="846"/>
      <c r="H6" s="6"/>
      <c r="I6" s="19"/>
      <c r="J6" s="233"/>
      <c r="L6"/>
      <c r="M6"/>
      <c r="N6"/>
      <c r="O6"/>
    </row>
    <row r="7" spans="1:15" ht="16.5" thickBot="1">
      <c r="A7" s="232"/>
      <c r="B7" s="2"/>
      <c r="C7" s="3"/>
      <c r="D7" s="726" t="s">
        <v>463</v>
      </c>
      <c r="E7" s="847">
        <v>39575</v>
      </c>
      <c r="F7" s="848"/>
      <c r="G7" s="849"/>
      <c r="H7" s="6"/>
      <c r="I7" s="19"/>
      <c r="J7" s="233"/>
      <c r="L7"/>
      <c r="M7"/>
      <c r="N7"/>
      <c r="O7"/>
    </row>
    <row r="8" spans="1:15" s="80" customFormat="1" ht="9" customHeight="1">
      <c r="A8" s="747"/>
      <c r="B8" s="3"/>
      <c r="C8" s="3"/>
      <c r="D8" s="735"/>
      <c r="E8" s="258"/>
      <c r="F8" s="258"/>
      <c r="G8" s="258"/>
      <c r="H8" s="6"/>
      <c r="I8" s="748"/>
      <c r="J8" s="233"/>
      <c r="L8" s="736"/>
      <c r="M8" s="736"/>
      <c r="N8" s="736"/>
      <c r="O8" s="736"/>
    </row>
    <row r="9" spans="1:15" ht="15.75">
      <c r="A9" s="481" t="s">
        <v>117</v>
      </c>
      <c r="B9" s="2"/>
      <c r="C9" s="3"/>
      <c r="D9" s="3"/>
      <c r="E9" s="4"/>
      <c r="F9" s="4"/>
      <c r="G9" s="112"/>
      <c r="H9" s="6"/>
      <c r="I9" s="19"/>
      <c r="J9" s="233"/>
      <c r="L9"/>
      <c r="M9"/>
      <c r="N9"/>
      <c r="O9"/>
    </row>
    <row r="10" spans="1:15" ht="7.5" customHeight="1" thickBot="1">
      <c r="A10" s="481"/>
      <c r="B10" s="2"/>
      <c r="C10" s="3"/>
      <c r="D10" s="3"/>
      <c r="E10" s="4"/>
      <c r="F10" s="4"/>
      <c r="G10" s="112"/>
      <c r="H10" s="6"/>
      <c r="I10" s="19"/>
      <c r="J10" s="233"/>
      <c r="L10"/>
      <c r="M10"/>
      <c r="N10"/>
      <c r="O10"/>
    </row>
    <row r="11" spans="1:15" ht="17.25" thickBot="1" thickTop="1">
      <c r="A11" s="892" t="s">
        <v>12</v>
      </c>
      <c r="B11" s="893"/>
      <c r="C11" s="472" t="s">
        <v>167</v>
      </c>
      <c r="D11" s="472"/>
      <c r="E11" s="536" t="s">
        <v>351</v>
      </c>
      <c r="F11" s="537"/>
      <c r="G11" s="897" t="s">
        <v>14</v>
      </c>
      <c r="H11" s="890" t="s">
        <v>15</v>
      </c>
      <c r="I11" s="890" t="s">
        <v>16</v>
      </c>
      <c r="J11" s="473"/>
      <c r="L11"/>
      <c r="M11"/>
      <c r="N11"/>
      <c r="O11"/>
    </row>
    <row r="12" spans="1:15" ht="16.5" thickBot="1">
      <c r="A12" s="894"/>
      <c r="B12" s="878"/>
      <c r="C12" s="466" t="s">
        <v>311</v>
      </c>
      <c r="D12" s="467" t="s">
        <v>8</v>
      </c>
      <c r="E12" s="463" t="s">
        <v>13</v>
      </c>
      <c r="F12" s="464"/>
      <c r="G12" s="898"/>
      <c r="H12" s="870"/>
      <c r="I12" s="870"/>
      <c r="J12" s="452" t="s">
        <v>10</v>
      </c>
      <c r="L12"/>
      <c r="M12"/>
      <c r="N12"/>
      <c r="O12"/>
    </row>
    <row r="13" spans="1:15" ht="16.5" thickBot="1">
      <c r="A13" s="895"/>
      <c r="B13" s="896"/>
      <c r="C13" s="453" t="s">
        <v>312</v>
      </c>
      <c r="D13" s="474" t="s">
        <v>238</v>
      </c>
      <c r="E13" s="455" t="s">
        <v>349</v>
      </c>
      <c r="F13" s="455" t="s">
        <v>350</v>
      </c>
      <c r="G13" s="899"/>
      <c r="H13" s="891"/>
      <c r="I13" s="891"/>
      <c r="J13" s="458" t="s">
        <v>17</v>
      </c>
      <c r="L13"/>
      <c r="M13"/>
      <c r="N13"/>
      <c r="O13"/>
    </row>
    <row r="14" spans="1:15" ht="16.5" thickTop="1">
      <c r="A14" s="234" t="s">
        <v>130</v>
      </c>
      <c r="B14" s="49"/>
      <c r="C14" s="43"/>
      <c r="D14" s="43"/>
      <c r="E14" s="43"/>
      <c r="F14" s="43"/>
      <c r="G14" s="256"/>
      <c r="H14" s="32"/>
      <c r="I14" s="32"/>
      <c r="J14" s="257"/>
      <c r="L14"/>
      <c r="M14"/>
      <c r="N14"/>
      <c r="O14"/>
    </row>
    <row r="15" spans="1:15" ht="15.75">
      <c r="A15" s="235"/>
      <c r="B15" s="116" t="s">
        <v>131</v>
      </c>
      <c r="C15" s="259"/>
      <c r="D15" s="259"/>
      <c r="E15" s="259"/>
      <c r="F15" s="259"/>
      <c r="G15" s="256"/>
      <c r="H15" s="32"/>
      <c r="I15" s="32"/>
      <c r="J15" s="257"/>
      <c r="L15"/>
      <c r="M15"/>
      <c r="N15"/>
      <c r="O15"/>
    </row>
    <row r="16" spans="1:15" ht="15" customHeight="1">
      <c r="A16" s="236"/>
      <c r="B16" s="93" t="s">
        <v>245</v>
      </c>
      <c r="C16" s="261" t="s">
        <v>107</v>
      </c>
      <c r="D16" s="262">
        <v>501</v>
      </c>
      <c r="E16" s="262" t="s">
        <v>394</v>
      </c>
      <c r="F16" s="262"/>
      <c r="G16" s="669"/>
      <c r="H16" s="352">
        <f>VLOOKUP($E16,Ratio,2,FALSE)*$G16</f>
        <v>0</v>
      </c>
      <c r="I16" s="352">
        <f>VLOOKUP($E16,Ratio,3,FALSE)*$G16</f>
        <v>0</v>
      </c>
      <c r="J16" s="382">
        <f>VLOOKUP($E16,Ratio,4,FALSE)*$G16</f>
        <v>0</v>
      </c>
      <c r="L16"/>
      <c r="M16"/>
      <c r="N16"/>
      <c r="O16"/>
    </row>
    <row r="17" spans="1:10" ht="15" customHeight="1">
      <c r="A17" s="236"/>
      <c r="B17" s="93" t="s">
        <v>246</v>
      </c>
      <c r="C17" s="261" t="s">
        <v>107</v>
      </c>
      <c r="D17" s="262" t="s">
        <v>124</v>
      </c>
      <c r="E17" s="262" t="s">
        <v>394</v>
      </c>
      <c r="F17" s="262"/>
      <c r="G17" s="669"/>
      <c r="H17" s="352">
        <f>VLOOKUP($E17,Ratio,2,FALSE)*$G17</f>
        <v>0</v>
      </c>
      <c r="I17" s="352">
        <f>VLOOKUP($E17,Ratio,3,FALSE)*$G17</f>
        <v>0</v>
      </c>
      <c r="J17" s="382">
        <f>VLOOKUP($E17,Ratio,4,FALSE)*$G17</f>
        <v>0</v>
      </c>
    </row>
    <row r="18" spans="1:10" ht="15" customHeight="1">
      <c r="A18" s="236"/>
      <c r="B18" s="93" t="s">
        <v>247</v>
      </c>
      <c r="C18" s="261" t="s">
        <v>107</v>
      </c>
      <c r="D18" s="262" t="s">
        <v>248</v>
      </c>
      <c r="E18" s="262" t="s">
        <v>394</v>
      </c>
      <c r="F18" s="262"/>
      <c r="G18" s="669"/>
      <c r="H18" s="352">
        <f>VLOOKUP($E18,Ratio,2,FALSE)*$G18</f>
        <v>0</v>
      </c>
      <c r="I18" s="352">
        <f>VLOOKUP($E18,Ratio,3,FALSE)*$G18</f>
        <v>0</v>
      </c>
      <c r="J18" s="382">
        <f>VLOOKUP($E18,Ratio,4,FALSE)*$G18</f>
        <v>0</v>
      </c>
    </row>
    <row r="19" spans="1:10" ht="15.75">
      <c r="A19" s="236"/>
      <c r="B19" s="117" t="s">
        <v>132</v>
      </c>
      <c r="C19" s="85"/>
      <c r="D19" s="259"/>
      <c r="E19" s="260"/>
      <c r="F19" s="260"/>
      <c r="G19" s="676"/>
      <c r="H19" s="677"/>
      <c r="I19" s="677"/>
      <c r="J19" s="678"/>
    </row>
    <row r="20" spans="1:10" ht="15" customHeight="1">
      <c r="A20" s="236"/>
      <c r="B20" s="93" t="s">
        <v>120</v>
      </c>
      <c r="C20" s="261" t="s">
        <v>107</v>
      </c>
      <c r="D20" s="262">
        <v>518</v>
      </c>
      <c r="E20" s="262" t="s">
        <v>394</v>
      </c>
      <c r="F20" s="262"/>
      <c r="G20" s="669"/>
      <c r="H20" s="352">
        <f>VLOOKUP($E20,Ratio,2,FALSE)*$G20</f>
        <v>0</v>
      </c>
      <c r="I20" s="352">
        <f>VLOOKUP($E20,Ratio,3,FALSE)*$G20</f>
        <v>0</v>
      </c>
      <c r="J20" s="382">
        <f>VLOOKUP($E20,Ratio,4,FALSE)*$G20</f>
        <v>0</v>
      </c>
    </row>
    <row r="21" spans="1:10" ht="15" customHeight="1">
      <c r="A21" s="236"/>
      <c r="B21" s="86" t="s">
        <v>250</v>
      </c>
      <c r="C21" s="261" t="s">
        <v>107</v>
      </c>
      <c r="D21" s="262" t="s">
        <v>125</v>
      </c>
      <c r="E21" s="262" t="s">
        <v>394</v>
      </c>
      <c r="F21" s="262"/>
      <c r="G21" s="669"/>
      <c r="H21" s="352">
        <f>VLOOKUP($E21,Ratio,2,FALSE)*$G21</f>
        <v>0</v>
      </c>
      <c r="I21" s="352">
        <f>VLOOKUP($E21,Ratio,3,FALSE)*$G21</f>
        <v>0</v>
      </c>
      <c r="J21" s="382">
        <f>VLOOKUP($E21,Ratio,4,FALSE)*$G21</f>
        <v>0</v>
      </c>
    </row>
    <row r="22" spans="1:10" ht="15" customHeight="1">
      <c r="A22" s="236"/>
      <c r="B22" s="81" t="s">
        <v>57</v>
      </c>
      <c r="C22" s="261" t="s">
        <v>107</v>
      </c>
      <c r="D22" s="262" t="s">
        <v>58</v>
      </c>
      <c r="E22" s="265" t="s">
        <v>394</v>
      </c>
      <c r="F22" s="265"/>
      <c r="G22" s="669"/>
      <c r="H22" s="352">
        <f>VLOOKUP($E22,Ratio,2,FALSE)*$G22</f>
        <v>0</v>
      </c>
      <c r="I22" s="352">
        <f>VLOOKUP($E22,Ratio,3,FALSE)*$G22</f>
        <v>0</v>
      </c>
      <c r="J22" s="382">
        <f>VLOOKUP($E22,Ratio,4,FALSE)*$G22</f>
        <v>0</v>
      </c>
    </row>
    <row r="23" spans="1:10" ht="15.75">
      <c r="A23" s="236"/>
      <c r="B23" s="117" t="s">
        <v>133</v>
      </c>
      <c r="C23" s="85"/>
      <c r="D23" s="259"/>
      <c r="E23" s="260"/>
      <c r="F23" s="260"/>
      <c r="G23" s="676"/>
      <c r="H23" s="677"/>
      <c r="I23" s="677"/>
      <c r="J23" s="678"/>
    </row>
    <row r="24" spans="1:10" ht="15" customHeight="1">
      <c r="A24" s="236"/>
      <c r="B24" s="86" t="s">
        <v>121</v>
      </c>
      <c r="C24" s="261" t="s">
        <v>107</v>
      </c>
      <c r="D24" s="262" t="s">
        <v>59</v>
      </c>
      <c r="E24" s="265" t="s">
        <v>394</v>
      </c>
      <c r="F24" s="265"/>
      <c r="G24" s="669">
        <f>731561.19+11261.43</f>
        <v>742822.62</v>
      </c>
      <c r="H24" s="352">
        <f>VLOOKUP($E24,Ratio,2,FALSE)*$G24</f>
        <v>742822.62</v>
      </c>
      <c r="I24" s="352">
        <f>VLOOKUP($E24,Ratio,3,FALSE)*$G24</f>
        <v>0</v>
      </c>
      <c r="J24" s="382">
        <f>VLOOKUP($E24,Ratio,4,FALSE)*$G24</f>
        <v>0</v>
      </c>
    </row>
    <row r="25" spans="1:10" ht="15" customHeight="1">
      <c r="A25" s="236"/>
      <c r="B25" s="86" t="s">
        <v>122</v>
      </c>
      <c r="C25" s="261" t="s">
        <v>107</v>
      </c>
      <c r="D25" s="262" t="s">
        <v>60</v>
      </c>
      <c r="E25" s="265" t="s">
        <v>394</v>
      </c>
      <c r="F25" s="265"/>
      <c r="G25" s="669">
        <v>90959.07</v>
      </c>
      <c r="H25" s="352">
        <f>VLOOKUP($E25,Ratio,2,FALSE)*$G25</f>
        <v>90959.07</v>
      </c>
      <c r="I25" s="352">
        <f>VLOOKUP($E25,Ratio,3,FALSE)*$G25</f>
        <v>0</v>
      </c>
      <c r="J25" s="382">
        <f>VLOOKUP($E25,Ratio,4,FALSE)*$G25</f>
        <v>0</v>
      </c>
    </row>
    <row r="26" spans="1:10" ht="15.75">
      <c r="A26" s="236"/>
      <c r="B26" s="117" t="s">
        <v>134</v>
      </c>
      <c r="C26" s="85"/>
      <c r="D26" s="259"/>
      <c r="E26" s="260"/>
      <c r="F26" s="260"/>
      <c r="G26" s="676"/>
      <c r="H26" s="677"/>
      <c r="I26" s="677"/>
      <c r="J26" s="678"/>
    </row>
    <row r="27" spans="1:13" ht="15" customHeight="1">
      <c r="A27" s="236"/>
      <c r="B27" s="93" t="s">
        <v>123</v>
      </c>
      <c r="C27" s="261" t="s">
        <v>107</v>
      </c>
      <c r="D27" s="262">
        <v>547</v>
      </c>
      <c r="E27" s="262" t="s">
        <v>394</v>
      </c>
      <c r="F27" s="262"/>
      <c r="G27" s="669"/>
      <c r="H27" s="352">
        <f>VLOOKUP($E27,Ratio,2,FALSE)*$G27</f>
        <v>0</v>
      </c>
      <c r="I27" s="352">
        <f>VLOOKUP($E27,Ratio,3,FALSE)*$G27</f>
        <v>0</v>
      </c>
      <c r="J27" s="382">
        <f>VLOOKUP($E27,Ratio,4,FALSE)*$G27</f>
        <v>0</v>
      </c>
      <c r="K27"/>
      <c r="L27"/>
      <c r="M27"/>
    </row>
    <row r="28" spans="1:13" ht="15" customHeight="1">
      <c r="A28" s="236"/>
      <c r="B28" s="86" t="s">
        <v>249</v>
      </c>
      <c r="C28" s="261" t="s">
        <v>107</v>
      </c>
      <c r="D28" s="262" t="s">
        <v>126</v>
      </c>
      <c r="E28" s="265" t="s">
        <v>394</v>
      </c>
      <c r="F28" s="265"/>
      <c r="G28" s="669"/>
      <c r="H28" s="352">
        <f>VLOOKUP($E28,Ratio,2,FALSE)*$G28</f>
        <v>0</v>
      </c>
      <c r="I28" s="352">
        <f>VLOOKUP($E28,Ratio,3,FALSE)*$G28</f>
        <v>0</v>
      </c>
      <c r="J28" s="382">
        <f>VLOOKUP($E28,Ratio,4,FALSE)*$G28</f>
        <v>0</v>
      </c>
      <c r="K28"/>
      <c r="L28"/>
      <c r="M28"/>
    </row>
    <row r="29" spans="1:13" ht="15" customHeight="1">
      <c r="A29" s="236"/>
      <c r="B29" s="86" t="s">
        <v>251</v>
      </c>
      <c r="C29" s="261" t="s">
        <v>107</v>
      </c>
      <c r="D29" s="262" t="s">
        <v>127</v>
      </c>
      <c r="E29" s="265" t="s">
        <v>394</v>
      </c>
      <c r="F29" s="265"/>
      <c r="G29" s="669"/>
      <c r="H29" s="352">
        <f>VLOOKUP($E29,Ratio,2,FALSE)*$G29</f>
        <v>0</v>
      </c>
      <c r="I29" s="352">
        <f>VLOOKUP($E29,Ratio,3,FALSE)*$G29</f>
        <v>0</v>
      </c>
      <c r="J29" s="382">
        <f>VLOOKUP($E29,Ratio,4,FALSE)*$G29</f>
        <v>0</v>
      </c>
      <c r="K29"/>
      <c r="L29"/>
      <c r="M29"/>
    </row>
    <row r="30" spans="1:13" ht="15.75">
      <c r="A30" s="236"/>
      <c r="B30" s="117" t="s">
        <v>128</v>
      </c>
      <c r="C30" s="85"/>
      <c r="D30" s="259"/>
      <c r="E30" s="260"/>
      <c r="F30" s="260"/>
      <c r="G30" s="676"/>
      <c r="H30" s="677"/>
      <c r="I30" s="677"/>
      <c r="J30" s="678"/>
      <c r="K30"/>
      <c r="L30"/>
      <c r="M30"/>
    </row>
    <row r="31" spans="1:10" ht="15" customHeight="1">
      <c r="A31" s="237"/>
      <c r="B31" s="82" t="s">
        <v>252</v>
      </c>
      <c r="C31" s="261" t="s">
        <v>107</v>
      </c>
      <c r="D31" s="261">
        <v>555</v>
      </c>
      <c r="E31" s="261" t="s">
        <v>394</v>
      </c>
      <c r="F31" s="261"/>
      <c r="G31" s="803">
        <f>'PP &amp; OSS WorkSheet'!D21</f>
        <v>5667659</v>
      </c>
      <c r="H31" s="352">
        <f>VLOOKUP($E31,Ratio,2,FALSE)*$G31</f>
        <v>5667659</v>
      </c>
      <c r="I31" s="352">
        <f>VLOOKUP($E31,Ratio,3,FALSE)*$G31</f>
        <v>0</v>
      </c>
      <c r="J31" s="382">
        <f>VLOOKUP($E31,Ratio,4,FALSE)*$G31</f>
        <v>0</v>
      </c>
    </row>
    <row r="32" spans="1:10" ht="15" customHeight="1">
      <c r="A32" s="236"/>
      <c r="B32" s="84" t="s">
        <v>129</v>
      </c>
      <c r="C32" s="261" t="s">
        <v>107</v>
      </c>
      <c r="D32" s="261">
        <v>556</v>
      </c>
      <c r="E32" s="266" t="s">
        <v>394</v>
      </c>
      <c r="F32" s="266"/>
      <c r="G32" s="669"/>
      <c r="H32" s="352">
        <f>VLOOKUP($E32,Ratio,2,FALSE)*$G32</f>
        <v>0</v>
      </c>
      <c r="I32" s="352">
        <f>VLOOKUP($E32,Ratio,3,FALSE)*$G32</f>
        <v>0</v>
      </c>
      <c r="J32" s="382">
        <f>VLOOKUP($E32,Ratio,4,FALSE)*$G32</f>
        <v>0</v>
      </c>
    </row>
    <row r="33" spans="1:10" ht="15" customHeight="1">
      <c r="A33" s="236"/>
      <c r="B33" s="84" t="s">
        <v>253</v>
      </c>
      <c r="C33" s="261" t="s">
        <v>107</v>
      </c>
      <c r="D33" s="261">
        <v>557</v>
      </c>
      <c r="E33" s="266" t="s">
        <v>394</v>
      </c>
      <c r="F33" s="266"/>
      <c r="G33" s="669"/>
      <c r="H33" s="352">
        <f>VLOOKUP($E33,Ratio,2,FALSE)*$G33</f>
        <v>0</v>
      </c>
      <c r="I33" s="352">
        <f>VLOOKUP($E33,Ratio,3,FALSE)*$G33</f>
        <v>0</v>
      </c>
      <c r="J33" s="382">
        <f>VLOOKUP($E33,Ratio,4,FALSE)*$G33</f>
        <v>0</v>
      </c>
    </row>
    <row r="34" spans="1:10" ht="15" customHeight="1">
      <c r="A34" s="237"/>
      <c r="B34" s="82" t="s">
        <v>87</v>
      </c>
      <c r="C34" s="261">
        <v>327</v>
      </c>
      <c r="D34" s="261">
        <v>555</v>
      </c>
      <c r="E34" s="261" t="s">
        <v>394</v>
      </c>
      <c r="F34" s="261"/>
      <c r="G34" s="669"/>
      <c r="H34" s="352">
        <f>VLOOKUP($E34,Ratio,2,FALSE)*$G34</f>
        <v>0</v>
      </c>
      <c r="I34" s="352">
        <f>VLOOKUP($E34,Ratio,3,FALSE)*$G34</f>
        <v>0</v>
      </c>
      <c r="J34" s="382">
        <f>VLOOKUP($E34,Ratio,4,FALSE)*$G34</f>
        <v>0</v>
      </c>
    </row>
    <row r="35" spans="1:10" ht="15" customHeight="1">
      <c r="A35" s="237"/>
      <c r="B35" s="84" t="s">
        <v>269</v>
      </c>
      <c r="C35" s="261"/>
      <c r="D35" s="266"/>
      <c r="E35" s="266" t="s">
        <v>407</v>
      </c>
      <c r="F35" s="266"/>
      <c r="G35" s="669"/>
      <c r="H35" s="352">
        <f>VLOOKUP($E35,Ratio,2,FALSE)*$G35</f>
        <v>0</v>
      </c>
      <c r="I35" s="352">
        <f>VLOOKUP($E35,Ratio,3,FALSE)*$G35</f>
        <v>0</v>
      </c>
      <c r="J35" s="382">
        <f>VLOOKUP($E35,Ratio,4,FALSE)*$G35</f>
        <v>0</v>
      </c>
    </row>
    <row r="36" spans="1:10" ht="15.75">
      <c r="A36" s="238" t="s">
        <v>61</v>
      </c>
      <c r="B36" s="91"/>
      <c r="C36" s="672"/>
      <c r="D36" s="672"/>
      <c r="E36" s="672"/>
      <c r="F36" s="672"/>
      <c r="G36" s="673">
        <f>SUM(G16:G35)</f>
        <v>6501440.6899999995</v>
      </c>
      <c r="H36" s="673">
        <f>SUM(H16:H35)</f>
        <v>6501440.6899999995</v>
      </c>
      <c r="I36" s="688">
        <f>SUM(I16:I35)</f>
        <v>0</v>
      </c>
      <c r="J36" s="674">
        <f>SUM(J16:J35)</f>
        <v>0</v>
      </c>
    </row>
    <row r="37" spans="1:10" ht="15" customHeight="1">
      <c r="A37" s="239"/>
      <c r="B37" s="91"/>
      <c r="C37" s="126"/>
      <c r="D37" s="85"/>
      <c r="E37" s="51"/>
      <c r="F37" s="51"/>
      <c r="G37" s="492"/>
      <c r="H37" s="204"/>
      <c r="I37" s="204"/>
      <c r="J37" s="361"/>
    </row>
    <row r="38" spans="1:10" ht="15.75">
      <c r="A38" s="240" t="s">
        <v>268</v>
      </c>
      <c r="B38" s="91"/>
      <c r="C38" s="126"/>
      <c r="D38" s="83"/>
      <c r="E38" s="91"/>
      <c r="F38" s="91"/>
      <c r="G38" s="492"/>
      <c r="H38" s="204"/>
      <c r="I38" s="204"/>
      <c r="J38" s="361"/>
    </row>
    <row r="39" spans="1:10" ht="15" customHeight="1">
      <c r="A39" s="237"/>
      <c r="B39" s="84" t="s">
        <v>399</v>
      </c>
      <c r="C39" s="261" t="s">
        <v>107</v>
      </c>
      <c r="D39" s="266" t="s">
        <v>62</v>
      </c>
      <c r="E39" s="266" t="s">
        <v>393</v>
      </c>
      <c r="F39" s="266"/>
      <c r="G39" s="669">
        <f>102197+104873+109277+56906+66983+66838+63074+49535+65444+80713+95767+86629</f>
        <v>948236</v>
      </c>
      <c r="H39" s="352">
        <f>VLOOKUP($E39,Ratio,2,FALSE)*$G39</f>
        <v>0</v>
      </c>
      <c r="I39" s="352">
        <f>VLOOKUP($E39,Ratio,3,FALSE)*$G39</f>
        <v>948236</v>
      </c>
      <c r="J39" s="382">
        <f>VLOOKUP($E39,Ratio,4,FALSE)*$G39</f>
        <v>0</v>
      </c>
    </row>
    <row r="40" spans="1:10" ht="15" customHeight="1">
      <c r="A40" s="237"/>
      <c r="B40" s="84" t="s">
        <v>135</v>
      </c>
      <c r="C40" s="261" t="s">
        <v>107</v>
      </c>
      <c r="D40" s="266" t="s">
        <v>146</v>
      </c>
      <c r="E40" s="266" t="s">
        <v>393</v>
      </c>
      <c r="F40" s="266"/>
      <c r="G40" s="669">
        <f>112901.63+300.36</f>
        <v>113201.99</v>
      </c>
      <c r="H40" s="352">
        <f>VLOOKUP($E40,Ratio,2,FALSE)*$G40</f>
        <v>0</v>
      </c>
      <c r="I40" s="352">
        <f>VLOOKUP($E40,Ratio,3,FALSE)*$G40</f>
        <v>113201.99</v>
      </c>
      <c r="J40" s="382">
        <f>VLOOKUP($E40,Ratio,4,FALSE)*$G40</f>
        <v>0</v>
      </c>
    </row>
    <row r="41" spans="1:10" ht="15" customHeight="1">
      <c r="A41" s="237"/>
      <c r="B41" s="84" t="s">
        <v>136</v>
      </c>
      <c r="C41" s="261" t="s">
        <v>107</v>
      </c>
      <c r="D41" s="266" t="s">
        <v>145</v>
      </c>
      <c r="E41" s="266" t="s">
        <v>393</v>
      </c>
      <c r="F41" s="266"/>
      <c r="G41" s="669">
        <f>7912.04+84215+17375.31</f>
        <v>109502.34999999999</v>
      </c>
      <c r="H41" s="352">
        <f>VLOOKUP($E41,Ratio,2,FALSE)*$G41</f>
        <v>0</v>
      </c>
      <c r="I41" s="352">
        <f>VLOOKUP($E41,Ratio,3,FALSE)*$G41</f>
        <v>109502.34999999999</v>
      </c>
      <c r="J41" s="382">
        <f>VLOOKUP($E41,Ratio,4,FALSE)*$G41</f>
        <v>0</v>
      </c>
    </row>
    <row r="42" spans="1:10" ht="15.75">
      <c r="A42" s="238" t="s">
        <v>63</v>
      </c>
      <c r="B42" s="91"/>
      <c r="C42" s="672"/>
      <c r="D42" s="672"/>
      <c r="E42" s="672"/>
      <c r="F42" s="672"/>
      <c r="G42" s="673">
        <f>SUM(G39:G41)</f>
        <v>1170940.34</v>
      </c>
      <c r="H42" s="673">
        <f>SUM(H39:H41)</f>
        <v>0</v>
      </c>
      <c r="I42" s="673">
        <f>SUM(I39:I41)</f>
        <v>1170940.34</v>
      </c>
      <c r="J42" s="674">
        <f>SUM(J39:J41)</f>
        <v>0</v>
      </c>
    </row>
    <row r="43" spans="1:10" ht="16.5" thickBot="1">
      <c r="A43" s="271"/>
      <c r="B43" s="272"/>
      <c r="C43" s="273"/>
      <c r="D43" s="274"/>
      <c r="E43" s="275"/>
      <c r="F43" s="275"/>
      <c r="G43" s="670"/>
      <c r="H43" s="670"/>
      <c r="I43" s="670"/>
      <c r="J43" s="671"/>
    </row>
    <row r="44" spans="1:10" ht="15" customHeight="1" thickTop="1">
      <c r="A44" s="240" t="s">
        <v>64</v>
      </c>
      <c r="B44" s="91"/>
      <c r="C44" s="126"/>
      <c r="D44" s="83"/>
      <c r="E44" s="91"/>
      <c r="F44" s="91"/>
      <c r="G44" s="204"/>
      <c r="H44" s="204"/>
      <c r="I44" s="204"/>
      <c r="J44" s="361"/>
    </row>
    <row r="45" spans="1:10" ht="15" customHeight="1">
      <c r="A45" s="237"/>
      <c r="B45" s="84" t="s">
        <v>137</v>
      </c>
      <c r="C45" s="261" t="s">
        <v>107</v>
      </c>
      <c r="D45" s="266" t="s">
        <v>65</v>
      </c>
      <c r="E45" s="266" t="s">
        <v>392</v>
      </c>
      <c r="F45" s="266"/>
      <c r="G45" s="669">
        <f>230910.22+289548.88+154869.21+143949.77+21760+546289.13</f>
        <v>1387327.21</v>
      </c>
      <c r="H45" s="352">
        <f>VLOOKUP($E45,Ratio,2,FALSE)*$G45</f>
        <v>0</v>
      </c>
      <c r="I45" s="352">
        <f>VLOOKUP($E45,Ratio,3,FALSE)*$G45</f>
        <v>0</v>
      </c>
      <c r="J45" s="382">
        <f>VLOOKUP($E45,Ratio,4,FALSE)*$G45</f>
        <v>1387327.21</v>
      </c>
    </row>
    <row r="46" spans="1:10" ht="15" customHeight="1">
      <c r="A46" s="237"/>
      <c r="B46" s="84" t="s">
        <v>136</v>
      </c>
      <c r="C46" s="261" t="s">
        <v>107</v>
      </c>
      <c r="D46" s="266" t="s">
        <v>66</v>
      </c>
      <c r="E46" s="266" t="s">
        <v>392</v>
      </c>
      <c r="F46" s="266"/>
      <c r="G46" s="669">
        <f>4804.16+117102.38+171142.55+69546.59</f>
        <v>362595.67999999993</v>
      </c>
      <c r="H46" s="352">
        <f>VLOOKUP($E46,Ratio,2,FALSE)*$G46</f>
        <v>0</v>
      </c>
      <c r="I46" s="352">
        <f>VLOOKUP($E46,Ratio,3,FALSE)*$G46</f>
        <v>0</v>
      </c>
      <c r="J46" s="382">
        <f>VLOOKUP($E46,Ratio,4,FALSE)*$G46</f>
        <v>362595.67999999993</v>
      </c>
    </row>
    <row r="47" spans="1:10" ht="15" customHeight="1">
      <c r="A47" s="238" t="s">
        <v>67</v>
      </c>
      <c r="B47" s="91"/>
      <c r="C47" s="672"/>
      <c r="D47" s="672"/>
      <c r="E47" s="672"/>
      <c r="F47" s="672"/>
      <c r="G47" s="673">
        <f>SUM(G45:G46)</f>
        <v>1749922.89</v>
      </c>
      <c r="H47" s="673">
        <f>SUM(H45:H46)</f>
        <v>0</v>
      </c>
      <c r="I47" s="673">
        <f>SUM(I45:I46)</f>
        <v>0</v>
      </c>
      <c r="J47" s="674">
        <f>SUM(J45:J46)</f>
        <v>1749922.89</v>
      </c>
    </row>
    <row r="48" spans="1:10" ht="9.75" customHeight="1">
      <c r="A48" s="241"/>
      <c r="B48" s="91"/>
      <c r="C48" s="85"/>
      <c r="D48" s="85"/>
      <c r="E48" s="85"/>
      <c r="F48" s="85"/>
      <c r="G48" s="109"/>
      <c r="H48" s="109"/>
      <c r="I48" s="109"/>
      <c r="J48" s="325"/>
    </row>
    <row r="49" spans="1:10" ht="15" customHeight="1">
      <c r="A49" s="240" t="s">
        <v>68</v>
      </c>
      <c r="B49" s="91"/>
      <c r="C49" s="85"/>
      <c r="D49" s="85"/>
      <c r="E49" s="85"/>
      <c r="F49" s="85"/>
      <c r="G49" s="109"/>
      <c r="H49" s="109"/>
      <c r="I49" s="109"/>
      <c r="J49" s="325"/>
    </row>
    <row r="50" spans="1:10" ht="15" customHeight="1">
      <c r="A50" s="237"/>
      <c r="B50" s="84" t="s">
        <v>138</v>
      </c>
      <c r="C50" s="261" t="s">
        <v>107</v>
      </c>
      <c r="D50" s="262" t="s">
        <v>69</v>
      </c>
      <c r="E50" s="262" t="s">
        <v>392</v>
      </c>
      <c r="F50" s="262"/>
      <c r="G50" s="669">
        <f>93426.84+180884.25+25038.63</f>
        <v>299349.72</v>
      </c>
      <c r="H50" s="352">
        <f>VLOOKUP($E50,Ratio,2,FALSE)*$G50</f>
        <v>0</v>
      </c>
      <c r="I50" s="352">
        <f>VLOOKUP($E50,Ratio,3,FALSE)*$G50</f>
        <v>0</v>
      </c>
      <c r="J50" s="382">
        <f>VLOOKUP($E50,Ratio,4,FALSE)*$G50</f>
        <v>299349.72</v>
      </c>
    </row>
    <row r="51" spans="1:10" ht="15" customHeight="1">
      <c r="A51" s="237"/>
      <c r="B51" s="84" t="s">
        <v>323</v>
      </c>
      <c r="C51" s="261" t="s">
        <v>107</v>
      </c>
      <c r="D51" s="262" t="s">
        <v>395</v>
      </c>
      <c r="E51" s="262" t="s">
        <v>392</v>
      </c>
      <c r="F51" s="436"/>
      <c r="G51" s="669">
        <f>55454.64+63709.29</f>
        <v>119163.93</v>
      </c>
      <c r="H51" s="352">
        <f>VLOOKUP($E51,Ratio,2,FALSE)*$G51</f>
        <v>0</v>
      </c>
      <c r="I51" s="352">
        <f>VLOOKUP($E51,Ratio,3,FALSE)*$G51</f>
        <v>0</v>
      </c>
      <c r="J51" s="382">
        <f>VLOOKUP($E51,Ratio,4,FALSE)*$G51</f>
        <v>119163.93</v>
      </c>
    </row>
    <row r="52" spans="1:10" ht="15" customHeight="1">
      <c r="A52" s="237"/>
      <c r="B52" s="84" t="s">
        <v>467</v>
      </c>
      <c r="C52" s="261" t="s">
        <v>107</v>
      </c>
      <c r="D52" s="262">
        <v>908</v>
      </c>
      <c r="E52" s="262" t="s">
        <v>2</v>
      </c>
      <c r="F52" s="262" t="s">
        <v>2</v>
      </c>
      <c r="G52" s="669"/>
      <c r="H52" s="352"/>
      <c r="I52" s="352"/>
      <c r="J52" s="382"/>
    </row>
    <row r="53" spans="1:10" ht="15" customHeight="1">
      <c r="A53" s="237"/>
      <c r="B53" s="84" t="s">
        <v>323</v>
      </c>
      <c r="C53" s="261" t="s">
        <v>107</v>
      </c>
      <c r="D53" s="262" t="s">
        <v>396</v>
      </c>
      <c r="E53" s="262" t="s">
        <v>392</v>
      </c>
      <c r="F53" s="436"/>
      <c r="G53" s="669"/>
      <c r="H53" s="352">
        <f>VLOOKUP($E53,Ratio,2,FALSE)*$G53</f>
        <v>0</v>
      </c>
      <c r="I53" s="352">
        <f>VLOOKUP($E53,Ratio,3,FALSE)*$G53</f>
        <v>0</v>
      </c>
      <c r="J53" s="382">
        <f>VLOOKUP($E53,Ratio,4,FALSE)*$G53</f>
        <v>0</v>
      </c>
    </row>
    <row r="54" spans="1:10" ht="15" customHeight="1">
      <c r="A54" s="237"/>
      <c r="B54" s="84" t="s">
        <v>397</v>
      </c>
      <c r="C54" s="261" t="s">
        <v>107</v>
      </c>
      <c r="D54" s="262" t="s">
        <v>398</v>
      </c>
      <c r="E54" s="265" t="s">
        <v>392</v>
      </c>
      <c r="F54" s="265"/>
      <c r="G54" s="669"/>
      <c r="H54" s="352">
        <f>VLOOKUP($E54,Ratio,2,FALSE)*$G54</f>
        <v>0</v>
      </c>
      <c r="I54" s="352">
        <f>VLOOKUP($E54,Ratio,3,FALSE)*$G54</f>
        <v>0</v>
      </c>
      <c r="J54" s="382">
        <f>VLOOKUP($E54,Ratio,4,FALSE)*$G54</f>
        <v>0</v>
      </c>
    </row>
    <row r="55" spans="1:10" ht="15" customHeight="1">
      <c r="A55" s="238" t="s">
        <v>70</v>
      </c>
      <c r="B55" s="91"/>
      <c r="C55" s="672"/>
      <c r="D55" s="672"/>
      <c r="E55" s="672"/>
      <c r="F55" s="672"/>
      <c r="G55" s="673">
        <f>SUM(G50:G54)</f>
        <v>418513.64999999997</v>
      </c>
      <c r="H55" s="673">
        <f>SUM(H50:H54)</f>
        <v>0</v>
      </c>
      <c r="I55" s="673">
        <f>SUM(I50:I54)</f>
        <v>0</v>
      </c>
      <c r="J55" s="674">
        <f>SUM(J50:J54)</f>
        <v>418513.64999999997</v>
      </c>
    </row>
    <row r="56" spans="1:10" ht="9.75" customHeight="1">
      <c r="A56" s="239"/>
      <c r="B56" s="91"/>
      <c r="C56" s="85"/>
      <c r="D56" s="83"/>
      <c r="E56" s="83"/>
      <c r="F56" s="83"/>
      <c r="G56" s="109"/>
      <c r="H56" s="109"/>
      <c r="I56" s="109"/>
      <c r="J56" s="325"/>
    </row>
    <row r="57" spans="1:10" ht="15" customHeight="1">
      <c r="A57" s="240" t="s">
        <v>71</v>
      </c>
      <c r="B57" s="91"/>
      <c r="C57" s="126"/>
      <c r="D57" s="83"/>
      <c r="E57" s="91"/>
      <c r="F57" s="91"/>
      <c r="G57" s="204"/>
      <c r="H57" s="204"/>
      <c r="I57" s="204"/>
      <c r="J57" s="361"/>
    </row>
    <row r="58" spans="1:10" ht="15" customHeight="1">
      <c r="A58" s="242"/>
      <c r="B58" s="118" t="s">
        <v>154</v>
      </c>
      <c r="C58" s="126"/>
      <c r="D58" s="83"/>
      <c r="E58" s="91"/>
      <c r="F58" s="91"/>
      <c r="G58" s="204"/>
      <c r="H58" s="204"/>
      <c r="I58" s="204"/>
      <c r="J58" s="361"/>
    </row>
    <row r="59" spans="1:10" ht="15" customHeight="1">
      <c r="A59" s="237"/>
      <c r="B59" s="86" t="s">
        <v>195</v>
      </c>
      <c r="C59" s="261" t="s">
        <v>107</v>
      </c>
      <c r="D59" s="262">
        <v>920</v>
      </c>
      <c r="E59" s="262" t="s">
        <v>7</v>
      </c>
      <c r="F59" s="262"/>
      <c r="G59" s="669">
        <f>378430.04+60178.9+387481.92</f>
        <v>826090.86</v>
      </c>
      <c r="H59" s="352">
        <f aca="true" t="shared" si="0" ref="H59:H72">VLOOKUP($E59,Ratio,2,FALSE)*$G59</f>
        <v>230080.63076690413</v>
      </c>
      <c r="I59" s="352">
        <f aca="true" t="shared" si="1" ref="I59:I72">VLOOKUP($E59,Ratio,3,FALSE)*$G59</f>
        <v>90121.93933206583</v>
      </c>
      <c r="J59" s="382">
        <f aca="true" t="shared" si="2" ref="J59:J72">VLOOKUP($E59,Ratio,4,FALSE)*$G59</f>
        <v>505888.28990103</v>
      </c>
    </row>
    <row r="60" spans="1:10" ht="15" customHeight="1">
      <c r="A60" s="237"/>
      <c r="B60" s="86" t="s">
        <v>196</v>
      </c>
      <c r="C60" s="261" t="s">
        <v>107</v>
      </c>
      <c r="D60" s="262">
        <v>921</v>
      </c>
      <c r="E60" s="262" t="s">
        <v>7</v>
      </c>
      <c r="F60" s="262"/>
      <c r="G60" s="669">
        <f>1493.04+150</f>
        <v>1643.04</v>
      </c>
      <c r="H60" s="352">
        <f t="shared" si="0"/>
        <v>457.6151339760062</v>
      </c>
      <c r="I60" s="352">
        <f t="shared" si="1"/>
        <v>179.24656762351472</v>
      </c>
      <c r="J60" s="382">
        <f t="shared" si="2"/>
        <v>1006.178298400479</v>
      </c>
    </row>
    <row r="61" spans="1:10" ht="15" customHeight="1">
      <c r="A61" s="237"/>
      <c r="B61" s="86" t="s">
        <v>197</v>
      </c>
      <c r="C61" s="261" t="s">
        <v>107</v>
      </c>
      <c r="D61" s="262">
        <v>922</v>
      </c>
      <c r="E61" s="265" t="s">
        <v>7</v>
      </c>
      <c r="F61" s="265"/>
      <c r="G61" s="669"/>
      <c r="H61" s="352">
        <f t="shared" si="0"/>
        <v>0</v>
      </c>
      <c r="I61" s="352">
        <f t="shared" si="1"/>
        <v>0</v>
      </c>
      <c r="J61" s="382">
        <f t="shared" si="2"/>
        <v>0</v>
      </c>
    </row>
    <row r="62" spans="1:10" ht="15" customHeight="1">
      <c r="A62" s="237"/>
      <c r="B62" s="86" t="s">
        <v>198</v>
      </c>
      <c r="C62" s="261" t="s">
        <v>107</v>
      </c>
      <c r="D62" s="262">
        <v>923</v>
      </c>
      <c r="E62" s="265" t="s">
        <v>7</v>
      </c>
      <c r="F62" s="265"/>
      <c r="G62" s="669">
        <f>68501.93+162809.68</f>
        <v>231311.61</v>
      </c>
      <c r="H62" s="352">
        <f t="shared" si="0"/>
        <v>64424.294843920834</v>
      </c>
      <c r="I62" s="352">
        <f t="shared" si="1"/>
        <v>25234.816038543835</v>
      </c>
      <c r="J62" s="382">
        <f t="shared" si="2"/>
        <v>141652.4991175353</v>
      </c>
    </row>
    <row r="63" spans="1:10" ht="15" customHeight="1">
      <c r="A63" s="237"/>
      <c r="B63" s="86" t="s">
        <v>199</v>
      </c>
      <c r="C63" s="261" t="s">
        <v>107</v>
      </c>
      <c r="D63" s="262">
        <v>924</v>
      </c>
      <c r="E63" s="262" t="s">
        <v>18</v>
      </c>
      <c r="F63" s="262"/>
      <c r="G63" s="669"/>
      <c r="H63" s="352">
        <f t="shared" si="0"/>
        <v>0</v>
      </c>
      <c r="I63" s="352">
        <f t="shared" si="1"/>
        <v>0</v>
      </c>
      <c r="J63" s="382">
        <f t="shared" si="2"/>
        <v>0</v>
      </c>
    </row>
    <row r="64" spans="1:10" ht="15" customHeight="1">
      <c r="A64" s="237"/>
      <c r="B64" s="86" t="s">
        <v>139</v>
      </c>
      <c r="C64" s="261" t="s">
        <v>107</v>
      </c>
      <c r="D64" s="262">
        <v>925</v>
      </c>
      <c r="E64" s="265" t="s">
        <v>7</v>
      </c>
      <c r="F64" s="265"/>
      <c r="G64" s="669"/>
      <c r="H64" s="352">
        <f t="shared" si="0"/>
        <v>0</v>
      </c>
      <c r="I64" s="352">
        <f t="shared" si="1"/>
        <v>0</v>
      </c>
      <c r="J64" s="382">
        <f t="shared" si="2"/>
        <v>0</v>
      </c>
    </row>
    <row r="65" spans="1:10" ht="15" customHeight="1">
      <c r="A65" s="237"/>
      <c r="B65" s="86" t="s">
        <v>140</v>
      </c>
      <c r="C65" s="261" t="s">
        <v>107</v>
      </c>
      <c r="D65" s="262">
        <v>926</v>
      </c>
      <c r="E65" s="262" t="s">
        <v>7</v>
      </c>
      <c r="F65" s="262"/>
      <c r="G65" s="669"/>
      <c r="H65" s="352">
        <f t="shared" si="0"/>
        <v>0</v>
      </c>
      <c r="I65" s="352">
        <f t="shared" si="1"/>
        <v>0</v>
      </c>
      <c r="J65" s="382">
        <f t="shared" si="2"/>
        <v>0</v>
      </c>
    </row>
    <row r="66" spans="1:10" ht="15" customHeight="1">
      <c r="A66" s="237"/>
      <c r="B66" s="86" t="s">
        <v>141</v>
      </c>
      <c r="C66" s="261" t="s">
        <v>107</v>
      </c>
      <c r="D66" s="262">
        <v>927</v>
      </c>
      <c r="E66" s="262" t="s">
        <v>392</v>
      </c>
      <c r="F66" s="262"/>
      <c r="G66" s="669"/>
      <c r="H66" s="352">
        <f t="shared" si="0"/>
        <v>0</v>
      </c>
      <c r="I66" s="352">
        <f t="shared" si="1"/>
        <v>0</v>
      </c>
      <c r="J66" s="382">
        <f t="shared" si="2"/>
        <v>0</v>
      </c>
    </row>
    <row r="67" spans="1:10" ht="15" customHeight="1">
      <c r="A67" s="237"/>
      <c r="B67" s="86" t="s">
        <v>143</v>
      </c>
      <c r="C67" s="261" t="s">
        <v>107</v>
      </c>
      <c r="D67" s="262">
        <v>928</v>
      </c>
      <c r="E67" s="265" t="s">
        <v>392</v>
      </c>
      <c r="F67" s="265"/>
      <c r="G67" s="669"/>
      <c r="H67" s="352">
        <f t="shared" si="0"/>
        <v>0</v>
      </c>
      <c r="I67" s="352">
        <f t="shared" si="1"/>
        <v>0</v>
      </c>
      <c r="J67" s="382">
        <f t="shared" si="2"/>
        <v>0</v>
      </c>
    </row>
    <row r="68" spans="1:10" ht="15" customHeight="1">
      <c r="A68" s="237"/>
      <c r="B68" s="86" t="s">
        <v>200</v>
      </c>
      <c r="C68" s="261" t="s">
        <v>107</v>
      </c>
      <c r="D68" s="262">
        <v>929</v>
      </c>
      <c r="E68" s="262" t="s">
        <v>18</v>
      </c>
      <c r="F68" s="262"/>
      <c r="G68" s="669"/>
      <c r="H68" s="352">
        <f t="shared" si="0"/>
        <v>0</v>
      </c>
      <c r="I68" s="352">
        <f t="shared" si="1"/>
        <v>0</v>
      </c>
      <c r="J68" s="382">
        <f t="shared" si="2"/>
        <v>0</v>
      </c>
    </row>
    <row r="69" spans="1:10" ht="15" customHeight="1">
      <c r="A69" s="237"/>
      <c r="B69" s="86" t="s">
        <v>201</v>
      </c>
      <c r="C69" s="261" t="s">
        <v>107</v>
      </c>
      <c r="D69" s="262">
        <v>930.1</v>
      </c>
      <c r="E69" s="262" t="s">
        <v>392</v>
      </c>
      <c r="F69" s="262"/>
      <c r="G69" s="669"/>
      <c r="H69" s="352">
        <f t="shared" si="0"/>
        <v>0</v>
      </c>
      <c r="I69" s="352">
        <f t="shared" si="1"/>
        <v>0</v>
      </c>
      <c r="J69" s="382">
        <f t="shared" si="2"/>
        <v>0</v>
      </c>
    </row>
    <row r="70" spans="1:10" ht="15" customHeight="1">
      <c r="A70" s="237"/>
      <c r="B70" s="86" t="s">
        <v>142</v>
      </c>
      <c r="C70" s="261" t="s">
        <v>107</v>
      </c>
      <c r="D70" s="262">
        <v>930.2</v>
      </c>
      <c r="E70" s="265" t="s">
        <v>392</v>
      </c>
      <c r="F70" s="265"/>
      <c r="G70" s="669"/>
      <c r="H70" s="352">
        <f t="shared" si="0"/>
        <v>0</v>
      </c>
      <c r="I70" s="352">
        <f t="shared" si="1"/>
        <v>0</v>
      </c>
      <c r="J70" s="382">
        <f t="shared" si="2"/>
        <v>0</v>
      </c>
    </row>
    <row r="71" spans="1:10" ht="15" customHeight="1">
      <c r="A71" s="237"/>
      <c r="B71" s="86" t="s">
        <v>72</v>
      </c>
      <c r="C71" s="261" t="s">
        <v>107</v>
      </c>
      <c r="D71" s="262">
        <v>931</v>
      </c>
      <c r="E71" s="262" t="s">
        <v>392</v>
      </c>
      <c r="F71" s="262"/>
      <c r="G71" s="669"/>
      <c r="H71" s="352">
        <f t="shared" si="0"/>
        <v>0</v>
      </c>
      <c r="I71" s="352">
        <f t="shared" si="1"/>
        <v>0</v>
      </c>
      <c r="J71" s="382">
        <f t="shared" si="2"/>
        <v>0</v>
      </c>
    </row>
    <row r="72" spans="1:10" ht="15" customHeight="1">
      <c r="A72" s="237"/>
      <c r="B72" s="86" t="s">
        <v>255</v>
      </c>
      <c r="C72" s="261" t="s">
        <v>254</v>
      </c>
      <c r="D72" s="262">
        <v>933</v>
      </c>
      <c r="E72" s="262" t="s">
        <v>392</v>
      </c>
      <c r="F72" s="262"/>
      <c r="G72" s="669"/>
      <c r="H72" s="352">
        <f t="shared" si="0"/>
        <v>0</v>
      </c>
      <c r="I72" s="352">
        <f t="shared" si="1"/>
        <v>0</v>
      </c>
      <c r="J72" s="382">
        <f t="shared" si="2"/>
        <v>0</v>
      </c>
    </row>
    <row r="73" spans="1:10" ht="15" customHeight="1">
      <c r="A73" s="237"/>
      <c r="B73" s="118" t="s">
        <v>155</v>
      </c>
      <c r="C73" s="85"/>
      <c r="D73" s="83"/>
      <c r="E73" s="83"/>
      <c r="F73" s="83"/>
      <c r="G73" s="679"/>
      <c r="H73" s="680"/>
      <c r="I73" s="680"/>
      <c r="J73" s="681"/>
    </row>
    <row r="74" spans="1:10" ht="15" customHeight="1">
      <c r="A74" s="237"/>
      <c r="B74" s="84" t="s">
        <v>6</v>
      </c>
      <c r="C74" s="261" t="s">
        <v>107</v>
      </c>
      <c r="D74" s="262">
        <v>935</v>
      </c>
      <c r="E74" s="262" t="s">
        <v>5</v>
      </c>
      <c r="F74" s="262"/>
      <c r="G74" s="669"/>
      <c r="H74" s="352">
        <f>VLOOKUP($E74,Ratio,2,FALSE)*$G74</f>
        <v>0</v>
      </c>
      <c r="I74" s="352">
        <f>VLOOKUP($E74,Ratio,3,FALSE)*$G74</f>
        <v>0</v>
      </c>
      <c r="J74" s="382">
        <f>VLOOKUP($E74,Ratio,4,FALSE)*$G74</f>
        <v>0</v>
      </c>
    </row>
    <row r="75" spans="1:10" ht="15" customHeight="1">
      <c r="A75" s="238" t="s">
        <v>73</v>
      </c>
      <c r="B75" s="100"/>
      <c r="C75" s="672"/>
      <c r="D75" s="672"/>
      <c r="E75" s="672"/>
      <c r="F75" s="672"/>
      <c r="G75" s="673">
        <f>SUM(G59:G60,G62:G67,G69:G72,G74)-G61-G68</f>
        <v>1059045.51</v>
      </c>
      <c r="H75" s="673">
        <f>SUM(H59:H60,H62:H67,H69:H72,H74)-H61-H68</f>
        <v>294962.540744801</v>
      </c>
      <c r="I75" s="673">
        <f>SUM(I59:I60,I62:I67,I69:I72,I74)-I61-I68</f>
        <v>115536.00193823318</v>
      </c>
      <c r="J75" s="673">
        <f>SUM(J59:J60,J62:J67,J69:J72,J74)-J61-J68</f>
        <v>648546.9673169658</v>
      </c>
    </row>
    <row r="76" spans="1:10" s="80" customFormat="1" ht="9.75" customHeight="1" thickBot="1">
      <c r="A76" s="276"/>
      <c r="B76" s="277"/>
      <c r="C76" s="251"/>
      <c r="D76" s="278"/>
      <c r="E76" s="278"/>
      <c r="F76" s="278"/>
      <c r="G76" s="682"/>
      <c r="H76" s="682"/>
      <c r="I76" s="682"/>
      <c r="J76" s="683"/>
    </row>
    <row r="77" spans="1:10" s="80" customFormat="1" ht="16.5" thickTop="1">
      <c r="A77" s="238" t="s">
        <v>74</v>
      </c>
      <c r="B77" s="100"/>
      <c r="C77" s="689"/>
      <c r="D77" s="689"/>
      <c r="E77" s="689"/>
      <c r="F77" s="689"/>
      <c r="G77" s="694">
        <f>G36+G42+G47+G55+G75</f>
        <v>10899863.08</v>
      </c>
      <c r="H77" s="694">
        <f>H36+H42+H47+H55+H75</f>
        <v>6796403.2307448005</v>
      </c>
      <c r="I77" s="694">
        <f>I36+I42+I47+I55+I75</f>
        <v>1286476.3419382332</v>
      </c>
      <c r="J77" s="695">
        <f>J36+J42+J47+J55+J75</f>
        <v>2816983.5073169656</v>
      </c>
    </row>
    <row r="78" spans="1:14" s="80" customFormat="1" ht="15.75">
      <c r="A78" s="243" t="s">
        <v>144</v>
      </c>
      <c r="B78" s="137"/>
      <c r="C78" s="138"/>
      <c r="D78" s="139"/>
      <c r="E78" s="84"/>
      <c r="F78" s="84"/>
      <c r="G78" s="745"/>
      <c r="H78" s="745"/>
      <c r="I78" s="745"/>
      <c r="J78" s="746"/>
      <c r="L78" s="736"/>
      <c r="M78" s="736"/>
      <c r="N78" s="736"/>
    </row>
    <row r="79" spans="1:14" ht="15.75">
      <c r="A79" s="244"/>
      <c r="B79" s="140"/>
      <c r="C79" s="138"/>
      <c r="D79" s="141"/>
      <c r="E79" s="141"/>
      <c r="F79" s="141"/>
      <c r="G79" s="684"/>
      <c r="H79" s="685"/>
      <c r="I79" s="685"/>
      <c r="J79" s="686"/>
      <c r="L79"/>
      <c r="M79"/>
      <c r="N79"/>
    </row>
    <row r="80" spans="1:14" ht="15.75">
      <c r="A80" s="240" t="s">
        <v>75</v>
      </c>
      <c r="B80" s="146"/>
      <c r="C80" s="165"/>
      <c r="D80" s="165"/>
      <c r="E80" s="165"/>
      <c r="F80" s="165"/>
      <c r="G80" s="687"/>
      <c r="H80" s="685"/>
      <c r="I80" s="685"/>
      <c r="J80" s="686"/>
      <c r="L80"/>
      <c r="M80"/>
      <c r="N80"/>
    </row>
    <row r="81" spans="1:14" ht="15.75">
      <c r="A81" s="237"/>
      <c r="B81" s="84" t="s">
        <v>370</v>
      </c>
      <c r="C81" s="261">
        <v>336</v>
      </c>
      <c r="D81" s="269">
        <v>404</v>
      </c>
      <c r="E81" s="266" t="s">
        <v>392</v>
      </c>
      <c r="F81" s="419" t="s">
        <v>9</v>
      </c>
      <c r="G81" s="669"/>
      <c r="H81" s="352">
        <f>VLOOKUP($E81,Ratio,2,FALSE)*$G81</f>
        <v>0</v>
      </c>
      <c r="I81" s="352">
        <f>VLOOKUP($E81,Ratio,3,FALSE)*$G81</f>
        <v>0</v>
      </c>
      <c r="J81" s="382">
        <f>VLOOKUP($E81,Ratio,4,FALSE)*$G81</f>
        <v>0</v>
      </c>
      <c r="L81"/>
      <c r="M81"/>
      <c r="N81"/>
    </row>
    <row r="82" spans="1:14" ht="15.75">
      <c r="A82" s="237"/>
      <c r="B82" s="84" t="s">
        <v>371</v>
      </c>
      <c r="C82" s="261">
        <v>336</v>
      </c>
      <c r="D82" s="269">
        <v>404</v>
      </c>
      <c r="E82" s="266" t="s">
        <v>2</v>
      </c>
      <c r="F82" s="419" t="s">
        <v>11</v>
      </c>
      <c r="G82" s="669">
        <v>121939.22</v>
      </c>
      <c r="H82" s="352">
        <f>IF($E82="DIRECT",$L82,VLOOKUP($E82,Ratio,2,FALSE)*$G82)</f>
        <v>121939.22</v>
      </c>
      <c r="I82" s="352">
        <f>IF($E82="DIRECT",$M82,VLOOKUP($E82,Ratio,3,FALSE)*$G82)</f>
        <v>0</v>
      </c>
      <c r="J82" s="382">
        <f>IF($E82="DIRECT",$N82,VLOOKUP($E82,Ratio,4,FALSE)*$G82)</f>
        <v>0</v>
      </c>
      <c r="L82">
        <v>121939.22</v>
      </c>
      <c r="M82"/>
      <c r="N82"/>
    </row>
    <row r="83" spans="1:14" ht="15.75">
      <c r="A83" s="237"/>
      <c r="B83" s="84" t="s">
        <v>401</v>
      </c>
      <c r="C83" s="261">
        <v>336</v>
      </c>
      <c r="D83" s="269">
        <v>404</v>
      </c>
      <c r="E83" s="266" t="s">
        <v>2</v>
      </c>
      <c r="F83" s="419" t="s">
        <v>392</v>
      </c>
      <c r="G83" s="669"/>
      <c r="H83" s="352">
        <f>IF($E83="DIRECT",$L83,VLOOKUP($E83,Ratio,2,FALSE)*$G83)</f>
        <v>0</v>
      </c>
      <c r="I83" s="352">
        <f>IF($E83="DIRECT",$M83,VLOOKUP($E83,Ratio,3,FALSE)*$G83)</f>
        <v>0</v>
      </c>
      <c r="J83" s="382">
        <f>IF($E83="DIRECT",$N83,VLOOKUP($E83,Ratio,4,FALSE)*$G83)</f>
        <v>0</v>
      </c>
      <c r="L83"/>
      <c r="M83"/>
      <c r="N83"/>
    </row>
    <row r="84" spans="1:14" ht="15.75">
      <c r="A84" s="237"/>
      <c r="B84" s="84" t="s">
        <v>0</v>
      </c>
      <c r="C84" s="261">
        <v>336</v>
      </c>
      <c r="D84" s="269">
        <v>403</v>
      </c>
      <c r="E84" s="262" t="s">
        <v>394</v>
      </c>
      <c r="F84" s="262"/>
      <c r="G84" s="669"/>
      <c r="H84" s="352">
        <f aca="true" t="shared" si="3" ref="H84:H91">VLOOKUP($E84,Ratio,2,FALSE)*$G84</f>
        <v>0</v>
      </c>
      <c r="I84" s="352">
        <f aca="true" t="shared" si="4" ref="I84:I91">VLOOKUP($E84,Ratio,3,FALSE)*$G84</f>
        <v>0</v>
      </c>
      <c r="J84" s="382">
        <f aca="true" t="shared" si="5" ref="J84:J91">VLOOKUP($E84,Ratio,4,FALSE)*$G84</f>
        <v>0</v>
      </c>
      <c r="L84"/>
      <c r="M84"/>
      <c r="N84"/>
    </row>
    <row r="85" spans="1:10" ht="15.75">
      <c r="A85" s="237"/>
      <c r="B85" s="84" t="s">
        <v>1</v>
      </c>
      <c r="C85" s="261">
        <v>336</v>
      </c>
      <c r="D85" s="269">
        <v>403</v>
      </c>
      <c r="E85" s="262" t="s">
        <v>394</v>
      </c>
      <c r="F85" s="262"/>
      <c r="G85" s="669"/>
      <c r="H85" s="352">
        <f t="shared" si="3"/>
        <v>0</v>
      </c>
      <c r="I85" s="352">
        <f t="shared" si="4"/>
        <v>0</v>
      </c>
      <c r="J85" s="382">
        <f t="shared" si="5"/>
        <v>0</v>
      </c>
    </row>
    <row r="86" spans="1:10" ht="15.75">
      <c r="A86" s="237"/>
      <c r="B86" s="84" t="s">
        <v>147</v>
      </c>
      <c r="C86" s="261">
        <v>336</v>
      </c>
      <c r="D86" s="269">
        <v>403</v>
      </c>
      <c r="E86" s="262" t="s">
        <v>394</v>
      </c>
      <c r="F86" s="262"/>
      <c r="G86" s="669">
        <f>20224.86+249239.58+46010.44</f>
        <v>315474.88</v>
      </c>
      <c r="H86" s="352">
        <f t="shared" si="3"/>
        <v>315474.88</v>
      </c>
      <c r="I86" s="352">
        <f t="shared" si="4"/>
        <v>0</v>
      </c>
      <c r="J86" s="382">
        <f t="shared" si="5"/>
        <v>0</v>
      </c>
    </row>
    <row r="87" spans="1:10" ht="15.75">
      <c r="A87" s="237"/>
      <c r="B87" s="84" t="s">
        <v>148</v>
      </c>
      <c r="C87" s="261">
        <v>336</v>
      </c>
      <c r="D87" s="269">
        <v>403</v>
      </c>
      <c r="E87" s="262" t="s">
        <v>394</v>
      </c>
      <c r="F87" s="262"/>
      <c r="G87" s="669"/>
      <c r="H87" s="352">
        <f t="shared" si="3"/>
        <v>0</v>
      </c>
      <c r="I87" s="352">
        <f t="shared" si="4"/>
        <v>0</v>
      </c>
      <c r="J87" s="382">
        <f t="shared" si="5"/>
        <v>0</v>
      </c>
    </row>
    <row r="88" spans="1:10" ht="15.75">
      <c r="A88" s="237"/>
      <c r="B88" s="84" t="s">
        <v>47</v>
      </c>
      <c r="C88" s="261">
        <v>336</v>
      </c>
      <c r="D88" s="269">
        <v>403</v>
      </c>
      <c r="E88" s="262" t="s">
        <v>394</v>
      </c>
      <c r="F88" s="262"/>
      <c r="G88" s="669"/>
      <c r="H88" s="352">
        <f t="shared" si="3"/>
        <v>0</v>
      </c>
      <c r="I88" s="352">
        <f t="shared" si="4"/>
        <v>0</v>
      </c>
      <c r="J88" s="382">
        <f t="shared" si="5"/>
        <v>0</v>
      </c>
    </row>
    <row r="89" spans="1:10" ht="15.75">
      <c r="A89" s="237"/>
      <c r="B89" s="84" t="s">
        <v>263</v>
      </c>
      <c r="C89" s="261">
        <v>336</v>
      </c>
      <c r="D89" s="269">
        <v>403</v>
      </c>
      <c r="E89" s="262" t="s">
        <v>393</v>
      </c>
      <c r="F89" s="262"/>
      <c r="G89" s="669">
        <f>221.88+11780.18</f>
        <v>12002.06</v>
      </c>
      <c r="H89" s="352">
        <f t="shared" si="3"/>
        <v>0</v>
      </c>
      <c r="I89" s="352">
        <f t="shared" si="4"/>
        <v>12002.06</v>
      </c>
      <c r="J89" s="382">
        <f t="shared" si="5"/>
        <v>0</v>
      </c>
    </row>
    <row r="90" spans="1:10" ht="15.75">
      <c r="A90" s="237"/>
      <c r="B90" s="84" t="s">
        <v>48</v>
      </c>
      <c r="C90" s="261">
        <v>336</v>
      </c>
      <c r="D90" s="269">
        <v>403</v>
      </c>
      <c r="E90" s="262" t="s">
        <v>392</v>
      </c>
      <c r="F90" s="262"/>
      <c r="G90" s="669">
        <f>23945.31+405954.59</f>
        <v>429899.9</v>
      </c>
      <c r="H90" s="352">
        <f t="shared" si="3"/>
        <v>0</v>
      </c>
      <c r="I90" s="352">
        <f t="shared" si="4"/>
        <v>0</v>
      </c>
      <c r="J90" s="382">
        <f t="shared" si="5"/>
        <v>429899.9</v>
      </c>
    </row>
    <row r="91" spans="1:10" ht="15.75">
      <c r="A91" s="237"/>
      <c r="B91" s="84" t="s">
        <v>4</v>
      </c>
      <c r="C91" s="261">
        <v>336</v>
      </c>
      <c r="D91" s="269">
        <v>403</v>
      </c>
      <c r="E91" s="262" t="s">
        <v>3</v>
      </c>
      <c r="F91" s="262"/>
      <c r="G91" s="669">
        <f>12626.44+104009.22</f>
        <v>116635.66</v>
      </c>
      <c r="H91" s="352">
        <f t="shared" si="3"/>
        <v>13501.702268582232</v>
      </c>
      <c r="I91" s="352">
        <f t="shared" si="4"/>
        <v>6627.139654024564</v>
      </c>
      <c r="J91" s="382">
        <f t="shared" si="5"/>
        <v>96506.81807739323</v>
      </c>
    </row>
    <row r="92" spans="1:10" ht="15.75">
      <c r="A92" s="237"/>
      <c r="B92" s="84" t="s">
        <v>149</v>
      </c>
      <c r="C92" s="261">
        <v>336</v>
      </c>
      <c r="D92" s="270">
        <v>403</v>
      </c>
      <c r="E92" s="262" t="s">
        <v>2</v>
      </c>
      <c r="F92" s="262" t="s">
        <v>2</v>
      </c>
      <c r="G92" s="669"/>
      <c r="H92" s="352"/>
      <c r="I92" s="352"/>
      <c r="J92" s="382"/>
    </row>
    <row r="93" spans="1:10" ht="15.75">
      <c r="A93" s="237"/>
      <c r="B93" s="84" t="s">
        <v>149</v>
      </c>
      <c r="C93" s="261">
        <v>336</v>
      </c>
      <c r="D93" s="270">
        <v>404</v>
      </c>
      <c r="E93" s="262" t="s">
        <v>2</v>
      </c>
      <c r="F93" s="262" t="s">
        <v>2</v>
      </c>
      <c r="G93" s="669"/>
      <c r="H93" s="352"/>
      <c r="I93" s="352"/>
      <c r="J93" s="382"/>
    </row>
    <row r="94" spans="1:10" ht="15.75">
      <c r="A94" s="237"/>
      <c r="B94" s="84" t="s">
        <v>451</v>
      </c>
      <c r="C94" s="261">
        <v>336</v>
      </c>
      <c r="D94" s="270">
        <v>403.1</v>
      </c>
      <c r="E94" s="262" t="s">
        <v>2</v>
      </c>
      <c r="F94" s="262" t="s">
        <v>2</v>
      </c>
      <c r="G94" s="669"/>
      <c r="H94" s="352"/>
      <c r="I94" s="352"/>
      <c r="J94" s="382"/>
    </row>
    <row r="95" spans="1:10" ht="15.75">
      <c r="A95" s="237"/>
      <c r="B95" s="84" t="s">
        <v>452</v>
      </c>
      <c r="C95" s="261">
        <v>336</v>
      </c>
      <c r="D95" s="270">
        <v>404</v>
      </c>
      <c r="E95" s="262" t="s">
        <v>2</v>
      </c>
      <c r="F95" s="262" t="s">
        <v>2</v>
      </c>
      <c r="G95" s="669"/>
      <c r="H95" s="352"/>
      <c r="I95" s="352"/>
      <c r="J95" s="382"/>
    </row>
    <row r="96" spans="1:10" ht="15.75">
      <c r="A96" s="237"/>
      <c r="B96" s="84" t="s">
        <v>226</v>
      </c>
      <c r="C96" s="261" t="s">
        <v>104</v>
      </c>
      <c r="D96" s="270">
        <v>114</v>
      </c>
      <c r="E96" s="262" t="s">
        <v>2</v>
      </c>
      <c r="F96" s="262" t="s">
        <v>2</v>
      </c>
      <c r="G96" s="669"/>
      <c r="H96" s="352"/>
      <c r="I96" s="352"/>
      <c r="J96" s="382"/>
    </row>
    <row r="97" spans="1:10" ht="15.75">
      <c r="A97" s="238" t="s">
        <v>49</v>
      </c>
      <c r="B97" s="100"/>
      <c r="C97" s="696"/>
      <c r="D97" s="696"/>
      <c r="E97" s="696"/>
      <c r="F97" s="696"/>
      <c r="G97" s="673">
        <f>SUM(G81:G96)</f>
        <v>995951.7200000001</v>
      </c>
      <c r="H97" s="673">
        <f>SUM(H81:H96)</f>
        <v>450915.8022685822</v>
      </c>
      <c r="I97" s="673">
        <f>SUM(I81:I96)</f>
        <v>18629.199654024564</v>
      </c>
      <c r="J97" s="674">
        <f>SUM(J81:J96)</f>
        <v>526406.7180773932</v>
      </c>
    </row>
    <row r="98" spans="1:10" ht="15.75">
      <c r="A98" s="245"/>
      <c r="B98" s="100"/>
      <c r="C98" s="268"/>
      <c r="D98" s="52"/>
      <c r="E98" s="91"/>
      <c r="F98" s="91"/>
      <c r="G98" s="493"/>
      <c r="H98" s="493"/>
      <c r="I98" s="493"/>
      <c r="J98" s="494"/>
    </row>
    <row r="99" spans="1:10" ht="15.75">
      <c r="A99" s="246"/>
      <c r="B99" s="131"/>
      <c r="C99" s="131"/>
      <c r="D99" s="131"/>
      <c r="E99" s="131"/>
      <c r="F99" s="131"/>
      <c r="G99" s="153"/>
      <c r="H99" s="153"/>
      <c r="I99" s="153"/>
      <c r="J99" s="347"/>
    </row>
    <row r="100" spans="1:10" ht="15.75">
      <c r="A100" s="248" t="s">
        <v>85</v>
      </c>
      <c r="B100" s="50"/>
      <c r="C100" s="696"/>
      <c r="D100" s="696"/>
      <c r="E100" s="696"/>
      <c r="F100" s="696"/>
      <c r="G100" s="673">
        <f>G77+G97</f>
        <v>11895814.8</v>
      </c>
      <c r="H100" s="673">
        <f>H77+H97</f>
        <v>7247319.033013383</v>
      </c>
      <c r="I100" s="673">
        <f>I77+I97</f>
        <v>1305105.5415922578</v>
      </c>
      <c r="J100" s="674">
        <f>J77+J97</f>
        <v>3343390.225394359</v>
      </c>
    </row>
    <row r="101" spans="1:10" ht="16.5" thickBot="1">
      <c r="A101" s="249" t="s">
        <v>439</v>
      </c>
      <c r="B101" s="250"/>
      <c r="C101" s="251"/>
      <c r="D101" s="251"/>
      <c r="E101" s="251"/>
      <c r="F101" s="251"/>
      <c r="G101" s="252"/>
      <c r="H101" s="253"/>
      <c r="I101" s="253"/>
      <c r="J101" s="254"/>
    </row>
    <row r="102" spans="1:6" ht="16.5" thickTop="1">
      <c r="A102" s="80"/>
      <c r="B102" s="80"/>
      <c r="C102" s="80"/>
      <c r="D102" s="80"/>
      <c r="E102" s="80"/>
      <c r="F102" s="80"/>
    </row>
    <row r="103" spans="1:6" ht="15.75">
      <c r="A103" s="80"/>
      <c r="B103" s="80"/>
      <c r="C103" s="80"/>
      <c r="D103" s="80"/>
      <c r="E103" s="80"/>
      <c r="F103" s="80"/>
    </row>
    <row r="104" spans="1:6" ht="15.75">
      <c r="A104" s="80"/>
      <c r="B104" s="80"/>
      <c r="C104" s="80"/>
      <c r="D104" s="80"/>
      <c r="E104" s="80"/>
      <c r="F104" s="80"/>
    </row>
    <row r="105" spans="1:6" ht="15.75">
      <c r="A105" s="80"/>
      <c r="B105" s="80"/>
      <c r="C105" s="80"/>
      <c r="D105" s="80"/>
      <c r="E105" s="80"/>
      <c r="F105" s="80"/>
    </row>
    <row r="106" spans="1:6" ht="15.75">
      <c r="A106" s="80"/>
      <c r="B106" s="80"/>
      <c r="C106" s="80"/>
      <c r="D106" s="80"/>
      <c r="E106" s="80"/>
      <c r="F106" s="80"/>
    </row>
    <row r="107" spans="1:6" ht="15.75">
      <c r="A107" s="80"/>
      <c r="B107" s="80"/>
      <c r="C107" s="80"/>
      <c r="D107" s="80"/>
      <c r="E107" s="80"/>
      <c r="F107" s="80"/>
    </row>
    <row r="108" spans="1:6" ht="15.75">
      <c r="A108" s="80"/>
      <c r="B108" s="80"/>
      <c r="C108" s="80"/>
      <c r="D108" s="80"/>
      <c r="E108" s="80"/>
      <c r="F108" s="80"/>
    </row>
    <row r="109" spans="1:6" ht="15.75">
      <c r="A109" s="80"/>
      <c r="B109" s="80"/>
      <c r="C109" s="80"/>
      <c r="D109" s="80"/>
      <c r="E109" s="80"/>
      <c r="F109" s="80"/>
    </row>
    <row r="110" spans="1:6" ht="15.75">
      <c r="A110" s="80"/>
      <c r="B110" s="80"/>
      <c r="C110" s="80"/>
      <c r="D110" s="80"/>
      <c r="E110" s="80"/>
      <c r="F110" s="80"/>
    </row>
    <row r="111" spans="1:6" ht="15.75">
      <c r="A111" s="80"/>
      <c r="B111" s="80"/>
      <c r="C111" s="80"/>
      <c r="D111" s="80"/>
      <c r="E111" s="80"/>
      <c r="F111" s="80"/>
    </row>
    <row r="112" spans="1:6" ht="15.75">
      <c r="A112" s="80"/>
      <c r="B112" s="80"/>
      <c r="C112" s="80"/>
      <c r="D112" s="80"/>
      <c r="E112" s="80"/>
      <c r="F112" s="80"/>
    </row>
    <row r="113" spans="1:6" ht="15.75">
      <c r="A113" s="80"/>
      <c r="B113" s="80"/>
      <c r="C113" s="80"/>
      <c r="D113" s="80"/>
      <c r="E113" s="80"/>
      <c r="F113" s="80"/>
    </row>
  </sheetData>
  <mergeCells count="7">
    <mergeCell ref="A11:B13"/>
    <mergeCell ref="G11:G13"/>
    <mergeCell ref="H11:H13"/>
    <mergeCell ref="I11:I13"/>
    <mergeCell ref="E5:G5"/>
    <mergeCell ref="E6:G6"/>
    <mergeCell ref="E7:G7"/>
  </mergeCells>
  <dataValidations count="2">
    <dataValidation type="list" allowBlank="1" showInputMessage="1" showErrorMessage="1" sqref="E83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8" r:id="rId1"/>
  <headerFooter alignWithMargins="0">
    <oddFooter>&amp;L&amp;F&amp;CPage &amp;P of &amp;N&amp;R&amp;D</oddFooter>
  </headerFooter>
  <rowBreaks count="2" manualBreakCount="2">
    <brk id="43" max="255" man="1"/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workbookViewId="0" topLeftCell="A4">
      <selection activeCell="E30" sqref="E30"/>
    </sheetView>
  </sheetViews>
  <sheetFormatPr defaultColWidth="9.00390625" defaultRowHeight="15.75"/>
  <cols>
    <col min="2" max="2" width="15.875" style="0" customWidth="1"/>
    <col min="3" max="3" width="13.625" style="0" customWidth="1"/>
    <col min="4" max="4" width="20.50390625" style="0" customWidth="1"/>
    <col min="5" max="5" width="18.875" style="0" customWidth="1"/>
  </cols>
  <sheetData>
    <row r="1" spans="1:5" ht="19.5" thickTop="1">
      <c r="A1" s="900" t="s">
        <v>89</v>
      </c>
      <c r="B1" s="901"/>
      <c r="C1" s="901"/>
      <c r="D1" s="901"/>
      <c r="E1" s="902"/>
    </row>
    <row r="2" spans="1:5" ht="15.75">
      <c r="A2" s="903" t="s">
        <v>91</v>
      </c>
      <c r="B2" s="856"/>
      <c r="C2" s="856"/>
      <c r="D2" s="856"/>
      <c r="E2" s="904"/>
    </row>
    <row r="3" spans="1:5" ht="16.5" thickBot="1">
      <c r="A3" s="905" t="s">
        <v>400</v>
      </c>
      <c r="B3" s="885"/>
      <c r="C3" s="885"/>
      <c r="D3" s="885"/>
      <c r="E3" s="906"/>
    </row>
    <row r="4" spans="1:5" ht="15.75">
      <c r="A4" s="529"/>
      <c r="B4" s="726" t="s">
        <v>460</v>
      </c>
      <c r="C4" s="858" t="s">
        <v>472</v>
      </c>
      <c r="D4" s="859"/>
      <c r="E4" s="860"/>
    </row>
    <row r="5" spans="1:5" ht="15.75">
      <c r="A5" s="529"/>
      <c r="B5" s="726" t="s">
        <v>462</v>
      </c>
      <c r="C5" s="861" t="s">
        <v>473</v>
      </c>
      <c r="D5" s="862"/>
      <c r="E5" s="846"/>
    </row>
    <row r="6" spans="1:5" ht="16.5" thickBot="1">
      <c r="A6" s="529"/>
      <c r="B6" s="726" t="s">
        <v>463</v>
      </c>
      <c r="C6" s="847">
        <v>39575</v>
      </c>
      <c r="D6" s="848"/>
      <c r="E6" s="849"/>
    </row>
    <row r="7" spans="1:5" ht="16.5" thickBot="1">
      <c r="A7" s="907" t="s">
        <v>412</v>
      </c>
      <c r="B7" s="908"/>
      <c r="C7" s="908"/>
      <c r="D7" s="908"/>
      <c r="E7" s="909"/>
    </row>
    <row r="8" spans="1:5" ht="16.5" thickBot="1">
      <c r="A8" s="499"/>
      <c r="B8" s="476" t="s">
        <v>315</v>
      </c>
      <c r="C8" s="476"/>
      <c r="D8" s="912" t="s">
        <v>428</v>
      </c>
      <c r="E8" s="913"/>
    </row>
    <row r="9" spans="1:5" ht="16.5" thickBot="1">
      <c r="A9" s="495"/>
      <c r="B9" s="466" t="s">
        <v>431</v>
      </c>
      <c r="C9" s="466" t="s">
        <v>311</v>
      </c>
      <c r="D9" s="914"/>
      <c r="E9" s="915"/>
    </row>
    <row r="10" spans="1:5" ht="16.5" thickBot="1">
      <c r="A10" s="500"/>
      <c r="B10" s="469" t="s">
        <v>430</v>
      </c>
      <c r="C10" s="501" t="s">
        <v>312</v>
      </c>
      <c r="D10" s="502" t="s">
        <v>413</v>
      </c>
      <c r="E10" s="503" t="s">
        <v>414</v>
      </c>
    </row>
    <row r="11" spans="1:5" ht="15.75">
      <c r="A11" s="495"/>
      <c r="B11" s="697" t="s">
        <v>415</v>
      </c>
      <c r="C11" s="698" t="s">
        <v>427</v>
      </c>
      <c r="D11" s="701">
        <f>6615895-'Sch 3 - Expenses'!G39</f>
        <v>5667659</v>
      </c>
      <c r="E11" s="702">
        <v>181005.083</v>
      </c>
    </row>
    <row r="12" spans="1:5" ht="15.75">
      <c r="A12" s="495"/>
      <c r="B12" s="699" t="s">
        <v>416</v>
      </c>
      <c r="C12" s="700" t="s">
        <v>427</v>
      </c>
      <c r="D12" s="263"/>
      <c r="E12" s="382"/>
    </row>
    <row r="13" spans="1:5" ht="15.75">
      <c r="A13" s="495"/>
      <c r="B13" s="699" t="s">
        <v>417</v>
      </c>
      <c r="C13" s="700" t="s">
        <v>427</v>
      </c>
      <c r="D13" s="263"/>
      <c r="E13" s="382"/>
    </row>
    <row r="14" spans="1:5" ht="15.75">
      <c r="A14" s="495"/>
      <c r="B14" s="699" t="s">
        <v>418</v>
      </c>
      <c r="C14" s="700" t="s">
        <v>427</v>
      </c>
      <c r="D14" s="263"/>
      <c r="E14" s="382">
        <v>1</v>
      </c>
    </row>
    <row r="15" spans="1:5" ht="15.75">
      <c r="A15" s="495"/>
      <c r="B15" s="699" t="s">
        <v>419</v>
      </c>
      <c r="C15" s="700" t="s">
        <v>427</v>
      </c>
      <c r="D15" s="263"/>
      <c r="E15" s="382"/>
    </row>
    <row r="16" spans="1:5" ht="15.75">
      <c r="A16" s="495"/>
      <c r="B16" s="699" t="s">
        <v>420</v>
      </c>
      <c r="C16" s="700" t="s">
        <v>427</v>
      </c>
      <c r="D16" s="263"/>
      <c r="E16" s="382"/>
    </row>
    <row r="17" spans="1:5" ht="15.75">
      <c r="A17" s="495"/>
      <c r="B17" s="699" t="s">
        <v>421</v>
      </c>
      <c r="C17" s="700" t="s">
        <v>427</v>
      </c>
      <c r="D17" s="263"/>
      <c r="E17" s="382"/>
    </row>
    <row r="18" spans="1:5" ht="15.75">
      <c r="A18" s="495"/>
      <c r="B18" s="699" t="s">
        <v>422</v>
      </c>
      <c r="C18" s="700" t="s">
        <v>427</v>
      </c>
      <c r="D18" s="263"/>
      <c r="E18" s="382"/>
    </row>
    <row r="19" spans="1:5" ht="15.75">
      <c r="A19" s="495"/>
      <c r="B19" s="699" t="s">
        <v>423</v>
      </c>
      <c r="C19" s="700" t="s">
        <v>427</v>
      </c>
      <c r="D19" s="263"/>
      <c r="E19" s="382"/>
    </row>
    <row r="20" spans="1:5" ht="15.75">
      <c r="A20" s="495"/>
      <c r="B20" s="699" t="s">
        <v>424</v>
      </c>
      <c r="C20" s="700" t="s">
        <v>427</v>
      </c>
      <c r="D20" s="263"/>
      <c r="E20" s="382"/>
    </row>
    <row r="21" spans="1:5" ht="15.75">
      <c r="A21" s="495"/>
      <c r="B21" s="916" t="s">
        <v>425</v>
      </c>
      <c r="C21" s="917"/>
      <c r="D21" s="703">
        <f>SUM(D11:D20)</f>
        <v>5667659</v>
      </c>
      <c r="E21" s="675">
        <f>SUM(E11:E20)</f>
        <v>181006.083</v>
      </c>
    </row>
    <row r="22" spans="1:5" ht="16.5" thickBot="1">
      <c r="A22" s="495"/>
      <c r="B22" s="496"/>
      <c r="C22" s="498"/>
      <c r="D22" s="128"/>
      <c r="E22" s="315"/>
    </row>
    <row r="23" spans="1:5" ht="16.5" thickBot="1">
      <c r="A23" s="499"/>
      <c r="B23" s="476" t="s">
        <v>315</v>
      </c>
      <c r="C23" s="476"/>
      <c r="D23" s="912" t="s">
        <v>99</v>
      </c>
      <c r="E23" s="913"/>
    </row>
    <row r="24" spans="1:5" ht="16.5" thickBot="1">
      <c r="A24" s="495"/>
      <c r="B24" s="466" t="s">
        <v>431</v>
      </c>
      <c r="C24" s="466" t="s">
        <v>311</v>
      </c>
      <c r="D24" s="914"/>
      <c r="E24" s="915"/>
    </row>
    <row r="25" spans="1:5" ht="16.5" thickBot="1">
      <c r="A25" s="500"/>
      <c r="B25" s="469" t="s">
        <v>430</v>
      </c>
      <c r="C25" s="469" t="s">
        <v>312</v>
      </c>
      <c r="D25" s="502" t="s">
        <v>413</v>
      </c>
      <c r="E25" s="503" t="s">
        <v>414</v>
      </c>
    </row>
    <row r="26" spans="1:5" ht="15.75">
      <c r="A26" s="495"/>
      <c r="B26" s="697" t="s">
        <v>415</v>
      </c>
      <c r="C26" s="698" t="s">
        <v>426</v>
      </c>
      <c r="D26" s="701"/>
      <c r="E26" s="702"/>
    </row>
    <row r="27" spans="1:5" ht="15.75">
      <c r="A27" s="495"/>
      <c r="B27" s="699" t="s">
        <v>416</v>
      </c>
      <c r="C27" s="700" t="s">
        <v>426</v>
      </c>
      <c r="D27" s="263"/>
      <c r="E27" s="382"/>
    </row>
    <row r="28" spans="1:5" ht="15.75">
      <c r="A28" s="495"/>
      <c r="B28" s="699" t="s">
        <v>417</v>
      </c>
      <c r="C28" s="700" t="s">
        <v>426</v>
      </c>
      <c r="D28" s="263"/>
      <c r="E28" s="382"/>
    </row>
    <row r="29" spans="1:5" ht="15.75">
      <c r="A29" s="495"/>
      <c r="B29" s="699" t="s">
        <v>418</v>
      </c>
      <c r="C29" s="700" t="s">
        <v>426</v>
      </c>
      <c r="D29" s="263"/>
      <c r="E29" s="382">
        <v>1</v>
      </c>
    </row>
    <row r="30" spans="1:5" ht="15.75">
      <c r="A30" s="495"/>
      <c r="B30" s="699" t="s">
        <v>419</v>
      </c>
      <c r="C30" s="700" t="s">
        <v>426</v>
      </c>
      <c r="D30" s="263"/>
      <c r="E30" s="382"/>
    </row>
    <row r="31" spans="1:5" ht="15.75">
      <c r="A31" s="495"/>
      <c r="B31" s="699" t="s">
        <v>420</v>
      </c>
      <c r="C31" s="700" t="s">
        <v>426</v>
      </c>
      <c r="D31" s="263"/>
      <c r="E31" s="382"/>
    </row>
    <row r="32" spans="1:5" ht="15.75">
      <c r="A32" s="495"/>
      <c r="B32" s="699" t="s">
        <v>421</v>
      </c>
      <c r="C32" s="700" t="s">
        <v>426</v>
      </c>
      <c r="D32" s="263"/>
      <c r="E32" s="382"/>
    </row>
    <row r="33" spans="1:5" ht="15.75">
      <c r="A33" s="495"/>
      <c r="B33" s="699" t="s">
        <v>422</v>
      </c>
      <c r="C33" s="700" t="s">
        <v>426</v>
      </c>
      <c r="D33" s="263"/>
      <c r="E33" s="382"/>
    </row>
    <row r="34" spans="1:5" ht="15.75">
      <c r="A34" s="495"/>
      <c r="B34" s="699" t="s">
        <v>423</v>
      </c>
      <c r="C34" s="700" t="s">
        <v>426</v>
      </c>
      <c r="D34" s="263"/>
      <c r="E34" s="382"/>
    </row>
    <row r="35" spans="1:5" ht="15.75">
      <c r="A35" s="495"/>
      <c r="B35" s="699" t="s">
        <v>424</v>
      </c>
      <c r="C35" s="700" t="s">
        <v>426</v>
      </c>
      <c r="D35" s="263"/>
      <c r="E35" s="382"/>
    </row>
    <row r="36" spans="1:5" ht="16.5" thickBot="1">
      <c r="A36" s="497"/>
      <c r="B36" s="910" t="s">
        <v>425</v>
      </c>
      <c r="C36" s="911"/>
      <c r="D36" s="704">
        <f>SUM(D26:D35)</f>
        <v>0</v>
      </c>
      <c r="E36" s="705">
        <f>SUM(E26:E35)</f>
        <v>1</v>
      </c>
    </row>
    <row r="37" ht="16.5" thickTop="1"/>
    <row r="39" ht="15.75">
      <c r="E39" s="736"/>
    </row>
  </sheetData>
  <sheetProtection/>
  <mergeCells count="11">
    <mergeCell ref="B36:C36"/>
    <mergeCell ref="D23:E24"/>
    <mergeCell ref="D8:E9"/>
    <mergeCell ref="B21:C21"/>
    <mergeCell ref="A1:E1"/>
    <mergeCell ref="A2:E2"/>
    <mergeCell ref="A3:E3"/>
    <mergeCell ref="A7:E7"/>
    <mergeCell ref="C4:E4"/>
    <mergeCell ref="C5:E5"/>
    <mergeCell ref="C6:E6"/>
  </mergeCells>
  <printOptions horizontalCentered="1"/>
  <pageMargins left="0.7" right="0.7" top="0.75" bottom="0.75" header="0.3" footer="0.3"/>
  <pageSetup horizontalDpi="600" verticalDpi="600" orientation="portrait" scale="90" r:id="rId1"/>
  <headerFooter alignWithMargins="0"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SheetLayoutView="100" workbookViewId="0" topLeftCell="A13">
      <selection activeCell="F17" sqref="F17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900" t="s">
        <v>89</v>
      </c>
      <c r="B1" s="901"/>
      <c r="C1" s="901"/>
      <c r="D1" s="901"/>
      <c r="E1" s="901"/>
      <c r="F1" s="901"/>
      <c r="G1" s="901"/>
      <c r="H1" s="901"/>
      <c r="I1" s="902"/>
    </row>
    <row r="2" spans="1:9" ht="19.5" customHeight="1">
      <c r="A2" s="903" t="s">
        <v>91</v>
      </c>
      <c r="B2" s="856"/>
      <c r="C2" s="856"/>
      <c r="D2" s="856"/>
      <c r="E2" s="856"/>
      <c r="F2" s="856"/>
      <c r="G2" s="856"/>
      <c r="H2" s="856"/>
      <c r="I2" s="904"/>
    </row>
    <row r="3" spans="1:9" ht="19.5" customHeight="1">
      <c r="A3" s="905" t="s">
        <v>400</v>
      </c>
      <c r="B3" s="885"/>
      <c r="C3" s="885"/>
      <c r="D3" s="885"/>
      <c r="E3" s="885"/>
      <c r="F3" s="885"/>
      <c r="G3" s="885"/>
      <c r="H3" s="885"/>
      <c r="I3" s="906"/>
    </row>
    <row r="4" spans="1:9" ht="12" customHeight="1" thickBot="1">
      <c r="A4" s="529"/>
      <c r="B4" s="296"/>
      <c r="C4" s="296"/>
      <c r="D4" s="296"/>
      <c r="E4" s="296"/>
      <c r="F4" s="296"/>
      <c r="G4" s="296"/>
      <c r="H4" s="296"/>
      <c r="I4" s="530"/>
    </row>
    <row r="5" spans="1:9" ht="15.75" customHeight="1">
      <c r="A5" s="529"/>
      <c r="B5" s="296"/>
      <c r="C5" s="296"/>
      <c r="D5" s="726" t="s">
        <v>460</v>
      </c>
      <c r="E5" s="858" t="s">
        <v>472</v>
      </c>
      <c r="F5" s="859"/>
      <c r="G5" s="860"/>
      <c r="H5" s="296"/>
      <c r="I5" s="530"/>
    </row>
    <row r="6" spans="1:9" ht="15.75" customHeight="1">
      <c r="A6" s="529"/>
      <c r="B6" s="296"/>
      <c r="C6" s="296"/>
      <c r="D6" s="726" t="s">
        <v>462</v>
      </c>
      <c r="E6" s="861" t="s">
        <v>473</v>
      </c>
      <c r="F6" s="862"/>
      <c r="G6" s="846"/>
      <c r="H6" s="296"/>
      <c r="I6" s="530"/>
    </row>
    <row r="7" spans="1:9" ht="15.75" customHeight="1" thickBot="1">
      <c r="A7" s="529"/>
      <c r="B7" s="296"/>
      <c r="C7" s="296"/>
      <c r="D7" s="726" t="s">
        <v>463</v>
      </c>
      <c r="E7" s="847">
        <v>39575</v>
      </c>
      <c r="F7" s="848"/>
      <c r="G7" s="849"/>
      <c r="H7" s="296"/>
      <c r="I7" s="530"/>
    </row>
    <row r="8" spans="1:9" ht="11.25" customHeight="1">
      <c r="A8" s="529"/>
      <c r="B8" s="296"/>
      <c r="C8" s="296"/>
      <c r="D8" s="296"/>
      <c r="E8" s="296"/>
      <c r="F8" s="296"/>
      <c r="G8" s="296"/>
      <c r="H8" s="296"/>
      <c r="I8" s="530"/>
    </row>
    <row r="9" spans="1:9" ht="19.5" customHeight="1">
      <c r="A9" s="918" t="s">
        <v>180</v>
      </c>
      <c r="B9" s="919"/>
      <c r="C9" s="919"/>
      <c r="D9" s="919"/>
      <c r="E9" s="919"/>
      <c r="F9" s="919"/>
      <c r="G9" s="919"/>
      <c r="H9" s="919"/>
      <c r="I9" s="920"/>
    </row>
    <row r="10" spans="1:9" ht="9.75" customHeight="1" thickBot="1">
      <c r="A10" s="749"/>
      <c r="B10" s="750"/>
      <c r="C10" s="534"/>
      <c r="D10" s="534"/>
      <c r="E10" s="750"/>
      <c r="F10" s="750"/>
      <c r="G10" s="750"/>
      <c r="H10" s="750"/>
      <c r="I10" s="751"/>
    </row>
    <row r="11" spans="1:9" ht="16.5" thickBot="1">
      <c r="A11" s="850" t="s">
        <v>12</v>
      </c>
      <c r="B11" s="876"/>
      <c r="C11" s="465" t="s">
        <v>315</v>
      </c>
      <c r="D11" s="465"/>
      <c r="E11" s="921" t="s">
        <v>443</v>
      </c>
      <c r="F11" s="881" t="s">
        <v>14</v>
      </c>
      <c r="G11" s="869" t="s">
        <v>15</v>
      </c>
      <c r="H11" s="869" t="s">
        <v>16</v>
      </c>
      <c r="I11" s="752"/>
    </row>
    <row r="12" spans="1:9" ht="15.75">
      <c r="A12" s="894"/>
      <c r="B12" s="878"/>
      <c r="C12" s="466" t="s">
        <v>311</v>
      </c>
      <c r="D12" s="467" t="s">
        <v>8</v>
      </c>
      <c r="E12" s="922"/>
      <c r="F12" s="882"/>
      <c r="G12" s="870"/>
      <c r="H12" s="870"/>
      <c r="I12" s="452" t="s">
        <v>10</v>
      </c>
    </row>
    <row r="13" spans="1:9" ht="16.5" thickBot="1">
      <c r="A13" s="851"/>
      <c r="B13" s="880"/>
      <c r="C13" s="469" t="s">
        <v>312</v>
      </c>
      <c r="D13" s="470" t="s">
        <v>238</v>
      </c>
      <c r="E13" s="923"/>
      <c r="F13" s="883"/>
      <c r="G13" s="871"/>
      <c r="H13" s="871"/>
      <c r="I13" s="471" t="s">
        <v>17</v>
      </c>
    </row>
    <row r="14" spans="1:9" ht="15.75">
      <c r="A14" s="295"/>
      <c r="B14" s="224"/>
      <c r="C14" s="296"/>
      <c r="D14" s="258"/>
      <c r="E14" s="258"/>
      <c r="F14" s="148"/>
      <c r="G14" s="149"/>
      <c r="H14" s="149"/>
      <c r="I14" s="297"/>
    </row>
    <row r="15" spans="1:9" ht="15.75" customHeight="1">
      <c r="A15" s="286" t="s">
        <v>181</v>
      </c>
      <c r="B15" s="279"/>
      <c r="C15" s="217"/>
      <c r="D15" s="280"/>
      <c r="E15" s="281"/>
      <c r="F15" s="282"/>
      <c r="G15" s="283"/>
      <c r="H15" s="283"/>
      <c r="I15" s="287"/>
    </row>
    <row r="16" spans="1:9" ht="15.75" customHeight="1">
      <c r="A16" s="246"/>
      <c r="B16" s="592" t="s">
        <v>232</v>
      </c>
      <c r="C16" s="753">
        <v>262</v>
      </c>
      <c r="D16" s="754">
        <v>409.1</v>
      </c>
      <c r="E16" s="266" t="s">
        <v>392</v>
      </c>
      <c r="F16" s="669"/>
      <c r="G16" s="352">
        <f>VLOOKUP($E16,Ratio,2,FALSE)*$F16</f>
        <v>0</v>
      </c>
      <c r="H16" s="352">
        <f>VLOOKUP($E16,Ratio,3,FALSE)*$F16</f>
        <v>0</v>
      </c>
      <c r="I16" s="382">
        <f>VLOOKUP($E16,Ratio,4,FALSE)*$F16</f>
        <v>0</v>
      </c>
    </row>
    <row r="17" spans="1:9" ht="15.75" customHeight="1">
      <c r="A17" s="246"/>
      <c r="B17" s="592" t="s">
        <v>182</v>
      </c>
      <c r="C17" s="755">
        <v>262</v>
      </c>
      <c r="D17" s="756">
        <v>408.1</v>
      </c>
      <c r="E17" s="266" t="s">
        <v>7</v>
      </c>
      <c r="F17" s="669"/>
      <c r="G17" s="352">
        <f>VLOOKUP($E17,Ratio,2,FALSE)*$F17</f>
        <v>0</v>
      </c>
      <c r="H17" s="352">
        <f>VLOOKUP($E17,Ratio,3,FALSE)*$F17</f>
        <v>0</v>
      </c>
      <c r="I17" s="382">
        <f>VLOOKUP($E17,Ratio,4,FALSE)*$F17</f>
        <v>0</v>
      </c>
    </row>
    <row r="18" spans="1:9" ht="15.75" customHeight="1">
      <c r="A18" s="246"/>
      <c r="B18" s="592" t="s">
        <v>183</v>
      </c>
      <c r="C18" s="755">
        <v>262</v>
      </c>
      <c r="D18" s="756">
        <v>408.1</v>
      </c>
      <c r="E18" s="266" t="s">
        <v>392</v>
      </c>
      <c r="F18" s="669"/>
      <c r="G18" s="352">
        <f>VLOOKUP($E18,Ratio,2,FALSE)*$F18</f>
        <v>0</v>
      </c>
      <c r="H18" s="352">
        <f>VLOOKUP($E18,Ratio,3,FALSE)*$F18</f>
        <v>0</v>
      </c>
      <c r="I18" s="382">
        <f>VLOOKUP($E18,Ratio,4,FALSE)*$F18</f>
        <v>0</v>
      </c>
    </row>
    <row r="19" spans="1:9" ht="15.75" customHeight="1">
      <c r="A19" s="288" t="s">
        <v>234</v>
      </c>
      <c r="B19" s="99"/>
      <c r="C19" s="804"/>
      <c r="D19" s="805"/>
      <c r="E19" s="806"/>
      <c r="F19" s="673">
        <f>SUM(F16:F18)</f>
        <v>0</v>
      </c>
      <c r="G19" s="673">
        <f>SUM(G16:G18)</f>
        <v>0</v>
      </c>
      <c r="H19" s="673">
        <f>SUM(H16:H18)</f>
        <v>0</v>
      </c>
      <c r="I19" s="674">
        <f>SUM(I16:I18)</f>
        <v>0</v>
      </c>
    </row>
    <row r="20" spans="1:9" ht="15.75" customHeight="1">
      <c r="A20" s="288"/>
      <c r="B20" s="99"/>
      <c r="C20" s="217"/>
      <c r="D20" s="280"/>
      <c r="E20" s="281"/>
      <c r="F20" s="757"/>
      <c r="G20" s="757"/>
      <c r="H20" s="757"/>
      <c r="I20" s="758"/>
    </row>
    <row r="21" spans="1:11" ht="15.75" customHeight="1">
      <c r="A21" s="289" t="s">
        <v>235</v>
      </c>
      <c r="B21" s="105"/>
      <c r="C21" s="284"/>
      <c r="D21" s="285"/>
      <c r="E21" s="281"/>
      <c r="F21" s="759"/>
      <c r="G21" s="759"/>
      <c r="H21" s="759"/>
      <c r="I21" s="760"/>
      <c r="K21" s="763"/>
    </row>
    <row r="22" spans="1:9" ht="15.75" customHeight="1">
      <c r="A22" s="246"/>
      <c r="B22" s="592" t="s">
        <v>454</v>
      </c>
      <c r="C22" s="753">
        <v>262</v>
      </c>
      <c r="D22" s="754">
        <v>408.1</v>
      </c>
      <c r="E22" s="266" t="s">
        <v>18</v>
      </c>
      <c r="F22" s="669"/>
      <c r="G22" s="352">
        <f>VLOOKUP($E22,Ratio,2,FALSE)*$F22</f>
        <v>0</v>
      </c>
      <c r="H22" s="352">
        <f>VLOOKUP($E22,Ratio,3,FALSE)*$F22</f>
        <v>0</v>
      </c>
      <c r="I22" s="382">
        <f>VLOOKUP($E22,Ratio,4,FALSE)*$F22</f>
        <v>0</v>
      </c>
    </row>
    <row r="23" spans="1:9" ht="15.75" customHeight="1">
      <c r="A23" s="246"/>
      <c r="B23" s="592" t="s">
        <v>184</v>
      </c>
      <c r="C23" s="755">
        <v>262</v>
      </c>
      <c r="D23" s="756">
        <v>408.1</v>
      </c>
      <c r="E23" s="266" t="s">
        <v>7</v>
      </c>
      <c r="F23" s="669"/>
      <c r="G23" s="352">
        <f aca="true" t="shared" si="0" ref="G23:G28">VLOOKUP($E23,Ratio,2,FALSE)*$F23</f>
        <v>0</v>
      </c>
      <c r="H23" s="352">
        <f aca="true" t="shared" si="1" ref="H23:H28">VLOOKUP($E23,Ratio,3,FALSE)*$F23</f>
        <v>0</v>
      </c>
      <c r="I23" s="382">
        <f aca="true" t="shared" si="2" ref="I23:I28">VLOOKUP($E23,Ratio,4,FALSE)*$F23</f>
        <v>0</v>
      </c>
    </row>
    <row r="24" spans="1:9" ht="15.75" customHeight="1">
      <c r="A24" s="246"/>
      <c r="B24" s="592" t="s">
        <v>455</v>
      </c>
      <c r="C24" s="755">
        <v>262</v>
      </c>
      <c r="D24" s="756">
        <v>409.1</v>
      </c>
      <c r="E24" s="266" t="s">
        <v>392</v>
      </c>
      <c r="F24" s="842">
        <v>546958.93</v>
      </c>
      <c r="G24" s="352">
        <f>VLOOKUP($E24,Ratio,2,FALSE)*$F24</f>
        <v>0</v>
      </c>
      <c r="H24" s="352">
        <f>VLOOKUP($E24,Ratio,3,FALSE)*$F24</f>
        <v>0</v>
      </c>
      <c r="I24" s="382">
        <f>VLOOKUP($E24,Ratio,4,FALSE)*$F24</f>
        <v>546958.93</v>
      </c>
    </row>
    <row r="25" spans="1:9" ht="15.75" customHeight="1">
      <c r="A25" s="246"/>
      <c r="B25" s="592" t="s">
        <v>456</v>
      </c>
      <c r="C25" s="753">
        <v>262</v>
      </c>
      <c r="D25" s="754">
        <v>408.1</v>
      </c>
      <c r="E25" s="266" t="s">
        <v>392</v>
      </c>
      <c r="F25" s="669"/>
      <c r="G25" s="352">
        <f t="shared" si="0"/>
        <v>0</v>
      </c>
      <c r="H25" s="352">
        <f t="shared" si="1"/>
        <v>0</v>
      </c>
      <c r="I25" s="382">
        <f t="shared" si="2"/>
        <v>0</v>
      </c>
    </row>
    <row r="26" spans="1:9" ht="15.75" customHeight="1">
      <c r="A26" s="246"/>
      <c r="B26" s="592" t="s">
        <v>185</v>
      </c>
      <c r="C26" s="755">
        <v>262</v>
      </c>
      <c r="D26" s="756">
        <v>408.1</v>
      </c>
      <c r="E26" s="266" t="s">
        <v>392</v>
      </c>
      <c r="F26" s="669"/>
      <c r="G26" s="352">
        <f t="shared" si="0"/>
        <v>0</v>
      </c>
      <c r="H26" s="352">
        <f t="shared" si="1"/>
        <v>0</v>
      </c>
      <c r="I26" s="382">
        <f t="shared" si="2"/>
        <v>0</v>
      </c>
    </row>
    <row r="27" spans="1:9" ht="15.75" customHeight="1">
      <c r="A27" s="246"/>
      <c r="B27" s="592" t="s">
        <v>457</v>
      </c>
      <c r="C27" s="753">
        <v>262</v>
      </c>
      <c r="D27" s="754">
        <v>408.1</v>
      </c>
      <c r="E27" s="266" t="s">
        <v>392</v>
      </c>
      <c r="F27" s="842">
        <v>899071.06</v>
      </c>
      <c r="G27" s="352">
        <f t="shared" si="0"/>
        <v>0</v>
      </c>
      <c r="H27" s="352">
        <f t="shared" si="1"/>
        <v>0</v>
      </c>
      <c r="I27" s="382">
        <f t="shared" si="2"/>
        <v>899071.06</v>
      </c>
    </row>
    <row r="28" spans="1:9" ht="15.75" customHeight="1">
      <c r="A28" s="246"/>
      <c r="B28" s="592" t="s">
        <v>17</v>
      </c>
      <c r="C28" s="755">
        <v>262</v>
      </c>
      <c r="D28" s="756">
        <v>408.1</v>
      </c>
      <c r="E28" s="266" t="s">
        <v>392</v>
      </c>
      <c r="F28" s="669"/>
      <c r="G28" s="352">
        <f t="shared" si="0"/>
        <v>0</v>
      </c>
      <c r="H28" s="352">
        <f t="shared" si="1"/>
        <v>0</v>
      </c>
      <c r="I28" s="382">
        <f t="shared" si="2"/>
        <v>0</v>
      </c>
    </row>
    <row r="29" spans="1:9" ht="15.75" customHeight="1">
      <c r="A29" s="288" t="s">
        <v>233</v>
      </c>
      <c r="B29" s="105"/>
      <c r="C29" s="804"/>
      <c r="D29" s="805"/>
      <c r="E29" s="806"/>
      <c r="F29" s="673">
        <f>SUM(F22:F28)</f>
        <v>1446029.9900000002</v>
      </c>
      <c r="G29" s="673">
        <f>SUM(G22:G28)</f>
        <v>0</v>
      </c>
      <c r="H29" s="673">
        <f>SUM(H22:H28)</f>
        <v>0</v>
      </c>
      <c r="I29" s="674">
        <f>SUM(I22:I28)</f>
        <v>1446029.9900000002</v>
      </c>
    </row>
    <row r="30" spans="1:9" ht="15.75" customHeight="1">
      <c r="A30" s="288"/>
      <c r="B30" s="105"/>
      <c r="C30" s="284"/>
      <c r="D30" s="285"/>
      <c r="E30" s="281"/>
      <c r="F30" s="761"/>
      <c r="G30" s="761"/>
      <c r="H30" s="761"/>
      <c r="I30" s="762"/>
    </row>
    <row r="31" spans="1:9" ht="15.75" customHeight="1">
      <c r="A31" s="288" t="s">
        <v>458</v>
      </c>
      <c r="B31" s="105"/>
      <c r="C31" s="804"/>
      <c r="D31" s="805"/>
      <c r="E31" s="806"/>
      <c r="F31" s="673">
        <f>F29+F19</f>
        <v>1446029.9900000002</v>
      </c>
      <c r="G31" s="673">
        <f>G29+G19</f>
        <v>0</v>
      </c>
      <c r="H31" s="673">
        <f>H29+H19</f>
        <v>0</v>
      </c>
      <c r="I31" s="674">
        <f>I29+I19</f>
        <v>1446029.9900000002</v>
      </c>
    </row>
    <row r="32" spans="1:9" ht="15.75" customHeight="1">
      <c r="A32" s="288"/>
      <c r="B32" s="105"/>
      <c r="C32" s="284"/>
      <c r="D32" s="285"/>
      <c r="E32" s="281"/>
      <c r="F32" s="417"/>
      <c r="G32" s="417"/>
      <c r="H32" s="417"/>
      <c r="I32" s="418"/>
    </row>
    <row r="33" spans="1:11" ht="15.75" customHeight="1" thickBot="1">
      <c r="A33" s="290"/>
      <c r="B33" s="291"/>
      <c r="C33" s="291"/>
      <c r="D33" s="291"/>
      <c r="E33" s="291"/>
      <c r="F33" s="291"/>
      <c r="G33" s="291"/>
      <c r="H33" s="291"/>
      <c r="I33" s="292"/>
      <c r="K33" s="98"/>
    </row>
    <row r="34" spans="1:11" ht="16.5" thickTop="1">
      <c r="A34" s="98"/>
      <c r="B34" s="98"/>
      <c r="C34" s="98"/>
      <c r="D34" s="98"/>
      <c r="E34" s="98"/>
      <c r="F34" s="98"/>
      <c r="G34" s="98"/>
      <c r="H34" s="98"/>
      <c r="I34" s="98"/>
      <c r="K34" s="98"/>
    </row>
    <row r="35" spans="1:11" ht="15.75">
      <c r="A35" s="98"/>
      <c r="B35" s="98"/>
      <c r="C35" s="98"/>
      <c r="D35" s="98"/>
      <c r="E35" s="98"/>
      <c r="F35" s="98"/>
      <c r="G35" s="98"/>
      <c r="H35" s="98"/>
      <c r="I35" s="98"/>
      <c r="K35" s="98"/>
    </row>
    <row r="36" spans="1:11" ht="15.75">
      <c r="A36" s="98"/>
      <c r="B36" s="98"/>
      <c r="C36" s="98"/>
      <c r="D36" s="98"/>
      <c r="E36" s="98"/>
      <c r="F36" s="98"/>
      <c r="G36" s="98"/>
      <c r="H36" s="98"/>
      <c r="I36" s="98"/>
      <c r="K36" s="98"/>
    </row>
    <row r="37" spans="1:11" ht="15.75">
      <c r="A37" s="98"/>
      <c r="B37" s="98"/>
      <c r="C37" s="98"/>
      <c r="D37" s="98"/>
      <c r="E37" s="98"/>
      <c r="F37" s="98"/>
      <c r="G37" s="98"/>
      <c r="H37" s="98"/>
      <c r="I37" s="98"/>
      <c r="K37" s="98"/>
    </row>
    <row r="38" spans="1:11" ht="15.75">
      <c r="A38" s="98"/>
      <c r="B38" s="98"/>
      <c r="C38" s="98"/>
      <c r="D38" s="98"/>
      <c r="E38" s="98"/>
      <c r="F38" s="98"/>
      <c r="G38" s="98"/>
      <c r="H38" s="98"/>
      <c r="I38" s="98"/>
      <c r="K38" s="98"/>
    </row>
    <row r="39" spans="1:11" ht="15.75">
      <c r="A39" s="98"/>
      <c r="B39" s="98"/>
      <c r="C39" s="98"/>
      <c r="D39" s="98"/>
      <c r="E39" s="98"/>
      <c r="F39" s="98"/>
      <c r="G39" s="98"/>
      <c r="H39" s="98"/>
      <c r="I39" s="98"/>
      <c r="K39" s="98"/>
    </row>
    <row r="40" spans="1:11" ht="15.75">
      <c r="A40" s="98"/>
      <c r="B40" s="98"/>
      <c r="C40" s="98"/>
      <c r="D40" s="98"/>
      <c r="E40" s="98"/>
      <c r="F40" s="98"/>
      <c r="G40" s="98"/>
      <c r="H40" s="98"/>
      <c r="I40" s="98"/>
      <c r="K40" s="98"/>
    </row>
    <row r="41" spans="1:11" ht="15.75">
      <c r="A41" s="98"/>
      <c r="B41" s="98"/>
      <c r="C41" s="98"/>
      <c r="D41" s="98"/>
      <c r="E41" s="98"/>
      <c r="F41" s="98"/>
      <c r="G41" s="98"/>
      <c r="H41" s="98"/>
      <c r="I41" s="98"/>
      <c r="K41" s="98"/>
    </row>
  </sheetData>
  <mergeCells count="12">
    <mergeCell ref="A11:B13"/>
    <mergeCell ref="F11:F13"/>
    <mergeCell ref="G11:G13"/>
    <mergeCell ref="H11:H13"/>
    <mergeCell ref="E11:E13"/>
    <mergeCell ref="A1:I1"/>
    <mergeCell ref="A2:I2"/>
    <mergeCell ref="A3:I3"/>
    <mergeCell ref="A9:I9"/>
    <mergeCell ref="E5:G5"/>
    <mergeCell ref="E6:G6"/>
    <mergeCell ref="E7:G7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1"/>
  <headerFooter alignWithMargins="0">
    <oddFooter>&amp;L&amp;F
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71"/>
  <sheetViews>
    <sheetView workbookViewId="0" topLeftCell="A33">
      <selection activeCell="N17" sqref="N17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98"/>
      <c r="C1" s="227"/>
      <c r="D1" s="227"/>
      <c r="E1" s="227"/>
      <c r="F1" s="227"/>
      <c r="G1" s="227"/>
      <c r="H1" s="227"/>
      <c r="I1" s="227"/>
      <c r="J1" s="229"/>
    </row>
    <row r="2" spans="1:10" ht="15.75">
      <c r="A2" s="230" t="s">
        <v>91</v>
      </c>
      <c r="B2" s="135"/>
      <c r="C2" s="76"/>
      <c r="D2" s="76"/>
      <c r="E2" s="76"/>
      <c r="F2" s="76"/>
      <c r="G2" s="76"/>
      <c r="H2" s="76"/>
      <c r="I2" s="76"/>
      <c r="J2" s="231"/>
    </row>
    <row r="3" spans="1:10" ht="15.75">
      <c r="A3" s="232" t="s">
        <v>400</v>
      </c>
      <c r="B3" s="136"/>
      <c r="C3" s="3"/>
      <c r="D3" s="3"/>
      <c r="E3" s="4"/>
      <c r="F3" s="4"/>
      <c r="G3" s="5"/>
      <c r="H3" s="6"/>
      <c r="I3" s="19"/>
      <c r="J3" s="233"/>
    </row>
    <row r="4" spans="1:10" ht="13.5" customHeight="1" thickBot="1">
      <c r="A4" s="232"/>
      <c r="B4" s="136"/>
      <c r="C4" s="3"/>
      <c r="D4" s="3"/>
      <c r="E4" s="4"/>
      <c r="F4" s="4"/>
      <c r="G4" s="5"/>
      <c r="H4" s="6"/>
      <c r="I4" s="19"/>
      <c r="J4" s="233"/>
    </row>
    <row r="5" spans="1:10" ht="15.75" customHeight="1">
      <c r="A5" s="232"/>
      <c r="B5" s="136"/>
      <c r="C5" s="3"/>
      <c r="D5" s="726" t="s">
        <v>460</v>
      </c>
      <c r="E5" s="858" t="s">
        <v>472</v>
      </c>
      <c r="F5" s="859"/>
      <c r="G5" s="860"/>
      <c r="H5" s="6"/>
      <c r="I5" s="19"/>
      <c r="J5" s="233"/>
    </row>
    <row r="6" spans="1:10" ht="15.75" customHeight="1">
      <c r="A6" s="232"/>
      <c r="B6" s="136"/>
      <c r="C6" s="3"/>
      <c r="D6" s="726" t="s">
        <v>462</v>
      </c>
      <c r="E6" s="861" t="s">
        <v>473</v>
      </c>
      <c r="F6" s="862"/>
      <c r="G6" s="846"/>
      <c r="H6" s="6"/>
      <c r="I6" s="19"/>
      <c r="J6" s="233"/>
    </row>
    <row r="7" spans="1:10" ht="15.75" customHeight="1" thickBot="1">
      <c r="A7" s="232"/>
      <c r="B7" s="136"/>
      <c r="C7" s="3"/>
      <c r="D7" s="726" t="s">
        <v>463</v>
      </c>
      <c r="E7" s="847">
        <v>39575</v>
      </c>
      <c r="F7" s="848"/>
      <c r="G7" s="849"/>
      <c r="H7" s="6"/>
      <c r="I7" s="19"/>
      <c r="J7" s="233"/>
    </row>
    <row r="8" spans="1:10" ht="9.75" customHeight="1">
      <c r="A8" s="232"/>
      <c r="B8" s="136"/>
      <c r="C8" s="3"/>
      <c r="D8" s="3"/>
      <c r="E8" s="4"/>
      <c r="F8" s="4"/>
      <c r="G8" s="5"/>
      <c r="H8" s="6"/>
      <c r="I8" s="19"/>
      <c r="J8" s="233"/>
    </row>
    <row r="9" spans="1:14" ht="15.75">
      <c r="A9" s="481" t="s">
        <v>192</v>
      </c>
      <c r="B9" s="136"/>
      <c r="C9" s="3"/>
      <c r="D9" s="3"/>
      <c r="E9" s="4"/>
      <c r="F9" s="4"/>
      <c r="G9" s="5"/>
      <c r="H9" s="6"/>
      <c r="I9" s="19"/>
      <c r="J9" s="233"/>
      <c r="L9"/>
      <c r="M9"/>
      <c r="N9"/>
    </row>
    <row r="10" spans="1:14" ht="9" customHeight="1" thickBot="1">
      <c r="A10" s="255"/>
      <c r="B10" s="136"/>
      <c r="C10" s="3"/>
      <c r="D10" s="3"/>
      <c r="E10" s="4"/>
      <c r="F10" s="4"/>
      <c r="G10" s="5"/>
      <c r="H10" s="6"/>
      <c r="I10" s="19"/>
      <c r="J10" s="233"/>
      <c r="L10"/>
      <c r="M10"/>
      <c r="N10"/>
    </row>
    <row r="11" spans="1:14" ht="16.5" thickBot="1">
      <c r="A11" s="850" t="s">
        <v>12</v>
      </c>
      <c r="B11" s="876"/>
      <c r="C11" s="459" t="s">
        <v>315</v>
      </c>
      <c r="D11" s="460"/>
      <c r="E11" s="461" t="s">
        <v>351</v>
      </c>
      <c r="F11" s="462"/>
      <c r="G11" s="445"/>
      <c r="H11" s="446"/>
      <c r="I11" s="446"/>
      <c r="J11" s="447"/>
      <c r="L11"/>
      <c r="M11"/>
      <c r="N11"/>
    </row>
    <row r="12" spans="1:14" ht="16.5" thickBot="1">
      <c r="A12" s="894"/>
      <c r="B12" s="878"/>
      <c r="C12" s="448" t="s">
        <v>311</v>
      </c>
      <c r="D12" s="449" t="s">
        <v>8</v>
      </c>
      <c r="E12" s="463" t="s">
        <v>13</v>
      </c>
      <c r="F12" s="464"/>
      <c r="G12" s="450" t="s">
        <v>9</v>
      </c>
      <c r="H12" s="451"/>
      <c r="I12" s="451"/>
      <c r="J12" s="452" t="s">
        <v>10</v>
      </c>
      <c r="L12"/>
      <c r="M12"/>
      <c r="N12"/>
    </row>
    <row r="13" spans="1:14" ht="16.5" thickBot="1">
      <c r="A13" s="895"/>
      <c r="B13" s="896"/>
      <c r="C13" s="453" t="s">
        <v>312</v>
      </c>
      <c r="D13" s="454" t="s">
        <v>238</v>
      </c>
      <c r="E13" s="455" t="s">
        <v>349</v>
      </c>
      <c r="F13" s="455" t="s">
        <v>350</v>
      </c>
      <c r="G13" s="456" t="s">
        <v>14</v>
      </c>
      <c r="H13" s="457" t="s">
        <v>15</v>
      </c>
      <c r="I13" s="457" t="s">
        <v>16</v>
      </c>
      <c r="J13" s="458" t="s">
        <v>17</v>
      </c>
      <c r="L13"/>
      <c r="M13"/>
      <c r="N13"/>
    </row>
    <row r="14" spans="1:14" ht="16.5" thickTop="1">
      <c r="A14" s="299" t="s">
        <v>76</v>
      </c>
      <c r="B14" s="48"/>
      <c r="C14" s="77"/>
      <c r="D14" s="42"/>
      <c r="E14" s="10"/>
      <c r="F14" s="10"/>
      <c r="G14" s="11"/>
      <c r="H14" s="11"/>
      <c r="I14" s="11"/>
      <c r="J14" s="267"/>
      <c r="L14"/>
      <c r="M14"/>
      <c r="N14"/>
    </row>
    <row r="15" spans="1:10" s="98" customFormat="1" ht="12.75">
      <c r="A15" s="764"/>
      <c r="B15" s="81" t="s">
        <v>453</v>
      </c>
      <c r="C15" s="765">
        <v>114</v>
      </c>
      <c r="D15" s="265">
        <v>407.4</v>
      </c>
      <c r="E15" s="266" t="s">
        <v>2</v>
      </c>
      <c r="F15" s="266" t="s">
        <v>392</v>
      </c>
      <c r="G15" s="766"/>
      <c r="H15" s="352">
        <f>IF($E15="DIRECT",$L15,VLOOKUP($E15,Ratio,2,FALSE)*$G15)</f>
        <v>0</v>
      </c>
      <c r="I15" s="352">
        <f>IF($E15="DIRECT",$M15,VLOOKUP($E15,Ratio,3,FALSE)*$G15)</f>
        <v>0</v>
      </c>
      <c r="J15" s="382">
        <f>IF($E15="DIRECT",$N15,VLOOKUP($E15,Ratio,4,FALSE)*$G15)</f>
        <v>0</v>
      </c>
    </row>
    <row r="16" spans="1:10" s="98" customFormat="1" ht="13.5">
      <c r="A16" s="764"/>
      <c r="B16" s="779" t="s">
        <v>465</v>
      </c>
      <c r="C16" s="765">
        <v>114</v>
      </c>
      <c r="D16" s="265">
        <v>407.3</v>
      </c>
      <c r="E16" s="266" t="s">
        <v>2</v>
      </c>
      <c r="F16" s="266" t="s">
        <v>392</v>
      </c>
      <c r="G16" s="766"/>
      <c r="H16" s="352">
        <f>IF($E16="DIRECT",$L16,VLOOKUP($E16,Ratio,2,FALSE)*$G16)</f>
        <v>0</v>
      </c>
      <c r="I16" s="352">
        <f>IF($E16="DIRECT",$M16,VLOOKUP($E16,Ratio,3,FALSE)*$G16)</f>
        <v>0</v>
      </c>
      <c r="J16" s="382">
        <f>IF($E16="DIRECT",$N16,VLOOKUP($E16,Ratio,4,FALSE)*$G16)</f>
        <v>0</v>
      </c>
    </row>
    <row r="17" spans="1:14" s="98" customFormat="1" ht="12.75">
      <c r="A17" s="235"/>
      <c r="B17" s="86" t="s">
        <v>390</v>
      </c>
      <c r="C17" s="765">
        <v>114</v>
      </c>
      <c r="D17" s="265">
        <v>411.6</v>
      </c>
      <c r="E17" s="266" t="s">
        <v>2</v>
      </c>
      <c r="F17" s="266" t="s">
        <v>392</v>
      </c>
      <c r="G17" s="766">
        <v>1779.18</v>
      </c>
      <c r="H17" s="352">
        <f>IF($E17="DIRECT",$L17,VLOOKUP($E17,Ratio,2,FALSE)*$G17)</f>
        <v>0</v>
      </c>
      <c r="I17" s="352">
        <f>IF($E17="DIRECT",$M17,VLOOKUP($E17,Ratio,3,FALSE)*$G17)</f>
        <v>0</v>
      </c>
      <c r="J17" s="382">
        <f>IF($E17="DIRECT",$N17,VLOOKUP($E17,Ratio,4,FALSE)*$G17)</f>
        <v>1779.18</v>
      </c>
      <c r="N17" s="98">
        <v>1779.18</v>
      </c>
    </row>
    <row r="18" spans="1:10" s="98" customFormat="1" ht="13.5">
      <c r="A18" s="235"/>
      <c r="B18" s="780" t="s">
        <v>466</v>
      </c>
      <c r="C18" s="765">
        <v>114</v>
      </c>
      <c r="D18" s="265" t="s">
        <v>77</v>
      </c>
      <c r="E18" s="266" t="s">
        <v>2</v>
      </c>
      <c r="F18" s="266" t="s">
        <v>392</v>
      </c>
      <c r="G18" s="843"/>
      <c r="H18" s="352">
        <f>IF($E18="DIRECT",$L18,VLOOKUP($E18,Ratio,2,FALSE)*$G18)</f>
        <v>0</v>
      </c>
      <c r="I18" s="352">
        <f>IF($E18="DIRECT",$M18,VLOOKUP($E18,Ratio,3,FALSE)*$G18)</f>
        <v>0</v>
      </c>
      <c r="J18" s="382">
        <f>IF($E18="DIRECT",$N18,VLOOKUP($E18,Ratio,4,FALSE)*$G18)</f>
        <v>0</v>
      </c>
    </row>
    <row r="19" spans="1:10" s="98" customFormat="1" ht="12.75">
      <c r="A19" s="235"/>
      <c r="B19" s="86" t="s">
        <v>391</v>
      </c>
      <c r="C19" s="765">
        <v>114</v>
      </c>
      <c r="D19" s="265">
        <v>411.8</v>
      </c>
      <c r="E19" s="261" t="s">
        <v>394</v>
      </c>
      <c r="F19" s="261"/>
      <c r="G19" s="766"/>
      <c r="H19" s="766">
        <f>VLOOKUP($E19,Ratio,2,FALSE)*$G19</f>
        <v>0</v>
      </c>
      <c r="I19" s="766">
        <f>VLOOKUP($E19,Ratio,3,FALSE)*$G19</f>
        <v>0</v>
      </c>
      <c r="J19" s="767">
        <f>VLOOKUP($E19,Ratio,4,FALSE)*$G19</f>
        <v>0</v>
      </c>
    </row>
    <row r="20" spans="1:10" s="98" customFormat="1" ht="13.5">
      <c r="A20" s="235"/>
      <c r="B20" s="780" t="s">
        <v>464</v>
      </c>
      <c r="C20" s="765">
        <v>114</v>
      </c>
      <c r="D20" s="265">
        <v>411.9</v>
      </c>
      <c r="E20" s="261" t="s">
        <v>394</v>
      </c>
      <c r="F20" s="261"/>
      <c r="G20" s="766"/>
      <c r="H20" s="766">
        <f>VLOOKUP($E20,Ratio,2,FALSE)*$G20</f>
        <v>0</v>
      </c>
      <c r="I20" s="766">
        <f>VLOOKUP($E20,Ratio,3,FALSE)*$G20</f>
        <v>0</v>
      </c>
      <c r="J20" s="767">
        <f>VLOOKUP($E20,Ratio,4,FALSE)*$G20</f>
        <v>0</v>
      </c>
    </row>
    <row r="21" spans="1:10" s="98" customFormat="1" ht="12.75">
      <c r="A21" s="235"/>
      <c r="B21" s="86" t="s">
        <v>408</v>
      </c>
      <c r="C21" s="765">
        <v>114</v>
      </c>
      <c r="D21" s="265">
        <v>421</v>
      </c>
      <c r="E21" s="261" t="s">
        <v>2</v>
      </c>
      <c r="F21" s="261" t="s">
        <v>394</v>
      </c>
      <c r="G21" s="766"/>
      <c r="H21" s="352">
        <f>IF($E21="DIRECT",$L21,VLOOKUP($E21,Ratio,2,FALSE)*$G21)</f>
        <v>0</v>
      </c>
      <c r="I21" s="352">
        <f>IF($E21="DIRECT",$M21,VLOOKUP($E21,Ratio,3,FALSE)*$G21)</f>
        <v>0</v>
      </c>
      <c r="J21" s="382">
        <f>IF($E21="DIRECT",$N21,VLOOKUP($E21,Ratio,4,FALSE)*$G21)</f>
        <v>0</v>
      </c>
    </row>
    <row r="22" spans="1:14" ht="15.75">
      <c r="A22" s="300" t="s">
        <v>84</v>
      </c>
      <c r="B22" s="316"/>
      <c r="C22" s="770"/>
      <c r="D22" s="771"/>
      <c r="E22" s="772"/>
      <c r="F22" s="772"/>
      <c r="G22" s="773">
        <f>G15-G16+G17-G18+G19-G20+G21</f>
        <v>1779.18</v>
      </c>
      <c r="H22" s="773">
        <f>H15-H16+H17-H18+H19-H20+H21</f>
        <v>0</v>
      </c>
      <c r="I22" s="773">
        <f>I15-I16+I17-I18+I19-I20+I21</f>
        <v>0</v>
      </c>
      <c r="J22" s="774">
        <f>J15-J16+J17-J18+J19-J20+J21</f>
        <v>1779.18</v>
      </c>
      <c r="L22"/>
      <c r="M22"/>
      <c r="N22"/>
    </row>
    <row r="23" spans="1:14" ht="15.75">
      <c r="A23" s="301"/>
      <c r="B23" s="316"/>
      <c r="C23" s="94"/>
      <c r="D23" s="94"/>
      <c r="E23" s="94"/>
      <c r="F23" s="94"/>
      <c r="G23" s="317"/>
      <c r="H23" s="317"/>
      <c r="I23" s="317"/>
      <c r="J23" s="318"/>
      <c r="L23"/>
      <c r="M23"/>
      <c r="N23"/>
    </row>
    <row r="24" spans="1:14" ht="15.75">
      <c r="A24" s="302" t="s">
        <v>317</v>
      </c>
      <c r="B24" s="316"/>
      <c r="C24" s="94"/>
      <c r="D24" s="94"/>
      <c r="E24" s="94"/>
      <c r="F24" s="94"/>
      <c r="G24" s="317"/>
      <c r="H24" s="317"/>
      <c r="I24" s="317"/>
      <c r="J24" s="318"/>
      <c r="L24"/>
      <c r="M24"/>
      <c r="N24"/>
    </row>
    <row r="25" spans="1:10" s="98" customFormat="1" ht="12.75">
      <c r="A25" s="303"/>
      <c r="B25" s="84" t="s">
        <v>99</v>
      </c>
      <c r="C25" s="768">
        <v>310</v>
      </c>
      <c r="D25" s="266">
        <v>447</v>
      </c>
      <c r="E25" s="261" t="s">
        <v>394</v>
      </c>
      <c r="F25" s="261"/>
      <c r="G25" s="839">
        <f>'PP &amp; OSS WorkSheet'!D36</f>
        <v>0</v>
      </c>
      <c r="H25" s="766">
        <f>VLOOKUP($E25,Ratio,2,FALSE)*$G25</f>
        <v>0</v>
      </c>
      <c r="I25" s="766">
        <f>VLOOKUP($E25,Ratio,3,FALSE)*$G25</f>
        <v>0</v>
      </c>
      <c r="J25" s="767">
        <f>VLOOKUP($E25,Ratio,4,FALSE)*$G25</f>
        <v>0</v>
      </c>
    </row>
    <row r="26" spans="1:14" ht="15.75">
      <c r="A26" s="248" t="s">
        <v>100</v>
      </c>
      <c r="B26" s="106"/>
      <c r="C26" s="770"/>
      <c r="D26" s="771"/>
      <c r="E26" s="772"/>
      <c r="F26" s="772"/>
      <c r="G26" s="773">
        <f>SUM(G25)</f>
        <v>0</v>
      </c>
      <c r="H26" s="773">
        <f>SUM(H25)</f>
        <v>0</v>
      </c>
      <c r="I26" s="773">
        <f>SUM(I25)</f>
        <v>0</v>
      </c>
      <c r="J26" s="774">
        <f>SUM(J25)</f>
        <v>0</v>
      </c>
      <c r="L26"/>
      <c r="M26"/>
      <c r="N26"/>
    </row>
    <row r="27" spans="1:14" ht="15.75">
      <c r="A27" s="304"/>
      <c r="B27" s="106"/>
      <c r="C27" s="94"/>
      <c r="D27" s="94"/>
      <c r="E27" s="94"/>
      <c r="F27" s="94"/>
      <c r="G27" s="317"/>
      <c r="H27" s="317"/>
      <c r="I27" s="317"/>
      <c r="J27" s="318"/>
      <c r="L27"/>
      <c r="M27"/>
      <c r="N27"/>
    </row>
    <row r="28" spans="1:14" ht="15.75">
      <c r="A28" s="305" t="s">
        <v>78</v>
      </c>
      <c r="B28" s="106"/>
      <c r="C28" s="94"/>
      <c r="D28" s="94"/>
      <c r="E28" s="94"/>
      <c r="F28" s="94"/>
      <c r="G28" s="317"/>
      <c r="H28" s="317"/>
      <c r="I28" s="317"/>
      <c r="J28" s="318"/>
      <c r="L28"/>
      <c r="M28"/>
      <c r="N28"/>
    </row>
    <row r="29" spans="1:10" s="98" customFormat="1" ht="12.75">
      <c r="A29" s="769"/>
      <c r="B29" s="92" t="s">
        <v>171</v>
      </c>
      <c r="C29" s="768">
        <v>300</v>
      </c>
      <c r="D29" s="266">
        <v>450</v>
      </c>
      <c r="E29" s="261" t="s">
        <v>392</v>
      </c>
      <c r="F29" s="261"/>
      <c r="G29" s="766"/>
      <c r="H29" s="766">
        <f aca="true" t="shared" si="0" ref="H29:H35">VLOOKUP($E29,Ratio,2,FALSE)*$G29</f>
        <v>0</v>
      </c>
      <c r="I29" s="766">
        <f aca="true" t="shared" si="1" ref="I29:I35">VLOOKUP($E29,Ratio,3,FALSE)*$G29</f>
        <v>0</v>
      </c>
      <c r="J29" s="767">
        <f aca="true" t="shared" si="2" ref="J29:J35">VLOOKUP($E29,Ratio,4,FALSE)*$G29</f>
        <v>0</v>
      </c>
    </row>
    <row r="30" spans="1:10" s="98" customFormat="1" ht="12.75">
      <c r="A30" s="769"/>
      <c r="B30" s="92" t="s">
        <v>176</v>
      </c>
      <c r="C30" s="768">
        <v>300</v>
      </c>
      <c r="D30" s="266" t="s">
        <v>79</v>
      </c>
      <c r="E30" s="261" t="s">
        <v>392</v>
      </c>
      <c r="F30" s="261"/>
      <c r="G30" s="766"/>
      <c r="H30" s="766">
        <f t="shared" si="0"/>
        <v>0</v>
      </c>
      <c r="I30" s="766">
        <f t="shared" si="1"/>
        <v>0</v>
      </c>
      <c r="J30" s="767">
        <f t="shared" si="2"/>
        <v>0</v>
      </c>
    </row>
    <row r="31" spans="1:10" s="98" customFormat="1" ht="12.75">
      <c r="A31" s="769"/>
      <c r="B31" s="92" t="s">
        <v>175</v>
      </c>
      <c r="C31" s="768">
        <v>300</v>
      </c>
      <c r="D31" s="266" t="s">
        <v>80</v>
      </c>
      <c r="E31" s="261" t="s">
        <v>394</v>
      </c>
      <c r="F31" s="261"/>
      <c r="G31" s="766"/>
      <c r="H31" s="766">
        <f t="shared" si="0"/>
        <v>0</v>
      </c>
      <c r="I31" s="766">
        <f t="shared" si="1"/>
        <v>0</v>
      </c>
      <c r="J31" s="767">
        <f t="shared" si="2"/>
        <v>0</v>
      </c>
    </row>
    <row r="32" spans="1:10" s="98" customFormat="1" ht="12.75">
      <c r="A32" s="769"/>
      <c r="B32" s="92" t="s">
        <v>174</v>
      </c>
      <c r="C32" s="768">
        <v>300</v>
      </c>
      <c r="D32" s="266" t="s">
        <v>81</v>
      </c>
      <c r="E32" s="261" t="s">
        <v>19</v>
      </c>
      <c r="F32" s="261"/>
      <c r="G32" s="766">
        <f>57295.17+5819.11</f>
        <v>63114.28</v>
      </c>
      <c r="H32" s="766">
        <f t="shared" si="0"/>
        <v>0</v>
      </c>
      <c r="I32" s="766">
        <f t="shared" si="1"/>
        <v>4025.9575544761065</v>
      </c>
      <c r="J32" s="767">
        <f t="shared" si="2"/>
        <v>59088.32244552389</v>
      </c>
    </row>
    <row r="33" spans="1:10" s="98" customFormat="1" ht="12.75">
      <c r="A33" s="769"/>
      <c r="B33" s="92" t="s">
        <v>173</v>
      </c>
      <c r="C33" s="768">
        <v>300</v>
      </c>
      <c r="D33" s="266">
        <v>455</v>
      </c>
      <c r="E33" s="261" t="s">
        <v>392</v>
      </c>
      <c r="F33" s="261"/>
      <c r="G33" s="766"/>
      <c r="H33" s="766">
        <f t="shared" si="0"/>
        <v>0</v>
      </c>
      <c r="I33" s="766">
        <f t="shared" si="1"/>
        <v>0</v>
      </c>
      <c r="J33" s="767">
        <f t="shared" si="2"/>
        <v>0</v>
      </c>
    </row>
    <row r="34" spans="1:14" s="98" customFormat="1" ht="12.75">
      <c r="A34" s="769"/>
      <c r="B34" s="92" t="s">
        <v>172</v>
      </c>
      <c r="C34" s="768">
        <v>300</v>
      </c>
      <c r="D34" s="266" t="s">
        <v>82</v>
      </c>
      <c r="E34" s="261" t="s">
        <v>2</v>
      </c>
      <c r="F34" s="261" t="s">
        <v>394</v>
      </c>
      <c r="G34" s="766">
        <f>198948.29-57295.17-5819.11</f>
        <v>135834.01</v>
      </c>
      <c r="H34" s="352">
        <f>IF($E34="DIRECT",$L34,VLOOKUP($E34,Ratio,2,FALSE)*$G34)</f>
        <v>45229.2</v>
      </c>
      <c r="I34" s="352">
        <f>IF($E34="DIRECT",$M34,VLOOKUP($E34,Ratio,3,FALSE)*$G34)</f>
        <v>0</v>
      </c>
      <c r="J34" s="382">
        <f>IF($E34="DIRECT",$N34,VLOOKUP($E34,Ratio,4,FALSE)*$G34)</f>
        <v>90604.81000000003</v>
      </c>
      <c r="L34" s="98">
        <v>45229.2</v>
      </c>
      <c r="N34" s="98">
        <f>198948.29-45229.2-57295.17-5819.11</f>
        <v>90604.81000000003</v>
      </c>
    </row>
    <row r="35" spans="1:10" s="98" customFormat="1" ht="12.75">
      <c r="A35" s="769"/>
      <c r="B35" s="92" t="s">
        <v>270</v>
      </c>
      <c r="C35" s="768">
        <v>330</v>
      </c>
      <c r="D35" s="261">
        <v>456.1</v>
      </c>
      <c r="E35" s="261" t="s">
        <v>393</v>
      </c>
      <c r="F35" s="261"/>
      <c r="G35" s="766"/>
      <c r="H35" s="766">
        <f t="shared" si="0"/>
        <v>0</v>
      </c>
      <c r="I35" s="766">
        <f t="shared" si="1"/>
        <v>0</v>
      </c>
      <c r="J35" s="767">
        <f t="shared" si="2"/>
        <v>0</v>
      </c>
    </row>
    <row r="36" spans="1:10" s="98" customFormat="1" ht="12.75">
      <c r="A36" s="303"/>
      <c r="B36" s="92"/>
      <c r="C36" s="126"/>
      <c r="D36" s="83"/>
      <c r="E36" s="85"/>
      <c r="F36" s="85"/>
      <c r="G36" s="109"/>
      <c r="H36" s="109"/>
      <c r="I36" s="109"/>
      <c r="J36" s="325"/>
    </row>
    <row r="37" spans="1:10" ht="15.75">
      <c r="A37" s="248" t="s">
        <v>83</v>
      </c>
      <c r="B37" s="106"/>
      <c r="C37" s="775"/>
      <c r="D37" s="776"/>
      <c r="E37" s="776"/>
      <c r="F37" s="777"/>
      <c r="G37" s="773">
        <f>SUM(G29:G36)</f>
        <v>198948.29</v>
      </c>
      <c r="H37" s="773">
        <f>SUM(H29:H36)</f>
        <v>45229.2</v>
      </c>
      <c r="I37" s="773">
        <f>SUM(I29:I36)</f>
        <v>4025.9575544761065</v>
      </c>
      <c r="J37" s="774">
        <f>SUM(J29:J36)</f>
        <v>149693.13244552392</v>
      </c>
    </row>
    <row r="38" spans="1:10" ht="15.75">
      <c r="A38" s="307"/>
      <c r="B38" s="106"/>
      <c r="C38" s="94"/>
      <c r="D38" s="94"/>
      <c r="E38" s="94"/>
      <c r="F38" s="94"/>
      <c r="G38" s="317"/>
      <c r="H38" s="317"/>
      <c r="I38" s="317"/>
      <c r="J38" s="318"/>
    </row>
    <row r="39" spans="1:10" ht="15.75">
      <c r="A39" s="248" t="s">
        <v>84</v>
      </c>
      <c r="B39" s="106"/>
      <c r="C39" s="775"/>
      <c r="D39" s="776"/>
      <c r="E39" s="776"/>
      <c r="F39" s="776"/>
      <c r="G39" s="778">
        <f>+G37+G26+G22</f>
        <v>200727.47</v>
      </c>
      <c r="H39" s="773">
        <f>+H37+H26+H22</f>
        <v>45229.2</v>
      </c>
      <c r="I39" s="773">
        <f>+I37+I26+I22</f>
        <v>4025.9575544761065</v>
      </c>
      <c r="J39" s="774">
        <f>+J37+J26+J22</f>
        <v>151472.31244552392</v>
      </c>
    </row>
    <row r="40" spans="1:10" s="98" customFormat="1" ht="12.75">
      <c r="A40" s="308" t="s">
        <v>102</v>
      </c>
      <c r="B40" s="51"/>
      <c r="C40" s="92"/>
      <c r="D40" s="92"/>
      <c r="E40" s="92"/>
      <c r="F40" s="92"/>
      <c r="G40" s="153"/>
      <c r="H40" s="153"/>
      <c r="I40" s="153"/>
      <c r="J40" s="347"/>
    </row>
    <row r="41" spans="1:10" ht="15.75">
      <c r="A41" s="309"/>
      <c r="B41" s="12"/>
      <c r="C41" s="12"/>
      <c r="D41" s="12"/>
      <c r="E41" s="12"/>
      <c r="F41" s="12"/>
      <c r="G41" s="1"/>
      <c r="H41" s="1"/>
      <c r="I41" s="1"/>
      <c r="J41" s="247"/>
    </row>
    <row r="42" spans="1:10" ht="16.5" thickBot="1">
      <c r="A42" s="310"/>
      <c r="B42" s="311"/>
      <c r="C42" s="311"/>
      <c r="D42" s="311"/>
      <c r="E42" s="311"/>
      <c r="F42" s="311"/>
      <c r="G42" s="312"/>
      <c r="H42" s="312"/>
      <c r="I42" s="312"/>
      <c r="J42" s="313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71"/>
  <sheetViews>
    <sheetView workbookViewId="0" topLeftCell="A21">
      <selection activeCell="D27" sqref="D27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6" width="18.625" style="0" customWidth="1"/>
    <col min="7" max="7" width="16.625" style="0" customWidth="1"/>
  </cols>
  <sheetData>
    <row r="1" spans="1:17" s="9" customFormat="1" ht="19.5" customHeight="1" thickTop="1">
      <c r="A1" s="900" t="s">
        <v>89</v>
      </c>
      <c r="B1" s="901"/>
      <c r="C1" s="901"/>
      <c r="D1" s="901"/>
      <c r="E1" s="901"/>
      <c r="F1" s="902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903" t="s">
        <v>91</v>
      </c>
      <c r="B2" s="856"/>
      <c r="C2" s="856"/>
      <c r="D2" s="856"/>
      <c r="E2" s="856"/>
      <c r="F2" s="904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905" t="s">
        <v>400</v>
      </c>
      <c r="B3" s="885"/>
      <c r="C3" s="885"/>
      <c r="D3" s="885"/>
      <c r="E3" s="885"/>
      <c r="F3" s="906"/>
      <c r="G3"/>
      <c r="H3"/>
      <c r="I3"/>
      <c r="J3"/>
      <c r="K3"/>
      <c r="L3"/>
      <c r="M3"/>
      <c r="N3"/>
      <c r="O3"/>
      <c r="P3"/>
      <c r="Q3"/>
    </row>
    <row r="4" spans="1:17" s="9" customFormat="1" ht="11.25" customHeight="1" thickBot="1">
      <c r="A4" s="529"/>
      <c r="B4" s="296"/>
      <c r="C4" s="296"/>
      <c r="D4" s="296"/>
      <c r="E4" s="296"/>
      <c r="F4" s="530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29"/>
      <c r="B5" s="726" t="s">
        <v>460</v>
      </c>
      <c r="C5" s="858" t="s">
        <v>472</v>
      </c>
      <c r="D5" s="859"/>
      <c r="E5" s="860"/>
      <c r="F5" s="530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794"/>
      <c r="B6" s="726" t="s">
        <v>462</v>
      </c>
      <c r="C6" s="861" t="s">
        <v>473</v>
      </c>
      <c r="D6" s="862"/>
      <c r="E6" s="846"/>
      <c r="F6" s="530"/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29"/>
      <c r="B7" s="726" t="s">
        <v>463</v>
      </c>
      <c r="C7" s="847">
        <v>39575</v>
      </c>
      <c r="D7" s="848"/>
      <c r="E7" s="849"/>
      <c r="F7" s="530"/>
      <c r="G7"/>
      <c r="H7"/>
      <c r="I7"/>
      <c r="J7"/>
      <c r="K7"/>
      <c r="L7"/>
      <c r="M7"/>
      <c r="N7"/>
      <c r="O7"/>
      <c r="P7"/>
      <c r="Q7"/>
    </row>
    <row r="8" spans="1:17" s="80" customFormat="1" ht="15.75" customHeight="1">
      <c r="A8" s="791"/>
      <c r="B8" s="735"/>
      <c r="C8" s="258"/>
      <c r="D8" s="258"/>
      <c r="E8" s="258"/>
      <c r="F8" s="340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</row>
    <row r="9" spans="1:17" s="9" customFormat="1" ht="19.5" customHeight="1">
      <c r="A9" s="924" t="s">
        <v>101</v>
      </c>
      <c r="B9" s="925"/>
      <c r="C9" s="925"/>
      <c r="D9" s="925"/>
      <c r="E9" s="925"/>
      <c r="F9" s="926"/>
      <c r="G9"/>
      <c r="H9"/>
      <c r="I9"/>
      <c r="J9"/>
      <c r="K9"/>
      <c r="L9"/>
      <c r="M9"/>
      <c r="N9"/>
      <c r="O9"/>
      <c r="P9"/>
      <c r="Q9"/>
    </row>
    <row r="10" spans="1:17" s="9" customFormat="1" ht="10.5" customHeight="1" thickBot="1">
      <c r="A10" s="531"/>
      <c r="B10" s="532"/>
      <c r="C10" s="532"/>
      <c r="D10" s="532"/>
      <c r="E10" s="532"/>
      <c r="F10" s="533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20"/>
      <c r="B11" s="143"/>
      <c r="C11" s="143"/>
      <c r="D11" s="143"/>
      <c r="E11" s="143"/>
      <c r="F11" s="319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22"/>
      <c r="B12" s="1"/>
      <c r="C12" s="442" t="s">
        <v>14</v>
      </c>
      <c r="D12" s="443" t="s">
        <v>15</v>
      </c>
      <c r="E12" s="443" t="s">
        <v>16</v>
      </c>
      <c r="F12" s="444" t="s">
        <v>348</v>
      </c>
    </row>
    <row r="13" spans="1:6" s="9" customFormat="1" ht="16.5" thickBot="1">
      <c r="A13" s="323" t="s">
        <v>85</v>
      </c>
      <c r="B13" s="23"/>
      <c r="C13" s="807">
        <f>'Sch 3 - Expenses'!G100</f>
        <v>11895814.8</v>
      </c>
      <c r="D13" s="807">
        <f>'Sch 3 - Expenses'!H100</f>
        <v>7247319.033013383</v>
      </c>
      <c r="E13" s="807">
        <f>'Sch 3 - Expenses'!I100</f>
        <v>1305105.5415922578</v>
      </c>
      <c r="F13" s="808">
        <f>'Sch 3 - Expenses'!J100</f>
        <v>3343390.225394359</v>
      </c>
    </row>
    <row r="14" spans="1:6" s="9" customFormat="1" ht="15.75">
      <c r="A14" s="324" t="s">
        <v>103</v>
      </c>
      <c r="B14" s="23"/>
      <c r="C14" s="109"/>
      <c r="D14" s="109"/>
      <c r="E14" s="109"/>
      <c r="F14" s="325"/>
    </row>
    <row r="15" spans="1:6" s="9" customFormat="1" ht="16.5" thickBot="1">
      <c r="A15" s="326"/>
      <c r="B15" s="23"/>
      <c r="C15" s="109"/>
      <c r="D15" s="109"/>
      <c r="E15" s="109"/>
      <c r="F15" s="325"/>
    </row>
    <row r="16" spans="1:6" s="9" customFormat="1" ht="16.5" thickBot="1">
      <c r="A16" s="323" t="s">
        <v>261</v>
      </c>
      <c r="B16" s="23"/>
      <c r="C16" s="807">
        <f>IF('Sch 2 -Rate of Return'!E42&gt;0,'Sch 2 -Rate of Return'!E42,IF('Sch 2 -Rate of Return'!E98&gt;0,'Sch 2 -Rate of Return'!E98,IF('Sch 2 -Rate of Return'!E125&gt;0,'Sch 2 -Rate of Return'!E125,0)))</f>
        <v>1585816.184955</v>
      </c>
      <c r="D16" s="807">
        <f>IF('Sch 2 -Rate of Return'!F42&gt;0,'Sch 2 -Rate of Return'!F42,IF('Sch 2 -Rate of Return'!F98&gt;0,'Sch 2 -Rate of Return'!F98,IF('Sch 2 -Rate of Return'!F125&gt;0,'Sch 2 -Rate of Return'!F125,0)))</f>
        <v>743269.0319353358</v>
      </c>
      <c r="E16" s="807">
        <f>IF('Sch 2 -Rate of Return'!G42&gt;0,'Sch 2 -Rate of Return'!G42,IF('Sch 2 -Rate of Return'!G98&gt;0,'Sch 2 -Rate of Return'!G98,IF('Sch 2 -Rate of Return'!G125&gt;0,'Sch 2 -Rate of Return'!G125,0)))</f>
        <v>22918.060638312672</v>
      </c>
      <c r="F16" s="808">
        <f>IF('Sch 2 -Rate of Return'!H42&gt;0,'Sch 2 -Rate of Return'!H42,IF('Sch 2 -Rate of Return'!H98&gt;0,'Sch 2 -Rate of Return'!H98,IF('Sch 2 -Rate of Return'!H125&gt;0,'Sch 2 -Rate of Return'!H125,0)))</f>
        <v>819629.0923813515</v>
      </c>
    </row>
    <row r="17" spans="1:6" s="9" customFormat="1" ht="15.75">
      <c r="A17" s="324" t="s">
        <v>240</v>
      </c>
      <c r="B17" s="23"/>
      <c r="C17" s="109"/>
      <c r="D17" s="109"/>
      <c r="E17" s="109"/>
      <c r="F17" s="325"/>
    </row>
    <row r="18" spans="1:6" s="9" customFormat="1" ht="16.5" thickBot="1">
      <c r="A18" s="326"/>
      <c r="B18" s="23"/>
      <c r="C18" s="109"/>
      <c r="D18" s="109"/>
      <c r="E18" s="109"/>
      <c r="F18" s="325"/>
    </row>
    <row r="19" spans="1:6" s="9" customFormat="1" ht="16.5" thickBot="1">
      <c r="A19" s="323" t="s">
        <v>236</v>
      </c>
      <c r="B19" s="23"/>
      <c r="C19" s="807">
        <f>'Sch 3A - Taxes'!F31</f>
        <v>1446029.9900000002</v>
      </c>
      <c r="D19" s="807">
        <f>'Sch 3A - Taxes'!G31</f>
        <v>0</v>
      </c>
      <c r="E19" s="807">
        <f>'Sch 3A - Taxes'!H31</f>
        <v>0</v>
      </c>
      <c r="F19" s="808">
        <f>'Sch 3A - Taxes'!I31</f>
        <v>1446029.9900000002</v>
      </c>
    </row>
    <row r="20" spans="1:6" s="9" customFormat="1" ht="15.75">
      <c r="A20" s="324" t="s">
        <v>193</v>
      </c>
      <c r="B20" s="23"/>
      <c r="C20" s="109"/>
      <c r="D20" s="109"/>
      <c r="E20" s="109"/>
      <c r="F20" s="325"/>
    </row>
    <row r="21" spans="1:6" s="9" customFormat="1" ht="16.5" thickBot="1">
      <c r="A21" s="326"/>
      <c r="B21" s="23"/>
      <c r="C21" s="109"/>
      <c r="D21" s="109"/>
      <c r="E21" s="109"/>
      <c r="F21" s="325"/>
    </row>
    <row r="22" spans="1:6" s="9" customFormat="1" ht="16.5" thickBot="1">
      <c r="A22" s="323" t="s">
        <v>84</v>
      </c>
      <c r="B22" s="23"/>
      <c r="C22" s="807">
        <f>'Sch 3B - Other Items'!G39</f>
        <v>200727.47</v>
      </c>
      <c r="D22" s="807">
        <f>'Sch 3B - Other Items'!H39</f>
        <v>45229.2</v>
      </c>
      <c r="E22" s="807">
        <f>'Sch 3B - Other Items'!I39</f>
        <v>4025.9575544761065</v>
      </c>
      <c r="F22" s="808">
        <f>'Sch 3B - Other Items'!J39</f>
        <v>151472.31244552392</v>
      </c>
    </row>
    <row r="23" spans="1:6" s="9" customFormat="1" ht="15.75">
      <c r="A23" s="324" t="s">
        <v>271</v>
      </c>
      <c r="B23" s="23"/>
      <c r="C23" s="109"/>
      <c r="D23" s="109"/>
      <c r="E23" s="109"/>
      <c r="F23" s="325"/>
    </row>
    <row r="24" spans="1:6" s="9" customFormat="1" ht="16.5" thickBot="1">
      <c r="A24" s="326"/>
      <c r="B24" s="23"/>
      <c r="C24" s="109"/>
      <c r="D24" s="109"/>
      <c r="E24" s="109"/>
      <c r="F24" s="325"/>
    </row>
    <row r="25" spans="1:6" s="9" customFormat="1" ht="16.5" thickBot="1">
      <c r="A25" s="323" t="s">
        <v>86</v>
      </c>
      <c r="B25" s="23"/>
      <c r="C25" s="809">
        <f>C13+C16+C19-C22</f>
        <v>14726933.504955001</v>
      </c>
      <c r="D25" s="809">
        <f>D13+D16+D19-D22</f>
        <v>7945358.864948719</v>
      </c>
      <c r="E25" s="809">
        <f>E13+E16+E19-E22</f>
        <v>1323997.6446760944</v>
      </c>
      <c r="F25" s="810">
        <f>F13+F16+F19-F22</f>
        <v>5457576.995330187</v>
      </c>
    </row>
    <row r="26" spans="1:9" s="9" customFormat="1" ht="15.75">
      <c r="A26" s="324" t="s">
        <v>237</v>
      </c>
      <c r="B26" s="49"/>
      <c r="C26" s="88"/>
      <c r="D26" s="88"/>
      <c r="E26" s="94"/>
      <c r="F26" s="318"/>
      <c r="G26" s="11"/>
      <c r="H26" s="11"/>
      <c r="I26" s="11"/>
    </row>
    <row r="27" spans="1:6" s="9" customFormat="1" ht="15.75">
      <c r="A27" s="322"/>
      <c r="B27" s="1"/>
      <c r="C27" s="1"/>
      <c r="D27" s="1"/>
      <c r="E27" s="1"/>
      <c r="F27" s="247"/>
    </row>
    <row r="28" spans="1:6" s="9" customFormat="1" ht="16.5" thickBot="1">
      <c r="A28" s="290"/>
      <c r="B28" s="312"/>
      <c r="C28" s="312"/>
      <c r="D28" s="312"/>
      <c r="E28" s="312"/>
      <c r="F28" s="313"/>
    </row>
    <row r="29" spans="1:6" s="9" customFormat="1" ht="16.5" thickTop="1">
      <c r="A29" s="335"/>
      <c r="B29" s="336"/>
      <c r="C29" s="336"/>
      <c r="D29" s="336"/>
      <c r="E29" s="336"/>
      <c r="F29" s="337"/>
    </row>
    <row r="30" spans="1:6" s="9" customFormat="1" ht="16.5" thickBot="1">
      <c r="A30" s="322"/>
      <c r="B30" s="1"/>
      <c r="C30" s="1"/>
      <c r="D30" s="1"/>
      <c r="E30" s="1"/>
      <c r="F30" s="247"/>
    </row>
    <row r="31" spans="1:6" s="9" customFormat="1" ht="16.5" thickBot="1">
      <c r="A31" s="811" t="s">
        <v>272</v>
      </c>
      <c r="B31" s="77"/>
      <c r="C31" s="87"/>
      <c r="D31" s="89"/>
      <c r="E31" s="89"/>
      <c r="F31" s="247"/>
    </row>
    <row r="32" spans="1:9" s="9" customFormat="1" ht="15.75">
      <c r="A32" s="327" t="s">
        <v>163</v>
      </c>
      <c r="B32" s="77"/>
      <c r="C32" s="87"/>
      <c r="D32" s="781">
        <f>D25</f>
        <v>7945358.864948719</v>
      </c>
      <c r="E32" s="89"/>
      <c r="F32" s="328"/>
      <c r="G32" s="26"/>
      <c r="H32" s="26"/>
      <c r="I32" s="26"/>
    </row>
    <row r="33" spans="1:9" s="9" customFormat="1" ht="15.75">
      <c r="A33" s="327" t="s">
        <v>16</v>
      </c>
      <c r="B33" s="77"/>
      <c r="C33" s="87"/>
      <c r="D33" s="782">
        <f>+E25</f>
        <v>1323997.6446760944</v>
      </c>
      <c r="E33" s="89"/>
      <c r="F33" s="329"/>
      <c r="G33"/>
      <c r="H33"/>
      <c r="I33" s="25"/>
    </row>
    <row r="34" spans="1:9" s="9" customFormat="1" ht="16.5" thickBot="1">
      <c r="A34" s="327" t="s">
        <v>276</v>
      </c>
      <c r="B34" s="77"/>
      <c r="C34" s="87"/>
      <c r="D34" s="783"/>
      <c r="E34" s="89"/>
      <c r="F34" s="329"/>
      <c r="G34"/>
      <c r="H34"/>
      <c r="I34" s="25"/>
    </row>
    <row r="35" spans="1:9" s="9" customFormat="1" ht="16.5" thickBot="1">
      <c r="A35" s="234" t="s">
        <v>273</v>
      </c>
      <c r="B35" s="77"/>
      <c r="C35" s="87"/>
      <c r="D35" s="809">
        <f>D32+D33-D34</f>
        <v>9269356.509624813</v>
      </c>
      <c r="E35" s="89"/>
      <c r="F35" s="329"/>
      <c r="G35"/>
      <c r="H35"/>
      <c r="I35" s="25"/>
    </row>
    <row r="36" spans="1:9" s="9" customFormat="1" ht="16.5" thickBot="1">
      <c r="A36" s="327"/>
      <c r="B36" s="77"/>
      <c r="C36" s="87"/>
      <c r="D36" s="115"/>
      <c r="E36" s="89"/>
      <c r="F36" s="329"/>
      <c r="G36"/>
      <c r="H36"/>
      <c r="I36" s="78"/>
    </row>
    <row r="37" spans="1:9" s="9" customFormat="1" ht="16.5" thickBot="1">
      <c r="A37" s="811" t="s">
        <v>274</v>
      </c>
      <c r="B37" s="77"/>
      <c r="C37" s="87"/>
      <c r="D37" s="115"/>
      <c r="E37" s="89"/>
      <c r="F37" s="329"/>
      <c r="G37"/>
      <c r="H37"/>
      <c r="I37" s="58"/>
    </row>
    <row r="38" spans="1:9" s="9" customFormat="1" ht="15.75">
      <c r="A38" s="327" t="s">
        <v>164</v>
      </c>
      <c r="B38" s="77"/>
      <c r="C38" s="87"/>
      <c r="D38" s="333">
        <v>234779</v>
      </c>
      <c r="E38" s="95"/>
      <c r="F38" s="329"/>
      <c r="G38"/>
      <c r="H38"/>
      <c r="I38" s="53"/>
    </row>
    <row r="39" spans="1:9" s="9" customFormat="1" ht="15.75">
      <c r="A39" s="327" t="s">
        <v>165</v>
      </c>
      <c r="B39" s="77"/>
      <c r="C39" s="87"/>
      <c r="D39" s="332"/>
      <c r="E39" s="95"/>
      <c r="F39" s="329"/>
      <c r="G39"/>
      <c r="H39"/>
      <c r="I39" s="79"/>
    </row>
    <row r="40" spans="1:9" s="9" customFormat="1" ht="15.75">
      <c r="A40" s="327" t="s">
        <v>277</v>
      </c>
      <c r="B40" s="77"/>
      <c r="C40" s="87"/>
      <c r="D40" s="332">
        <f>D38-D39</f>
        <v>234779</v>
      </c>
      <c r="E40" s="95"/>
      <c r="F40" s="329"/>
      <c r="G40"/>
      <c r="H40"/>
      <c r="I40" s="53"/>
    </row>
    <row r="41" spans="1:9" s="9" customFormat="1" ht="16.5" thickBot="1">
      <c r="A41" s="327" t="s">
        <v>278</v>
      </c>
      <c r="B41" s="77"/>
      <c r="C41" s="87"/>
      <c r="D41" s="334">
        <f>D40*0.05</f>
        <v>11738.95</v>
      </c>
      <c r="E41" s="96"/>
      <c r="F41" s="329"/>
      <c r="G41"/>
      <c r="H41"/>
      <c r="I41" s="53"/>
    </row>
    <row r="42" spans="1:9" s="9" customFormat="1" ht="16.5" thickBot="1">
      <c r="A42" s="234" t="s">
        <v>275</v>
      </c>
      <c r="B42" s="77"/>
      <c r="C42" s="87"/>
      <c r="D42" s="813">
        <f>D40+D41</f>
        <v>246517.95</v>
      </c>
      <c r="E42" s="89"/>
      <c r="F42" s="330"/>
      <c r="G42"/>
      <c r="H42"/>
      <c r="I42" s="32"/>
    </row>
    <row r="43" spans="1:6" s="9" customFormat="1" ht="16.5" thickBot="1">
      <c r="A43" s="331"/>
      <c r="B43" s="77"/>
      <c r="C43" s="87"/>
      <c r="D43" s="97"/>
      <c r="E43" s="89"/>
      <c r="F43" s="247"/>
    </row>
    <row r="44" spans="1:6" s="9" customFormat="1" ht="19.5" thickBot="1">
      <c r="A44" s="812" t="s">
        <v>166</v>
      </c>
      <c r="B44" s="150"/>
      <c r="C44" s="151"/>
      <c r="D44" s="814">
        <f>IF(D42=0,"$0",D35/D42)</f>
        <v>37.60114226823975</v>
      </c>
      <c r="E44" s="89"/>
      <c r="F44" s="247"/>
    </row>
    <row r="45" spans="1:6" s="9" customFormat="1" ht="16.5" thickBot="1">
      <c r="A45" s="290"/>
      <c r="B45" s="312"/>
      <c r="C45" s="312"/>
      <c r="D45" s="312"/>
      <c r="E45" s="312"/>
      <c r="F45" s="313"/>
    </row>
    <row r="46" ht="16.5" thickTop="1">
      <c r="A46" s="147"/>
    </row>
    <row r="47" ht="15.75">
      <c r="A47" s="147"/>
    </row>
    <row r="48" ht="15.75">
      <c r="A48" s="147"/>
    </row>
    <row r="49" ht="15.75">
      <c r="A49" s="147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mergeCells count="7">
    <mergeCell ref="A1:F1"/>
    <mergeCell ref="A2:F2"/>
    <mergeCell ref="A3:F3"/>
    <mergeCell ref="A9:F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9">
      <selection activeCell="D43" sqref="D43"/>
    </sheetView>
  </sheetViews>
  <sheetFormatPr defaultColWidth="9.00390625" defaultRowHeight="15.75"/>
  <cols>
    <col min="1" max="1" width="3.875" style="98" customWidth="1"/>
    <col min="2" max="2" width="48.125" style="98" customWidth="1"/>
    <col min="3" max="3" width="14.75390625" style="114" customWidth="1"/>
    <col min="4" max="4" width="24.375" style="98" customWidth="1"/>
    <col min="5" max="5" width="0.12890625" style="98" customWidth="1"/>
    <col min="6" max="16384" width="9.00390625" style="98" customWidth="1"/>
  </cols>
  <sheetData>
    <row r="1" spans="1:4" ht="19.5" thickTop="1">
      <c r="A1" s="900" t="s">
        <v>89</v>
      </c>
      <c r="B1" s="901"/>
      <c r="C1" s="901"/>
      <c r="D1" s="902"/>
    </row>
    <row r="2" spans="1:4" ht="15.75">
      <c r="A2" s="903" t="s">
        <v>91</v>
      </c>
      <c r="B2" s="856"/>
      <c r="C2" s="856"/>
      <c r="D2" s="904"/>
    </row>
    <row r="3" spans="1:4" ht="15.75">
      <c r="A3" s="905" t="s">
        <v>400</v>
      </c>
      <c r="B3" s="885"/>
      <c r="C3" s="885"/>
      <c r="D3" s="906"/>
    </row>
    <row r="4" spans="1:4" ht="12.75" customHeight="1" thickBot="1">
      <c r="A4" s="529"/>
      <c r="B4" s="296"/>
      <c r="C4" s="296"/>
      <c r="D4" s="530"/>
    </row>
    <row r="5" spans="1:5" ht="15.75">
      <c r="A5" s="529"/>
      <c r="B5" s="726" t="s">
        <v>460</v>
      </c>
      <c r="C5" s="858" t="s">
        <v>472</v>
      </c>
      <c r="D5" s="859"/>
      <c r="E5" s="860"/>
    </row>
    <row r="6" spans="1:5" ht="15.75">
      <c r="A6" s="529"/>
      <c r="B6" s="726" t="s">
        <v>462</v>
      </c>
      <c r="C6" s="861" t="s">
        <v>473</v>
      </c>
      <c r="D6" s="862"/>
      <c r="E6" s="846"/>
    </row>
    <row r="7" spans="1:5" ht="16.5" thickBot="1">
      <c r="A7" s="529"/>
      <c r="B7" s="726" t="s">
        <v>463</v>
      </c>
      <c r="C7" s="847">
        <v>39575</v>
      </c>
      <c r="D7" s="848"/>
      <c r="E7" s="849"/>
    </row>
    <row r="8" spans="1:4" ht="15.75">
      <c r="A8" s="529"/>
      <c r="B8" s="296"/>
      <c r="C8" s="296"/>
      <c r="D8" s="530"/>
    </row>
    <row r="9" spans="1:5" ht="15.75">
      <c r="A9" s="924" t="s">
        <v>327</v>
      </c>
      <c r="B9" s="925"/>
      <c r="C9" s="925"/>
      <c r="D9" s="926"/>
      <c r="E9"/>
    </row>
    <row r="10" spans="1:5" s="526" customFormat="1" ht="9" customHeight="1" thickBot="1">
      <c r="A10" s="787"/>
      <c r="B10" s="788"/>
      <c r="C10" s="788"/>
      <c r="D10" s="789"/>
      <c r="E10" s="496"/>
    </row>
    <row r="11" spans="1:5" ht="15.75">
      <c r="A11" s="930" t="s">
        <v>471</v>
      </c>
      <c r="B11" s="931"/>
      <c r="C11" s="345" t="s">
        <v>167</v>
      </c>
      <c r="D11" s="927" t="s">
        <v>158</v>
      </c>
      <c r="E11"/>
    </row>
    <row r="12" spans="1:5" ht="15.75">
      <c r="A12" s="932"/>
      <c r="B12" s="933"/>
      <c r="C12" s="314" t="s">
        <v>311</v>
      </c>
      <c r="D12" s="928"/>
      <c r="E12"/>
    </row>
    <row r="13" spans="1:5" ht="16.5" thickBot="1">
      <c r="A13" s="934"/>
      <c r="B13" s="935"/>
      <c r="C13" s="346" t="s">
        <v>312</v>
      </c>
      <c r="D13" s="929"/>
      <c r="E13"/>
    </row>
    <row r="14" spans="1:5" ht="15.75">
      <c r="A14" s="540" t="s">
        <v>279</v>
      </c>
      <c r="B14" s="154"/>
      <c r="C14" s="296"/>
      <c r="D14" s="340"/>
      <c r="E14"/>
    </row>
    <row r="15" spans="1:4" ht="15.75">
      <c r="A15" s="540" t="s">
        <v>154</v>
      </c>
      <c r="B15" s="154"/>
      <c r="C15" s="348"/>
      <c r="D15" s="341"/>
    </row>
    <row r="16" spans="1:4" ht="12.75">
      <c r="A16" s="541"/>
      <c r="B16" s="784" t="s">
        <v>15</v>
      </c>
      <c r="C16" s="349" t="s">
        <v>328</v>
      </c>
      <c r="D16" s="350">
        <f>448728.08+132453.09+2404.26+833.12</f>
        <v>584418.55</v>
      </c>
    </row>
    <row r="17" spans="1:4" ht="12.75">
      <c r="A17" s="541"/>
      <c r="B17" s="784" t="s">
        <v>16</v>
      </c>
      <c r="C17" s="349" t="s">
        <v>328</v>
      </c>
      <c r="D17" s="350">
        <f>84886.86+28014.77</f>
        <v>112901.63</v>
      </c>
    </row>
    <row r="18" spans="1:4" ht="12.75">
      <c r="A18" s="541"/>
      <c r="B18" s="784" t="s">
        <v>280</v>
      </c>
      <c r="C18" s="349" t="s">
        <v>328</v>
      </c>
      <c r="D18" s="350">
        <f>157596+72219.85+230132.77+59416.11+103405.01+28822.87+103517.98+35007.96+16364.78+4905.56+117502.7+40695.6</f>
        <v>969587.19</v>
      </c>
    </row>
    <row r="19" spans="1:4" ht="12.75">
      <c r="A19" s="541"/>
      <c r="B19" s="784" t="s">
        <v>281</v>
      </c>
      <c r="C19" s="349" t="s">
        <v>328</v>
      </c>
      <c r="D19" s="350">
        <f>70333.57+21839.88+90263.24+38790.39+19151.85+5886.78</f>
        <v>246265.71000000002</v>
      </c>
    </row>
    <row r="20" spans="1:4" ht="12.75">
      <c r="A20" s="541"/>
      <c r="B20" s="784" t="s">
        <v>323</v>
      </c>
      <c r="C20" s="349" t="s">
        <v>328</v>
      </c>
      <c r="D20" s="350">
        <f>39316.48+13124.21</f>
        <v>52440.69</v>
      </c>
    </row>
    <row r="21" spans="1:4" ht="12.75">
      <c r="A21" s="541"/>
      <c r="B21" s="784" t="s">
        <v>283</v>
      </c>
      <c r="C21" s="349" t="s">
        <v>328</v>
      </c>
      <c r="D21" s="350"/>
    </row>
    <row r="22" spans="1:4" ht="12.75">
      <c r="A22" s="541"/>
      <c r="B22" s="784" t="s">
        <v>284</v>
      </c>
      <c r="C22" s="349" t="s">
        <v>328</v>
      </c>
      <c r="D22" s="350">
        <f>9808.12+2395.43+14076.88+4037.92+2495.01+782.36+33874.09+9944.77</f>
        <v>77414.58</v>
      </c>
    </row>
    <row r="23" spans="1:9" ht="15.75">
      <c r="A23" s="540" t="s">
        <v>440</v>
      </c>
      <c r="B23" s="155"/>
      <c r="C23" s="785"/>
      <c r="D23" s="786">
        <f>SUM(D16:D22)</f>
        <v>2043028.35</v>
      </c>
      <c r="I23" s="526"/>
    </row>
    <row r="24" spans="1:9" ht="15.75">
      <c r="A24" s="541"/>
      <c r="B24" s="155"/>
      <c r="C24" s="157"/>
      <c r="D24" s="347"/>
      <c r="I24" s="526"/>
    </row>
    <row r="25" spans="1:9" ht="15.75">
      <c r="A25" s="540" t="s">
        <v>155</v>
      </c>
      <c r="B25" s="154"/>
      <c r="C25" s="158"/>
      <c r="D25" s="347"/>
      <c r="I25" s="526"/>
    </row>
    <row r="26" spans="1:9" ht="12.75">
      <c r="A26" s="541"/>
      <c r="B26" s="784" t="s">
        <v>15</v>
      </c>
      <c r="C26" s="349" t="s">
        <v>328</v>
      </c>
      <c r="D26" s="350">
        <f>38124.2+12985.19</f>
        <v>51109.39</v>
      </c>
      <c r="I26" s="526"/>
    </row>
    <row r="27" spans="1:9" ht="12.75">
      <c r="A27" s="541"/>
      <c r="B27" s="784" t="s">
        <v>16</v>
      </c>
      <c r="C27" s="349" t="s">
        <v>328</v>
      </c>
      <c r="D27" s="350">
        <f>55511.09+7859.64+30.6+4.01+71842+12373</f>
        <v>147620.34</v>
      </c>
      <c r="I27" s="526"/>
    </row>
    <row r="28" spans="1:9" ht="12.75">
      <c r="A28" s="541"/>
      <c r="B28" s="784" t="s">
        <v>280</v>
      </c>
      <c r="C28" s="349" t="s">
        <v>328</v>
      </c>
      <c r="D28" s="350">
        <f>3726.09+1078.07+26535.71+7861.39+99467.56+31664.3</f>
        <v>170333.12</v>
      </c>
      <c r="I28" s="526"/>
    </row>
    <row r="29" spans="1:9" ht="12.75">
      <c r="A29" s="541"/>
      <c r="B29" s="784" t="s">
        <v>284</v>
      </c>
      <c r="C29" s="349" t="s">
        <v>328</v>
      </c>
      <c r="D29" s="350"/>
      <c r="I29" s="526"/>
    </row>
    <row r="30" spans="1:9" ht="15.75">
      <c r="A30" s="540" t="s">
        <v>441</v>
      </c>
      <c r="B30" s="154"/>
      <c r="C30" s="785"/>
      <c r="D30" s="786">
        <f>SUM(D26:D29)</f>
        <v>369062.85</v>
      </c>
      <c r="I30" s="526"/>
    </row>
    <row r="31" spans="1:9" ht="15.75">
      <c r="A31" s="540"/>
      <c r="B31" s="154"/>
      <c r="C31" s="158"/>
      <c r="D31" s="347"/>
      <c r="I31" s="526"/>
    </row>
    <row r="32" spans="1:4" ht="15.75">
      <c r="A32" s="540" t="s">
        <v>318</v>
      </c>
      <c r="B32" s="154"/>
      <c r="C32" s="158"/>
      <c r="D32" s="347"/>
    </row>
    <row r="33" spans="1:4" ht="12.75">
      <c r="A33" s="541"/>
      <c r="B33" s="784" t="s">
        <v>319</v>
      </c>
      <c r="C33" s="349" t="s">
        <v>328</v>
      </c>
      <c r="D33" s="350">
        <f>+D16+D26</f>
        <v>635527.9400000001</v>
      </c>
    </row>
    <row r="34" spans="1:4" ht="12.75">
      <c r="A34" s="541"/>
      <c r="B34" s="784" t="s">
        <v>320</v>
      </c>
      <c r="C34" s="349" t="s">
        <v>328</v>
      </c>
      <c r="D34" s="350">
        <f>+D17+D27</f>
        <v>260521.97</v>
      </c>
    </row>
    <row r="35" spans="1:4" ht="12.75">
      <c r="A35" s="541"/>
      <c r="B35" s="784" t="s">
        <v>321</v>
      </c>
      <c r="C35" s="349" t="s">
        <v>328</v>
      </c>
      <c r="D35" s="350">
        <f>+D18+D28</f>
        <v>1139920.31</v>
      </c>
    </row>
    <row r="36" spans="1:4" ht="12.75">
      <c r="A36" s="541"/>
      <c r="B36" s="784" t="s">
        <v>322</v>
      </c>
      <c r="C36" s="349" t="s">
        <v>328</v>
      </c>
      <c r="D36" s="350">
        <f>+D19</f>
        <v>246265.71000000002</v>
      </c>
    </row>
    <row r="37" spans="1:4" ht="12.75">
      <c r="A37" s="541"/>
      <c r="B37" s="784" t="s">
        <v>324</v>
      </c>
      <c r="C37" s="349" t="s">
        <v>328</v>
      </c>
      <c r="D37" s="350">
        <f>+D20</f>
        <v>52440.69</v>
      </c>
    </row>
    <row r="38" spans="1:4" ht="12.75">
      <c r="A38" s="541"/>
      <c r="B38" s="784" t="s">
        <v>325</v>
      </c>
      <c r="C38" s="349" t="s">
        <v>328</v>
      </c>
      <c r="D38" s="350"/>
    </row>
    <row r="39" spans="1:4" ht="12.75">
      <c r="A39" s="541"/>
      <c r="B39" s="784" t="s">
        <v>326</v>
      </c>
      <c r="C39" s="349" t="s">
        <v>328</v>
      </c>
      <c r="D39" s="350">
        <f>+D22+D29</f>
        <v>77414.58</v>
      </c>
    </row>
    <row r="40" spans="1:4" ht="15.75">
      <c r="A40" s="540" t="s">
        <v>442</v>
      </c>
      <c r="B40" s="155"/>
      <c r="C40" s="785"/>
      <c r="D40" s="786">
        <f>SUM(D33:D39)</f>
        <v>2412091.2</v>
      </c>
    </row>
    <row r="41" spans="1:4" ht="13.5" thickBot="1">
      <c r="A41" s="542"/>
      <c r="B41" s="342"/>
      <c r="C41" s="343"/>
      <c r="D41" s="344"/>
    </row>
    <row r="42" ht="13.5" thickTop="1"/>
  </sheetData>
  <mergeCells count="9">
    <mergeCell ref="D11:D13"/>
    <mergeCell ref="A11:B13"/>
    <mergeCell ref="A1:D1"/>
    <mergeCell ref="A2:D2"/>
    <mergeCell ref="A3:D3"/>
    <mergeCell ref="A9:D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Average SYstem Cost Template</dc:title>
  <dc:subject>Average System Cost Methodology</dc:subject>
  <dc:creator>BPA</dc:creator>
  <cp:keywords/>
  <dc:description/>
  <cp:lastModifiedBy>mls3507</cp:lastModifiedBy>
  <cp:lastPrinted>2008-04-30T23:52:00Z</cp:lastPrinted>
  <dcterms:created xsi:type="dcterms:W3CDTF">2002-12-16T15:40:56Z</dcterms:created>
  <dcterms:modified xsi:type="dcterms:W3CDTF">2008-05-19T23:21:34Z</dcterms:modified>
  <cp:category/>
  <cp:version/>
  <cp:contentType/>
  <cp:contentStatus/>
</cp:coreProperties>
</file>