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65491" windowWidth="7680" windowHeight="8970" firstSheet="4" activeTab="4"/>
  </bookViews>
  <sheets>
    <sheet name="FY 07 PB " sheetId="1" state="hidden" r:id="rId1"/>
    <sheet name="PRES vs. EST. ENACTED" sheetId="2" state="hidden" r:id="rId2"/>
    <sheet name="LEAD RECOM INCR" sheetId="3" state="hidden" r:id="rId3"/>
    <sheet name="APPEAL TOTAL" sheetId="4" state="hidden" r:id="rId4"/>
    <sheet name=" Total" sheetId="5" r:id="rId5"/>
  </sheets>
  <definedNames>
    <definedName name="_xlnm.Print_Area" localSheetId="3">'APPEAL TOTAL'!$A$1:$AC$137</definedName>
    <definedName name="_xlnm.Print_Titles" localSheetId="4">' Total'!$1:$9</definedName>
    <definedName name="_xlnm.Print_Titles" localSheetId="3">'APPEAL TOTAL'!$3:$11</definedName>
    <definedName name="_xlnm.Print_Titles" localSheetId="1">'PRES vs. EST. ENACTED'!$3:$12</definedName>
  </definedNames>
  <calcPr fullCalcOnLoad="1"/>
</workbook>
</file>

<file path=xl/sharedStrings.xml><?xml version="1.0" encoding="utf-8"?>
<sst xmlns="http://schemas.openxmlformats.org/spreadsheetml/2006/main" count="1157" uniqueCount="332">
  <si>
    <t>(Dollars in Thousands)</t>
  </si>
  <si>
    <t>APPROPRIATION</t>
  </si>
  <si>
    <t>POS</t>
  </si>
  <si>
    <t>FTE</t>
  </si>
  <si>
    <t>BA</t>
  </si>
  <si>
    <t>CURRENT SERVICES</t>
  </si>
  <si>
    <t xml:space="preserve">   INTERPOL………………………………………………………………………………….</t>
  </si>
  <si>
    <t>U.S. ATTORNEYS……………………………………………………………………………….</t>
  </si>
  <si>
    <t>FOREIGN CLAIMS SETTLEMENT COMM (150)……………………………………………</t>
  </si>
  <si>
    <t xml:space="preserve">   SALARIES &amp; EXPENSES…………………………………………………………………</t>
  </si>
  <si>
    <t>COMMUNITY RELATIONS SERVICE……………………………………………………………</t>
  </si>
  <si>
    <t>INTERAGENCY CRIME &amp; DRUG ENFORCEMENT……………………………………………………………………………………………..</t>
  </si>
  <si>
    <t>FEDERAL BUREAU OF INVESTIGATION…………………………………………………………………</t>
  </si>
  <si>
    <t>DRUG ENFORCEMENT ADMINISTRATION…………………………………………………………………………………………………………………………………………………..</t>
  </si>
  <si>
    <t xml:space="preserve">   SALARIES &amp; EXPENSES…………………………………………………………………………………………………….</t>
  </si>
  <si>
    <t>FEDERAL PRISON SYSTEM………………………………………………………………………………………..</t>
  </si>
  <si>
    <t xml:space="preserve">   SALARIES &amp; EXPENSES……………………………………………………………………………………………………….</t>
  </si>
  <si>
    <t xml:space="preserve">   JUSTICE ASSISTANCE………………………………………………………………………………………………………………..</t>
  </si>
  <si>
    <t xml:space="preserve">   JUVENILE JUSTICE PROGRAMS………………………………………………………………………………………………………….</t>
  </si>
  <si>
    <t xml:space="preserve">   DIVERSION CONTROL FEE………………………………………………………………………………….</t>
  </si>
  <si>
    <t>[880]</t>
  </si>
  <si>
    <t>TOTAL BA, DISCR &amp; MANDATORY, DEPT. OF JUSTICE ……………………………………………………………………………………</t>
  </si>
  <si>
    <t>COUNTERTERRORISM FUND…………………………………………..…………………</t>
  </si>
  <si>
    <t xml:space="preserve">   TAX DIVISION…………………………………………………….…………………</t>
  </si>
  <si>
    <t xml:space="preserve">   CRIMINAL DIVISION…………………………………………...……………………..</t>
  </si>
  <si>
    <t xml:space="preserve">   ENVIR &amp; NAT'L RESOURCES DIVISION………………...…………………..</t>
  </si>
  <si>
    <t xml:space="preserve">  STATE AND LOCAL LAW ENFORCEMENT ASSISTANCE…………………………………………</t>
  </si>
  <si>
    <t>ADJUSTMENTS-TO-BASE</t>
  </si>
  <si>
    <t>TOTAL</t>
  </si>
  <si>
    <t>PROGRAM OFFSETS</t>
  </si>
  <si>
    <t>[723]</t>
  </si>
  <si>
    <t>MANDATORY AND OTHER ACCOUNTS:</t>
  </si>
  <si>
    <t>TOTAL BA, DEPARTMENT OF JUSTICE, WITH OFFSET</t>
  </si>
  <si>
    <t>SUBTOTAL, MANDATORY AND OTHER ACCOUNTS………………………………………………………………………..</t>
  </si>
  <si>
    <t>BUREAU OF ALCOHOL, TOBACCO, FIREARMS &amp; EXPLOSIVES………………………………………………………………………………………………</t>
  </si>
  <si>
    <t>ADMINISTRATIVE REVIEW &amp; APPEALS……………………………………..………………………</t>
  </si>
  <si>
    <t>U.S. MARSHALS SERVICE…………………………………………………………………………</t>
  </si>
  <si>
    <t>ASSETS FORFEITURE FUND CURRENT BUDGET AUTHORITY……………………………………………………………….</t>
  </si>
  <si>
    <t>GENERAL ADMINISTRATION…………………………………………………..</t>
  </si>
  <si>
    <t>U.S. PAROLE COMMISSION…………………………………………………….</t>
  </si>
  <si>
    <t>GENERAL LEGAL ACTIVITIES…………………………………………………</t>
  </si>
  <si>
    <t xml:space="preserve">   SOLICITOR GENERAL……………………………………………………..</t>
  </si>
  <si>
    <t xml:space="preserve">   CIVIL DIVISION………………………………………………………………</t>
  </si>
  <si>
    <t xml:space="preserve">   LEGAL COUNSEL……………………………………………………………</t>
  </si>
  <si>
    <t xml:space="preserve">   CIVIL RIGHTS DIVISION……………………………………………………</t>
  </si>
  <si>
    <t>ANTITRUST………………………………………………………………………</t>
  </si>
  <si>
    <t>HEALTH CARE FRAUD REIMBURSEMENTS</t>
  </si>
  <si>
    <t xml:space="preserve">       FBI- Health Care Fraud</t>
  </si>
  <si>
    <t>[731]</t>
  </si>
  <si>
    <t>Recissions</t>
  </si>
  <si>
    <t xml:space="preserve"> Unobl. Bal.</t>
  </si>
  <si>
    <t>Prior Year</t>
  </si>
  <si>
    <t>Adj.</t>
  </si>
  <si>
    <t>DISCRETARY GRANTS PROGRAMS…………………………………………………………………………….</t>
  </si>
  <si>
    <t>DISCRETIONARY OFFSETS AND RESCISSIONS:</t>
  </si>
  <si>
    <t>[775]</t>
  </si>
  <si>
    <t>PROG. REVISED INTERAGENCY CRIME &amp; DRUG ENFORCEMENT</t>
  </si>
  <si>
    <t>DEPARTMENT OF JUSTICE</t>
  </si>
  <si>
    <t>SUBTOTAL, DISCRETIONARY w/o State and Local ………………………………………………………………………………………..</t>
  </si>
  <si>
    <t>Supplemental</t>
  </si>
  <si>
    <t>[2,458]</t>
  </si>
  <si>
    <t>COMMISSARY FUND…………………………………………………………………………………………………………………</t>
  </si>
  <si>
    <t xml:space="preserve">       USA/GLA-Health Care Fraud</t>
  </si>
  <si>
    <t>[250]</t>
  </si>
  <si>
    <t>[17,000]</t>
  </si>
  <si>
    <t xml:space="preserve">FY 06 </t>
  </si>
  <si>
    <t>[1,519]</t>
  </si>
  <si>
    <t>[2,058]</t>
  </si>
  <si>
    <t xml:space="preserve">    Explosive Poundage Fee</t>
  </si>
  <si>
    <t xml:space="preserve">    OJP - Rescission of Prior Year Balances</t>
  </si>
  <si>
    <t xml:space="preserve">    Debt Collection - Enhanced collection of Criminal Debts</t>
  </si>
  <si>
    <t xml:space="preserve">    USMS - Avoidance of GSA RWA fees </t>
  </si>
  <si>
    <t xml:space="preserve">   BUILDINGS &amp; FACILITIES  …………………………………………………………………………………</t>
  </si>
  <si>
    <t>WORKING CAPITAL FUND ……………………………………………………..</t>
  </si>
  <si>
    <t>DETENTION TRUSTEE …………………………………………………………...…..</t>
  </si>
  <si>
    <t>[760]</t>
  </si>
  <si>
    <t>FEDERAL PRISON INDUSTRIES (limitation on adm exp.)…………………………………………………………………………..</t>
  </si>
  <si>
    <t>U.S. TRUSTEES …………………………………………………………………………………….</t>
  </si>
  <si>
    <t>SUBTOTAL, DISCRETIONARY w/o Offsets ………………………………………………………………………………………..</t>
  </si>
  <si>
    <t>SUBTOTAL, DISCRETIONARY OFFSETS………………………………………………………………………..</t>
  </si>
  <si>
    <t>TOTAL, DOJ APPROPRIATIONS ………………………………………………………………………..</t>
  </si>
  <si>
    <t>TRANSFERS</t>
  </si>
  <si>
    <t>[1,025]</t>
  </si>
  <si>
    <t xml:space="preserve">   NDIC OVERGUIDANCE</t>
  </si>
  <si>
    <t xml:space="preserve">   FBI OVERGUIDANCE</t>
  </si>
  <si>
    <t xml:space="preserve">   DEA</t>
  </si>
  <si>
    <t>MEMO ENTRY:  INTELLIGENCE RELATED ACCOUNTS</t>
  </si>
  <si>
    <t xml:space="preserve">SUBTOTAL </t>
  </si>
  <si>
    <t>TOTAL, DOJ DIRECT DISCRETIONARY BA</t>
  </si>
  <si>
    <t xml:space="preserve">   FEES AND EXPENSES OF WITNESSES (Mand)……………………………………………………………………</t>
  </si>
  <si>
    <t>SUBTOTAL, HEALTH FRAUD REIMBURSEMENTS</t>
  </si>
  <si>
    <t>[581]</t>
  </si>
  <si>
    <t>[448,264]</t>
  </si>
  <si>
    <t>[39,000]</t>
  </si>
  <si>
    <t xml:space="preserve">   FBI  (TBD)</t>
  </si>
  <si>
    <t>TBD</t>
  </si>
  <si>
    <t xml:space="preserve">   DEA OVERGUIDANCE   (TBD)</t>
  </si>
  <si>
    <t>[78]</t>
  </si>
  <si>
    <t>[40]</t>
  </si>
  <si>
    <t>[14,677]</t>
  </si>
  <si>
    <t>[659]</t>
  </si>
  <si>
    <t xml:space="preserve">MEMO ENTRY: </t>
  </si>
  <si>
    <t>SUBTOTAL, TRANSFERS…………………………………………………………………………</t>
  </si>
  <si>
    <t>[2,371,059]</t>
  </si>
  <si>
    <t xml:space="preserve">    Detention Trustee PY Unobligated Balances</t>
  </si>
  <si>
    <t>JUSTICE PRISONER AND ALIEN TRANSPORTATION SYSTEM</t>
  </si>
  <si>
    <t xml:space="preserve">   Counterterrorism Fund PY-Unobligated Balances…</t>
  </si>
  <si>
    <t xml:space="preserve">    Working Capital Fund PY Unobligated Balances Rescissions</t>
  </si>
  <si>
    <t xml:space="preserve">   Miscellaneous Unobligated Balances Rescissions …</t>
  </si>
  <si>
    <t xml:space="preserve">   OFFICE OF DISPUTE RESOLUTION………</t>
  </si>
  <si>
    <t>VACCINE INJURY COMPENSATION TRUST FUND.....</t>
  </si>
  <si>
    <t>RADIATION EXP COMP TRUST FUND.....………</t>
  </si>
  <si>
    <t xml:space="preserve">   Minus: Offset from U.S. Trustee Fees and Intrest on U.S. Securities</t>
  </si>
  <si>
    <t xml:space="preserve">   CONSTRUCTION……………………………………………………</t>
  </si>
  <si>
    <t xml:space="preserve">   SALARIES &amp; EXPENSES……………………………….</t>
  </si>
  <si>
    <t xml:space="preserve">   CONSTRUCTION…………………………………</t>
  </si>
  <si>
    <t xml:space="preserve">   SALARIES &amp; EXPENSES…………………</t>
  </si>
  <si>
    <t xml:space="preserve">   JUVENILE JUSTICE PROGRAMS…………</t>
  </si>
  <si>
    <t xml:space="preserve">  STATE and LOCAL LAW ENFORCEMENT ASSIST.</t>
  </si>
  <si>
    <t xml:space="preserve">   WEED AND SEED…………………</t>
  </si>
  <si>
    <t xml:space="preserve">       COMMUNITY POLICING ………</t>
  </si>
  <si>
    <t xml:space="preserve">        Minus:  COPS Rescissions from Balances……………</t>
  </si>
  <si>
    <t xml:space="preserve">    CRIME VICTIM FUND RESCISSIONS……………………</t>
  </si>
  <si>
    <t xml:space="preserve">   INDEPENDENT COUNSEL (PERM Indef)…………………</t>
  </si>
  <si>
    <t xml:space="preserve">   PUBLIC SAFETY OFFICERS' DEATH BENEFITS (Mand)…</t>
  </si>
  <si>
    <t xml:space="preserve">   U. S. TRUSTEES FEE COLLECTIONS……………</t>
  </si>
  <si>
    <t xml:space="preserve">   RADIATION EXPOSURE Compensation Trust Fund-050) (Mand)</t>
  </si>
  <si>
    <t xml:space="preserve">   NAT'L DRUG INTEL CENTER (NDIC)……………………</t>
  </si>
  <si>
    <t xml:space="preserve">   RADIATION EXP COMP ADMIN EXP…………………</t>
  </si>
  <si>
    <t xml:space="preserve">   RADIATION EXP COMP TRUST FUND.....………….</t>
  </si>
  <si>
    <t xml:space="preserve">  EXECUTIVE OFFICE FOR IMMIGRATION REVIEW…………</t>
  </si>
  <si>
    <t xml:space="preserve">  PARDON ATTORNEY…………………</t>
  </si>
  <si>
    <t>OFFICE OF THE INSPECTOR GENERAL……</t>
  </si>
  <si>
    <t xml:space="preserve">     WORKING CAPITAL FUND……………</t>
  </si>
  <si>
    <t xml:space="preserve">   Minus:  Offset from Antitrust Pre-Merger Filing Fee………</t>
  </si>
  <si>
    <t xml:space="preserve">  ASSETS FORFEITURE FUND CURRENT BUDGET AUTHORITY…</t>
  </si>
  <si>
    <t xml:space="preserve">    Building and Facilities PY Unobligated Balances Rescission</t>
  </si>
  <si>
    <t xml:space="preserve">   JUSTICE ASSISTANCE…………</t>
  </si>
  <si>
    <t xml:space="preserve">        Minus:  Rescissions from Balances………</t>
  </si>
  <si>
    <t xml:space="preserve">    PSOB………………………</t>
  </si>
  <si>
    <t xml:space="preserve">    FEDERAL PRISON SYSTEM-Unobligated Bal. Rescissions</t>
  </si>
  <si>
    <t xml:space="preserve">    WORKING CAPITAL FUND RESCISSIONS………</t>
  </si>
  <si>
    <t xml:space="preserve">   NAT'L DRUG INTEL CENTER   (O5O)…</t>
  </si>
  <si>
    <t xml:space="preserve">   ASSETS FORFEITURE FUND (Perm Budget Auth) </t>
  </si>
  <si>
    <t xml:space="preserve">   ANTITRUST PRE-MERGER FILING FEE COLLECTIONS</t>
  </si>
  <si>
    <t xml:space="preserve">   CRIME VICTIMS FUND……………</t>
  </si>
  <si>
    <t xml:space="preserve">   FBI/S&amp;E…………</t>
  </si>
  <si>
    <t xml:space="preserve">   FBI/TCC…………</t>
  </si>
  <si>
    <t>NATIONAL SECURITY DIVISION</t>
  </si>
  <si>
    <t>[695]</t>
  </si>
  <si>
    <t>[1,468]</t>
  </si>
  <si>
    <t>[300]</t>
  </si>
  <si>
    <t>[51,600]</t>
  </si>
  <si>
    <t xml:space="preserve">   Minus: Unobligated Balance Rescission</t>
  </si>
  <si>
    <t>[1,139]</t>
  </si>
  <si>
    <t>[1,172]</t>
  </si>
  <si>
    <t xml:space="preserve">   FBI- Reallignment of Criminal to CT</t>
  </si>
  <si>
    <t xml:space="preserve">    ASSET FORFEITURE FUND SUPER SURPLUS TO BOP</t>
  </si>
  <si>
    <t xml:space="preserve">      HHS DISCRETIONARY REIMBURSEMENT</t>
  </si>
  <si>
    <t>[1,110]</t>
  </si>
  <si>
    <t>Enacted</t>
  </si>
  <si>
    <t>Reduction</t>
  </si>
  <si>
    <t xml:space="preserve">from </t>
  </si>
  <si>
    <t>Supp</t>
  </si>
  <si>
    <t xml:space="preserve">    CRIME VICTIM FUND RESCISSIONS FROM UNOBL. BAL.</t>
  </si>
  <si>
    <t>[41]</t>
  </si>
  <si>
    <t>[6,333]</t>
  </si>
  <si>
    <t>[6,270]</t>
  </si>
  <si>
    <t xml:space="preserve">    NAT'L DRUG INTEL CENTER  </t>
  </si>
  <si>
    <t>[152]</t>
  </si>
  <si>
    <t>[133]</t>
  </si>
  <si>
    <t>[44,534]</t>
  </si>
  <si>
    <t>SPECTRUM RELOCATION FUND TRANSFERS</t>
  </si>
  <si>
    <t xml:space="preserve">    FBI</t>
  </si>
  <si>
    <t xml:space="preserve">    DEA</t>
  </si>
  <si>
    <t xml:space="preserve">    ATF</t>
  </si>
  <si>
    <t>[3,587]</t>
  </si>
  <si>
    <t>[3,516]</t>
  </si>
  <si>
    <t>[3,580]</t>
  </si>
  <si>
    <t>[3,524]</t>
  </si>
  <si>
    <t>JUSTICE INFORMATION SHARING TECHNOLOGY</t>
  </si>
  <si>
    <t xml:space="preserve">FY 07 </t>
  </si>
  <si>
    <t>[1,010]</t>
  </si>
  <si>
    <t xml:space="preserve"> War</t>
  </si>
  <si>
    <t>TACTICAL WIRELESS LAW ENFORCEMENT COMMUNICATIONS</t>
  </si>
  <si>
    <t>4% ABOVE</t>
  </si>
  <si>
    <t>CURRENT SVC</t>
  </si>
  <si>
    <t>4% BELOW</t>
  </si>
  <si>
    <t>FY 07 PB</t>
  </si>
  <si>
    <t>[6]</t>
  </si>
  <si>
    <t>[701]</t>
  </si>
  <si>
    <t>[17]</t>
  </si>
  <si>
    <t>[2,075]</t>
  </si>
  <si>
    <t>[15]</t>
  </si>
  <si>
    <t>[1,187]</t>
  </si>
  <si>
    <t>OFFICE OF JUSTICE PROGRAM</t>
  </si>
  <si>
    <t>COMMUNITY POLICING (INCLUDES OJP PROGRAMS)……………………………………………………………………………………</t>
  </si>
  <si>
    <t>OFFICE ON VIOLENCE AGAINST WOMEN………………………………………………………………………………………………………</t>
  </si>
  <si>
    <t xml:space="preserve"> </t>
  </si>
  <si>
    <t>[500]</t>
  </si>
  <si>
    <t>[6,833]</t>
  </si>
  <si>
    <t>[11,720]</t>
  </si>
  <si>
    <t>Technical</t>
  </si>
  <si>
    <t>Adjustments</t>
  </si>
  <si>
    <t>PROGRAM INCREASES</t>
  </si>
  <si>
    <r>
      <t xml:space="preserve">   </t>
    </r>
    <r>
      <rPr>
        <i/>
        <sz val="11"/>
        <rFont val="Arial"/>
        <family val="2"/>
      </rPr>
      <t>TELECOMMUNICATIONS CARRIER COMPLIANCE - Rescission</t>
    </r>
  </si>
  <si>
    <t xml:space="preserve">    COUNTERTERRORISM FUND-Rescission</t>
  </si>
  <si>
    <t xml:space="preserve"> Minus: Violent Crime Reduction Trust Fund</t>
  </si>
  <si>
    <t xml:space="preserve">        Minus:  Rescissions from Balances OJP/COPS</t>
  </si>
  <si>
    <t>Estimated Enacted</t>
  </si>
  <si>
    <t>FY 08 OMB Passback</t>
  </si>
  <si>
    <t xml:space="preserve">FY 2008 OMB Passback </t>
  </si>
  <si>
    <t>[-453]</t>
  </si>
  <si>
    <t>Diff</t>
  </si>
  <si>
    <t>%</t>
  </si>
  <si>
    <t>[3,127]</t>
  </si>
  <si>
    <t xml:space="preserve">    ASSET FORFEITURE FUND </t>
  </si>
  <si>
    <t>[-5,506]</t>
  </si>
  <si>
    <t>President's Budget</t>
  </si>
  <si>
    <t>[3,071]</t>
  </si>
  <si>
    <t>DIFF</t>
  </si>
  <si>
    <t>FY 08 OMB PASSBACK</t>
  </si>
  <si>
    <t>BASED ON             FY 07 P. BUDGET</t>
  </si>
  <si>
    <t>BASED ON               FY 07 EST. ENACTED</t>
  </si>
  <si>
    <t>OMB PASSBACK</t>
  </si>
  <si>
    <t>INCREMENT</t>
  </si>
  <si>
    <r>
      <t xml:space="preserve">   </t>
    </r>
    <r>
      <rPr>
        <i/>
        <sz val="8"/>
        <rFont val="Arial"/>
        <family val="2"/>
      </rPr>
      <t>TELECOMMUNICATIONS CARRIER COMPLIANCE - Rescission</t>
    </r>
  </si>
  <si>
    <t>[1]</t>
  </si>
  <si>
    <t>[453]</t>
  </si>
  <si>
    <t>[3,581]</t>
  </si>
  <si>
    <t>[3.525]</t>
  </si>
  <si>
    <r>
      <t xml:space="preserve">   </t>
    </r>
    <r>
      <rPr>
        <i/>
        <sz val="14"/>
        <rFont val="Arial"/>
        <family val="2"/>
      </rPr>
      <t>TELECOMMUNICATIONS CARRIER COMPLIANCE - Rescission</t>
    </r>
  </si>
  <si>
    <t xml:space="preserve">   Minus: Offset from U.S. Trustee Fees and Interest on U.S. Securities</t>
  </si>
  <si>
    <t>FY 2008  LEADERSHIP  RECCOMENDATIONS - TOTAL</t>
  </si>
  <si>
    <t>FY 08 OMB Passback - LEADERSHIP  RECOMMENDATIONS</t>
  </si>
  <si>
    <t>FY 2008  LEADERSHIP RECOMMENDATIONS -  OMB PASSBACK</t>
  </si>
  <si>
    <t>FY 08 OMB Passback - LEADERSHIP RECOMMENDATIONS</t>
  </si>
  <si>
    <t>[3,486]</t>
  </si>
  <si>
    <t>[3,430]</t>
  </si>
  <si>
    <t>[-95]</t>
  </si>
  <si>
    <t>(DOLLARS IN THOUSANDS)</t>
  </si>
  <si>
    <t>GENERAL ADMINISTRATION</t>
  </si>
  <si>
    <t xml:space="preserve">   SALARIES &amp; EXPENSES</t>
  </si>
  <si>
    <t xml:space="preserve">DETENTION TRUSTEE </t>
  </si>
  <si>
    <t>COUNTERTERRORISM FUND</t>
  </si>
  <si>
    <t>ADMINISTRATIVE REVIEW &amp; APPEALS</t>
  </si>
  <si>
    <t xml:space="preserve">  EXECUTIVE OFFICE FOR IMMIGRATION REVIEW</t>
  </si>
  <si>
    <t xml:space="preserve">  PARDON ATTORNEY</t>
  </si>
  <si>
    <t>OFFICE OF THE INSPECTOR GENERAL</t>
  </si>
  <si>
    <t>U.S. PAROLE COMMISSION</t>
  </si>
  <si>
    <t>GENERAL LEGAL ACTIVITIES</t>
  </si>
  <si>
    <t xml:space="preserve">   SOLICITOR GENERAL</t>
  </si>
  <si>
    <t xml:space="preserve">   TAX DIVISION</t>
  </si>
  <si>
    <t xml:space="preserve">   CRIMINAL DIVISION</t>
  </si>
  <si>
    <t xml:space="preserve">   CIVIL DIVISION</t>
  </si>
  <si>
    <t xml:space="preserve">   LEGAL COUNSEL</t>
  </si>
  <si>
    <t xml:space="preserve">   CIVIL RIGHTS DIVISION</t>
  </si>
  <si>
    <t xml:space="preserve">   INTERPOL</t>
  </si>
  <si>
    <t xml:space="preserve">   OFFICE OF DISPUTE RESOLUTION</t>
  </si>
  <si>
    <t>VACCINE INJURY COMPENSATION TRUST FUND</t>
  </si>
  <si>
    <t>ANTITRUST</t>
  </si>
  <si>
    <t xml:space="preserve">   Minus:  Offset from Antitrust Pre-Merger Filing Fee</t>
  </si>
  <si>
    <t>U.S. ATTORNEYS</t>
  </si>
  <si>
    <t xml:space="preserve">U.S. TRUSTEES </t>
  </si>
  <si>
    <t>U.S. MARSHALS SERVICE</t>
  </si>
  <si>
    <t xml:space="preserve">   CONSTRUCTION</t>
  </si>
  <si>
    <t>COMMUNITY RELATIONS SERVICE</t>
  </si>
  <si>
    <t>INTERAGENCY CRIME &amp; DRUG ENFORCEMENT</t>
  </si>
  <si>
    <t>FEDERAL BUREAU OF INVESTIGATION</t>
  </si>
  <si>
    <t>DRUG ENFORCEMENT ADMINISTRATION</t>
  </si>
  <si>
    <t>BUREAU OF ALCOHOL, TOBACCO, FIREARMS &amp; EXPLOSIVES</t>
  </si>
  <si>
    <t>FEDERAL PRISON SYSTEM</t>
  </si>
  <si>
    <t xml:space="preserve">   BUILDINGS &amp; FACILITIES  </t>
  </si>
  <si>
    <t xml:space="preserve">SUBTOTAL, DISCRETIONARY w/o State and Local </t>
  </si>
  <si>
    <t xml:space="preserve">   JUSTICE ASSISTANCE</t>
  </si>
  <si>
    <t xml:space="preserve">   JUVENILE JUSTICE PROGRAMS</t>
  </si>
  <si>
    <t xml:space="preserve">        Minus:  Rescissions from Balances</t>
  </si>
  <si>
    <t xml:space="preserve">  STATE AND LOCAL LAW ENFORCEMENT ASSISTANCE</t>
  </si>
  <si>
    <t xml:space="preserve">   WEED AND SEED</t>
  </si>
  <si>
    <t xml:space="preserve">       COMMUNITY POLICING </t>
  </si>
  <si>
    <t xml:space="preserve">        Minus:  COPS Rescissions from Balances</t>
  </si>
  <si>
    <t>OFFICE ON VIOLENCE AGAINST WOMEN</t>
  </si>
  <si>
    <t xml:space="preserve">SUBTOTAL, DISCRETIONARY w/o Offsets </t>
  </si>
  <si>
    <t>SUBTOTAL, DISCRETIONARY OFFSETS</t>
  </si>
  <si>
    <t xml:space="preserve">TOTAL, DOJ APPROPRIATIONS </t>
  </si>
  <si>
    <t>SUBTOTAL, TRANSFERS</t>
  </si>
  <si>
    <t xml:space="preserve">   FEES AND EXPENSES OF WITNESSES (Mand)</t>
  </si>
  <si>
    <t xml:space="preserve">   INDEPENDENT COUNSEL (PERM Indef)</t>
  </si>
  <si>
    <t xml:space="preserve">   PUBLIC SAFETY OFFICERS' DEATH BENEFITS (Mand)</t>
  </si>
  <si>
    <t xml:space="preserve">   U. S. TRUSTEES FEE COLLECTIONS</t>
  </si>
  <si>
    <t xml:space="preserve">   DIVERSION CONTROL FEE</t>
  </si>
  <si>
    <t xml:space="preserve">   CRIME VICTIMS FUND</t>
  </si>
  <si>
    <t>SUBTOTAL, MANDATORY AND OTHER ACCOUNTS</t>
  </si>
  <si>
    <t xml:space="preserve">FY 2006 </t>
  </si>
  <si>
    <t xml:space="preserve">FY 2007 </t>
  </si>
  <si>
    <t xml:space="preserve">    PUBLIC SAFETY OFFICERS BENEFITS</t>
  </si>
  <si>
    <t xml:space="preserve">    CRIME VICTIMS FUND RESCISSIONS</t>
  </si>
  <si>
    <t>CRIME VICTIMS FUND RESCISSIONS FROM UNOBL. BAL.</t>
  </si>
  <si>
    <t xml:space="preserve">    BUREAU OF ALCOHOL, TOBACCO, FIREARMS &amp; EXPLOSIVES</t>
  </si>
  <si>
    <t xml:space="preserve">    DRUG ENFORCEMENT ADMINISTRATION</t>
  </si>
  <si>
    <t xml:space="preserve">    FEDERAL BUREAU OF INVESTIGATION</t>
  </si>
  <si>
    <t xml:space="preserve">COMMUNITY POLICING </t>
  </si>
  <si>
    <t>LAW ENFORCEMENT WIRELESS COMMUNICATIONS</t>
  </si>
  <si>
    <t xml:space="preserve">    LAW ENFORCEMENT WIRELESS COMMUNICATIONS</t>
  </si>
  <si>
    <t>ASSETS FORFEITURE FUND CURRENT BUDGET AUTHORITY</t>
  </si>
  <si>
    <t xml:space="preserve">TOTAL BA, DISCR &amp; MANDATORY, DEPT. OF JUSTICE </t>
  </si>
  <si>
    <t>FOREIGN CLAIMS SETTLEMENT COMMISSION (150)</t>
  </si>
  <si>
    <t>FY 2008</t>
  </si>
  <si>
    <t xml:space="preserve"> Minus: Violent Crime Reduction Trust Fund Rescission</t>
  </si>
  <si>
    <t>Continuing</t>
  </si>
  <si>
    <t>SUMMARY OF BUDGET AUTHORITY BY APPROPRIATION</t>
  </si>
  <si>
    <t xml:space="preserve">    Minus:  PY Unobligated Balances</t>
  </si>
  <si>
    <t xml:space="preserve">  Immigration Appeal Application Fee</t>
  </si>
  <si>
    <t xml:space="preserve">   ENVIRONMENT &amp; NATUARL RESOURCES DIVISION</t>
  </si>
  <si>
    <r>
      <t xml:space="preserve"> Minus:  </t>
    </r>
    <r>
      <rPr>
        <i/>
        <sz val="12"/>
        <rFont val="Arial"/>
        <family val="2"/>
      </rPr>
      <t>Telecommunications Carrier Compliance Fund - Rescission</t>
    </r>
  </si>
  <si>
    <t>DISCRETIONARY GRANT PROGRAMS</t>
  </si>
  <si>
    <t>OFFICE OF JUSTICE PROGRAMS</t>
  </si>
  <si>
    <t xml:space="preserve">  STATE and LOCAL LAW ENFORCEMENT ASSISTANCE</t>
  </si>
  <si>
    <t xml:space="preserve">    ASSETS FORFEITURE FUND </t>
  </si>
  <si>
    <t xml:space="preserve">    WORKING CAPITAL FUND/UNOBLIGATED BALANCE TRANSFERS - RESCISSION</t>
  </si>
  <si>
    <t>FEDERAL PRISON INDUSTRIES (limitation on administrative expenses)</t>
  </si>
  <si>
    <t>Enacted 1/</t>
  </si>
  <si>
    <t>Resolution  2/</t>
  </si>
  <si>
    <t>Estimate  3/</t>
  </si>
  <si>
    <t>Request  4/</t>
  </si>
  <si>
    <t>3/  FY 2007 Estimated includes the average of the House and the Senate minus 1 percent.</t>
  </si>
  <si>
    <t>4/  FY 2008 includes the President Budget Request for FY 2008.</t>
  </si>
  <si>
    <t>1/   FY 2006 Enacted includes FY 2006 enacted amounts, with rescissions and supplementals.</t>
  </si>
  <si>
    <t xml:space="preserve">      In addition, the CR level reflected in this table may not tie to the CR amount displayed in the President's Budget Appendix.</t>
  </si>
  <si>
    <t xml:space="preserve">2/  FY 2007 Continuing Resolution Level includes the lower of the House or the Calculated Current Rate.   P.L. 109-383 through February 14, 2007.  </t>
  </si>
  <si>
    <t xml:space="preserve">   NAT'L DRUG INTELLIGENCE  CENTER </t>
  </si>
  <si>
    <t xml:space="preserve">2/  FY 2007 Continuing Resolution Level includes the lower of the House or the Calculated Current Rate.   P.L. 109-383 through February 15, 2007. 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</si>
</sst>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.."/>
    <numFmt numFmtId="165" formatCode="m/d/yy\ h:mm\ AM/PM"/>
    <numFmt numFmtId="166" formatCode="_(&quot;$&quot;* #,##0_);_(&quot;$&quot;* \(#,##0\);_(&quot;$&quot;* &quot;...&quot;_);_(@_)"/>
    <numFmt numFmtId="167" formatCode="_(* #,##0_);_(* \(#,##0\);_(* &quot;...&quot;_);_(@_)"/>
    <numFmt numFmtId="168" formatCode="mm/dd/yy"/>
    <numFmt numFmtId="169" formatCode="#,##0.0"/>
    <numFmt numFmtId="170" formatCode="m/d"/>
    <numFmt numFmtId="171" formatCode="0.E+00"/>
    <numFmt numFmtId="172" formatCode="_(* #,##0_);_(* \(#,##0\);_(* &quot;---&quot;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"/>
    <numFmt numFmtId="178" formatCode="#,##0.0000"/>
    <numFmt numFmtId="179" formatCode="0.0"/>
    <numFmt numFmtId="180" formatCode="0.000"/>
    <numFmt numFmtId="181" formatCode="0.0%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17"/>
      <name val="Arial"/>
      <family val="2"/>
    </font>
    <font>
      <b/>
      <u val="single"/>
      <sz val="11"/>
      <name val="Arial"/>
      <family val="2"/>
    </font>
    <font>
      <i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color indexed="17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7"/>
      <name val="Arial"/>
      <family val="2"/>
    </font>
    <font>
      <b/>
      <u val="single"/>
      <sz val="14"/>
      <name val="Arial"/>
      <family val="2"/>
    </font>
    <font>
      <i/>
      <sz val="14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double"/>
      <top style="thin"/>
      <bottom style="thin"/>
    </border>
    <border>
      <left style="double"/>
      <right style="double"/>
      <top style="thin"/>
      <bottom style="thin"/>
    </border>
    <border>
      <left style="dotted"/>
      <right style="thick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double"/>
      <top style="thin"/>
      <bottom style="thin"/>
    </border>
    <border>
      <left style="double"/>
      <right style="dashed"/>
      <top style="thin"/>
      <bottom style="thin"/>
    </border>
    <border>
      <left style="dashed"/>
      <right style="thick"/>
      <top style="thin"/>
      <bottom style="thin"/>
    </border>
    <border>
      <left style="double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ouble"/>
      <top>
        <color indexed="63"/>
      </top>
      <bottom>
        <color indexed="63"/>
      </bottom>
    </border>
    <border>
      <left style="dashed"/>
      <right style="thick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ouble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ouble"/>
      <top>
        <color indexed="63"/>
      </top>
      <bottom style="thin"/>
    </border>
    <border>
      <left style="dashed"/>
      <right style="thick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ashed"/>
      <top style="double"/>
      <bottom style="thin"/>
    </border>
    <border>
      <left style="dashed"/>
      <right style="dashed"/>
      <top style="double"/>
      <bottom style="thin"/>
    </border>
    <border>
      <left style="dashed"/>
      <right style="thick"/>
      <top style="double"/>
      <bottom style="thin"/>
    </border>
    <border>
      <left style="dashed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ck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ashed"/>
      <top style="double"/>
      <bottom style="double"/>
    </border>
    <border>
      <left style="dashed"/>
      <right style="dashed"/>
      <top style="double"/>
      <bottom style="double"/>
    </border>
    <border>
      <left>
        <color indexed="63"/>
      </left>
      <right style="thick"/>
      <top style="double"/>
      <bottom style="double"/>
    </border>
    <border>
      <left style="dashed"/>
      <right style="double"/>
      <top style="double"/>
      <bottom style="double"/>
    </border>
    <border>
      <left>
        <color indexed="63"/>
      </left>
      <right style="dashed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ashed"/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 style="dashed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ashed"/>
      <right style="thick"/>
      <top style="double"/>
      <bottom style="double"/>
    </border>
    <border>
      <left style="double"/>
      <right style="dashed"/>
      <top style="double"/>
      <bottom>
        <color indexed="63"/>
      </bottom>
    </border>
    <border>
      <left style="dashed"/>
      <right style="dashed"/>
      <top style="double"/>
      <bottom>
        <color indexed="63"/>
      </bottom>
    </border>
    <border>
      <left style="dashed"/>
      <right style="double"/>
      <top style="double"/>
      <bottom>
        <color indexed="63"/>
      </bottom>
    </border>
    <border>
      <left style="dashed"/>
      <right style="thick"/>
      <top style="double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thick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dashed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ashed"/>
      <right style="thick"/>
      <top style="thin"/>
      <bottom style="double"/>
    </border>
    <border>
      <left style="double"/>
      <right style="double"/>
      <top style="thin"/>
      <bottom style="double"/>
    </border>
    <border>
      <left style="dashed"/>
      <right style="double"/>
      <top style="thin"/>
      <bottom style="double"/>
    </border>
    <border>
      <left>
        <color indexed="63"/>
      </left>
      <right style="dashed"/>
      <top style="thin"/>
      <bottom style="double"/>
    </border>
    <border>
      <left style="dashed"/>
      <right>
        <color indexed="63"/>
      </right>
      <top style="double"/>
      <bottom style="double"/>
    </border>
    <border>
      <left style="double"/>
      <right style="dotted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ck"/>
      <top style="double"/>
      <bottom style="thin"/>
    </border>
    <border>
      <left>
        <color indexed="63"/>
      </left>
      <right style="dashed"/>
      <top style="double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ck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/>
    </xf>
    <xf numFmtId="20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3" fontId="3" fillId="2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Fill="1" applyBorder="1" applyAlignment="1">
      <alignment horizontal="centerContinuous"/>
    </xf>
    <xf numFmtId="3" fontId="3" fillId="0" borderId="8" xfId="0" applyNumberFormat="1" applyFont="1" applyFill="1" applyBorder="1" applyAlignment="1">
      <alignment horizontal="centerContinuous"/>
    </xf>
    <xf numFmtId="3" fontId="3" fillId="0" borderId="9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9" fontId="3" fillId="0" borderId="5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/>
    </xf>
    <xf numFmtId="0" fontId="3" fillId="3" borderId="0" xfId="0" applyFont="1" applyFill="1" applyAlignment="1">
      <alignment/>
    </xf>
    <xf numFmtId="3" fontId="3" fillId="3" borderId="18" xfId="0" applyNumberFormat="1" applyFont="1" applyFill="1" applyBorder="1" applyAlignment="1">
      <alignment/>
    </xf>
    <xf numFmtId="3" fontId="3" fillId="3" borderId="16" xfId="0" applyNumberFormat="1" applyFont="1" applyFill="1" applyBorder="1" applyAlignment="1">
      <alignment/>
    </xf>
    <xf numFmtId="3" fontId="3" fillId="3" borderId="17" xfId="0" applyNumberFormat="1" applyFont="1" applyFill="1" applyBorder="1" applyAlignment="1">
      <alignment/>
    </xf>
    <xf numFmtId="3" fontId="3" fillId="3" borderId="19" xfId="0" applyNumberFormat="1" applyFont="1" applyFill="1" applyBorder="1" applyAlignment="1">
      <alignment/>
    </xf>
    <xf numFmtId="3" fontId="3" fillId="3" borderId="8" xfId="0" applyNumberFormat="1" applyFont="1" applyFill="1" applyBorder="1" applyAlignment="1">
      <alignment/>
    </xf>
    <xf numFmtId="3" fontId="3" fillId="3" borderId="13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7" fillId="0" borderId="0" xfId="0" applyFont="1" applyFill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3" fontId="3" fillId="4" borderId="22" xfId="0" applyNumberFormat="1" applyFont="1" applyFill="1" applyBorder="1" applyAlignment="1">
      <alignment/>
    </xf>
    <xf numFmtId="3" fontId="3" fillId="4" borderId="4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5" borderId="3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 horizontal="right"/>
    </xf>
    <xf numFmtId="3" fontId="3" fillId="4" borderId="3" xfId="0" applyNumberFormat="1" applyFont="1" applyFill="1" applyBorder="1" applyAlignment="1">
      <alignment/>
    </xf>
    <xf numFmtId="3" fontId="3" fillId="3" borderId="25" xfId="0" applyNumberFormat="1" applyFont="1" applyFill="1" applyBorder="1" applyAlignment="1">
      <alignment horizontal="right"/>
    </xf>
    <xf numFmtId="3" fontId="3" fillId="3" borderId="26" xfId="0" applyNumberFormat="1" applyFont="1" applyFill="1" applyBorder="1" applyAlignment="1">
      <alignment horizontal="right"/>
    </xf>
    <xf numFmtId="3" fontId="3" fillId="3" borderId="27" xfId="0" applyNumberFormat="1" applyFont="1" applyFill="1" applyBorder="1" applyAlignment="1">
      <alignment horizontal="right"/>
    </xf>
    <xf numFmtId="3" fontId="3" fillId="3" borderId="6" xfId="0" applyNumberFormat="1" applyFont="1" applyFill="1" applyBorder="1" applyAlignment="1">
      <alignment horizontal="right"/>
    </xf>
    <xf numFmtId="3" fontId="3" fillId="3" borderId="28" xfId="0" applyNumberFormat="1" applyFont="1" applyFill="1" applyBorder="1" applyAlignment="1">
      <alignment horizontal="right"/>
    </xf>
    <xf numFmtId="3" fontId="3" fillId="3" borderId="29" xfId="0" applyNumberFormat="1" applyFont="1" applyFill="1" applyBorder="1" applyAlignment="1">
      <alignment horizontal="right"/>
    </xf>
    <xf numFmtId="3" fontId="3" fillId="3" borderId="5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3" fillId="3" borderId="25" xfId="0" applyNumberFormat="1" applyFont="1" applyFill="1" applyBorder="1" applyAlignment="1">
      <alignment/>
    </xf>
    <xf numFmtId="3" fontId="3" fillId="3" borderId="29" xfId="0" applyNumberFormat="1" applyFont="1" applyFill="1" applyBorder="1" applyAlignment="1">
      <alignment/>
    </xf>
    <xf numFmtId="3" fontId="3" fillId="3" borderId="6" xfId="0" applyNumberFormat="1" applyFont="1" applyFill="1" applyBorder="1" applyAlignment="1">
      <alignment/>
    </xf>
    <xf numFmtId="3" fontId="3" fillId="3" borderId="30" xfId="0" applyNumberFormat="1" applyFont="1" applyFill="1" applyBorder="1" applyAlignment="1">
      <alignment/>
    </xf>
    <xf numFmtId="3" fontId="3" fillId="3" borderId="26" xfId="0" applyNumberFormat="1" applyFont="1" applyFill="1" applyBorder="1" applyAlignment="1">
      <alignment/>
    </xf>
    <xf numFmtId="3" fontId="3" fillId="3" borderId="27" xfId="0" applyNumberFormat="1" applyFont="1" applyFill="1" applyBorder="1" applyAlignment="1">
      <alignment/>
    </xf>
    <xf numFmtId="0" fontId="3" fillId="3" borderId="26" xfId="0" applyFont="1" applyFill="1" applyBorder="1" applyAlignment="1">
      <alignment/>
    </xf>
    <xf numFmtId="0" fontId="3" fillId="3" borderId="25" xfId="0" applyFont="1" applyFill="1" applyBorder="1" applyAlignment="1">
      <alignment/>
    </xf>
    <xf numFmtId="3" fontId="3" fillId="3" borderId="5" xfId="0" applyNumberFormat="1" applyFont="1" applyFill="1" applyBorder="1" applyAlignment="1">
      <alignment/>
    </xf>
    <xf numFmtId="3" fontId="3" fillId="3" borderId="28" xfId="0" applyNumberFormat="1" applyFont="1" applyFill="1" applyBorder="1" applyAlignment="1">
      <alignment/>
    </xf>
    <xf numFmtId="3" fontId="3" fillId="3" borderId="4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right"/>
    </xf>
    <xf numFmtId="3" fontId="3" fillId="4" borderId="20" xfId="0" applyNumberFormat="1" applyFont="1" applyFill="1" applyBorder="1" applyAlignment="1">
      <alignment horizontal="right"/>
    </xf>
    <xf numFmtId="3" fontId="3" fillId="4" borderId="21" xfId="0" applyNumberFormat="1" applyFont="1" applyFill="1" applyBorder="1" applyAlignment="1">
      <alignment horizontal="right"/>
    </xf>
    <xf numFmtId="3" fontId="3" fillId="4" borderId="24" xfId="0" applyNumberFormat="1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3" fontId="3" fillId="6" borderId="5" xfId="0" applyNumberFormat="1" applyFont="1" applyFill="1" applyBorder="1" applyAlignment="1">
      <alignment/>
    </xf>
    <xf numFmtId="0" fontId="7" fillId="4" borderId="0" xfId="0" applyFont="1" applyFill="1" applyAlignment="1">
      <alignment/>
    </xf>
    <xf numFmtId="3" fontId="3" fillId="4" borderId="22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3" fontId="3" fillId="0" borderId="31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4" borderId="20" xfId="0" applyFont="1" applyFill="1" applyBorder="1" applyAlignment="1">
      <alignment horizontal="right"/>
    </xf>
    <xf numFmtId="0" fontId="3" fillId="4" borderId="21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3" fontId="4" fillId="4" borderId="3" xfId="0" applyNumberFormat="1" applyFont="1" applyFill="1" applyBorder="1" applyAlignment="1">
      <alignment horizontal="right"/>
    </xf>
    <xf numFmtId="3" fontId="4" fillId="4" borderId="4" xfId="0" applyNumberFormat="1" applyFont="1" applyFill="1" applyBorder="1" applyAlignment="1">
      <alignment/>
    </xf>
    <xf numFmtId="0" fontId="4" fillId="3" borderId="32" xfId="0" applyFont="1" applyFill="1" applyBorder="1" applyAlignment="1">
      <alignment/>
    </xf>
    <xf numFmtId="0" fontId="4" fillId="3" borderId="33" xfId="0" applyFont="1" applyFill="1" applyBorder="1" applyAlignment="1">
      <alignment/>
    </xf>
    <xf numFmtId="3" fontId="4" fillId="3" borderId="34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" fillId="3" borderId="35" xfId="0" applyNumberFormat="1" applyFont="1" applyFill="1" applyBorder="1" applyAlignment="1">
      <alignment/>
    </xf>
    <xf numFmtId="3" fontId="3" fillId="3" borderId="36" xfId="0" applyNumberFormat="1" applyFont="1" applyFill="1" applyBorder="1" applyAlignment="1">
      <alignment/>
    </xf>
    <xf numFmtId="3" fontId="3" fillId="3" borderId="37" xfId="0" applyNumberFormat="1" applyFont="1" applyFill="1" applyBorder="1" applyAlignment="1">
      <alignment/>
    </xf>
    <xf numFmtId="3" fontId="3" fillId="3" borderId="38" xfId="0" applyNumberFormat="1" applyFont="1" applyFill="1" applyBorder="1" applyAlignment="1">
      <alignment/>
    </xf>
    <xf numFmtId="3" fontId="3" fillId="3" borderId="39" xfId="0" applyNumberFormat="1" applyFont="1" applyFill="1" applyBorder="1" applyAlignment="1">
      <alignment/>
    </xf>
    <xf numFmtId="3" fontId="3" fillId="3" borderId="20" xfId="0" applyNumberFormat="1" applyFont="1" applyFill="1" applyBorder="1" applyAlignment="1">
      <alignment/>
    </xf>
    <xf numFmtId="3" fontId="3" fillId="3" borderId="24" xfId="0" applyNumberFormat="1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3" fontId="3" fillId="3" borderId="21" xfId="0" applyNumberFormat="1" applyFont="1" applyFill="1" applyBorder="1" applyAlignment="1">
      <alignment/>
    </xf>
    <xf numFmtId="3" fontId="3" fillId="3" borderId="23" xfId="0" applyNumberFormat="1" applyFont="1" applyFill="1" applyBorder="1" applyAlignment="1">
      <alignment/>
    </xf>
    <xf numFmtId="3" fontId="3" fillId="3" borderId="22" xfId="0" applyNumberFormat="1" applyFont="1" applyFill="1" applyBorder="1" applyAlignment="1">
      <alignment/>
    </xf>
    <xf numFmtId="3" fontId="3" fillId="3" borderId="3" xfId="0" applyNumberFormat="1" applyFont="1" applyFill="1" applyBorder="1" applyAlignment="1">
      <alignment/>
    </xf>
    <xf numFmtId="3" fontId="3" fillId="3" borderId="3" xfId="0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0" fontId="7" fillId="3" borderId="0" xfId="0" applyFont="1" applyFill="1" applyAlignment="1">
      <alignment/>
    </xf>
    <xf numFmtId="3" fontId="3" fillId="0" borderId="40" xfId="0" applyNumberFormat="1" applyFont="1" applyFill="1" applyBorder="1" applyAlignment="1">
      <alignment/>
    </xf>
    <xf numFmtId="3" fontId="3" fillId="0" borderId="4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40" xfId="0" applyFont="1" applyFill="1" applyBorder="1" applyAlignment="1">
      <alignment/>
    </xf>
    <xf numFmtId="3" fontId="3" fillId="3" borderId="34" xfId="0" applyNumberFormat="1" applyFont="1" applyFill="1" applyBorder="1" applyAlignment="1">
      <alignment/>
    </xf>
    <xf numFmtId="3" fontId="4" fillId="3" borderId="41" xfId="0" applyNumberFormat="1" applyFont="1" applyFill="1" applyBorder="1" applyAlignment="1">
      <alignment horizontal="right"/>
    </xf>
    <xf numFmtId="3" fontId="4" fillId="3" borderId="42" xfId="0" applyNumberFormat="1" applyFont="1" applyFill="1" applyBorder="1" applyAlignment="1">
      <alignment/>
    </xf>
    <xf numFmtId="3" fontId="4" fillId="3" borderId="34" xfId="0" applyNumberFormat="1" applyFont="1" applyFill="1" applyBorder="1" applyAlignment="1">
      <alignment horizontal="right"/>
    </xf>
    <xf numFmtId="0" fontId="3" fillId="0" borderId="43" xfId="0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/>
    </xf>
    <xf numFmtId="0" fontId="3" fillId="3" borderId="33" xfId="0" applyFont="1" applyFill="1" applyBorder="1" applyAlignment="1">
      <alignment/>
    </xf>
    <xf numFmtId="3" fontId="3" fillId="3" borderId="44" xfId="0" applyNumberFormat="1" applyFont="1" applyFill="1" applyBorder="1" applyAlignment="1">
      <alignment horizontal="right"/>
    </xf>
    <xf numFmtId="3" fontId="3" fillId="3" borderId="45" xfId="0" applyNumberFormat="1" applyFont="1" applyFill="1" applyBorder="1" applyAlignment="1">
      <alignment horizontal="right"/>
    </xf>
    <xf numFmtId="3" fontId="3" fillId="3" borderId="41" xfId="0" applyNumberFormat="1" applyFont="1" applyFill="1" applyBorder="1" applyAlignment="1">
      <alignment horizontal="right"/>
    </xf>
    <xf numFmtId="3" fontId="3" fillId="3" borderId="46" xfId="0" applyNumberFormat="1" applyFont="1" applyFill="1" applyBorder="1" applyAlignment="1">
      <alignment horizontal="right"/>
    </xf>
    <xf numFmtId="3" fontId="3" fillId="3" borderId="47" xfId="0" applyNumberFormat="1" applyFont="1" applyFill="1" applyBorder="1" applyAlignment="1">
      <alignment horizontal="right"/>
    </xf>
    <xf numFmtId="3" fontId="3" fillId="3" borderId="48" xfId="0" applyNumberFormat="1" applyFont="1" applyFill="1" applyBorder="1" applyAlignment="1">
      <alignment horizontal="right"/>
    </xf>
    <xf numFmtId="3" fontId="3" fillId="3" borderId="34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3" fontId="3" fillId="0" borderId="50" xfId="0" applyNumberFormat="1" applyFont="1" applyFill="1" applyBorder="1" applyAlignment="1">
      <alignment horizontal="right"/>
    </xf>
    <xf numFmtId="0" fontId="4" fillId="3" borderId="49" xfId="0" applyFont="1" applyFill="1" applyBorder="1" applyAlignment="1">
      <alignment/>
    </xf>
    <xf numFmtId="3" fontId="4" fillId="3" borderId="51" xfId="0" applyNumberFormat="1" applyFont="1" applyFill="1" applyBorder="1" applyAlignment="1">
      <alignment horizontal="right"/>
    </xf>
    <xf numFmtId="3" fontId="4" fillId="3" borderId="42" xfId="0" applyNumberFormat="1" applyFont="1" applyFill="1" applyBorder="1" applyAlignment="1">
      <alignment horizontal="right"/>
    </xf>
    <xf numFmtId="3" fontId="4" fillId="3" borderId="52" xfId="0" applyNumberFormat="1" applyFont="1" applyFill="1" applyBorder="1" applyAlignment="1">
      <alignment horizontal="right"/>
    </xf>
    <xf numFmtId="3" fontId="4" fillId="3" borderId="53" xfId="0" applyNumberFormat="1" applyFont="1" applyFill="1" applyBorder="1" applyAlignment="1">
      <alignment horizontal="right"/>
    </xf>
    <xf numFmtId="3" fontId="4" fillId="3" borderId="50" xfId="0" applyNumberFormat="1" applyFont="1" applyFill="1" applyBorder="1" applyAlignment="1">
      <alignment horizontal="right"/>
    </xf>
    <xf numFmtId="3" fontId="4" fillId="3" borderId="54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3" fontId="3" fillId="0" borderId="44" xfId="0" applyNumberFormat="1" applyFont="1" applyFill="1" applyBorder="1" applyAlignment="1">
      <alignment horizontal="right"/>
    </xf>
    <xf numFmtId="3" fontId="3" fillId="0" borderId="45" xfId="0" applyNumberFormat="1" applyFont="1" applyFill="1" applyBorder="1" applyAlignment="1">
      <alignment horizontal="right"/>
    </xf>
    <xf numFmtId="3" fontId="3" fillId="0" borderId="47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 horizontal="right"/>
    </xf>
    <xf numFmtId="3" fontId="3" fillId="0" borderId="55" xfId="0" applyNumberFormat="1" applyFont="1" applyFill="1" applyBorder="1" applyAlignment="1">
      <alignment horizontal="right"/>
    </xf>
    <xf numFmtId="3" fontId="4" fillId="3" borderId="44" xfId="0" applyNumberFormat="1" applyFont="1" applyFill="1" applyBorder="1" applyAlignment="1">
      <alignment horizontal="right"/>
    </xf>
    <xf numFmtId="3" fontId="4" fillId="3" borderId="45" xfId="0" applyNumberFormat="1" applyFont="1" applyFill="1" applyBorder="1" applyAlignment="1">
      <alignment horizontal="right"/>
    </xf>
    <xf numFmtId="3" fontId="4" fillId="3" borderId="4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3" fillId="3" borderId="42" xfId="0" applyNumberFormat="1" applyFont="1" applyFill="1" applyBorder="1" applyAlignment="1">
      <alignment horizontal="right"/>
    </xf>
    <xf numFmtId="3" fontId="3" fillId="0" borderId="56" xfId="0" applyNumberFormat="1" applyFont="1" applyFill="1" applyBorder="1" applyAlignment="1">
      <alignment horizontal="right"/>
    </xf>
    <xf numFmtId="3" fontId="3" fillId="0" borderId="57" xfId="0" applyNumberFormat="1" applyFont="1" applyFill="1" applyBorder="1" applyAlignment="1">
      <alignment horizontal="right"/>
    </xf>
    <xf numFmtId="3" fontId="3" fillId="0" borderId="58" xfId="0" applyNumberFormat="1" applyFont="1" applyFill="1" applyBorder="1" applyAlignment="1">
      <alignment horizontal="right"/>
    </xf>
    <xf numFmtId="3" fontId="3" fillId="0" borderId="59" xfId="0" applyNumberFormat="1" applyFont="1" applyFill="1" applyBorder="1" applyAlignment="1">
      <alignment horizontal="right"/>
    </xf>
    <xf numFmtId="3" fontId="3" fillId="0" borderId="60" xfId="0" applyNumberFormat="1" applyFont="1" applyFill="1" applyBorder="1" applyAlignment="1">
      <alignment horizontal="right"/>
    </xf>
    <xf numFmtId="3" fontId="3" fillId="0" borderId="51" xfId="0" applyNumberFormat="1" applyFont="1" applyFill="1" applyBorder="1" applyAlignment="1">
      <alignment/>
    </xf>
    <xf numFmtId="3" fontId="3" fillId="0" borderId="52" xfId="0" applyNumberFormat="1" applyFont="1" applyFill="1" applyBorder="1" applyAlignment="1">
      <alignment/>
    </xf>
    <xf numFmtId="3" fontId="3" fillId="0" borderId="53" xfId="0" applyNumberFormat="1" applyFont="1" applyFill="1" applyBorder="1" applyAlignment="1">
      <alignment/>
    </xf>
    <xf numFmtId="3" fontId="3" fillId="0" borderId="61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41" xfId="0" applyNumberFormat="1" applyFont="1" applyFill="1" applyBorder="1" applyAlignment="1">
      <alignment/>
    </xf>
    <xf numFmtId="3" fontId="3" fillId="0" borderId="44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0" fontId="4" fillId="3" borderId="62" xfId="0" applyFont="1" applyFill="1" applyBorder="1" applyAlignment="1">
      <alignment/>
    </xf>
    <xf numFmtId="3" fontId="3" fillId="0" borderId="60" xfId="0" applyNumberFormat="1" applyFont="1" applyFill="1" applyBorder="1" applyAlignment="1">
      <alignment/>
    </xf>
    <xf numFmtId="0" fontId="3" fillId="3" borderId="41" xfId="0" applyFont="1" applyFill="1" applyBorder="1" applyAlignment="1">
      <alignment/>
    </xf>
    <xf numFmtId="3" fontId="3" fillId="3" borderId="63" xfId="0" applyNumberFormat="1" applyFont="1" applyFill="1" applyBorder="1" applyAlignment="1">
      <alignment horizontal="right"/>
    </xf>
    <xf numFmtId="3" fontId="3" fillId="3" borderId="64" xfId="0" applyNumberFormat="1" applyFont="1" applyFill="1" applyBorder="1" applyAlignment="1">
      <alignment horizontal="right"/>
    </xf>
    <xf numFmtId="3" fontId="3" fillId="3" borderId="65" xfId="0" applyNumberFormat="1" applyFont="1" applyFill="1" applyBorder="1" applyAlignment="1">
      <alignment horizontal="right"/>
    </xf>
    <xf numFmtId="3" fontId="3" fillId="3" borderId="66" xfId="0" applyNumberFormat="1" applyFont="1" applyFill="1" applyBorder="1" applyAlignment="1">
      <alignment horizontal="right"/>
    </xf>
    <xf numFmtId="3" fontId="3" fillId="3" borderId="67" xfId="0" applyNumberFormat="1" applyFont="1" applyFill="1" applyBorder="1" applyAlignment="1">
      <alignment horizontal="right"/>
    </xf>
    <xf numFmtId="3" fontId="3" fillId="3" borderId="68" xfId="0" applyNumberFormat="1" applyFont="1" applyFill="1" applyBorder="1" applyAlignment="1">
      <alignment horizontal="right"/>
    </xf>
    <xf numFmtId="3" fontId="3" fillId="3" borderId="69" xfId="0" applyNumberFormat="1" applyFont="1" applyFill="1" applyBorder="1" applyAlignment="1">
      <alignment horizontal="right"/>
    </xf>
    <xf numFmtId="3" fontId="3" fillId="3" borderId="70" xfId="0" applyNumberFormat="1" applyFont="1" applyFill="1" applyBorder="1" applyAlignment="1">
      <alignment horizontal="right"/>
    </xf>
    <xf numFmtId="0" fontId="4" fillId="3" borderId="34" xfId="0" applyFont="1" applyFill="1" applyBorder="1" applyAlignment="1">
      <alignment/>
    </xf>
    <xf numFmtId="0" fontId="3" fillId="3" borderId="34" xfId="0" applyFont="1" applyFill="1" applyBorder="1" applyAlignment="1">
      <alignment/>
    </xf>
    <xf numFmtId="3" fontId="3" fillId="0" borderId="51" xfId="0" applyNumberFormat="1" applyFont="1" applyFill="1" applyBorder="1" applyAlignment="1">
      <alignment horizontal="right"/>
    </xf>
    <xf numFmtId="3" fontId="3" fillId="0" borderId="52" xfId="0" applyNumberFormat="1" applyFont="1" applyFill="1" applyBorder="1" applyAlignment="1">
      <alignment horizontal="right"/>
    </xf>
    <xf numFmtId="3" fontId="3" fillId="0" borderId="61" xfId="0" applyNumberFormat="1" applyFont="1" applyFill="1" applyBorder="1" applyAlignment="1">
      <alignment horizontal="right"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3" fontId="3" fillId="0" borderId="48" xfId="0" applyNumberFormat="1" applyFont="1" applyFill="1" applyBorder="1" applyAlignment="1">
      <alignment horizontal="right"/>
    </xf>
    <xf numFmtId="3" fontId="3" fillId="0" borderId="71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fill" wrapText="1"/>
    </xf>
    <xf numFmtId="0" fontId="3" fillId="0" borderId="0" xfId="0" applyFont="1" applyAlignment="1">
      <alignment horizontal="fill" wrapText="1"/>
    </xf>
    <xf numFmtId="0" fontId="3" fillId="0" borderId="0" xfId="0" applyNumberFormat="1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 vertical="top"/>
    </xf>
    <xf numFmtId="14" fontId="3" fillId="0" borderId="0" xfId="0" applyNumberFormat="1" applyFont="1" applyFill="1" applyAlignment="1">
      <alignment horizontal="left" vertical="top"/>
    </xf>
    <xf numFmtId="170" fontId="3" fillId="0" borderId="0" xfId="0" applyNumberFormat="1" applyFont="1" applyFill="1" applyAlignment="1">
      <alignment/>
    </xf>
    <xf numFmtId="6" fontId="3" fillId="0" borderId="0" xfId="0" applyNumberFormat="1" applyFont="1" applyFill="1" applyAlignment="1">
      <alignment/>
    </xf>
    <xf numFmtId="8" fontId="3" fillId="0" borderId="0" xfId="0" applyNumberFormat="1" applyFont="1" applyFill="1" applyAlignment="1">
      <alignment/>
    </xf>
    <xf numFmtId="3" fontId="3" fillId="3" borderId="72" xfId="0" applyNumberFormat="1" applyFont="1" applyFill="1" applyBorder="1" applyAlignment="1">
      <alignment horizontal="right"/>
    </xf>
    <xf numFmtId="0" fontId="3" fillId="4" borderId="0" xfId="0" applyFont="1" applyFill="1" applyAlignment="1">
      <alignment/>
    </xf>
    <xf numFmtId="3" fontId="3" fillId="4" borderId="20" xfId="0" applyNumberFormat="1" applyFont="1" applyFill="1" applyBorder="1" applyAlignment="1">
      <alignment/>
    </xf>
    <xf numFmtId="3" fontId="3" fillId="4" borderId="21" xfId="0" applyNumberFormat="1" applyFont="1" applyFill="1" applyBorder="1" applyAlignment="1">
      <alignment/>
    </xf>
    <xf numFmtId="3" fontId="3" fillId="4" borderId="3" xfId="0" applyNumberFormat="1" applyFont="1" applyFill="1" applyBorder="1" applyAlignment="1">
      <alignment horizontal="right"/>
    </xf>
    <xf numFmtId="3" fontId="3" fillId="4" borderId="23" xfId="0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181" fontId="3" fillId="4" borderId="0" xfId="0" applyNumberFormat="1" applyFont="1" applyFill="1" applyBorder="1" applyAlignment="1">
      <alignment/>
    </xf>
    <xf numFmtId="3" fontId="4" fillId="4" borderId="0" xfId="0" applyNumberFormat="1" applyFont="1" applyFill="1" applyBorder="1" applyAlignment="1">
      <alignment/>
    </xf>
    <xf numFmtId="181" fontId="4" fillId="4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" fontId="4" fillId="3" borderId="41" xfId="0" applyNumberFormat="1" applyFont="1" applyFill="1" applyBorder="1" applyAlignment="1">
      <alignment/>
    </xf>
    <xf numFmtId="3" fontId="3" fillId="3" borderId="73" xfId="0" applyNumberFormat="1" applyFont="1" applyFill="1" applyBorder="1" applyAlignment="1">
      <alignment/>
    </xf>
    <xf numFmtId="3" fontId="3" fillId="3" borderId="74" xfId="0" applyNumberFormat="1" applyFont="1" applyFill="1" applyBorder="1" applyAlignment="1">
      <alignment/>
    </xf>
    <xf numFmtId="3" fontId="3" fillId="0" borderId="4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4" fillId="3" borderId="41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4" fillId="3" borderId="50" xfId="0" applyFont="1" applyFill="1" applyBorder="1" applyAlignment="1">
      <alignment/>
    </xf>
    <xf numFmtId="3" fontId="0" fillId="0" borderId="3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75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10" fillId="0" borderId="0" xfId="0" applyNumberFormat="1" applyFont="1" applyFill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 horizontal="left"/>
    </xf>
    <xf numFmtId="3" fontId="11" fillId="0" borderId="0" xfId="0" applyNumberFormat="1" applyFont="1" applyFill="1" applyAlignment="1">
      <alignment horizontal="left"/>
    </xf>
    <xf numFmtId="165" fontId="10" fillId="0" borderId="0" xfId="0" applyNumberFormat="1" applyFont="1" applyFill="1" applyAlignment="1">
      <alignment/>
    </xf>
    <xf numFmtId="20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centerContinuous"/>
    </xf>
    <xf numFmtId="0" fontId="10" fillId="0" borderId="2" xfId="0" applyFont="1" applyFill="1" applyBorder="1" applyAlignment="1">
      <alignment horizontal="centerContinuous"/>
    </xf>
    <xf numFmtId="3" fontId="10" fillId="2" borderId="2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Continuous"/>
    </xf>
    <xf numFmtId="0" fontId="10" fillId="0" borderId="4" xfId="0" applyFont="1" applyFill="1" applyBorder="1" applyAlignment="1">
      <alignment horizontal="center"/>
    </xf>
    <xf numFmtId="3" fontId="10" fillId="2" borderId="4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Fill="1" applyBorder="1" applyAlignment="1">
      <alignment horizontal="centerContinuous"/>
    </xf>
    <xf numFmtId="3" fontId="10" fillId="0" borderId="8" xfId="0" applyNumberFormat="1" applyFont="1" applyFill="1" applyBorder="1" applyAlignment="1">
      <alignment horizontal="centerContinuous"/>
    </xf>
    <xf numFmtId="3" fontId="10" fillId="0" borderId="9" xfId="0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3" fontId="10" fillId="0" borderId="16" xfId="0" applyNumberFormat="1" applyFont="1" applyFill="1" applyBorder="1" applyAlignment="1">
      <alignment horizontal="center"/>
    </xf>
    <xf numFmtId="9" fontId="10" fillId="0" borderId="5" xfId="0" applyNumberFormat="1" applyFont="1" applyFill="1" applyBorder="1" applyAlignment="1">
      <alignment horizontal="center"/>
    </xf>
    <xf numFmtId="0" fontId="10" fillId="3" borderId="0" xfId="0" applyFont="1" applyFill="1" applyAlignment="1">
      <alignment/>
    </xf>
    <xf numFmtId="3" fontId="10" fillId="3" borderId="18" xfId="0" applyNumberFormat="1" applyFont="1" applyFill="1" applyBorder="1" applyAlignment="1">
      <alignment/>
    </xf>
    <xf numFmtId="3" fontId="10" fillId="3" borderId="16" xfId="0" applyNumberFormat="1" applyFont="1" applyFill="1" applyBorder="1" applyAlignment="1">
      <alignment/>
    </xf>
    <xf numFmtId="3" fontId="10" fillId="3" borderId="17" xfId="0" applyNumberFormat="1" applyFont="1" applyFill="1" applyBorder="1" applyAlignment="1">
      <alignment/>
    </xf>
    <xf numFmtId="3" fontId="10" fillId="3" borderId="19" xfId="0" applyNumberFormat="1" applyFont="1" applyFill="1" applyBorder="1" applyAlignment="1">
      <alignment/>
    </xf>
    <xf numFmtId="3" fontId="10" fillId="3" borderId="8" xfId="0" applyNumberFormat="1" applyFont="1" applyFill="1" applyBorder="1" applyAlignment="1">
      <alignment/>
    </xf>
    <xf numFmtId="3" fontId="10" fillId="3" borderId="13" xfId="0" applyNumberFormat="1" applyFont="1" applyFill="1" applyBorder="1" applyAlignment="1">
      <alignment/>
    </xf>
    <xf numFmtId="3" fontId="10" fillId="4" borderId="0" xfId="0" applyNumberFormat="1" applyFont="1" applyFill="1" applyBorder="1" applyAlignment="1">
      <alignment/>
    </xf>
    <xf numFmtId="181" fontId="10" fillId="4" borderId="0" xfId="0" applyNumberFormat="1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4" fillId="0" borderId="0" xfId="0" applyFont="1" applyFill="1" applyAlignment="1">
      <alignment/>
    </xf>
    <xf numFmtId="3" fontId="10" fillId="0" borderId="20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3" fontId="10" fillId="0" borderId="3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/>
    </xf>
    <xf numFmtId="3" fontId="10" fillId="0" borderId="3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 horizontal="right"/>
    </xf>
    <xf numFmtId="3" fontId="10" fillId="0" borderId="21" xfId="0" applyNumberFormat="1" applyFont="1" applyFill="1" applyBorder="1" applyAlignment="1">
      <alignment horizontal="right"/>
    </xf>
    <xf numFmtId="0" fontId="10" fillId="0" borderId="21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3" fontId="10" fillId="4" borderId="22" xfId="0" applyNumberFormat="1" applyFont="1" applyFill="1" applyBorder="1" applyAlignment="1">
      <alignment/>
    </xf>
    <xf numFmtId="3" fontId="10" fillId="4" borderId="4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3" fontId="10" fillId="4" borderId="3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/>
    </xf>
    <xf numFmtId="3" fontId="10" fillId="5" borderId="3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10" fillId="4" borderId="3" xfId="0" applyNumberFormat="1" applyFont="1" applyFill="1" applyBorder="1" applyAlignment="1">
      <alignment/>
    </xf>
    <xf numFmtId="3" fontId="10" fillId="3" borderId="25" xfId="0" applyNumberFormat="1" applyFont="1" applyFill="1" applyBorder="1" applyAlignment="1">
      <alignment horizontal="right"/>
    </xf>
    <xf numFmtId="3" fontId="10" fillId="3" borderId="26" xfId="0" applyNumberFormat="1" applyFont="1" applyFill="1" applyBorder="1" applyAlignment="1">
      <alignment horizontal="right"/>
    </xf>
    <xf numFmtId="3" fontId="10" fillId="3" borderId="27" xfId="0" applyNumberFormat="1" applyFont="1" applyFill="1" applyBorder="1" applyAlignment="1">
      <alignment horizontal="right"/>
    </xf>
    <xf numFmtId="3" fontId="10" fillId="3" borderId="6" xfId="0" applyNumberFormat="1" applyFont="1" applyFill="1" applyBorder="1" applyAlignment="1">
      <alignment horizontal="right"/>
    </xf>
    <xf numFmtId="3" fontId="10" fillId="3" borderId="28" xfId="0" applyNumberFormat="1" applyFont="1" applyFill="1" applyBorder="1" applyAlignment="1">
      <alignment horizontal="right"/>
    </xf>
    <xf numFmtId="3" fontId="10" fillId="3" borderId="29" xfId="0" applyNumberFormat="1" applyFont="1" applyFill="1" applyBorder="1" applyAlignment="1">
      <alignment horizontal="right"/>
    </xf>
    <xf numFmtId="3" fontId="10" fillId="3" borderId="5" xfId="0" applyNumberFormat="1" applyFont="1" applyFill="1" applyBorder="1" applyAlignment="1">
      <alignment horizontal="right"/>
    </xf>
    <xf numFmtId="0" fontId="14" fillId="4" borderId="0" xfId="0" applyFont="1" applyFill="1" applyAlignment="1">
      <alignment/>
    </xf>
    <xf numFmtId="0" fontId="10" fillId="4" borderId="0" xfId="0" applyFont="1" applyFill="1" applyAlignment="1">
      <alignment/>
    </xf>
    <xf numFmtId="3" fontId="10" fillId="4" borderId="20" xfId="0" applyNumberFormat="1" applyFont="1" applyFill="1" applyBorder="1" applyAlignment="1">
      <alignment/>
    </xf>
    <xf numFmtId="3" fontId="10" fillId="4" borderId="21" xfId="0" applyNumberFormat="1" applyFont="1" applyFill="1" applyBorder="1" applyAlignment="1">
      <alignment/>
    </xf>
    <xf numFmtId="3" fontId="10" fillId="0" borderId="4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0" fillId="3" borderId="25" xfId="0" applyNumberFormat="1" applyFont="1" applyFill="1" applyBorder="1" applyAlignment="1">
      <alignment/>
    </xf>
    <xf numFmtId="3" fontId="10" fillId="3" borderId="29" xfId="0" applyNumberFormat="1" applyFont="1" applyFill="1" applyBorder="1" applyAlignment="1">
      <alignment/>
    </xf>
    <xf numFmtId="3" fontId="10" fillId="3" borderId="6" xfId="0" applyNumberFormat="1" applyFont="1" applyFill="1" applyBorder="1" applyAlignment="1">
      <alignment/>
    </xf>
    <xf numFmtId="3" fontId="10" fillId="3" borderId="26" xfId="0" applyNumberFormat="1" applyFont="1" applyFill="1" applyBorder="1" applyAlignment="1">
      <alignment/>
    </xf>
    <xf numFmtId="3" fontId="10" fillId="3" borderId="27" xfId="0" applyNumberFormat="1" applyFont="1" applyFill="1" applyBorder="1" applyAlignment="1">
      <alignment/>
    </xf>
    <xf numFmtId="0" fontId="10" fillId="3" borderId="26" xfId="0" applyFont="1" applyFill="1" applyBorder="1" applyAlignment="1">
      <alignment/>
    </xf>
    <xf numFmtId="0" fontId="10" fillId="3" borderId="25" xfId="0" applyFont="1" applyFill="1" applyBorder="1" applyAlignment="1">
      <alignment/>
    </xf>
    <xf numFmtId="3" fontId="10" fillId="3" borderId="5" xfId="0" applyNumberFormat="1" applyFont="1" applyFill="1" applyBorder="1" applyAlignment="1">
      <alignment/>
    </xf>
    <xf numFmtId="3" fontId="10" fillId="3" borderId="28" xfId="0" applyNumberFormat="1" applyFont="1" applyFill="1" applyBorder="1" applyAlignment="1">
      <alignment/>
    </xf>
    <xf numFmtId="0" fontId="10" fillId="4" borderId="2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3" fontId="10" fillId="0" borderId="23" xfId="0" applyNumberFormat="1" applyFont="1" applyFill="1" applyBorder="1" applyAlignment="1">
      <alignment horizontal="right"/>
    </xf>
    <xf numFmtId="3" fontId="10" fillId="4" borderId="20" xfId="0" applyNumberFormat="1" applyFont="1" applyFill="1" applyBorder="1" applyAlignment="1">
      <alignment horizontal="right"/>
    </xf>
    <xf numFmtId="3" fontId="10" fillId="4" borderId="21" xfId="0" applyNumberFormat="1" applyFont="1" applyFill="1" applyBorder="1" applyAlignment="1">
      <alignment horizontal="right"/>
    </xf>
    <xf numFmtId="3" fontId="10" fillId="4" borderId="24" xfId="0" applyNumberFormat="1" applyFont="1" applyFill="1" applyBorder="1" applyAlignment="1">
      <alignment/>
    </xf>
    <xf numFmtId="0" fontId="10" fillId="4" borderId="21" xfId="0" applyFont="1" applyFill="1" applyBorder="1" applyAlignment="1">
      <alignment/>
    </xf>
    <xf numFmtId="3" fontId="10" fillId="6" borderId="5" xfId="0" applyNumberFormat="1" applyFont="1" applyFill="1" applyBorder="1" applyAlignment="1">
      <alignment/>
    </xf>
    <xf numFmtId="3" fontId="10" fillId="4" borderId="22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 horizontal="right"/>
    </xf>
    <xf numFmtId="0" fontId="10" fillId="0" borderId="3" xfId="0" applyFont="1" applyFill="1" applyBorder="1" applyAlignment="1">
      <alignment/>
    </xf>
    <xf numFmtId="3" fontId="10" fillId="0" borderId="31" xfId="0" applyNumberFormat="1" applyFont="1" applyFill="1" applyBorder="1" applyAlignment="1">
      <alignment horizontal="right"/>
    </xf>
    <xf numFmtId="3" fontId="10" fillId="3" borderId="72" xfId="0" applyNumberFormat="1" applyFont="1" applyFill="1" applyBorder="1" applyAlignment="1">
      <alignment horizontal="right"/>
    </xf>
    <xf numFmtId="0" fontId="10" fillId="0" borderId="21" xfId="0" applyFont="1" applyFill="1" applyBorder="1" applyAlignment="1">
      <alignment horizontal="right"/>
    </xf>
    <xf numFmtId="0" fontId="10" fillId="4" borderId="20" xfId="0" applyFont="1" applyFill="1" applyBorder="1" applyAlignment="1">
      <alignment horizontal="right"/>
    </xf>
    <xf numFmtId="0" fontId="10" fillId="4" borderId="21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3" fontId="11" fillId="0" borderId="20" xfId="0" applyNumberFormat="1" applyFont="1" applyFill="1" applyBorder="1" applyAlignment="1">
      <alignment horizontal="right"/>
    </xf>
    <xf numFmtId="3" fontId="11" fillId="0" borderId="21" xfId="0" applyNumberFormat="1" applyFont="1" applyFill="1" applyBorder="1" applyAlignment="1">
      <alignment horizontal="right"/>
    </xf>
    <xf numFmtId="3" fontId="11" fillId="0" borderId="22" xfId="0" applyNumberFormat="1" applyFont="1" applyFill="1" applyBorder="1" applyAlignment="1">
      <alignment horizontal="right"/>
    </xf>
    <xf numFmtId="3" fontId="11" fillId="4" borderId="3" xfId="0" applyNumberFormat="1" applyFont="1" applyFill="1" applyBorder="1" applyAlignment="1">
      <alignment horizontal="right"/>
    </xf>
    <xf numFmtId="3" fontId="11" fillId="4" borderId="4" xfId="0" applyNumberFormat="1" applyFont="1" applyFill="1" applyBorder="1" applyAlignment="1">
      <alignment/>
    </xf>
    <xf numFmtId="0" fontId="11" fillId="3" borderId="32" xfId="0" applyFont="1" applyFill="1" applyBorder="1" applyAlignment="1">
      <alignment/>
    </xf>
    <xf numFmtId="0" fontId="11" fillId="3" borderId="33" xfId="0" applyFont="1" applyFill="1" applyBorder="1" applyAlignment="1">
      <alignment/>
    </xf>
    <xf numFmtId="3" fontId="11" fillId="3" borderId="34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0" fillId="3" borderId="37" xfId="0" applyNumberFormat="1" applyFont="1" applyFill="1" applyBorder="1" applyAlignment="1">
      <alignment/>
    </xf>
    <xf numFmtId="3" fontId="10" fillId="3" borderId="35" xfId="0" applyNumberFormat="1" applyFont="1" applyFill="1" applyBorder="1" applyAlignment="1">
      <alignment/>
    </xf>
    <xf numFmtId="3" fontId="10" fillId="3" borderId="36" xfId="0" applyNumberFormat="1" applyFont="1" applyFill="1" applyBorder="1" applyAlignment="1">
      <alignment/>
    </xf>
    <xf numFmtId="3" fontId="10" fillId="3" borderId="38" xfId="0" applyNumberFormat="1" applyFont="1" applyFill="1" applyBorder="1" applyAlignment="1">
      <alignment/>
    </xf>
    <xf numFmtId="3" fontId="10" fillId="3" borderId="39" xfId="0" applyNumberFormat="1" applyFont="1" applyFill="1" applyBorder="1" applyAlignment="1">
      <alignment/>
    </xf>
    <xf numFmtId="3" fontId="10" fillId="3" borderId="20" xfId="0" applyNumberFormat="1" applyFont="1" applyFill="1" applyBorder="1" applyAlignment="1">
      <alignment/>
    </xf>
    <xf numFmtId="3" fontId="10" fillId="3" borderId="24" xfId="0" applyNumberFormat="1" applyFont="1" applyFill="1" applyBorder="1" applyAlignment="1">
      <alignment/>
    </xf>
    <xf numFmtId="3" fontId="10" fillId="3" borderId="0" xfId="0" applyNumberFormat="1" applyFont="1" applyFill="1" applyBorder="1" applyAlignment="1">
      <alignment/>
    </xf>
    <xf numFmtId="3" fontId="10" fillId="3" borderId="4" xfId="0" applyNumberFormat="1" applyFont="1" applyFill="1" applyBorder="1" applyAlignment="1">
      <alignment/>
    </xf>
    <xf numFmtId="3" fontId="10" fillId="3" borderId="21" xfId="0" applyNumberFormat="1" applyFont="1" applyFill="1" applyBorder="1" applyAlignment="1">
      <alignment/>
    </xf>
    <xf numFmtId="3" fontId="10" fillId="3" borderId="22" xfId="0" applyNumberFormat="1" applyFont="1" applyFill="1" applyBorder="1" applyAlignment="1">
      <alignment/>
    </xf>
    <xf numFmtId="3" fontId="10" fillId="3" borderId="3" xfId="0" applyNumberFormat="1" applyFont="1" applyFill="1" applyBorder="1" applyAlignment="1">
      <alignment horizontal="right"/>
    </xf>
    <xf numFmtId="3" fontId="10" fillId="3" borderId="23" xfId="0" applyNumberFormat="1" applyFont="1" applyFill="1" applyBorder="1" applyAlignment="1">
      <alignment/>
    </xf>
    <xf numFmtId="3" fontId="10" fillId="3" borderId="4" xfId="0" applyNumberFormat="1" applyFont="1" applyFill="1" applyBorder="1" applyAlignment="1">
      <alignment horizontal="right"/>
    </xf>
    <xf numFmtId="0" fontId="14" fillId="3" borderId="0" xfId="0" applyFont="1" applyFill="1" applyAlignment="1">
      <alignment/>
    </xf>
    <xf numFmtId="3" fontId="10" fillId="3" borderId="3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0" fillId="0" borderId="40" xfId="0" applyFont="1" applyFill="1" applyBorder="1" applyAlignment="1">
      <alignment/>
    </xf>
    <xf numFmtId="3" fontId="10" fillId="3" borderId="34" xfId="0" applyNumberFormat="1" applyFont="1" applyFill="1" applyBorder="1" applyAlignment="1">
      <alignment/>
    </xf>
    <xf numFmtId="3" fontId="11" fillId="3" borderId="41" xfId="0" applyNumberFormat="1" applyFont="1" applyFill="1" applyBorder="1" applyAlignment="1">
      <alignment horizontal="right"/>
    </xf>
    <xf numFmtId="3" fontId="11" fillId="3" borderId="42" xfId="0" applyNumberFormat="1" applyFont="1" applyFill="1" applyBorder="1" applyAlignment="1">
      <alignment/>
    </xf>
    <xf numFmtId="3" fontId="11" fillId="3" borderId="34" xfId="0" applyNumberFormat="1" applyFont="1" applyFill="1" applyBorder="1" applyAlignment="1">
      <alignment horizontal="right"/>
    </xf>
    <xf numFmtId="0" fontId="10" fillId="0" borderId="43" xfId="0" applyFont="1" applyFill="1" applyBorder="1" applyAlignment="1">
      <alignment/>
    </xf>
    <xf numFmtId="3" fontId="10" fillId="0" borderId="1" xfId="0" applyNumberFormat="1" applyFont="1" applyFill="1" applyBorder="1" applyAlignment="1">
      <alignment horizontal="right"/>
    </xf>
    <xf numFmtId="0" fontId="10" fillId="3" borderId="33" xfId="0" applyFont="1" applyFill="1" applyBorder="1" applyAlignment="1">
      <alignment/>
    </xf>
    <xf numFmtId="3" fontId="10" fillId="3" borderId="44" xfId="0" applyNumberFormat="1" applyFont="1" applyFill="1" applyBorder="1" applyAlignment="1">
      <alignment horizontal="right"/>
    </xf>
    <xf numFmtId="3" fontId="10" fillId="3" borderId="45" xfId="0" applyNumberFormat="1" applyFont="1" applyFill="1" applyBorder="1" applyAlignment="1">
      <alignment horizontal="right"/>
    </xf>
    <xf numFmtId="3" fontId="10" fillId="3" borderId="41" xfId="0" applyNumberFormat="1" applyFont="1" applyFill="1" applyBorder="1" applyAlignment="1">
      <alignment horizontal="right"/>
    </xf>
    <xf numFmtId="3" fontId="10" fillId="3" borderId="46" xfId="0" applyNumberFormat="1" applyFont="1" applyFill="1" applyBorder="1" applyAlignment="1">
      <alignment horizontal="right"/>
    </xf>
    <xf numFmtId="3" fontId="10" fillId="3" borderId="47" xfId="0" applyNumberFormat="1" applyFont="1" applyFill="1" applyBorder="1" applyAlignment="1">
      <alignment horizontal="right"/>
    </xf>
    <xf numFmtId="3" fontId="10" fillId="3" borderId="48" xfId="0" applyNumberFormat="1" applyFont="1" applyFill="1" applyBorder="1" applyAlignment="1">
      <alignment horizontal="right"/>
    </xf>
    <xf numFmtId="3" fontId="10" fillId="3" borderId="34" xfId="0" applyNumberFormat="1" applyFont="1" applyFill="1" applyBorder="1" applyAlignment="1">
      <alignment horizontal="right"/>
    </xf>
    <xf numFmtId="0" fontId="11" fillId="0" borderId="32" xfId="0" applyFont="1" applyFill="1" applyBorder="1" applyAlignment="1">
      <alignment/>
    </xf>
    <xf numFmtId="0" fontId="10" fillId="0" borderId="49" xfId="0" applyFont="1" applyFill="1" applyBorder="1" applyAlignment="1">
      <alignment/>
    </xf>
    <xf numFmtId="3" fontId="10" fillId="0" borderId="50" xfId="0" applyNumberFormat="1" applyFont="1" applyFill="1" applyBorder="1" applyAlignment="1">
      <alignment horizontal="right"/>
    </xf>
    <xf numFmtId="0" fontId="11" fillId="3" borderId="49" xfId="0" applyFont="1" applyFill="1" applyBorder="1" applyAlignment="1">
      <alignment/>
    </xf>
    <xf numFmtId="3" fontId="11" fillId="3" borderId="51" xfId="0" applyNumberFormat="1" applyFont="1" applyFill="1" applyBorder="1" applyAlignment="1">
      <alignment horizontal="right"/>
    </xf>
    <xf numFmtId="3" fontId="11" fillId="3" borderId="42" xfId="0" applyNumberFormat="1" applyFont="1" applyFill="1" applyBorder="1" applyAlignment="1">
      <alignment horizontal="right"/>
    </xf>
    <xf numFmtId="3" fontId="11" fillId="3" borderId="52" xfId="0" applyNumberFormat="1" applyFont="1" applyFill="1" applyBorder="1" applyAlignment="1">
      <alignment horizontal="right"/>
    </xf>
    <xf numFmtId="3" fontId="11" fillId="3" borderId="53" xfId="0" applyNumberFormat="1" applyFont="1" applyFill="1" applyBorder="1" applyAlignment="1">
      <alignment horizontal="right"/>
    </xf>
    <xf numFmtId="3" fontId="11" fillId="3" borderId="50" xfId="0" applyNumberFormat="1" applyFont="1" applyFill="1" applyBorder="1" applyAlignment="1">
      <alignment horizontal="right"/>
    </xf>
    <xf numFmtId="3" fontId="11" fillId="3" borderId="54" xfId="0" applyNumberFormat="1" applyFont="1" applyFill="1" applyBorder="1" applyAlignment="1">
      <alignment horizontal="right"/>
    </xf>
    <xf numFmtId="3" fontId="11" fillId="4" borderId="0" xfId="0" applyNumberFormat="1" applyFont="1" applyFill="1" applyBorder="1" applyAlignment="1">
      <alignment/>
    </xf>
    <xf numFmtId="181" fontId="11" fillId="4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 horizontal="right"/>
    </xf>
    <xf numFmtId="3" fontId="10" fillId="0" borderId="45" xfId="0" applyNumberFormat="1" applyFont="1" applyFill="1" applyBorder="1" applyAlignment="1">
      <alignment horizontal="right"/>
    </xf>
    <xf numFmtId="3" fontId="10" fillId="0" borderId="47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 horizontal="right"/>
    </xf>
    <xf numFmtId="3" fontId="10" fillId="0" borderId="55" xfId="0" applyNumberFormat="1" applyFont="1" applyFill="1" applyBorder="1" applyAlignment="1">
      <alignment horizontal="right"/>
    </xf>
    <xf numFmtId="3" fontId="11" fillId="3" borderId="44" xfId="0" applyNumberFormat="1" applyFont="1" applyFill="1" applyBorder="1" applyAlignment="1">
      <alignment horizontal="right"/>
    </xf>
    <xf numFmtId="3" fontId="11" fillId="3" borderId="45" xfId="0" applyNumberFormat="1" applyFont="1" applyFill="1" applyBorder="1" applyAlignment="1">
      <alignment horizontal="right"/>
    </xf>
    <xf numFmtId="3" fontId="11" fillId="3" borderId="47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3" fontId="10" fillId="3" borderId="42" xfId="0" applyNumberFormat="1" applyFont="1" applyFill="1" applyBorder="1" applyAlignment="1">
      <alignment horizontal="right"/>
    </xf>
    <xf numFmtId="3" fontId="10" fillId="0" borderId="56" xfId="0" applyNumberFormat="1" applyFont="1" applyFill="1" applyBorder="1" applyAlignment="1">
      <alignment horizontal="right"/>
    </xf>
    <xf numFmtId="3" fontId="10" fillId="0" borderId="57" xfId="0" applyNumberFormat="1" applyFont="1" applyFill="1" applyBorder="1" applyAlignment="1">
      <alignment horizontal="right"/>
    </xf>
    <xf numFmtId="3" fontId="10" fillId="0" borderId="58" xfId="0" applyNumberFormat="1" applyFont="1" applyFill="1" applyBorder="1" applyAlignment="1">
      <alignment horizontal="right"/>
    </xf>
    <xf numFmtId="3" fontId="10" fillId="0" borderId="60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3" fontId="10" fillId="0" borderId="51" xfId="0" applyNumberFormat="1" applyFont="1" applyFill="1" applyBorder="1" applyAlignment="1">
      <alignment/>
    </xf>
    <xf numFmtId="3" fontId="10" fillId="0" borderId="52" xfId="0" applyNumberFormat="1" applyFont="1" applyFill="1" applyBorder="1" applyAlignment="1">
      <alignment/>
    </xf>
    <xf numFmtId="3" fontId="10" fillId="0" borderId="53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3" fontId="10" fillId="0" borderId="41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/>
    </xf>
    <xf numFmtId="3" fontId="10" fillId="0" borderId="34" xfId="0" applyNumberFormat="1" applyFont="1" applyFill="1" applyBorder="1" applyAlignment="1">
      <alignment/>
    </xf>
    <xf numFmtId="0" fontId="11" fillId="3" borderId="62" xfId="0" applyFont="1" applyFill="1" applyBorder="1" applyAlignment="1">
      <alignment/>
    </xf>
    <xf numFmtId="3" fontId="10" fillId="0" borderId="60" xfId="0" applyNumberFormat="1" applyFont="1" applyFill="1" applyBorder="1" applyAlignment="1">
      <alignment/>
    </xf>
    <xf numFmtId="0" fontId="10" fillId="3" borderId="41" xfId="0" applyFont="1" applyFill="1" applyBorder="1" applyAlignment="1">
      <alignment/>
    </xf>
    <xf numFmtId="3" fontId="10" fillId="3" borderId="63" xfId="0" applyNumberFormat="1" applyFont="1" applyFill="1" applyBorder="1" applyAlignment="1">
      <alignment horizontal="right"/>
    </xf>
    <xf numFmtId="3" fontId="10" fillId="3" borderId="64" xfId="0" applyNumberFormat="1" applyFont="1" applyFill="1" applyBorder="1" applyAlignment="1">
      <alignment horizontal="right"/>
    </xf>
    <xf numFmtId="3" fontId="10" fillId="3" borderId="65" xfId="0" applyNumberFormat="1" applyFont="1" applyFill="1" applyBorder="1" applyAlignment="1">
      <alignment horizontal="right"/>
    </xf>
    <xf numFmtId="3" fontId="10" fillId="3" borderId="66" xfId="0" applyNumberFormat="1" applyFont="1" applyFill="1" applyBorder="1" applyAlignment="1">
      <alignment horizontal="right"/>
    </xf>
    <xf numFmtId="3" fontId="10" fillId="3" borderId="67" xfId="0" applyNumberFormat="1" applyFont="1" applyFill="1" applyBorder="1" applyAlignment="1">
      <alignment horizontal="right"/>
    </xf>
    <xf numFmtId="3" fontId="10" fillId="3" borderId="68" xfId="0" applyNumberFormat="1" applyFont="1" applyFill="1" applyBorder="1" applyAlignment="1">
      <alignment horizontal="right"/>
    </xf>
    <xf numFmtId="3" fontId="10" fillId="3" borderId="69" xfId="0" applyNumberFormat="1" applyFont="1" applyFill="1" applyBorder="1" applyAlignment="1">
      <alignment horizontal="right"/>
    </xf>
    <xf numFmtId="3" fontId="10" fillId="3" borderId="70" xfId="0" applyNumberFormat="1" applyFont="1" applyFill="1" applyBorder="1" applyAlignment="1">
      <alignment horizontal="right"/>
    </xf>
    <xf numFmtId="0" fontId="11" fillId="3" borderId="34" xfId="0" applyFont="1" applyFill="1" applyBorder="1" applyAlignment="1">
      <alignment/>
    </xf>
    <xf numFmtId="0" fontId="10" fillId="3" borderId="34" xfId="0" applyFont="1" applyFill="1" applyBorder="1" applyAlignment="1">
      <alignment/>
    </xf>
    <xf numFmtId="3" fontId="10" fillId="0" borderId="51" xfId="0" applyNumberFormat="1" applyFont="1" applyFill="1" applyBorder="1" applyAlignment="1">
      <alignment horizontal="right"/>
    </xf>
    <xf numFmtId="3" fontId="10" fillId="0" borderId="52" xfId="0" applyNumberFormat="1" applyFont="1" applyFill="1" applyBorder="1" applyAlignment="1">
      <alignment horizontal="right"/>
    </xf>
    <xf numFmtId="3" fontId="10" fillId="0" borderId="61" xfId="0" applyNumberFormat="1" applyFont="1" applyFill="1" applyBorder="1" applyAlignment="1">
      <alignment horizontal="right"/>
    </xf>
    <xf numFmtId="0" fontId="10" fillId="0" borderId="32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3" fontId="10" fillId="0" borderId="48" xfId="0" applyNumberFormat="1" applyFont="1" applyFill="1" applyBorder="1" applyAlignment="1">
      <alignment horizontal="right"/>
    </xf>
    <xf numFmtId="3" fontId="10" fillId="0" borderId="71" xfId="0" applyNumberFormat="1" applyFont="1" applyFill="1" applyBorder="1" applyAlignment="1">
      <alignment horizontal="right"/>
    </xf>
    <xf numFmtId="0" fontId="10" fillId="0" borderId="0" xfId="0" applyNumberFormat="1" applyFont="1" applyFill="1" applyAlignment="1">
      <alignment horizontal="fill" wrapText="1"/>
    </xf>
    <xf numFmtId="0" fontId="10" fillId="0" borderId="0" xfId="0" applyFont="1" applyAlignment="1">
      <alignment horizontal="fill" wrapText="1"/>
    </xf>
    <xf numFmtId="0" fontId="10" fillId="0" borderId="0" xfId="0" applyFont="1" applyAlignment="1">
      <alignment wrapText="1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left" vertical="top"/>
    </xf>
    <xf numFmtId="14" fontId="10" fillId="0" borderId="0" xfId="0" applyNumberFormat="1" applyFont="1" applyFill="1" applyAlignment="1">
      <alignment horizontal="left" vertical="top"/>
    </xf>
    <xf numFmtId="170" fontId="10" fillId="0" borderId="0" xfId="0" applyNumberFormat="1" applyFont="1" applyFill="1" applyAlignment="1">
      <alignment/>
    </xf>
    <xf numFmtId="6" fontId="10" fillId="0" borderId="0" xfId="0" applyNumberFormat="1" applyFont="1" applyFill="1" applyAlignment="1">
      <alignment/>
    </xf>
    <xf numFmtId="8" fontId="10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3" fontId="18" fillId="0" borderId="0" xfId="0" applyNumberFormat="1" applyFont="1" applyFill="1" applyAlignment="1">
      <alignment horizontal="center"/>
    </xf>
    <xf numFmtId="3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Alignment="1">
      <alignment horizontal="left"/>
    </xf>
    <xf numFmtId="3" fontId="18" fillId="0" borderId="0" xfId="0" applyNumberFormat="1" applyFont="1" applyFill="1" applyAlignment="1">
      <alignment horizontal="left"/>
    </xf>
    <xf numFmtId="165" fontId="17" fillId="0" borderId="0" xfId="0" applyNumberFormat="1" applyFont="1" applyFill="1" applyAlignment="1">
      <alignment/>
    </xf>
    <xf numFmtId="20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9" fillId="0" borderId="0" xfId="0" applyNumberFormat="1" applyFont="1" applyFill="1" applyBorder="1" applyAlignment="1">
      <alignment/>
    </xf>
    <xf numFmtId="0" fontId="17" fillId="0" borderId="1" xfId="0" applyFont="1" applyFill="1" applyBorder="1" applyAlignment="1">
      <alignment horizontal="centerContinuous"/>
    </xf>
    <xf numFmtId="0" fontId="17" fillId="0" borderId="2" xfId="0" applyFont="1" applyFill="1" applyBorder="1" applyAlignment="1">
      <alignment horizontal="centerContinuous"/>
    </xf>
    <xf numFmtId="3" fontId="17" fillId="2" borderId="2" xfId="0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Continuous"/>
    </xf>
    <xf numFmtId="0" fontId="17" fillId="0" borderId="4" xfId="0" applyFont="1" applyFill="1" applyBorder="1" applyAlignment="1">
      <alignment horizontal="center"/>
    </xf>
    <xf numFmtId="3" fontId="17" fillId="2" borderId="4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Fill="1" applyBorder="1" applyAlignment="1">
      <alignment horizontal="centerContinuous"/>
    </xf>
    <xf numFmtId="3" fontId="17" fillId="0" borderId="8" xfId="0" applyNumberFormat="1" applyFont="1" applyFill="1" applyBorder="1" applyAlignment="1">
      <alignment horizontal="centerContinuous"/>
    </xf>
    <xf numFmtId="3" fontId="17" fillId="0" borderId="9" xfId="0" applyNumberFormat="1" applyFont="1" applyFill="1" applyBorder="1" applyAlignment="1">
      <alignment horizontal="center"/>
    </xf>
    <xf numFmtId="3" fontId="17" fillId="0" borderId="7" xfId="0" applyNumberFormat="1" applyFont="1" applyFill="1" applyBorder="1" applyAlignment="1">
      <alignment horizontal="center"/>
    </xf>
    <xf numFmtId="3" fontId="17" fillId="0" borderId="8" xfId="0" applyNumberFormat="1" applyFont="1" applyFill="1" applyBorder="1" applyAlignment="1">
      <alignment horizontal="center"/>
    </xf>
    <xf numFmtId="3" fontId="17" fillId="0" borderId="4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3" fontId="17" fillId="0" borderId="17" xfId="0" applyNumberFormat="1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3" fontId="17" fillId="0" borderId="18" xfId="0" applyNumberFormat="1" applyFont="1" applyFill="1" applyBorder="1" applyAlignment="1">
      <alignment horizontal="center"/>
    </xf>
    <xf numFmtId="3" fontId="17" fillId="0" borderId="16" xfId="0" applyNumberFormat="1" applyFont="1" applyFill="1" applyBorder="1" applyAlignment="1">
      <alignment horizontal="center"/>
    </xf>
    <xf numFmtId="9" fontId="17" fillId="0" borderId="5" xfId="0" applyNumberFormat="1" applyFont="1" applyFill="1" applyBorder="1" applyAlignment="1">
      <alignment horizontal="center"/>
    </xf>
    <xf numFmtId="0" fontId="17" fillId="3" borderId="0" xfId="0" applyFont="1" applyFill="1" applyAlignment="1">
      <alignment/>
    </xf>
    <xf numFmtId="3" fontId="17" fillId="3" borderId="18" xfId="0" applyNumberFormat="1" applyFont="1" applyFill="1" applyBorder="1" applyAlignment="1">
      <alignment/>
    </xf>
    <xf numFmtId="3" fontId="17" fillId="3" borderId="16" xfId="0" applyNumberFormat="1" applyFont="1" applyFill="1" applyBorder="1" applyAlignment="1">
      <alignment/>
    </xf>
    <xf numFmtId="3" fontId="17" fillId="3" borderId="17" xfId="0" applyNumberFormat="1" applyFont="1" applyFill="1" applyBorder="1" applyAlignment="1">
      <alignment/>
    </xf>
    <xf numFmtId="3" fontId="17" fillId="3" borderId="19" xfId="0" applyNumberFormat="1" applyFont="1" applyFill="1" applyBorder="1" applyAlignment="1">
      <alignment/>
    </xf>
    <xf numFmtId="3" fontId="17" fillId="3" borderId="77" xfId="0" applyNumberFormat="1" applyFont="1" applyFill="1" applyBorder="1" applyAlignment="1">
      <alignment/>
    </xf>
    <xf numFmtId="3" fontId="17" fillId="3" borderId="78" xfId="0" applyNumberFormat="1" applyFont="1" applyFill="1" applyBorder="1" applyAlignment="1">
      <alignment/>
    </xf>
    <xf numFmtId="3" fontId="17" fillId="3" borderId="79" xfId="0" applyNumberFormat="1" applyFont="1" applyFill="1" applyBorder="1" applyAlignment="1">
      <alignment/>
    </xf>
    <xf numFmtId="3" fontId="17" fillId="3" borderId="8" xfId="0" applyNumberFormat="1" applyFont="1" applyFill="1" applyBorder="1" applyAlignment="1">
      <alignment/>
    </xf>
    <xf numFmtId="3" fontId="17" fillId="3" borderId="13" xfId="0" applyNumberFormat="1" applyFont="1" applyFill="1" applyBorder="1" applyAlignment="1">
      <alignment/>
    </xf>
    <xf numFmtId="3" fontId="17" fillId="4" borderId="0" xfId="0" applyNumberFormat="1" applyFont="1" applyFill="1" applyBorder="1" applyAlignment="1">
      <alignment/>
    </xf>
    <xf numFmtId="181" fontId="17" fillId="4" borderId="0" xfId="0" applyNumberFormat="1" applyFont="1" applyFill="1" applyBorder="1" applyAlignment="1">
      <alignment/>
    </xf>
    <xf numFmtId="0" fontId="17" fillId="3" borderId="0" xfId="0" applyFont="1" applyFill="1" applyBorder="1" applyAlignment="1">
      <alignment/>
    </xf>
    <xf numFmtId="0" fontId="21" fillId="0" borderId="0" xfId="0" applyFont="1" applyFill="1" applyAlignment="1">
      <alignment/>
    </xf>
    <xf numFmtId="3" fontId="17" fillId="0" borderId="20" xfId="0" applyNumberFormat="1" applyFont="1" applyFill="1" applyBorder="1" applyAlignment="1">
      <alignment/>
    </xf>
    <xf numFmtId="3" fontId="17" fillId="0" borderId="21" xfId="0" applyNumberFormat="1" applyFont="1" applyFill="1" applyBorder="1" applyAlignment="1">
      <alignment/>
    </xf>
    <xf numFmtId="3" fontId="17" fillId="0" borderId="22" xfId="0" applyNumberFormat="1" applyFont="1" applyFill="1" applyBorder="1" applyAlignment="1">
      <alignment/>
    </xf>
    <xf numFmtId="3" fontId="17" fillId="0" borderId="3" xfId="0" applyNumberFormat="1" applyFont="1" applyFill="1" applyBorder="1" applyAlignment="1">
      <alignment horizontal="right"/>
    </xf>
    <xf numFmtId="3" fontId="17" fillId="0" borderId="23" xfId="0" applyNumberFormat="1" applyFont="1" applyFill="1" applyBorder="1" applyAlignment="1">
      <alignment/>
    </xf>
    <xf numFmtId="3" fontId="17" fillId="0" borderId="3" xfId="0" applyNumberFormat="1" applyFont="1" applyFill="1" applyBorder="1" applyAlignment="1">
      <alignment/>
    </xf>
    <xf numFmtId="3" fontId="17" fillId="0" borderId="80" xfId="0" applyNumberFormat="1" applyFont="1" applyFill="1" applyBorder="1" applyAlignment="1">
      <alignment/>
    </xf>
    <xf numFmtId="3" fontId="17" fillId="0" borderId="81" xfId="0" applyNumberFormat="1" applyFont="1" applyFill="1" applyBorder="1" applyAlignment="1">
      <alignment/>
    </xf>
    <xf numFmtId="3" fontId="17" fillId="0" borderId="24" xfId="0" applyNumberFormat="1" applyFont="1" applyFill="1" applyBorder="1" applyAlignment="1">
      <alignment/>
    </xf>
    <xf numFmtId="3" fontId="17" fillId="0" borderId="20" xfId="0" applyNumberFormat="1" applyFont="1" applyFill="1" applyBorder="1" applyAlignment="1">
      <alignment horizontal="right"/>
    </xf>
    <xf numFmtId="3" fontId="17" fillId="0" borderId="21" xfId="0" applyNumberFormat="1" applyFont="1" applyFill="1" applyBorder="1" applyAlignment="1">
      <alignment horizontal="right"/>
    </xf>
    <xf numFmtId="3" fontId="17" fillId="0" borderId="40" xfId="0" applyNumberFormat="1" applyFont="1" applyFill="1" applyBorder="1" applyAlignment="1">
      <alignment/>
    </xf>
    <xf numFmtId="3" fontId="17" fillId="4" borderId="22" xfId="0" applyNumberFormat="1" applyFont="1" applyFill="1" applyBorder="1" applyAlignment="1">
      <alignment/>
    </xf>
    <xf numFmtId="3" fontId="17" fillId="4" borderId="4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3" fontId="17" fillId="4" borderId="23" xfId="0" applyNumberFormat="1" applyFont="1" applyFill="1" applyBorder="1" applyAlignment="1">
      <alignment/>
    </xf>
    <xf numFmtId="3" fontId="17" fillId="4" borderId="3" xfId="0" applyNumberFormat="1" applyFont="1" applyFill="1" applyBorder="1" applyAlignment="1">
      <alignment horizontal="right"/>
    </xf>
    <xf numFmtId="0" fontId="17" fillId="0" borderId="21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3" fontId="17" fillId="5" borderId="3" xfId="0" applyNumberFormat="1" applyFont="1" applyFill="1" applyBorder="1" applyAlignment="1">
      <alignment/>
    </xf>
    <xf numFmtId="3" fontId="17" fillId="0" borderId="22" xfId="0" applyNumberFormat="1" applyFont="1" applyFill="1" applyBorder="1" applyAlignment="1">
      <alignment horizontal="right"/>
    </xf>
    <xf numFmtId="3" fontId="17" fillId="4" borderId="3" xfId="0" applyNumberFormat="1" applyFont="1" applyFill="1" applyBorder="1" applyAlignment="1">
      <alignment/>
    </xf>
    <xf numFmtId="3" fontId="17" fillId="3" borderId="25" xfId="0" applyNumberFormat="1" applyFont="1" applyFill="1" applyBorder="1" applyAlignment="1">
      <alignment horizontal="right"/>
    </xf>
    <xf numFmtId="3" fontId="17" fillId="3" borderId="26" xfId="0" applyNumberFormat="1" applyFont="1" applyFill="1" applyBorder="1" applyAlignment="1">
      <alignment horizontal="right"/>
    </xf>
    <xf numFmtId="3" fontId="17" fillId="3" borderId="27" xfId="0" applyNumberFormat="1" applyFont="1" applyFill="1" applyBorder="1" applyAlignment="1">
      <alignment horizontal="right"/>
    </xf>
    <xf numFmtId="3" fontId="17" fillId="3" borderId="6" xfId="0" applyNumberFormat="1" applyFont="1" applyFill="1" applyBorder="1" applyAlignment="1">
      <alignment horizontal="right"/>
    </xf>
    <xf numFmtId="3" fontId="17" fillId="3" borderId="29" xfId="0" applyNumberFormat="1" applyFont="1" applyFill="1" applyBorder="1" applyAlignment="1">
      <alignment horizontal="right"/>
    </xf>
    <xf numFmtId="3" fontId="17" fillId="3" borderId="5" xfId="0" applyNumberFormat="1" applyFont="1" applyFill="1" applyBorder="1" applyAlignment="1">
      <alignment horizontal="right"/>
    </xf>
    <xf numFmtId="0" fontId="21" fillId="4" borderId="0" xfId="0" applyFont="1" applyFill="1" applyAlignment="1">
      <alignment/>
    </xf>
    <xf numFmtId="0" fontId="17" fillId="4" borderId="0" xfId="0" applyFont="1" applyFill="1" applyAlignment="1">
      <alignment/>
    </xf>
    <xf numFmtId="3" fontId="17" fillId="4" borderId="20" xfId="0" applyNumberFormat="1" applyFont="1" applyFill="1" applyBorder="1" applyAlignment="1">
      <alignment/>
    </xf>
    <xf numFmtId="3" fontId="17" fillId="4" borderId="21" xfId="0" applyNumberFormat="1" applyFont="1" applyFill="1" applyBorder="1" applyAlignment="1">
      <alignment/>
    </xf>
    <xf numFmtId="3" fontId="17" fillId="0" borderId="4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17" fillId="3" borderId="25" xfId="0" applyNumberFormat="1" applyFont="1" applyFill="1" applyBorder="1" applyAlignment="1">
      <alignment/>
    </xf>
    <xf numFmtId="3" fontId="17" fillId="3" borderId="29" xfId="0" applyNumberFormat="1" applyFont="1" applyFill="1" applyBorder="1" applyAlignment="1">
      <alignment/>
    </xf>
    <xf numFmtId="3" fontId="17" fillId="3" borderId="6" xfId="0" applyNumberFormat="1" applyFont="1" applyFill="1" applyBorder="1" applyAlignment="1">
      <alignment/>
    </xf>
    <xf numFmtId="3" fontId="17" fillId="3" borderId="30" xfId="0" applyNumberFormat="1" applyFont="1" applyFill="1" applyBorder="1" applyAlignment="1">
      <alignment/>
    </xf>
    <xf numFmtId="3" fontId="17" fillId="3" borderId="7" xfId="0" applyNumberFormat="1" applyFont="1" applyFill="1" applyBorder="1" applyAlignment="1">
      <alignment horizontal="right"/>
    </xf>
    <xf numFmtId="3" fontId="17" fillId="3" borderId="7" xfId="0" applyNumberFormat="1" applyFont="1" applyFill="1" applyBorder="1" applyAlignment="1">
      <alignment/>
    </xf>
    <xf numFmtId="3" fontId="17" fillId="3" borderId="26" xfId="0" applyNumberFormat="1" applyFont="1" applyFill="1" applyBorder="1" applyAlignment="1">
      <alignment/>
    </xf>
    <xf numFmtId="3" fontId="17" fillId="3" borderId="27" xfId="0" applyNumberFormat="1" applyFont="1" applyFill="1" applyBorder="1" applyAlignment="1">
      <alignment/>
    </xf>
    <xf numFmtId="3" fontId="17" fillId="3" borderId="9" xfId="0" applyNumberFormat="1" applyFont="1" applyFill="1" applyBorder="1" applyAlignment="1">
      <alignment/>
    </xf>
    <xf numFmtId="3" fontId="17" fillId="3" borderId="5" xfId="0" applyNumberFormat="1" applyFont="1" applyFill="1" applyBorder="1" applyAlignment="1">
      <alignment/>
    </xf>
    <xf numFmtId="3" fontId="17" fillId="3" borderId="28" xfId="0" applyNumberFormat="1" applyFont="1" applyFill="1" applyBorder="1" applyAlignment="1">
      <alignment/>
    </xf>
    <xf numFmtId="0" fontId="17" fillId="4" borderId="0" xfId="0" applyFont="1" applyFill="1" applyBorder="1" applyAlignment="1">
      <alignment/>
    </xf>
    <xf numFmtId="3" fontId="17" fillId="0" borderId="23" xfId="0" applyNumberFormat="1" applyFont="1" applyFill="1" applyBorder="1" applyAlignment="1">
      <alignment horizontal="right"/>
    </xf>
    <xf numFmtId="3" fontId="17" fillId="4" borderId="20" xfId="0" applyNumberFormat="1" applyFont="1" applyFill="1" applyBorder="1" applyAlignment="1">
      <alignment horizontal="right"/>
    </xf>
    <xf numFmtId="3" fontId="17" fillId="4" borderId="21" xfId="0" applyNumberFormat="1" applyFont="1" applyFill="1" applyBorder="1" applyAlignment="1">
      <alignment horizontal="right"/>
    </xf>
    <xf numFmtId="0" fontId="17" fillId="3" borderId="26" xfId="0" applyFont="1" applyFill="1" applyBorder="1" applyAlignment="1">
      <alignment/>
    </xf>
    <xf numFmtId="0" fontId="17" fillId="3" borderId="25" xfId="0" applyFont="1" applyFill="1" applyBorder="1" applyAlignment="1">
      <alignment/>
    </xf>
    <xf numFmtId="3" fontId="17" fillId="6" borderId="5" xfId="0" applyNumberFormat="1" applyFont="1" applyFill="1" applyBorder="1" applyAlignment="1">
      <alignment/>
    </xf>
    <xf numFmtId="3" fontId="17" fillId="4" borderId="22" xfId="0" applyNumberFormat="1" applyFont="1" applyFill="1" applyBorder="1" applyAlignment="1">
      <alignment horizontal="right"/>
    </xf>
    <xf numFmtId="0" fontId="17" fillId="0" borderId="3" xfId="0" applyFont="1" applyFill="1" applyBorder="1" applyAlignment="1">
      <alignment/>
    </xf>
    <xf numFmtId="3" fontId="17" fillId="0" borderId="31" xfId="0" applyNumberFormat="1" applyFont="1" applyFill="1" applyBorder="1" applyAlignment="1">
      <alignment horizontal="right"/>
    </xf>
    <xf numFmtId="3" fontId="17" fillId="3" borderId="72" xfId="0" applyNumberFormat="1" applyFont="1" applyFill="1" applyBorder="1" applyAlignment="1">
      <alignment horizontal="right"/>
    </xf>
    <xf numFmtId="3" fontId="17" fillId="0" borderId="4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8" fillId="0" borderId="20" xfId="0" applyNumberFormat="1" applyFont="1" applyFill="1" applyBorder="1" applyAlignment="1">
      <alignment horizontal="right"/>
    </xf>
    <xf numFmtId="3" fontId="18" fillId="0" borderId="21" xfId="0" applyNumberFormat="1" applyFont="1" applyFill="1" applyBorder="1" applyAlignment="1">
      <alignment horizontal="right"/>
    </xf>
    <xf numFmtId="3" fontId="18" fillId="0" borderId="22" xfId="0" applyNumberFormat="1" applyFont="1" applyFill="1" applyBorder="1" applyAlignment="1">
      <alignment horizontal="right"/>
    </xf>
    <xf numFmtId="3" fontId="18" fillId="4" borderId="3" xfId="0" applyNumberFormat="1" applyFont="1" applyFill="1" applyBorder="1" applyAlignment="1">
      <alignment horizontal="right"/>
    </xf>
    <xf numFmtId="3" fontId="18" fillId="4" borderId="4" xfId="0" applyNumberFormat="1" applyFont="1" applyFill="1" applyBorder="1" applyAlignment="1">
      <alignment/>
    </xf>
    <xf numFmtId="0" fontId="18" fillId="3" borderId="32" xfId="0" applyFont="1" applyFill="1" applyBorder="1" applyAlignment="1">
      <alignment/>
    </xf>
    <xf numFmtId="0" fontId="18" fillId="3" borderId="33" xfId="0" applyFont="1" applyFill="1" applyBorder="1" applyAlignment="1">
      <alignment/>
    </xf>
    <xf numFmtId="3" fontId="18" fillId="3" borderId="34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17" fillId="3" borderId="37" xfId="0" applyNumberFormat="1" applyFont="1" applyFill="1" applyBorder="1" applyAlignment="1">
      <alignment/>
    </xf>
    <xf numFmtId="3" fontId="17" fillId="3" borderId="35" xfId="0" applyNumberFormat="1" applyFont="1" applyFill="1" applyBorder="1" applyAlignment="1">
      <alignment/>
    </xf>
    <xf numFmtId="3" fontId="17" fillId="3" borderId="36" xfId="0" applyNumberFormat="1" applyFont="1" applyFill="1" applyBorder="1" applyAlignment="1">
      <alignment/>
    </xf>
    <xf numFmtId="3" fontId="17" fillId="3" borderId="38" xfId="0" applyNumberFormat="1" applyFont="1" applyFill="1" applyBorder="1" applyAlignment="1">
      <alignment/>
    </xf>
    <xf numFmtId="3" fontId="17" fillId="3" borderId="39" xfId="0" applyNumberFormat="1" applyFont="1" applyFill="1" applyBorder="1" applyAlignment="1">
      <alignment/>
    </xf>
    <xf numFmtId="3" fontId="17" fillId="3" borderId="20" xfId="0" applyNumberFormat="1" applyFont="1" applyFill="1" applyBorder="1" applyAlignment="1">
      <alignment/>
    </xf>
    <xf numFmtId="3" fontId="17" fillId="3" borderId="24" xfId="0" applyNumberFormat="1" applyFont="1" applyFill="1" applyBorder="1" applyAlignment="1">
      <alignment/>
    </xf>
    <xf numFmtId="3" fontId="17" fillId="3" borderId="0" xfId="0" applyNumberFormat="1" applyFont="1" applyFill="1" applyBorder="1" applyAlignment="1">
      <alignment/>
    </xf>
    <xf numFmtId="3" fontId="17" fillId="3" borderId="4" xfId="0" applyNumberFormat="1" applyFont="1" applyFill="1" applyBorder="1" applyAlignment="1">
      <alignment/>
    </xf>
    <xf numFmtId="3" fontId="17" fillId="3" borderId="21" xfId="0" applyNumberFormat="1" applyFont="1" applyFill="1" applyBorder="1" applyAlignment="1">
      <alignment/>
    </xf>
    <xf numFmtId="3" fontId="17" fillId="3" borderId="22" xfId="0" applyNumberFormat="1" applyFont="1" applyFill="1" applyBorder="1" applyAlignment="1">
      <alignment/>
    </xf>
    <xf numFmtId="3" fontId="17" fillId="3" borderId="3" xfId="0" applyNumberFormat="1" applyFont="1" applyFill="1" applyBorder="1" applyAlignment="1">
      <alignment horizontal="right"/>
    </xf>
    <xf numFmtId="3" fontId="17" fillId="3" borderId="23" xfId="0" applyNumberFormat="1" applyFont="1" applyFill="1" applyBorder="1" applyAlignment="1">
      <alignment/>
    </xf>
    <xf numFmtId="3" fontId="17" fillId="3" borderId="82" xfId="0" applyNumberFormat="1" applyFont="1" applyFill="1" applyBorder="1" applyAlignment="1">
      <alignment/>
    </xf>
    <xf numFmtId="3" fontId="17" fillId="3" borderId="80" xfId="0" applyNumberFormat="1" applyFont="1" applyFill="1" applyBorder="1" applyAlignment="1">
      <alignment/>
    </xf>
    <xf numFmtId="3" fontId="17" fillId="3" borderId="81" xfId="0" applyNumberFormat="1" applyFont="1" applyFill="1" applyBorder="1" applyAlignment="1">
      <alignment/>
    </xf>
    <xf numFmtId="3" fontId="17" fillId="3" borderId="74" xfId="0" applyNumberFormat="1" applyFont="1" applyFill="1" applyBorder="1" applyAlignment="1">
      <alignment/>
    </xf>
    <xf numFmtId="3" fontId="17" fillId="3" borderId="4" xfId="0" applyNumberFormat="1" applyFont="1" applyFill="1" applyBorder="1" applyAlignment="1">
      <alignment horizontal="right"/>
    </xf>
    <xf numFmtId="3" fontId="17" fillId="4" borderId="40" xfId="0" applyNumberFormat="1" applyFont="1" applyFill="1" applyBorder="1" applyAlignment="1">
      <alignment horizontal="right"/>
    </xf>
    <xf numFmtId="3" fontId="17" fillId="0" borderId="24" xfId="0" applyNumberFormat="1" applyFont="1" applyFill="1" applyBorder="1" applyAlignment="1">
      <alignment horizontal="right"/>
    </xf>
    <xf numFmtId="0" fontId="21" fillId="3" borderId="0" xfId="0" applyFont="1" applyFill="1" applyAlignment="1">
      <alignment/>
    </xf>
    <xf numFmtId="3" fontId="17" fillId="3" borderId="3" xfId="0" applyNumberFormat="1" applyFont="1" applyFill="1" applyBorder="1" applyAlignment="1">
      <alignment/>
    </xf>
    <xf numFmtId="3" fontId="17" fillId="3" borderId="34" xfId="0" applyNumberFormat="1" applyFont="1" applyFill="1" applyBorder="1" applyAlignment="1">
      <alignment/>
    </xf>
    <xf numFmtId="3" fontId="18" fillId="3" borderId="41" xfId="0" applyNumberFormat="1" applyFont="1" applyFill="1" applyBorder="1" applyAlignment="1">
      <alignment horizontal="right"/>
    </xf>
    <xf numFmtId="3" fontId="18" fillId="3" borderId="42" xfId="0" applyNumberFormat="1" applyFont="1" applyFill="1" applyBorder="1" applyAlignment="1">
      <alignment/>
    </xf>
    <xf numFmtId="3" fontId="18" fillId="3" borderId="34" xfId="0" applyNumberFormat="1" applyFont="1" applyFill="1" applyBorder="1" applyAlignment="1">
      <alignment horizontal="right"/>
    </xf>
    <xf numFmtId="3" fontId="18" fillId="3" borderId="32" xfId="0" applyNumberFormat="1" applyFont="1" applyFill="1" applyBorder="1" applyAlignment="1">
      <alignment horizontal="right"/>
    </xf>
    <xf numFmtId="3" fontId="18" fillId="3" borderId="33" xfId="0" applyNumberFormat="1" applyFont="1" applyFill="1" applyBorder="1" applyAlignment="1">
      <alignment horizontal="right"/>
    </xf>
    <xf numFmtId="0" fontId="17" fillId="0" borderId="43" xfId="0" applyFont="1" applyFill="1" applyBorder="1" applyAlignment="1">
      <alignment/>
    </xf>
    <xf numFmtId="3" fontId="17" fillId="0" borderId="1" xfId="0" applyNumberFormat="1" applyFont="1" applyFill="1" applyBorder="1" applyAlignment="1">
      <alignment horizontal="right"/>
    </xf>
    <xf numFmtId="0" fontId="17" fillId="3" borderId="33" xfId="0" applyFont="1" applyFill="1" applyBorder="1" applyAlignment="1">
      <alignment/>
    </xf>
    <xf numFmtId="3" fontId="17" fillId="3" borderId="44" xfId="0" applyNumberFormat="1" applyFont="1" applyFill="1" applyBorder="1" applyAlignment="1">
      <alignment horizontal="right"/>
    </xf>
    <xf numFmtId="3" fontId="17" fillId="3" borderId="45" xfId="0" applyNumberFormat="1" applyFont="1" applyFill="1" applyBorder="1" applyAlignment="1">
      <alignment horizontal="right"/>
    </xf>
    <xf numFmtId="3" fontId="17" fillId="3" borderId="41" xfId="0" applyNumberFormat="1" applyFont="1" applyFill="1" applyBorder="1" applyAlignment="1">
      <alignment horizontal="right"/>
    </xf>
    <xf numFmtId="3" fontId="17" fillId="3" borderId="46" xfId="0" applyNumberFormat="1" applyFont="1" applyFill="1" applyBorder="1" applyAlignment="1">
      <alignment horizontal="right"/>
    </xf>
    <xf numFmtId="3" fontId="17" fillId="3" borderId="47" xfId="0" applyNumberFormat="1" applyFont="1" applyFill="1" applyBorder="1" applyAlignment="1">
      <alignment horizontal="right"/>
    </xf>
    <xf numFmtId="3" fontId="17" fillId="3" borderId="48" xfId="0" applyNumberFormat="1" applyFont="1" applyFill="1" applyBorder="1" applyAlignment="1">
      <alignment horizontal="right"/>
    </xf>
    <xf numFmtId="3" fontId="17" fillId="3" borderId="34" xfId="0" applyNumberFormat="1" applyFont="1" applyFill="1" applyBorder="1" applyAlignment="1">
      <alignment horizontal="right"/>
    </xf>
    <xf numFmtId="0" fontId="18" fillId="0" borderId="32" xfId="0" applyFont="1" applyFill="1" applyBorder="1" applyAlignment="1">
      <alignment/>
    </xf>
    <xf numFmtId="0" fontId="17" fillId="0" borderId="49" xfId="0" applyFont="1" applyFill="1" applyBorder="1" applyAlignment="1">
      <alignment/>
    </xf>
    <xf numFmtId="3" fontId="17" fillId="0" borderId="50" xfId="0" applyNumberFormat="1" applyFont="1" applyFill="1" applyBorder="1" applyAlignment="1">
      <alignment horizontal="right"/>
    </xf>
    <xf numFmtId="0" fontId="18" fillId="3" borderId="49" xfId="0" applyFont="1" applyFill="1" applyBorder="1" applyAlignment="1">
      <alignment/>
    </xf>
    <xf numFmtId="3" fontId="18" fillId="3" borderId="51" xfId="0" applyNumberFormat="1" applyFont="1" applyFill="1" applyBorder="1" applyAlignment="1">
      <alignment horizontal="right"/>
    </xf>
    <xf numFmtId="3" fontId="18" fillId="3" borderId="42" xfId="0" applyNumberFormat="1" applyFont="1" applyFill="1" applyBorder="1" applyAlignment="1">
      <alignment horizontal="right"/>
    </xf>
    <xf numFmtId="3" fontId="18" fillId="3" borderId="52" xfId="0" applyNumberFormat="1" applyFont="1" applyFill="1" applyBorder="1" applyAlignment="1">
      <alignment horizontal="right"/>
    </xf>
    <xf numFmtId="3" fontId="18" fillId="3" borderId="53" xfId="0" applyNumberFormat="1" applyFont="1" applyFill="1" applyBorder="1" applyAlignment="1">
      <alignment horizontal="right"/>
    </xf>
    <xf numFmtId="3" fontId="18" fillId="3" borderId="50" xfId="0" applyNumberFormat="1" applyFont="1" applyFill="1" applyBorder="1" applyAlignment="1">
      <alignment horizontal="right"/>
    </xf>
    <xf numFmtId="3" fontId="18" fillId="3" borderId="54" xfId="0" applyNumberFormat="1" applyFont="1" applyFill="1" applyBorder="1" applyAlignment="1">
      <alignment horizontal="right"/>
    </xf>
    <xf numFmtId="3" fontId="18" fillId="4" borderId="0" xfId="0" applyNumberFormat="1" applyFont="1" applyFill="1" applyBorder="1" applyAlignment="1">
      <alignment/>
    </xf>
    <xf numFmtId="181" fontId="18" fillId="4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3" fontId="17" fillId="0" borderId="44" xfId="0" applyNumberFormat="1" applyFont="1" applyFill="1" applyBorder="1" applyAlignment="1">
      <alignment horizontal="right"/>
    </xf>
    <xf numFmtId="3" fontId="17" fillId="0" borderId="45" xfId="0" applyNumberFormat="1" applyFont="1" applyFill="1" applyBorder="1" applyAlignment="1">
      <alignment horizontal="right"/>
    </xf>
    <xf numFmtId="3" fontId="17" fillId="0" borderId="47" xfId="0" applyNumberFormat="1" applyFont="1" applyFill="1" applyBorder="1" applyAlignment="1">
      <alignment horizontal="right"/>
    </xf>
    <xf numFmtId="3" fontId="17" fillId="0" borderId="34" xfId="0" applyNumberFormat="1" applyFont="1" applyFill="1" applyBorder="1" applyAlignment="1">
      <alignment horizontal="right"/>
    </xf>
    <xf numFmtId="3" fontId="17" fillId="0" borderId="55" xfId="0" applyNumberFormat="1" applyFont="1" applyFill="1" applyBorder="1" applyAlignment="1">
      <alignment horizontal="right"/>
    </xf>
    <xf numFmtId="3" fontId="18" fillId="3" borderId="44" xfId="0" applyNumberFormat="1" applyFont="1" applyFill="1" applyBorder="1" applyAlignment="1">
      <alignment horizontal="right"/>
    </xf>
    <xf numFmtId="3" fontId="18" fillId="3" borderId="45" xfId="0" applyNumberFormat="1" applyFont="1" applyFill="1" applyBorder="1" applyAlignment="1">
      <alignment horizontal="right"/>
    </xf>
    <xf numFmtId="3" fontId="18" fillId="3" borderId="4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" fontId="17" fillId="3" borderId="42" xfId="0" applyNumberFormat="1" applyFont="1" applyFill="1" applyBorder="1" applyAlignment="1">
      <alignment horizontal="right"/>
    </xf>
    <xf numFmtId="3" fontId="17" fillId="0" borderId="56" xfId="0" applyNumberFormat="1" applyFont="1" applyFill="1" applyBorder="1" applyAlignment="1">
      <alignment horizontal="right"/>
    </xf>
    <xf numFmtId="3" fontId="17" fillId="0" borderId="57" xfId="0" applyNumberFormat="1" applyFont="1" applyFill="1" applyBorder="1" applyAlignment="1">
      <alignment horizontal="right"/>
    </xf>
    <xf numFmtId="3" fontId="17" fillId="0" borderId="58" xfId="0" applyNumberFormat="1" applyFont="1" applyFill="1" applyBorder="1" applyAlignment="1">
      <alignment horizontal="right"/>
    </xf>
    <xf numFmtId="3" fontId="17" fillId="0" borderId="59" xfId="0" applyNumberFormat="1" applyFont="1" applyFill="1" applyBorder="1" applyAlignment="1">
      <alignment horizontal="right"/>
    </xf>
    <xf numFmtId="3" fontId="17" fillId="0" borderId="60" xfId="0" applyNumberFormat="1" applyFont="1" applyFill="1" applyBorder="1" applyAlignment="1">
      <alignment horizontal="right"/>
    </xf>
    <xf numFmtId="3" fontId="17" fillId="0" borderId="4" xfId="0" applyNumberFormat="1" applyFont="1" applyFill="1" applyBorder="1" applyAlignment="1">
      <alignment horizontal="right"/>
    </xf>
    <xf numFmtId="3" fontId="17" fillId="0" borderId="51" xfId="0" applyNumberFormat="1" applyFont="1" applyFill="1" applyBorder="1" applyAlignment="1">
      <alignment/>
    </xf>
    <xf numFmtId="3" fontId="17" fillId="0" borderId="52" xfId="0" applyNumberFormat="1" applyFont="1" applyFill="1" applyBorder="1" applyAlignment="1">
      <alignment/>
    </xf>
    <xf numFmtId="3" fontId="17" fillId="0" borderId="53" xfId="0" applyNumberFormat="1" applyFont="1" applyFill="1" applyBorder="1" applyAlignment="1">
      <alignment/>
    </xf>
    <xf numFmtId="3" fontId="17" fillId="0" borderId="61" xfId="0" applyNumberFormat="1" applyFont="1" applyFill="1" applyBorder="1" applyAlignment="1">
      <alignment/>
    </xf>
    <xf numFmtId="3" fontId="17" fillId="0" borderId="32" xfId="0" applyNumberFormat="1" applyFont="1" applyFill="1" applyBorder="1" applyAlignment="1">
      <alignment/>
    </xf>
    <xf numFmtId="3" fontId="17" fillId="0" borderId="33" xfId="0" applyNumberFormat="1" applyFont="1" applyFill="1" applyBorder="1" applyAlignment="1">
      <alignment/>
    </xf>
    <xf numFmtId="3" fontId="17" fillId="0" borderId="41" xfId="0" applyNumberFormat="1" applyFont="1" applyFill="1" applyBorder="1" applyAlignment="1">
      <alignment/>
    </xf>
    <xf numFmtId="3" fontId="17" fillId="0" borderId="44" xfId="0" applyNumberFormat="1" applyFont="1" applyFill="1" applyBorder="1" applyAlignment="1">
      <alignment/>
    </xf>
    <xf numFmtId="3" fontId="17" fillId="0" borderId="34" xfId="0" applyNumberFormat="1" applyFont="1" applyFill="1" applyBorder="1" applyAlignment="1">
      <alignment/>
    </xf>
    <xf numFmtId="0" fontId="18" fillId="3" borderId="62" xfId="0" applyFont="1" applyFill="1" applyBorder="1" applyAlignment="1">
      <alignment/>
    </xf>
    <xf numFmtId="3" fontId="17" fillId="0" borderId="60" xfId="0" applyNumberFormat="1" applyFont="1" applyFill="1" applyBorder="1" applyAlignment="1">
      <alignment/>
    </xf>
    <xf numFmtId="0" fontId="17" fillId="3" borderId="41" xfId="0" applyFont="1" applyFill="1" applyBorder="1" applyAlignment="1">
      <alignment/>
    </xf>
    <xf numFmtId="3" fontId="17" fillId="3" borderId="63" xfId="0" applyNumberFormat="1" applyFont="1" applyFill="1" applyBorder="1" applyAlignment="1">
      <alignment horizontal="right"/>
    </xf>
    <xf numFmtId="3" fontId="17" fillId="3" borderId="64" xfId="0" applyNumberFormat="1" applyFont="1" applyFill="1" applyBorder="1" applyAlignment="1">
      <alignment horizontal="right"/>
    </xf>
    <xf numFmtId="3" fontId="17" fillId="3" borderId="65" xfId="0" applyNumberFormat="1" applyFont="1" applyFill="1" applyBorder="1" applyAlignment="1">
      <alignment horizontal="right"/>
    </xf>
    <xf numFmtId="3" fontId="17" fillId="3" borderId="66" xfId="0" applyNumberFormat="1" applyFont="1" applyFill="1" applyBorder="1" applyAlignment="1">
      <alignment horizontal="right"/>
    </xf>
    <xf numFmtId="3" fontId="17" fillId="3" borderId="67" xfId="0" applyNumberFormat="1" applyFont="1" applyFill="1" applyBorder="1" applyAlignment="1">
      <alignment horizontal="right"/>
    </xf>
    <xf numFmtId="3" fontId="17" fillId="3" borderId="68" xfId="0" applyNumberFormat="1" applyFont="1" applyFill="1" applyBorder="1" applyAlignment="1">
      <alignment horizontal="right"/>
    </xf>
    <xf numFmtId="3" fontId="17" fillId="3" borderId="69" xfId="0" applyNumberFormat="1" applyFont="1" applyFill="1" applyBorder="1" applyAlignment="1">
      <alignment horizontal="right"/>
    </xf>
    <xf numFmtId="3" fontId="17" fillId="3" borderId="70" xfId="0" applyNumberFormat="1" applyFont="1" applyFill="1" applyBorder="1" applyAlignment="1">
      <alignment horizontal="right"/>
    </xf>
    <xf numFmtId="0" fontId="18" fillId="3" borderId="34" xfId="0" applyFont="1" applyFill="1" applyBorder="1" applyAlignment="1">
      <alignment/>
    </xf>
    <xf numFmtId="0" fontId="17" fillId="3" borderId="34" xfId="0" applyFont="1" applyFill="1" applyBorder="1" applyAlignment="1">
      <alignment/>
    </xf>
    <xf numFmtId="3" fontId="17" fillId="0" borderId="51" xfId="0" applyNumberFormat="1" applyFont="1" applyFill="1" applyBorder="1" applyAlignment="1">
      <alignment horizontal="right"/>
    </xf>
    <xf numFmtId="3" fontId="17" fillId="0" borderId="52" xfId="0" applyNumberFormat="1" applyFont="1" applyFill="1" applyBorder="1" applyAlignment="1">
      <alignment horizontal="right"/>
    </xf>
    <xf numFmtId="3" fontId="17" fillId="0" borderId="61" xfId="0" applyNumberFormat="1" applyFont="1" applyFill="1" applyBorder="1" applyAlignment="1">
      <alignment horizontal="right"/>
    </xf>
    <xf numFmtId="0" fontId="17" fillId="0" borderId="32" xfId="0" applyFont="1" applyFill="1" applyBorder="1" applyAlignment="1">
      <alignment/>
    </xf>
    <xf numFmtId="0" fontId="17" fillId="0" borderId="33" xfId="0" applyFont="1" applyFill="1" applyBorder="1" applyAlignment="1">
      <alignment/>
    </xf>
    <xf numFmtId="3" fontId="17" fillId="0" borderId="48" xfId="0" applyNumberFormat="1" applyFont="1" applyFill="1" applyBorder="1" applyAlignment="1">
      <alignment horizontal="right"/>
    </xf>
    <xf numFmtId="3" fontId="17" fillId="0" borderId="71" xfId="0" applyNumberFormat="1" applyFont="1" applyFill="1" applyBorder="1" applyAlignment="1">
      <alignment horizontal="right"/>
    </xf>
    <xf numFmtId="0" fontId="17" fillId="0" borderId="0" xfId="0" applyNumberFormat="1" applyFont="1" applyFill="1" applyAlignment="1">
      <alignment horizontal="fill" wrapText="1"/>
    </xf>
    <xf numFmtId="0" fontId="17" fillId="0" borderId="0" xfId="0" applyFont="1" applyAlignment="1">
      <alignment horizontal="fill" wrapText="1"/>
    </xf>
    <xf numFmtId="0" fontId="17" fillId="0" borderId="0" xfId="0" applyNumberFormat="1" applyFont="1" applyFill="1" applyAlignment="1">
      <alignment horizontal="left" wrapText="1"/>
    </xf>
    <xf numFmtId="0" fontId="17" fillId="0" borderId="0" xfId="0" applyFont="1" applyAlignment="1">
      <alignment wrapText="1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 vertical="top"/>
    </xf>
    <xf numFmtId="14" fontId="17" fillId="0" borderId="0" xfId="0" applyNumberFormat="1" applyFont="1" applyFill="1" applyAlignment="1">
      <alignment horizontal="left" vertical="top"/>
    </xf>
    <xf numFmtId="170" fontId="17" fillId="0" borderId="0" xfId="0" applyNumberFormat="1" applyFont="1" applyFill="1" applyAlignment="1">
      <alignment/>
    </xf>
    <xf numFmtId="6" fontId="17" fillId="0" borderId="0" xfId="0" applyNumberFormat="1" applyFont="1" applyFill="1" applyAlignment="1">
      <alignment/>
    </xf>
    <xf numFmtId="8" fontId="17" fillId="0" borderId="0" xfId="0" applyNumberFormat="1" applyFont="1" applyFill="1" applyAlignment="1">
      <alignment/>
    </xf>
    <xf numFmtId="3" fontId="17" fillId="3" borderId="83" xfId="0" applyNumberFormat="1" applyFont="1" applyFill="1" applyBorder="1" applyAlignment="1">
      <alignment/>
    </xf>
    <xf numFmtId="3" fontId="17" fillId="3" borderId="84" xfId="0" applyNumberFormat="1" applyFont="1" applyFill="1" applyBorder="1" applyAlignment="1">
      <alignment/>
    </xf>
    <xf numFmtId="3" fontId="17" fillId="3" borderId="20" xfId="0" applyNumberFormat="1" applyFont="1" applyFill="1" applyBorder="1" applyAlignment="1">
      <alignment horizontal="right"/>
    </xf>
    <xf numFmtId="3" fontId="17" fillId="3" borderId="21" xfId="0" applyNumberFormat="1" applyFont="1" applyFill="1" applyBorder="1" applyAlignment="1">
      <alignment horizontal="right"/>
    </xf>
    <xf numFmtId="3" fontId="17" fillId="3" borderId="23" xfId="0" applyNumberFormat="1" applyFont="1" applyFill="1" applyBorder="1" applyAlignment="1">
      <alignment horizontal="right"/>
    </xf>
    <xf numFmtId="3" fontId="17" fillId="3" borderId="22" xfId="0" applyNumberFormat="1" applyFont="1" applyFill="1" applyBorder="1" applyAlignment="1">
      <alignment horizontal="right"/>
    </xf>
    <xf numFmtId="3" fontId="17" fillId="3" borderId="24" xfId="0" applyNumberFormat="1" applyFont="1" applyFill="1" applyBorder="1" applyAlignment="1">
      <alignment horizontal="right"/>
    </xf>
    <xf numFmtId="3" fontId="17" fillId="4" borderId="85" xfId="0" applyNumberFormat="1" applyFont="1" applyFill="1" applyBorder="1" applyAlignment="1">
      <alignment/>
    </xf>
    <xf numFmtId="3" fontId="17" fillId="4" borderId="24" xfId="0" applyNumberFormat="1" applyFont="1" applyFill="1" applyBorder="1" applyAlignment="1">
      <alignment/>
    </xf>
    <xf numFmtId="3" fontId="17" fillId="0" borderId="86" xfId="0" applyNumberFormat="1" applyFont="1" applyFill="1" applyBorder="1" applyAlignment="1">
      <alignment/>
    </xf>
    <xf numFmtId="3" fontId="17" fillId="3" borderId="45" xfId="0" applyNumberFormat="1" applyFont="1" applyFill="1" applyBorder="1" applyAlignment="1">
      <alignment/>
    </xf>
    <xf numFmtId="3" fontId="17" fillId="3" borderId="48" xfId="0" applyNumberFormat="1" applyFont="1" applyFill="1" applyBorder="1" applyAlignment="1">
      <alignment/>
    </xf>
    <xf numFmtId="3" fontId="17" fillId="3" borderId="86" xfId="0" applyNumberFormat="1" applyFont="1" applyFill="1" applyBorder="1" applyAlignment="1">
      <alignment/>
    </xf>
    <xf numFmtId="3" fontId="17" fillId="3" borderId="87" xfId="0" applyNumberFormat="1" applyFont="1" applyFill="1" applyBorder="1" applyAlignment="1">
      <alignment/>
    </xf>
    <xf numFmtId="3" fontId="17" fillId="4" borderId="88" xfId="0" applyNumberFormat="1" applyFont="1" applyFill="1" applyBorder="1" applyAlignment="1">
      <alignment horizontal="right"/>
    </xf>
    <xf numFmtId="3" fontId="17" fillId="0" borderId="88" xfId="0" applyNumberFormat="1" applyFont="1" applyFill="1" applyBorder="1" applyAlignment="1">
      <alignment horizontal="right"/>
    </xf>
    <xf numFmtId="3" fontId="17" fillId="3" borderId="89" xfId="0" applyNumberFormat="1" applyFont="1" applyFill="1" applyBorder="1" applyAlignment="1">
      <alignment/>
    </xf>
    <xf numFmtId="3" fontId="17" fillId="3" borderId="88" xfId="0" applyNumberFormat="1" applyFont="1" applyFill="1" applyBorder="1" applyAlignment="1">
      <alignment/>
    </xf>
    <xf numFmtId="3" fontId="17" fillId="0" borderId="88" xfId="0" applyNumberFormat="1" applyFont="1" applyFill="1" applyBorder="1" applyAlignment="1">
      <alignment/>
    </xf>
    <xf numFmtId="3" fontId="17" fillId="7" borderId="3" xfId="0" applyNumberFormat="1" applyFont="1" applyFill="1" applyBorder="1" applyAlignment="1">
      <alignment horizontal="right"/>
    </xf>
    <xf numFmtId="3" fontId="17" fillId="7" borderId="4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3" fontId="24" fillId="0" borderId="0" xfId="0" applyNumberFormat="1" applyFont="1" applyFill="1" applyBorder="1" applyAlignment="1">
      <alignment/>
    </xf>
    <xf numFmtId="165" fontId="24" fillId="0" borderId="0" xfId="0" applyNumberFormat="1" applyFont="1" applyFill="1" applyAlignment="1">
      <alignment/>
    </xf>
    <xf numFmtId="20" fontId="24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3" fontId="24" fillId="2" borderId="2" xfId="0" applyNumberFormat="1" applyFont="1" applyFill="1" applyBorder="1" applyAlignment="1">
      <alignment horizontal="center"/>
    </xf>
    <xf numFmtId="3" fontId="24" fillId="2" borderId="4" xfId="0" applyNumberFormat="1" applyFont="1" applyFill="1" applyBorder="1" applyAlignment="1">
      <alignment horizontal="center"/>
    </xf>
    <xf numFmtId="9" fontId="24" fillId="0" borderId="5" xfId="0" applyNumberFormat="1" applyFont="1" applyFill="1" applyBorder="1" applyAlignment="1">
      <alignment horizontal="center"/>
    </xf>
    <xf numFmtId="3" fontId="24" fillId="4" borderId="0" xfId="0" applyNumberFormat="1" applyFont="1" applyFill="1" applyBorder="1" applyAlignment="1">
      <alignment/>
    </xf>
    <xf numFmtId="181" fontId="24" fillId="4" borderId="0" xfId="0" applyNumberFormat="1" applyFont="1" applyFill="1" applyBorder="1" applyAlignment="1">
      <alignment/>
    </xf>
    <xf numFmtId="3" fontId="24" fillId="4" borderId="4" xfId="0" applyNumberFormat="1" applyFont="1" applyFill="1" applyBorder="1" applyAlignment="1">
      <alignment/>
    </xf>
    <xf numFmtId="3" fontId="24" fillId="3" borderId="5" xfId="0" applyNumberFormat="1" applyFont="1" applyFill="1" applyBorder="1" applyAlignment="1">
      <alignment horizontal="right"/>
    </xf>
    <xf numFmtId="3" fontId="24" fillId="0" borderId="4" xfId="0" applyNumberFormat="1" applyFont="1" applyFill="1" applyBorder="1" applyAlignment="1">
      <alignment/>
    </xf>
    <xf numFmtId="3" fontId="24" fillId="3" borderId="5" xfId="0" applyNumberFormat="1" applyFont="1" applyFill="1" applyBorder="1" applyAlignment="1">
      <alignment/>
    </xf>
    <xf numFmtId="0" fontId="24" fillId="4" borderId="0" xfId="0" applyFont="1" applyFill="1" applyBorder="1" applyAlignment="1">
      <alignment/>
    </xf>
    <xf numFmtId="3" fontId="24" fillId="6" borderId="5" xfId="0" applyNumberFormat="1" applyFont="1" applyFill="1" applyBorder="1" applyAlignment="1">
      <alignment/>
    </xf>
    <xf numFmtId="0" fontId="24" fillId="0" borderId="3" xfId="0" applyFont="1" applyFill="1" applyBorder="1" applyAlignment="1">
      <alignment/>
    </xf>
    <xf numFmtId="3" fontId="25" fillId="4" borderId="4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24" fillId="3" borderId="39" xfId="0" applyNumberFormat="1" applyFont="1" applyFill="1" applyBorder="1" applyAlignment="1">
      <alignment/>
    </xf>
    <xf numFmtId="3" fontId="24" fillId="3" borderId="4" xfId="0" applyNumberFormat="1" applyFont="1" applyFill="1" applyBorder="1" applyAlignment="1">
      <alignment/>
    </xf>
    <xf numFmtId="3" fontId="24" fillId="3" borderId="4" xfId="0" applyNumberFormat="1" applyFont="1" applyFill="1" applyBorder="1" applyAlignment="1">
      <alignment horizontal="right"/>
    </xf>
    <xf numFmtId="3" fontId="24" fillId="0" borderId="4" xfId="0" applyNumberFormat="1" applyFont="1" applyFill="1" applyBorder="1" applyAlignment="1">
      <alignment horizontal="right"/>
    </xf>
    <xf numFmtId="0" fontId="24" fillId="0" borderId="43" xfId="0" applyFont="1" applyFill="1" applyBorder="1" applyAlignment="1">
      <alignment/>
    </xf>
    <xf numFmtId="0" fontId="25" fillId="0" borderId="32" xfId="0" applyFont="1" applyFill="1" applyBorder="1" applyAlignment="1">
      <alignment/>
    </xf>
    <xf numFmtId="3" fontId="24" fillId="0" borderId="34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3" fontId="24" fillId="0" borderId="34" xfId="0" applyNumberFormat="1" applyFont="1" applyFill="1" applyBorder="1" applyAlignment="1">
      <alignment/>
    </xf>
    <xf numFmtId="0" fontId="24" fillId="0" borderId="0" xfId="0" applyFont="1" applyAlignment="1">
      <alignment wrapText="1"/>
    </xf>
    <xf numFmtId="0" fontId="24" fillId="0" borderId="0" xfId="0" applyNumberFormat="1" applyFont="1" applyFill="1" applyAlignment="1">
      <alignment horizontal="left"/>
    </xf>
    <xf numFmtId="0" fontId="24" fillId="0" borderId="0" xfId="0" applyNumberFormat="1" applyFont="1" applyFill="1" applyAlignment="1">
      <alignment/>
    </xf>
    <xf numFmtId="0" fontId="24" fillId="0" borderId="0" xfId="0" applyNumberFormat="1" applyFont="1" applyFill="1" applyAlignment="1">
      <alignment horizontal="right"/>
    </xf>
    <xf numFmtId="0" fontId="24" fillId="0" borderId="0" xfId="0" applyNumberFormat="1" applyFont="1" applyFill="1" applyAlignment="1">
      <alignment horizontal="left" vertical="top"/>
    </xf>
    <xf numFmtId="14" fontId="24" fillId="0" borderId="0" xfId="0" applyNumberFormat="1" applyFont="1" applyFill="1" applyAlignment="1">
      <alignment horizontal="left" vertical="top"/>
    </xf>
    <xf numFmtId="170" fontId="24" fillId="0" borderId="0" xfId="0" applyNumberFormat="1" applyFont="1" applyFill="1" applyAlignment="1">
      <alignment/>
    </xf>
    <xf numFmtId="6" fontId="24" fillId="0" borderId="0" xfId="0" applyNumberFormat="1" applyFont="1" applyFill="1" applyAlignment="1">
      <alignment/>
    </xf>
    <xf numFmtId="8" fontId="24" fillId="0" borderId="0" xfId="0" applyNumberFormat="1" applyFont="1" applyFill="1" applyAlignment="1">
      <alignment/>
    </xf>
    <xf numFmtId="172" fontId="24" fillId="0" borderId="3" xfId="0" applyNumberFormat="1" applyFont="1" applyFill="1" applyBorder="1" applyAlignment="1">
      <alignment/>
    </xf>
    <xf numFmtId="172" fontId="24" fillId="4" borderId="3" xfId="0" applyNumberFormat="1" applyFont="1" applyFill="1" applyBorder="1" applyAlignment="1">
      <alignment/>
    </xf>
    <xf numFmtId="172" fontId="24" fillId="0" borderId="34" xfId="0" applyNumberFormat="1" applyFont="1" applyFill="1" applyBorder="1" applyAlignment="1">
      <alignment horizontal="right"/>
    </xf>
    <xf numFmtId="172" fontId="24" fillId="0" borderId="41" xfId="0" applyNumberFormat="1" applyFont="1" applyFill="1" applyBorder="1" applyAlignment="1">
      <alignment/>
    </xf>
    <xf numFmtId="172" fontId="24" fillId="0" borderId="34" xfId="0" applyNumberFormat="1" applyFont="1" applyFill="1" applyBorder="1" applyAlignment="1">
      <alignment/>
    </xf>
    <xf numFmtId="0" fontId="0" fillId="0" borderId="0" xfId="0" applyAlignment="1">
      <alignment/>
    </xf>
    <xf numFmtId="0" fontId="25" fillId="0" borderId="4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90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172" fontId="24" fillId="0" borderId="3" xfId="0" applyNumberFormat="1" applyFont="1" applyFill="1" applyBorder="1" applyAlignment="1">
      <alignment horizontal="right"/>
    </xf>
    <xf numFmtId="172" fontId="24" fillId="0" borderId="41" xfId="0" applyNumberFormat="1" applyFont="1" applyFill="1" applyBorder="1" applyAlignment="1">
      <alignment horizontal="right"/>
    </xf>
    <xf numFmtId="172" fontId="24" fillId="0" borderId="1" xfId="0" applyNumberFormat="1" applyFont="1" applyFill="1" applyBorder="1" applyAlignment="1">
      <alignment horizontal="right"/>
    </xf>
    <xf numFmtId="172" fontId="24" fillId="0" borderId="50" xfId="0" applyNumberFormat="1" applyFont="1" applyFill="1" applyBorder="1" applyAlignment="1">
      <alignment/>
    </xf>
    <xf numFmtId="0" fontId="25" fillId="0" borderId="4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172" fontId="24" fillId="0" borderId="4" xfId="0" applyNumberFormat="1" applyFont="1" applyFill="1" applyBorder="1" applyAlignment="1">
      <alignment/>
    </xf>
    <xf numFmtId="172" fontId="24" fillId="0" borderId="4" xfId="0" applyNumberFormat="1" applyFont="1" applyFill="1" applyBorder="1" applyAlignment="1">
      <alignment horizontal="right"/>
    </xf>
    <xf numFmtId="172" fontId="24" fillId="4" borderId="4" xfId="0" applyNumberFormat="1" applyFont="1" applyFill="1" applyBorder="1" applyAlignment="1">
      <alignment/>
    </xf>
    <xf numFmtId="172" fontId="24" fillId="0" borderId="2" xfId="0" applyNumberFormat="1" applyFont="1" applyFill="1" applyBorder="1" applyAlignment="1">
      <alignment horizontal="right"/>
    </xf>
    <xf numFmtId="172" fontId="24" fillId="0" borderId="54" xfId="0" applyNumberFormat="1" applyFont="1" applyFill="1" applyBorder="1" applyAlignment="1">
      <alignment/>
    </xf>
    <xf numFmtId="0" fontId="25" fillId="0" borderId="2" xfId="0" applyFont="1" applyFill="1" applyBorder="1" applyAlignment="1">
      <alignment horizontal="center"/>
    </xf>
    <xf numFmtId="3" fontId="25" fillId="0" borderId="4" xfId="0" applyNumberFormat="1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 wrapText="1"/>
    </xf>
    <xf numFmtId="172" fontId="24" fillId="0" borderId="5" xfId="0" applyNumberFormat="1" applyFont="1" applyFill="1" applyBorder="1" applyAlignment="1">
      <alignment/>
    </xf>
    <xf numFmtId="172" fontId="24" fillId="0" borderId="6" xfId="0" applyNumberFormat="1" applyFont="1" applyFill="1" applyBorder="1" applyAlignment="1">
      <alignment/>
    </xf>
    <xf numFmtId="3" fontId="24" fillId="0" borderId="5" xfId="0" applyNumberFormat="1" applyFont="1" applyFill="1" applyBorder="1" applyAlignment="1">
      <alignment horizontal="right"/>
    </xf>
    <xf numFmtId="181" fontId="24" fillId="0" borderId="0" xfId="0" applyNumberFormat="1" applyFont="1" applyFill="1" applyBorder="1" applyAlignment="1">
      <alignment/>
    </xf>
    <xf numFmtId="3" fontId="24" fillId="0" borderId="13" xfId="0" applyNumberFormat="1" applyFont="1" applyFill="1" applyBorder="1" applyAlignment="1">
      <alignment horizontal="center"/>
    </xf>
    <xf numFmtId="172" fontId="24" fillId="4" borderId="4" xfId="0" applyNumberFormat="1" applyFont="1" applyFill="1" applyBorder="1" applyAlignment="1">
      <alignment horizontal="right"/>
    </xf>
    <xf numFmtId="172" fontId="24" fillId="0" borderId="5" xfId="0" applyNumberFormat="1" applyFont="1" applyFill="1" applyBorder="1" applyAlignment="1">
      <alignment horizontal="right"/>
    </xf>
    <xf numFmtId="0" fontId="24" fillId="0" borderId="7" xfId="0" applyFont="1" applyFill="1" applyBorder="1" applyAlignment="1">
      <alignment/>
    </xf>
    <xf numFmtId="172" fontId="24" fillId="0" borderId="13" xfId="0" applyNumberFormat="1" applyFont="1" applyFill="1" applyBorder="1" applyAlignment="1">
      <alignment/>
    </xf>
    <xf numFmtId="172" fontId="24" fillId="0" borderId="8" xfId="0" applyNumberFormat="1" applyFont="1" applyFill="1" applyBorder="1" applyAlignment="1">
      <alignment/>
    </xf>
    <xf numFmtId="0" fontId="24" fillId="0" borderId="91" xfId="0" applyFont="1" applyFill="1" applyBorder="1" applyAlignment="1">
      <alignment/>
    </xf>
    <xf numFmtId="172" fontId="24" fillId="0" borderId="39" xfId="0" applyNumberFormat="1" applyFont="1" applyFill="1" applyBorder="1" applyAlignment="1">
      <alignment/>
    </xf>
    <xf numFmtId="172" fontId="24" fillId="0" borderId="73" xfId="0" applyNumberFormat="1" applyFont="1" applyFill="1" applyBorder="1" applyAlignment="1">
      <alignment/>
    </xf>
    <xf numFmtId="0" fontId="25" fillId="0" borderId="33" xfId="0" applyFont="1" applyFill="1" applyBorder="1" applyAlignment="1">
      <alignment/>
    </xf>
    <xf numFmtId="3" fontId="25" fillId="0" borderId="34" xfId="0" applyNumberFormat="1" applyFont="1" applyFill="1" applyBorder="1" applyAlignment="1">
      <alignment/>
    </xf>
    <xf numFmtId="0" fontId="24" fillId="0" borderId="92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3" fontId="25" fillId="0" borderId="34" xfId="0" applyNumberFormat="1" applyFont="1" applyFill="1" applyBorder="1" applyAlignment="1">
      <alignment horizontal="right"/>
    </xf>
    <xf numFmtId="181" fontId="25" fillId="0" borderId="0" xfId="0" applyNumberFormat="1" applyFont="1" applyFill="1" applyBorder="1" applyAlignment="1">
      <alignment/>
    </xf>
    <xf numFmtId="0" fontId="24" fillId="0" borderId="33" xfId="0" applyFont="1" applyFill="1" applyBorder="1" applyAlignment="1">
      <alignment/>
    </xf>
    <xf numFmtId="0" fontId="25" fillId="0" borderId="49" xfId="0" applyFont="1" applyFill="1" applyBorder="1" applyAlignment="1">
      <alignment/>
    </xf>
    <xf numFmtId="3" fontId="25" fillId="0" borderId="54" xfId="0" applyNumberFormat="1" applyFont="1" applyFill="1" applyBorder="1" applyAlignment="1">
      <alignment horizontal="right"/>
    </xf>
    <xf numFmtId="0" fontId="25" fillId="0" borderId="62" xfId="0" applyFont="1" applyFill="1" applyBorder="1" applyAlignment="1">
      <alignment/>
    </xf>
    <xf numFmtId="3" fontId="24" fillId="0" borderId="68" xfId="0" applyNumberFormat="1" applyFont="1" applyFill="1" applyBorder="1" applyAlignment="1">
      <alignment horizontal="right"/>
    </xf>
    <xf numFmtId="0" fontId="25" fillId="0" borderId="34" xfId="0" applyFont="1" applyFill="1" applyBorder="1" applyAlignment="1">
      <alignment/>
    </xf>
    <xf numFmtId="0" fontId="24" fillId="0" borderId="34" xfId="0" applyFont="1" applyFill="1" applyBorder="1" applyAlignment="1">
      <alignment/>
    </xf>
    <xf numFmtId="0" fontId="24" fillId="0" borderId="41" xfId="0" applyFont="1" applyFill="1" applyBorder="1" applyAlignment="1">
      <alignment/>
    </xf>
    <xf numFmtId="172" fontId="24" fillId="0" borderId="82" xfId="0" applyNumberFormat="1" applyFont="1" applyFill="1" applyBorder="1" applyAlignment="1">
      <alignment/>
    </xf>
    <xf numFmtId="172" fontId="24" fillId="0" borderId="86" xfId="0" applyNumberFormat="1" applyFont="1" applyFill="1" applyBorder="1" applyAlignment="1">
      <alignment/>
    </xf>
    <xf numFmtId="165" fontId="24" fillId="0" borderId="40" xfId="0" applyNumberFormat="1" applyFont="1" applyFill="1" applyBorder="1" applyAlignment="1">
      <alignment/>
    </xf>
    <xf numFmtId="3" fontId="24" fillId="0" borderId="3" xfId="0" applyNumberFormat="1" applyFont="1" applyFill="1" applyBorder="1" applyAlignment="1">
      <alignment/>
    </xf>
    <xf numFmtId="0" fontId="26" fillId="0" borderId="40" xfId="0" applyFont="1" applyFill="1" applyBorder="1" applyAlignment="1">
      <alignment/>
    </xf>
    <xf numFmtId="0" fontId="24" fillId="0" borderId="40" xfId="0" applyFont="1" applyFill="1" applyBorder="1" applyAlignment="1">
      <alignment/>
    </xf>
    <xf numFmtId="0" fontId="27" fillId="0" borderId="40" xfId="0" applyFont="1" applyFill="1" applyBorder="1" applyAlignment="1">
      <alignment/>
    </xf>
    <xf numFmtId="0" fontId="24" fillId="0" borderId="9" xfId="0" applyFont="1" applyFill="1" applyBorder="1" applyAlignment="1">
      <alignment/>
    </xf>
    <xf numFmtId="0" fontId="24" fillId="0" borderId="6" xfId="0" applyFont="1" applyFill="1" applyBorder="1" applyAlignment="1">
      <alignment/>
    </xf>
    <xf numFmtId="0" fontId="24" fillId="4" borderId="40" xfId="0" applyFont="1" applyFill="1" applyBorder="1" applyAlignment="1">
      <alignment/>
    </xf>
    <xf numFmtId="0" fontId="27" fillId="4" borderId="40" xfId="0" applyFont="1" applyFill="1" applyBorder="1" applyAlignment="1">
      <alignment/>
    </xf>
    <xf numFmtId="0" fontId="24" fillId="4" borderId="3" xfId="0" applyFont="1" applyFill="1" applyBorder="1" applyAlignment="1">
      <alignment/>
    </xf>
    <xf numFmtId="0" fontId="27" fillId="0" borderId="3" xfId="0" applyFont="1" applyFill="1" applyBorder="1" applyAlignment="1">
      <alignment/>
    </xf>
    <xf numFmtId="0" fontId="25" fillId="0" borderId="41" xfId="0" applyFont="1" applyFill="1" applyBorder="1" applyAlignment="1">
      <alignment/>
    </xf>
    <xf numFmtId="0" fontId="24" fillId="0" borderId="93" xfId="0" applyFont="1" applyFill="1" applyBorder="1" applyAlignment="1">
      <alignment/>
    </xf>
    <xf numFmtId="0" fontId="24" fillId="0" borderId="73" xfId="0" applyFont="1" applyFill="1" applyBorder="1" applyAlignment="1">
      <alignment/>
    </xf>
    <xf numFmtId="0" fontId="24" fillId="0" borderId="94" xfId="0" applyFont="1" applyFill="1" applyBorder="1" applyAlignment="1">
      <alignment/>
    </xf>
    <xf numFmtId="0" fontId="24" fillId="0" borderId="8" xfId="0" applyFont="1" applyFill="1" applyBorder="1" applyAlignment="1">
      <alignment/>
    </xf>
    <xf numFmtId="0" fontId="27" fillId="0" borderId="9" xfId="0" applyFont="1" applyFill="1" applyBorder="1" applyAlignment="1">
      <alignment/>
    </xf>
    <xf numFmtId="0" fontId="24" fillId="0" borderId="90" xfId="0" applyFont="1" applyFill="1" applyBorder="1" applyAlignment="1">
      <alignment/>
    </xf>
    <xf numFmtId="0" fontId="24" fillId="0" borderId="1" xfId="0" applyFont="1" applyFill="1" applyBorder="1" applyAlignment="1">
      <alignment/>
    </xf>
    <xf numFmtId="0" fontId="25" fillId="0" borderId="50" xfId="0" applyFont="1" applyFill="1" applyBorder="1" applyAlignment="1">
      <alignment/>
    </xf>
    <xf numFmtId="4" fontId="24" fillId="0" borderId="40" xfId="0" applyNumberFormat="1" applyFont="1" applyFill="1" applyBorder="1" applyAlignment="1">
      <alignment/>
    </xf>
    <xf numFmtId="165" fontId="24" fillId="0" borderId="90" xfId="0" applyNumberFormat="1" applyFont="1" applyFill="1" applyBorder="1" applyAlignment="1">
      <alignment/>
    </xf>
    <xf numFmtId="3" fontId="24" fillId="0" borderId="43" xfId="0" applyNumberFormat="1" applyFont="1" applyFill="1" applyBorder="1" applyAlignment="1">
      <alignment/>
    </xf>
    <xf numFmtId="3" fontId="24" fillId="0" borderId="1" xfId="0" applyNumberFormat="1" applyFont="1" applyFill="1" applyBorder="1" applyAlignment="1">
      <alignment/>
    </xf>
    <xf numFmtId="5" fontId="25" fillId="0" borderId="34" xfId="0" applyNumberFormat="1" applyFont="1" applyFill="1" applyBorder="1" applyAlignment="1">
      <alignment/>
    </xf>
    <xf numFmtId="5" fontId="25" fillId="0" borderId="41" xfId="0" applyNumberFormat="1" applyFont="1" applyFill="1" applyBorder="1" applyAlignment="1">
      <alignment/>
    </xf>
    <xf numFmtId="5" fontId="25" fillId="0" borderId="34" xfId="0" applyNumberFormat="1" applyFont="1" applyFill="1" applyBorder="1" applyAlignment="1">
      <alignment horizontal="right"/>
    </xf>
    <xf numFmtId="5" fontId="25" fillId="0" borderId="41" xfId="0" applyNumberFormat="1" applyFont="1" applyFill="1" applyBorder="1" applyAlignment="1">
      <alignment horizontal="right"/>
    </xf>
    <xf numFmtId="5" fontId="25" fillId="0" borderId="54" xfId="0" applyNumberFormat="1" applyFont="1" applyFill="1" applyBorder="1" applyAlignment="1">
      <alignment horizontal="right"/>
    </xf>
    <xf numFmtId="5" fontId="25" fillId="0" borderId="0" xfId="0" applyNumberFormat="1" applyFont="1" applyFill="1" applyBorder="1" applyAlignment="1">
      <alignment/>
    </xf>
    <xf numFmtId="172" fontId="25" fillId="0" borderId="34" xfId="0" applyNumberFormat="1" applyFont="1" applyFill="1" applyBorder="1" applyAlignment="1">
      <alignment/>
    </xf>
    <xf numFmtId="172" fontId="25" fillId="0" borderId="34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4" fontId="11" fillId="0" borderId="34" xfId="0" applyNumberFormat="1" applyFont="1" applyFill="1" applyBorder="1" applyAlignment="1">
      <alignment/>
    </xf>
    <xf numFmtId="0" fontId="11" fillId="0" borderId="34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NumberFormat="1" applyFont="1" applyFill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43" xfId="0" applyFont="1" applyFill="1" applyBorder="1" applyAlignment="1">
      <alignment horizontal="left" wrapText="1"/>
    </xf>
    <xf numFmtId="0" fontId="9" fillId="0" borderId="43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4" fontId="4" fillId="0" borderId="34" xfId="0" applyNumberFormat="1" applyFont="1" applyFill="1" applyBorder="1" applyAlignment="1">
      <alignment/>
    </xf>
    <xf numFmtId="0" fontId="4" fillId="0" borderId="34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90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3" fontId="3" fillId="8" borderId="90" xfId="0" applyNumberFormat="1" applyFont="1" applyFill="1" applyBorder="1" applyAlignment="1">
      <alignment horizontal="center"/>
    </xf>
    <xf numFmtId="3" fontId="3" fillId="8" borderId="43" xfId="0" applyNumberFormat="1" applyFont="1" applyFill="1" applyBorder="1" applyAlignment="1">
      <alignment horizontal="center"/>
    </xf>
    <xf numFmtId="3" fontId="3" fillId="8" borderId="43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3" fontId="3" fillId="8" borderId="9" xfId="0" applyNumberFormat="1" applyFont="1" applyFill="1" applyBorder="1" applyAlignment="1">
      <alignment horizontal="center"/>
    </xf>
    <xf numFmtId="3" fontId="4" fillId="8" borderId="7" xfId="0" applyNumberFormat="1" applyFont="1" applyFill="1" applyBorder="1" applyAlignment="1">
      <alignment horizontal="center"/>
    </xf>
    <xf numFmtId="3" fontId="3" fillId="8" borderId="7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94" xfId="0" applyFont="1" applyFill="1" applyBorder="1" applyAlignment="1">
      <alignment horizontal="center"/>
    </xf>
    <xf numFmtId="0" fontId="3" fillId="0" borderId="92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NumberFormat="1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0" fillId="0" borderId="3" xfId="0" applyFont="1" applyBorder="1" applyAlignment="1">
      <alignment horizontal="left"/>
    </xf>
    <xf numFmtId="0" fontId="15" fillId="0" borderId="43" xfId="0" applyFont="1" applyFill="1" applyBorder="1" applyAlignment="1">
      <alignment horizontal="left" wrapText="1"/>
    </xf>
    <xf numFmtId="0" fontId="16" fillId="0" borderId="43" xfId="0" applyFont="1" applyFill="1" applyBorder="1" applyAlignment="1">
      <alignment horizontal="left" wrapText="1"/>
    </xf>
    <xf numFmtId="0" fontId="11" fillId="0" borderId="4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0" fontId="11" fillId="9" borderId="40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/>
    </xf>
    <xf numFmtId="0" fontId="11" fillId="9" borderId="74" xfId="0" applyFont="1" applyFill="1" applyBorder="1" applyAlignment="1">
      <alignment horizontal="center"/>
    </xf>
    <xf numFmtId="3" fontId="10" fillId="2" borderId="9" xfId="0" applyNumberFormat="1" applyFont="1" applyFill="1" applyBorder="1" applyAlignment="1">
      <alignment horizontal="center"/>
    </xf>
    <xf numFmtId="3" fontId="11" fillId="2" borderId="7" xfId="0" applyNumberFormat="1" applyFont="1" applyFill="1" applyBorder="1" applyAlignment="1">
      <alignment horizontal="center"/>
    </xf>
    <xf numFmtId="3" fontId="10" fillId="2" borderId="7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94" xfId="0" applyFont="1" applyFill="1" applyBorder="1" applyAlignment="1">
      <alignment horizontal="center"/>
    </xf>
    <xf numFmtId="0" fontId="10" fillId="0" borderId="92" xfId="0" applyFont="1" applyBorder="1" applyAlignment="1">
      <alignment/>
    </xf>
    <xf numFmtId="0" fontId="10" fillId="0" borderId="8" xfId="0" applyFont="1" applyBorder="1" applyAlignment="1">
      <alignment/>
    </xf>
    <xf numFmtId="0" fontId="11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90" xfId="0" applyFont="1" applyFill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95" xfId="0" applyFont="1" applyBorder="1" applyAlignment="1">
      <alignment horizontal="center"/>
    </xf>
    <xf numFmtId="0" fontId="11" fillId="9" borderId="90" xfId="0" applyFont="1" applyFill="1" applyBorder="1" applyAlignment="1">
      <alignment horizontal="center"/>
    </xf>
    <xf numFmtId="0" fontId="11" fillId="9" borderId="43" xfId="0" applyFont="1" applyFill="1" applyBorder="1" applyAlignment="1">
      <alignment horizontal="center"/>
    </xf>
    <xf numFmtId="0" fontId="11" fillId="9" borderId="95" xfId="0" applyFont="1" applyFill="1" applyBorder="1" applyAlignment="1">
      <alignment horizontal="center"/>
    </xf>
    <xf numFmtId="3" fontId="10" fillId="2" borderId="90" xfId="0" applyNumberFormat="1" applyFont="1" applyFill="1" applyBorder="1" applyAlignment="1">
      <alignment horizontal="center"/>
    </xf>
    <xf numFmtId="3" fontId="10" fillId="2" borderId="43" xfId="0" applyNumberFormat="1" applyFont="1" applyFill="1" applyBorder="1" applyAlignment="1">
      <alignment horizontal="center"/>
    </xf>
    <xf numFmtId="3" fontId="10" fillId="2" borderId="43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0" fontId="17" fillId="0" borderId="0" xfId="0" applyNumberFormat="1" applyFont="1" applyFill="1" applyAlignment="1">
      <alignment horizontal="left" wrapText="1"/>
    </xf>
    <xf numFmtId="0" fontId="17" fillId="0" borderId="0" xfId="0" applyFont="1" applyAlignment="1">
      <alignment wrapText="1"/>
    </xf>
    <xf numFmtId="4" fontId="18" fillId="0" borderId="34" xfId="0" applyNumberFormat="1" applyFont="1" applyFill="1" applyBorder="1" applyAlignment="1">
      <alignment/>
    </xf>
    <xf numFmtId="0" fontId="18" fillId="0" borderId="34" xfId="0" applyFont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3" xfId="0" applyFont="1" applyBorder="1" applyAlignment="1">
      <alignment horizontal="left"/>
    </xf>
    <xf numFmtId="0" fontId="22" fillId="0" borderId="43" xfId="0" applyFont="1" applyFill="1" applyBorder="1" applyAlignment="1">
      <alignment horizontal="left" wrapText="1"/>
    </xf>
    <xf numFmtId="0" fontId="23" fillId="0" borderId="43" xfId="0" applyFont="1" applyFill="1" applyBorder="1" applyAlignment="1">
      <alignment horizontal="left" wrapText="1"/>
    </xf>
    <xf numFmtId="0" fontId="18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74" xfId="0" applyFont="1" applyBorder="1" applyAlignment="1">
      <alignment horizontal="center"/>
    </xf>
    <xf numFmtId="0" fontId="18" fillId="8" borderId="40" xfId="0" applyFont="1" applyFill="1" applyBorder="1" applyAlignment="1">
      <alignment horizontal="center"/>
    </xf>
    <xf numFmtId="0" fontId="18" fillId="8" borderId="0" xfId="0" applyFont="1" applyFill="1" applyBorder="1" applyAlignment="1">
      <alignment horizontal="center"/>
    </xf>
    <xf numFmtId="0" fontId="18" fillId="8" borderId="74" xfId="0" applyFont="1" applyFill="1" applyBorder="1" applyAlignment="1">
      <alignment horizontal="center"/>
    </xf>
    <xf numFmtId="3" fontId="17" fillId="2" borderId="9" xfId="0" applyNumberFormat="1" applyFont="1" applyFill="1" applyBorder="1" applyAlignment="1">
      <alignment horizontal="center"/>
    </xf>
    <xf numFmtId="3" fontId="18" fillId="2" borderId="7" xfId="0" applyNumberFormat="1" applyFont="1" applyFill="1" applyBorder="1" applyAlignment="1">
      <alignment horizontal="center"/>
    </xf>
    <xf numFmtId="3" fontId="17" fillId="2" borderId="7" xfId="0" applyNumberFormat="1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94" xfId="0" applyFont="1" applyFill="1" applyBorder="1" applyAlignment="1">
      <alignment horizontal="center"/>
    </xf>
    <xf numFmtId="0" fontId="17" fillId="0" borderId="92" xfId="0" applyFont="1" applyBorder="1" applyAlignment="1">
      <alignment/>
    </xf>
    <xf numFmtId="0" fontId="17" fillId="0" borderId="8" xfId="0" applyFont="1" applyBorder="1" applyAlignment="1">
      <alignment/>
    </xf>
    <xf numFmtId="0" fontId="18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8" fillId="0" borderId="90" xfId="0" applyFont="1" applyFill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95" xfId="0" applyFont="1" applyBorder="1" applyAlignment="1">
      <alignment horizontal="center"/>
    </xf>
    <xf numFmtId="0" fontId="18" fillId="8" borderId="90" xfId="0" applyFont="1" applyFill="1" applyBorder="1" applyAlignment="1">
      <alignment horizontal="center"/>
    </xf>
    <xf numFmtId="0" fontId="18" fillId="8" borderId="43" xfId="0" applyFont="1" applyFill="1" applyBorder="1" applyAlignment="1">
      <alignment horizontal="center"/>
    </xf>
    <xf numFmtId="0" fontId="18" fillId="8" borderId="95" xfId="0" applyFont="1" applyFill="1" applyBorder="1" applyAlignment="1">
      <alignment horizontal="center"/>
    </xf>
    <xf numFmtId="3" fontId="17" fillId="2" borderId="90" xfId="0" applyNumberFormat="1" applyFont="1" applyFill="1" applyBorder="1" applyAlignment="1">
      <alignment horizontal="center"/>
    </xf>
    <xf numFmtId="3" fontId="17" fillId="2" borderId="43" xfId="0" applyNumberFormat="1" applyFont="1" applyFill="1" applyBorder="1" applyAlignment="1">
      <alignment horizontal="center"/>
    </xf>
    <xf numFmtId="3" fontId="17" fillId="2" borderId="43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4" fillId="0" borderId="0" xfId="0" applyNumberFormat="1" applyFont="1" applyFill="1" applyAlignment="1">
      <alignment horizontal="left" wrapText="1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0" fillId="0" borderId="0" xfId="0" applyAlignment="1">
      <alignment/>
    </xf>
    <xf numFmtId="4" fontId="25" fillId="0" borderId="34" xfId="0" applyNumberFormat="1" applyFont="1" applyFill="1" applyBorder="1" applyAlignment="1">
      <alignment/>
    </xf>
    <xf numFmtId="0" fontId="25" fillId="0" borderId="34" xfId="0" applyFont="1" applyBorder="1" applyAlignment="1">
      <alignment/>
    </xf>
    <xf numFmtId="0" fontId="28" fillId="0" borderId="43" xfId="0" applyFont="1" applyFill="1" applyBorder="1" applyAlignment="1">
      <alignment horizontal="left" wrapText="1"/>
    </xf>
    <xf numFmtId="0" fontId="29" fillId="0" borderId="43" xfId="0" applyFont="1" applyFill="1" applyBorder="1" applyAlignment="1">
      <alignment horizontal="left" wrapText="1"/>
    </xf>
    <xf numFmtId="0" fontId="25" fillId="0" borderId="0" xfId="0" applyFont="1" applyFill="1" applyAlignment="1">
      <alignment horizontal="center"/>
    </xf>
    <xf numFmtId="3" fontId="24" fillId="0" borderId="13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22"/>
  <sheetViews>
    <sheetView workbookViewId="0" topLeftCell="A1">
      <selection activeCell="V14" sqref="V14"/>
    </sheetView>
  </sheetViews>
  <sheetFormatPr defaultColWidth="9.140625" defaultRowHeight="12.75"/>
  <cols>
    <col min="1" max="1" width="14.140625" style="11" bestFit="1" customWidth="1"/>
    <col min="2" max="2" width="9.140625" style="11" customWidth="1"/>
    <col min="3" max="3" width="12.57421875" style="11" customWidth="1"/>
    <col min="4" max="4" width="29.8515625" style="11" customWidth="1"/>
    <col min="5" max="5" width="6.421875" style="2" hidden="1" customWidth="1"/>
    <col min="6" max="6" width="9.57421875" style="2" hidden="1" customWidth="1"/>
    <col min="7" max="7" width="13.28125" style="2" hidden="1" customWidth="1"/>
    <col min="8" max="8" width="15.140625" style="11" hidden="1" customWidth="1"/>
    <col min="9" max="9" width="12.7109375" style="11" hidden="1" customWidth="1"/>
    <col min="10" max="11" width="9.8515625" style="2" bestFit="1" customWidth="1"/>
    <col min="12" max="12" width="13.28125" style="2" customWidth="1"/>
    <col min="13" max="13" width="9.8515625" style="2" hidden="1" customWidth="1"/>
    <col min="14" max="14" width="14.57421875" style="2" bestFit="1" customWidth="1"/>
    <col min="15" max="15" width="8.57421875" style="2" customWidth="1"/>
    <col min="16" max="16" width="7.57421875" style="2" customWidth="1"/>
    <col min="17" max="17" width="11.421875" style="2" customWidth="1"/>
    <col min="18" max="18" width="10.140625" style="2" bestFit="1" customWidth="1"/>
    <col min="19" max="19" width="9.8515625" style="2" bestFit="1" customWidth="1"/>
    <col min="20" max="20" width="13.421875" style="2" customWidth="1"/>
    <col min="21" max="21" width="9.00390625" style="2" customWidth="1"/>
    <col min="22" max="22" width="7.57421875" style="2" customWidth="1"/>
    <col min="23" max="23" width="12.57421875" style="2" bestFit="1" customWidth="1"/>
    <col min="24" max="24" width="9.140625" style="2" customWidth="1"/>
    <col min="25" max="25" width="9.57421875" style="2" customWidth="1"/>
    <col min="26" max="26" width="12.8515625" style="2" customWidth="1"/>
    <col min="27" max="27" width="10.28125" style="2" customWidth="1"/>
    <col min="28" max="28" width="9.57421875" style="2" customWidth="1"/>
    <col min="29" max="29" width="13.28125" style="2" customWidth="1"/>
    <col min="30" max="30" width="17.28125" style="2" hidden="1" customWidth="1"/>
    <col min="31" max="31" width="17.7109375" style="2" hidden="1" customWidth="1"/>
    <col min="32" max="32" width="13.140625" style="2" hidden="1" customWidth="1"/>
    <col min="33" max="33" width="0" style="2" hidden="1" customWidth="1"/>
    <col min="34" max="16384" width="9.140625" style="2" customWidth="1"/>
  </cols>
  <sheetData>
    <row r="1" spans="1:14" ht="14.25">
      <c r="A1" s="859"/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</row>
    <row r="2" spans="1:14" ht="14.25">
      <c r="A2" s="859"/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</row>
    <row r="3" spans="1:31" ht="15">
      <c r="A3" s="861" t="s">
        <v>57</v>
      </c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  <c r="U3" s="860"/>
      <c r="V3" s="860"/>
      <c r="W3" s="860"/>
      <c r="X3" s="860"/>
      <c r="Y3" s="860"/>
      <c r="Z3" s="860"/>
      <c r="AA3" s="860"/>
      <c r="AB3" s="860"/>
      <c r="AC3" s="860"/>
      <c r="AD3" s="1"/>
      <c r="AE3" s="1"/>
    </row>
    <row r="4" spans="1:31" ht="15">
      <c r="A4" s="861" t="s">
        <v>211</v>
      </c>
      <c r="B4" s="860"/>
      <c r="C4" s="860"/>
      <c r="D4" s="860"/>
      <c r="E4" s="860"/>
      <c r="F4" s="860"/>
      <c r="G4" s="860"/>
      <c r="H4" s="860"/>
      <c r="I4" s="860"/>
      <c r="J4" s="860"/>
      <c r="K4" s="860"/>
      <c r="L4" s="860"/>
      <c r="M4" s="860"/>
      <c r="N4" s="860"/>
      <c r="O4" s="860"/>
      <c r="P4" s="860"/>
      <c r="Q4" s="860"/>
      <c r="R4" s="860"/>
      <c r="S4" s="860"/>
      <c r="T4" s="860"/>
      <c r="U4" s="860"/>
      <c r="V4" s="860"/>
      <c r="W4" s="860"/>
      <c r="X4" s="860"/>
      <c r="Y4" s="860"/>
      <c r="Z4" s="860"/>
      <c r="AA4" s="860"/>
      <c r="AB4" s="860"/>
      <c r="AC4" s="860"/>
      <c r="AD4" s="1"/>
      <c r="AE4" s="1"/>
    </row>
    <row r="5" spans="1:31" ht="15">
      <c r="A5" s="861" t="s">
        <v>0</v>
      </c>
      <c r="B5" s="860"/>
      <c r="C5" s="860"/>
      <c r="D5" s="860"/>
      <c r="E5" s="860"/>
      <c r="F5" s="860"/>
      <c r="G5" s="860"/>
      <c r="H5" s="860"/>
      <c r="I5" s="860"/>
      <c r="J5" s="860"/>
      <c r="K5" s="860"/>
      <c r="L5" s="860"/>
      <c r="M5" s="860"/>
      <c r="N5" s="860"/>
      <c r="O5" s="860"/>
      <c r="P5" s="860"/>
      <c r="Q5" s="860"/>
      <c r="R5" s="860"/>
      <c r="S5" s="860"/>
      <c r="T5" s="860"/>
      <c r="U5" s="860"/>
      <c r="V5" s="860"/>
      <c r="W5" s="860"/>
      <c r="X5" s="860"/>
      <c r="Y5" s="860"/>
      <c r="Z5" s="860"/>
      <c r="AA5" s="860"/>
      <c r="AB5" s="860"/>
      <c r="AC5" s="860"/>
      <c r="AD5" s="1"/>
      <c r="AE5" s="1"/>
    </row>
    <row r="6" spans="1:29" ht="15">
      <c r="A6" s="4"/>
      <c r="B6" s="4"/>
      <c r="C6" s="5"/>
      <c r="D6" s="5"/>
      <c r="G6" s="3"/>
      <c r="H6" s="6"/>
      <c r="I6" s="7"/>
      <c r="N6" s="3"/>
      <c r="O6" s="3"/>
      <c r="W6" s="3"/>
      <c r="AC6" s="3"/>
    </row>
    <row r="7" spans="1:28" ht="15.75" thickBot="1">
      <c r="A7" s="8"/>
      <c r="B7" s="9"/>
      <c r="C7" s="10"/>
      <c r="D7" s="5"/>
      <c r="G7" s="3"/>
      <c r="S7" s="3"/>
      <c r="AB7" s="12"/>
    </row>
    <row r="8" spans="1:31" ht="15.75" thickTop="1">
      <c r="A8" s="8"/>
      <c r="C8" s="10"/>
      <c r="D8" s="10"/>
      <c r="E8" s="862" t="s">
        <v>65</v>
      </c>
      <c r="F8" s="863"/>
      <c r="G8" s="864"/>
      <c r="H8" s="13" t="s">
        <v>65</v>
      </c>
      <c r="I8" s="14" t="s">
        <v>52</v>
      </c>
      <c r="J8" s="862" t="s">
        <v>181</v>
      </c>
      <c r="K8" s="863"/>
      <c r="L8" s="864"/>
      <c r="M8" s="13" t="s">
        <v>161</v>
      </c>
      <c r="N8" s="14" t="s">
        <v>202</v>
      </c>
      <c r="O8" s="865" t="s">
        <v>210</v>
      </c>
      <c r="P8" s="866"/>
      <c r="Q8" s="866"/>
      <c r="R8" s="867"/>
      <c r="S8" s="867"/>
      <c r="T8" s="867"/>
      <c r="U8" s="867"/>
      <c r="V8" s="867"/>
      <c r="W8" s="867"/>
      <c r="X8" s="867"/>
      <c r="Y8" s="867"/>
      <c r="Z8" s="867"/>
      <c r="AA8" s="867"/>
      <c r="AB8" s="867"/>
      <c r="AC8" s="867"/>
      <c r="AD8" s="15" t="s">
        <v>185</v>
      </c>
      <c r="AE8" s="15" t="s">
        <v>187</v>
      </c>
    </row>
    <row r="9" spans="1:31" ht="15">
      <c r="A9" s="8"/>
      <c r="C9" s="10"/>
      <c r="D9" s="3"/>
      <c r="E9" s="868" t="s">
        <v>160</v>
      </c>
      <c r="F9" s="869"/>
      <c r="G9" s="870"/>
      <c r="H9" s="16" t="s">
        <v>183</v>
      </c>
      <c r="I9" s="17" t="s">
        <v>51</v>
      </c>
      <c r="J9" s="868" t="s">
        <v>218</v>
      </c>
      <c r="K9" s="869"/>
      <c r="L9" s="870"/>
      <c r="M9" s="16" t="s">
        <v>162</v>
      </c>
      <c r="N9" s="17" t="s">
        <v>203</v>
      </c>
      <c r="O9" s="871"/>
      <c r="P9" s="872"/>
      <c r="Q9" s="872"/>
      <c r="R9" s="873"/>
      <c r="S9" s="873"/>
      <c r="T9" s="873"/>
      <c r="U9" s="873"/>
      <c r="V9" s="873"/>
      <c r="W9" s="873"/>
      <c r="X9" s="873"/>
      <c r="Y9" s="873"/>
      <c r="Z9" s="873"/>
      <c r="AA9" s="873"/>
      <c r="AB9" s="873"/>
      <c r="AC9" s="873"/>
      <c r="AD9" s="18" t="s">
        <v>186</v>
      </c>
      <c r="AE9" s="18" t="s">
        <v>188</v>
      </c>
    </row>
    <row r="10" spans="3:33" ht="14.25">
      <c r="C10" s="10"/>
      <c r="D10" s="3"/>
      <c r="E10" s="874"/>
      <c r="F10" s="875"/>
      <c r="G10" s="876"/>
      <c r="H10" s="16" t="s">
        <v>59</v>
      </c>
      <c r="I10" s="20" t="s">
        <v>50</v>
      </c>
      <c r="J10" s="874"/>
      <c r="K10" s="875"/>
      <c r="L10" s="876"/>
      <c r="M10" s="21" t="s">
        <v>163</v>
      </c>
      <c r="N10" s="20" t="s">
        <v>198</v>
      </c>
      <c r="O10" s="874" t="s">
        <v>27</v>
      </c>
      <c r="P10" s="877"/>
      <c r="Q10" s="878"/>
      <c r="R10" s="879" t="s">
        <v>5</v>
      </c>
      <c r="S10" s="880"/>
      <c r="T10" s="881"/>
      <c r="U10" s="874" t="s">
        <v>204</v>
      </c>
      <c r="V10" s="877"/>
      <c r="W10" s="878"/>
      <c r="X10" s="22" t="s">
        <v>29</v>
      </c>
      <c r="Y10" s="22"/>
      <c r="Z10" s="23"/>
      <c r="AA10" s="24"/>
      <c r="AB10" s="25" t="s">
        <v>28</v>
      </c>
      <c r="AC10" s="26"/>
      <c r="AD10" s="19"/>
      <c r="AE10" s="19"/>
      <c r="AF10" s="225" t="s">
        <v>213</v>
      </c>
      <c r="AG10" s="225" t="s">
        <v>214</v>
      </c>
    </row>
    <row r="11" spans="1:31" ht="15">
      <c r="A11" s="27" t="s">
        <v>1</v>
      </c>
      <c r="E11" s="28" t="s">
        <v>2</v>
      </c>
      <c r="F11" s="29" t="s">
        <v>3</v>
      </c>
      <c r="G11" s="30" t="s">
        <v>4</v>
      </c>
      <c r="H11" s="31" t="s">
        <v>4</v>
      </c>
      <c r="I11" s="32" t="s">
        <v>49</v>
      </c>
      <c r="J11" s="28" t="s">
        <v>2</v>
      </c>
      <c r="K11" s="29" t="s">
        <v>3</v>
      </c>
      <c r="L11" s="33" t="s">
        <v>4</v>
      </c>
      <c r="M11" s="30" t="s">
        <v>4</v>
      </c>
      <c r="N11" s="32" t="s">
        <v>198</v>
      </c>
      <c r="O11" s="34" t="s">
        <v>2</v>
      </c>
      <c r="P11" s="35" t="s">
        <v>3</v>
      </c>
      <c r="Q11" s="36" t="s">
        <v>4</v>
      </c>
      <c r="R11" s="34" t="s">
        <v>2</v>
      </c>
      <c r="S11" s="35" t="s">
        <v>3</v>
      </c>
      <c r="T11" s="36" t="s">
        <v>4</v>
      </c>
      <c r="U11" s="34" t="s">
        <v>2</v>
      </c>
      <c r="V11" s="35" t="s">
        <v>3</v>
      </c>
      <c r="W11" s="37" t="s">
        <v>4</v>
      </c>
      <c r="X11" s="38" t="s">
        <v>2</v>
      </c>
      <c r="Y11" s="35" t="s">
        <v>3</v>
      </c>
      <c r="Z11" s="37" t="s">
        <v>4</v>
      </c>
      <c r="AA11" s="39" t="s">
        <v>2</v>
      </c>
      <c r="AB11" s="40" t="s">
        <v>3</v>
      </c>
      <c r="AC11" s="37" t="s">
        <v>4</v>
      </c>
      <c r="AD11" s="41">
        <v>0.04</v>
      </c>
      <c r="AE11" s="41">
        <v>0.96</v>
      </c>
    </row>
    <row r="12" spans="1:33" s="50" customFormat="1" ht="14.25">
      <c r="A12" s="43" t="s">
        <v>38</v>
      </c>
      <c r="B12" s="43"/>
      <c r="C12" s="43"/>
      <c r="D12" s="43"/>
      <c r="E12" s="44">
        <f aca="true" t="shared" si="0" ref="E12:AE12">SUM(E13:E14)</f>
        <v>701</v>
      </c>
      <c r="F12" s="45">
        <f t="shared" si="0"/>
        <v>787</v>
      </c>
      <c r="G12" s="46">
        <f t="shared" si="0"/>
        <v>122867</v>
      </c>
      <c r="H12" s="44">
        <f t="shared" si="0"/>
        <v>0</v>
      </c>
      <c r="I12" s="44">
        <f t="shared" si="0"/>
        <v>0</v>
      </c>
      <c r="J12" s="44">
        <f t="shared" si="0"/>
        <v>676</v>
      </c>
      <c r="K12" s="45">
        <f t="shared" si="0"/>
        <v>781</v>
      </c>
      <c r="L12" s="47">
        <f t="shared" si="0"/>
        <v>115505</v>
      </c>
      <c r="M12" s="44">
        <f t="shared" si="0"/>
        <v>0</v>
      </c>
      <c r="N12" s="44">
        <f t="shared" si="0"/>
        <v>-15852</v>
      </c>
      <c r="O12" s="44">
        <f t="shared" si="0"/>
        <v>-120</v>
      </c>
      <c r="P12" s="45">
        <f>SUM(P13:P14)</f>
        <v>-120</v>
      </c>
      <c r="Q12" s="46">
        <f>SUM(Q13:Q14)</f>
        <v>5127</v>
      </c>
      <c r="R12" s="44">
        <f t="shared" si="0"/>
        <v>556</v>
      </c>
      <c r="S12" s="45">
        <f t="shared" si="0"/>
        <v>661</v>
      </c>
      <c r="T12" s="46">
        <f t="shared" si="0"/>
        <v>104780</v>
      </c>
      <c r="U12" s="44">
        <f t="shared" si="0"/>
        <v>0</v>
      </c>
      <c r="V12" s="45">
        <f t="shared" si="0"/>
        <v>0</v>
      </c>
      <c r="W12" s="46">
        <f t="shared" si="0"/>
        <v>0</v>
      </c>
      <c r="X12" s="44">
        <f t="shared" si="0"/>
        <v>0</v>
      </c>
      <c r="Y12" s="45">
        <f t="shared" si="0"/>
        <v>0</v>
      </c>
      <c r="Z12" s="46">
        <f t="shared" si="0"/>
        <v>0</v>
      </c>
      <c r="AA12" s="44">
        <f t="shared" si="0"/>
        <v>556</v>
      </c>
      <c r="AB12" s="45">
        <f t="shared" si="0"/>
        <v>661</v>
      </c>
      <c r="AC12" s="48">
        <f t="shared" si="0"/>
        <v>104780</v>
      </c>
      <c r="AD12" s="49">
        <f t="shared" si="0"/>
        <v>108971.2</v>
      </c>
      <c r="AE12" s="49">
        <f t="shared" si="0"/>
        <v>110884.79999999999</v>
      </c>
      <c r="AF12" s="221">
        <f>+AC12-L12</f>
        <v>-10725</v>
      </c>
      <c r="AG12" s="222">
        <f>+AF12/L12</f>
        <v>-0.09285312324141812</v>
      </c>
    </row>
    <row r="13" spans="1:33" ht="14.25">
      <c r="A13" s="51" t="s">
        <v>9</v>
      </c>
      <c r="E13" s="52">
        <f>704-3</f>
        <v>701</v>
      </c>
      <c r="F13" s="53">
        <f>790-3</f>
        <v>787</v>
      </c>
      <c r="G13" s="54">
        <v>122867</v>
      </c>
      <c r="H13" s="55"/>
      <c r="I13" s="55"/>
      <c r="J13" s="52">
        <v>556</v>
      </c>
      <c r="K13" s="53">
        <v>661</v>
      </c>
      <c r="L13" s="56">
        <v>99653</v>
      </c>
      <c r="M13" s="57"/>
      <c r="N13" s="55">
        <v>0</v>
      </c>
      <c r="O13" s="52">
        <v>0</v>
      </c>
      <c r="P13" s="53">
        <v>0</v>
      </c>
      <c r="Q13" s="54">
        <v>5127</v>
      </c>
      <c r="R13" s="58">
        <f>+J13+O13</f>
        <v>556</v>
      </c>
      <c r="S13" s="59">
        <f>+K13+P13</f>
        <v>661</v>
      </c>
      <c r="T13" s="54">
        <f>+L13+Q13+N13</f>
        <v>104780</v>
      </c>
      <c r="U13" s="52">
        <v>0</v>
      </c>
      <c r="V13" s="60">
        <v>0</v>
      </c>
      <c r="W13" s="54">
        <v>0</v>
      </c>
      <c r="X13" s="61">
        <v>0</v>
      </c>
      <c r="Y13" s="60">
        <v>0</v>
      </c>
      <c r="Z13" s="54">
        <v>0</v>
      </c>
      <c r="AA13" s="52">
        <f aca="true" t="shared" si="1" ref="AA13:AC19">+X13+U13+R13</f>
        <v>556</v>
      </c>
      <c r="AB13" s="53">
        <f t="shared" si="1"/>
        <v>661</v>
      </c>
      <c r="AC13" s="62">
        <f t="shared" si="1"/>
        <v>104780</v>
      </c>
      <c r="AD13" s="63">
        <f aca="true" t="shared" si="2" ref="AD13:AD19">+T13*(1+$AD$11)</f>
        <v>108971.2</v>
      </c>
      <c r="AE13" s="63">
        <f aca="true" t="shared" si="3" ref="AE13:AE19">+L13*$AE$11</f>
        <v>95666.87999999999</v>
      </c>
      <c r="AF13" s="221">
        <f aca="true" t="shared" si="4" ref="AF13:AF76">+AC13-L13</f>
        <v>5127</v>
      </c>
      <c r="AG13" s="222">
        <f aca="true" t="shared" si="5" ref="AG13:AG76">+AF13/L13</f>
        <v>0.05144852638656137</v>
      </c>
    </row>
    <row r="14" spans="1:33" ht="14.25">
      <c r="A14" s="64" t="s">
        <v>168</v>
      </c>
      <c r="B14" s="2"/>
      <c r="C14" s="2"/>
      <c r="D14" s="2"/>
      <c r="E14" s="52"/>
      <c r="F14" s="53">
        <v>0</v>
      </c>
      <c r="G14" s="54">
        <v>0</v>
      </c>
      <c r="H14" s="55"/>
      <c r="I14" s="55"/>
      <c r="J14" s="52">
        <v>120</v>
      </c>
      <c r="K14" s="53">
        <v>120</v>
      </c>
      <c r="L14" s="220">
        <v>15852</v>
      </c>
      <c r="M14" s="57"/>
      <c r="N14" s="219">
        <v>-15852</v>
      </c>
      <c r="O14" s="58">
        <v>-120</v>
      </c>
      <c r="P14" s="53">
        <v>-120</v>
      </c>
      <c r="Q14" s="54">
        <v>0</v>
      </c>
      <c r="R14" s="58">
        <f aca="true" t="shared" si="6" ref="R14:S19">+J14+O14</f>
        <v>0</v>
      </c>
      <c r="S14" s="59">
        <f t="shared" si="6"/>
        <v>0</v>
      </c>
      <c r="T14" s="54">
        <f aca="true" t="shared" si="7" ref="T14:T19">+L14+Q14+N14</f>
        <v>0</v>
      </c>
      <c r="U14" s="65">
        <v>0</v>
      </c>
      <c r="V14" s="60">
        <v>0</v>
      </c>
      <c r="W14" s="54">
        <v>0</v>
      </c>
      <c r="X14" s="61">
        <v>0</v>
      </c>
      <c r="Y14" s="60">
        <v>0</v>
      </c>
      <c r="Z14" s="54">
        <v>0</v>
      </c>
      <c r="AA14" s="52">
        <f t="shared" si="1"/>
        <v>0</v>
      </c>
      <c r="AB14" s="53">
        <f t="shared" si="1"/>
        <v>0</v>
      </c>
      <c r="AC14" s="62">
        <f t="shared" si="1"/>
        <v>0</v>
      </c>
      <c r="AD14" s="63">
        <f t="shared" si="2"/>
        <v>0</v>
      </c>
      <c r="AE14" s="63">
        <f t="shared" si="3"/>
        <v>15217.92</v>
      </c>
      <c r="AF14" s="221">
        <f t="shared" si="4"/>
        <v>-15852</v>
      </c>
      <c r="AG14" s="222" t="s">
        <v>198</v>
      </c>
    </row>
    <row r="15" spans="1:33" ht="14.25" hidden="1">
      <c r="A15" s="11" t="s">
        <v>105</v>
      </c>
      <c r="E15" s="52">
        <v>0</v>
      </c>
      <c r="F15" s="53">
        <v>0</v>
      </c>
      <c r="G15" s="54">
        <v>0</v>
      </c>
      <c r="H15" s="55"/>
      <c r="I15" s="55"/>
      <c r="J15" s="52">
        <v>0</v>
      </c>
      <c r="K15" s="53">
        <v>0</v>
      </c>
      <c r="L15" s="56">
        <v>0</v>
      </c>
      <c r="M15" s="57"/>
      <c r="N15" s="55">
        <v>0</v>
      </c>
      <c r="O15" s="52">
        <v>0</v>
      </c>
      <c r="P15" s="53">
        <v>0</v>
      </c>
      <c r="Q15" s="54">
        <v>0</v>
      </c>
      <c r="R15" s="58">
        <f t="shared" si="6"/>
        <v>0</v>
      </c>
      <c r="S15" s="59">
        <f t="shared" si="6"/>
        <v>0</v>
      </c>
      <c r="T15" s="54">
        <f t="shared" si="7"/>
        <v>0</v>
      </c>
      <c r="U15" s="52">
        <v>0</v>
      </c>
      <c r="V15" s="60">
        <v>0</v>
      </c>
      <c r="W15" s="54">
        <v>0</v>
      </c>
      <c r="X15" s="61">
        <v>0</v>
      </c>
      <c r="Y15" s="60">
        <v>0</v>
      </c>
      <c r="Z15" s="54">
        <v>0</v>
      </c>
      <c r="AA15" s="52">
        <f t="shared" si="1"/>
        <v>0</v>
      </c>
      <c r="AB15" s="53">
        <f t="shared" si="1"/>
        <v>0</v>
      </c>
      <c r="AC15" s="66">
        <f t="shared" si="1"/>
        <v>0</v>
      </c>
      <c r="AD15" s="63">
        <f t="shared" si="2"/>
        <v>0</v>
      </c>
      <c r="AE15" s="63">
        <f t="shared" si="3"/>
        <v>0</v>
      </c>
      <c r="AF15" s="221">
        <f t="shared" si="4"/>
        <v>0</v>
      </c>
      <c r="AG15" s="222" t="e">
        <f t="shared" si="5"/>
        <v>#DIV/0!</v>
      </c>
    </row>
    <row r="16" spans="1:33" ht="14.25">
      <c r="A16" s="11" t="s">
        <v>180</v>
      </c>
      <c r="E16" s="52">
        <f>54+3</f>
        <v>57</v>
      </c>
      <c r="F16" s="53">
        <f>50+3</f>
        <v>53</v>
      </c>
      <c r="G16" s="54">
        <v>123403</v>
      </c>
      <c r="H16" s="55"/>
      <c r="I16" s="67">
        <v>0</v>
      </c>
      <c r="J16" s="52">
        <v>79</v>
      </c>
      <c r="K16" s="53">
        <v>72</v>
      </c>
      <c r="L16" s="56">
        <v>175007</v>
      </c>
      <c r="M16" s="67"/>
      <c r="N16" s="67">
        <v>0</v>
      </c>
      <c r="O16" s="58">
        <v>0</v>
      </c>
      <c r="P16" s="59">
        <v>7</v>
      </c>
      <c r="Q16" s="67">
        <v>-11623</v>
      </c>
      <c r="R16" s="58">
        <f t="shared" si="6"/>
        <v>79</v>
      </c>
      <c r="S16" s="59">
        <f t="shared" si="6"/>
        <v>79</v>
      </c>
      <c r="T16" s="54">
        <f t="shared" si="7"/>
        <v>163384</v>
      </c>
      <c r="U16" s="58">
        <v>0</v>
      </c>
      <c r="V16" s="59">
        <v>0</v>
      </c>
      <c r="W16" s="67">
        <v>0</v>
      </c>
      <c r="X16" s="58">
        <v>0</v>
      </c>
      <c r="Y16" s="59">
        <v>0</v>
      </c>
      <c r="Z16" s="67">
        <v>-34253</v>
      </c>
      <c r="AA16" s="52">
        <f t="shared" si="1"/>
        <v>79</v>
      </c>
      <c r="AB16" s="53">
        <f t="shared" si="1"/>
        <v>79</v>
      </c>
      <c r="AC16" s="68">
        <f t="shared" si="1"/>
        <v>129131</v>
      </c>
      <c r="AD16" s="63">
        <f t="shared" si="2"/>
        <v>169919.36000000002</v>
      </c>
      <c r="AE16" s="63">
        <f t="shared" si="3"/>
        <v>168006.72</v>
      </c>
      <c r="AF16" s="221">
        <f t="shared" si="4"/>
        <v>-45876</v>
      </c>
      <c r="AG16" s="222">
        <f t="shared" si="5"/>
        <v>-0.2621380859051352</v>
      </c>
    </row>
    <row r="17" spans="1:33" ht="14.25">
      <c r="A17" s="11" t="s">
        <v>74</v>
      </c>
      <c r="E17" s="52">
        <v>21</v>
      </c>
      <c r="F17" s="53">
        <v>21</v>
      </c>
      <c r="G17" s="54">
        <v>1161967</v>
      </c>
      <c r="H17" s="55"/>
      <c r="I17" s="55"/>
      <c r="J17" s="52">
        <v>21</v>
      </c>
      <c r="K17" s="53">
        <v>21</v>
      </c>
      <c r="L17" s="56">
        <v>1332326</v>
      </c>
      <c r="M17" s="57"/>
      <c r="N17" s="55">
        <v>0</v>
      </c>
      <c r="O17" s="52">
        <v>0</v>
      </c>
      <c r="P17" s="53">
        <v>0</v>
      </c>
      <c r="Q17" s="54">
        <v>5182</v>
      </c>
      <c r="R17" s="58">
        <f t="shared" si="6"/>
        <v>21</v>
      </c>
      <c r="S17" s="59">
        <f t="shared" si="6"/>
        <v>21</v>
      </c>
      <c r="T17" s="54">
        <f t="shared" si="7"/>
        <v>1337508</v>
      </c>
      <c r="U17" s="52">
        <v>0</v>
      </c>
      <c r="V17" s="60">
        <v>0</v>
      </c>
      <c r="W17" s="54">
        <v>0</v>
      </c>
      <c r="X17" s="61">
        <v>0</v>
      </c>
      <c r="Y17" s="60">
        <v>0</v>
      </c>
      <c r="Z17" s="54">
        <v>-3000</v>
      </c>
      <c r="AA17" s="52">
        <f t="shared" si="1"/>
        <v>21</v>
      </c>
      <c r="AB17" s="53">
        <f t="shared" si="1"/>
        <v>21</v>
      </c>
      <c r="AC17" s="68">
        <f t="shared" si="1"/>
        <v>1334508</v>
      </c>
      <c r="AD17" s="63">
        <f t="shared" si="2"/>
        <v>1391008.32</v>
      </c>
      <c r="AE17" s="63">
        <f t="shared" si="3"/>
        <v>1279032.96</v>
      </c>
      <c r="AF17" s="221">
        <f t="shared" si="4"/>
        <v>2182</v>
      </c>
      <c r="AG17" s="222">
        <f t="shared" si="5"/>
        <v>0.0016377373105381115</v>
      </c>
    </row>
    <row r="18" spans="1:33" ht="14.25">
      <c r="A18" s="51" t="s">
        <v>104</v>
      </c>
      <c r="E18" s="52">
        <v>0</v>
      </c>
      <c r="F18" s="53">
        <v>0</v>
      </c>
      <c r="G18" s="54">
        <v>0</v>
      </c>
      <c r="H18" s="55"/>
      <c r="I18" s="55"/>
      <c r="J18" s="52">
        <v>0</v>
      </c>
      <c r="K18" s="53">
        <v>0</v>
      </c>
      <c r="L18" s="56">
        <v>0</v>
      </c>
      <c r="M18" s="57"/>
      <c r="N18" s="55">
        <v>0</v>
      </c>
      <c r="O18" s="52">
        <v>0</v>
      </c>
      <c r="P18" s="53">
        <v>0</v>
      </c>
      <c r="Q18" s="54">
        <v>0</v>
      </c>
      <c r="R18" s="58">
        <f t="shared" si="6"/>
        <v>0</v>
      </c>
      <c r="S18" s="59">
        <f t="shared" si="6"/>
        <v>0</v>
      </c>
      <c r="T18" s="54">
        <f t="shared" si="7"/>
        <v>0</v>
      </c>
      <c r="U18" s="52">
        <v>0</v>
      </c>
      <c r="V18" s="60">
        <v>0</v>
      </c>
      <c r="W18" s="54">
        <v>0</v>
      </c>
      <c r="X18" s="61">
        <v>0</v>
      </c>
      <c r="Y18" s="60">
        <v>0</v>
      </c>
      <c r="Z18" s="54">
        <v>0</v>
      </c>
      <c r="AA18" s="52">
        <f t="shared" si="1"/>
        <v>0</v>
      </c>
      <c r="AB18" s="53">
        <f t="shared" si="1"/>
        <v>0</v>
      </c>
      <c r="AC18" s="68">
        <f t="shared" si="1"/>
        <v>0</v>
      </c>
      <c r="AD18" s="63">
        <f t="shared" si="2"/>
        <v>0</v>
      </c>
      <c r="AE18" s="63">
        <f t="shared" si="3"/>
        <v>0</v>
      </c>
      <c r="AF18" s="221">
        <f t="shared" si="4"/>
        <v>0</v>
      </c>
      <c r="AG18" s="222" t="e">
        <f t="shared" si="5"/>
        <v>#DIV/0!</v>
      </c>
    </row>
    <row r="19" spans="1:33" ht="14.25">
      <c r="A19" s="11" t="s">
        <v>184</v>
      </c>
      <c r="E19" s="52">
        <v>19</v>
      </c>
      <c r="F19" s="53">
        <v>16</v>
      </c>
      <c r="G19" s="54">
        <v>88851</v>
      </c>
      <c r="H19" s="55"/>
      <c r="I19" s="55"/>
      <c r="J19" s="52">
        <v>19</v>
      </c>
      <c r="K19" s="53">
        <v>19</v>
      </c>
      <c r="L19" s="56">
        <v>89217</v>
      </c>
      <c r="M19" s="57"/>
      <c r="N19" s="55">
        <v>0</v>
      </c>
      <c r="O19" s="52">
        <v>0</v>
      </c>
      <c r="P19" s="53">
        <v>0</v>
      </c>
      <c r="Q19" s="54">
        <v>170</v>
      </c>
      <c r="R19" s="58">
        <f t="shared" si="6"/>
        <v>19</v>
      </c>
      <c r="S19" s="59">
        <f t="shared" si="6"/>
        <v>19</v>
      </c>
      <c r="T19" s="54">
        <f t="shared" si="7"/>
        <v>89387</v>
      </c>
      <c r="U19" s="52">
        <v>0</v>
      </c>
      <c r="V19" s="60">
        <v>0</v>
      </c>
      <c r="W19" s="54">
        <v>0</v>
      </c>
      <c r="X19" s="61">
        <v>0</v>
      </c>
      <c r="Y19" s="60">
        <v>0</v>
      </c>
      <c r="Z19" s="54">
        <v>0</v>
      </c>
      <c r="AA19" s="52">
        <f t="shared" si="1"/>
        <v>19</v>
      </c>
      <c r="AB19" s="53">
        <f t="shared" si="1"/>
        <v>19</v>
      </c>
      <c r="AC19" s="68">
        <f t="shared" si="1"/>
        <v>89387</v>
      </c>
      <c r="AD19" s="63">
        <f t="shared" si="2"/>
        <v>92962.48</v>
      </c>
      <c r="AE19" s="63">
        <f t="shared" si="3"/>
        <v>85648.31999999999</v>
      </c>
      <c r="AF19" s="221">
        <f t="shared" si="4"/>
        <v>170</v>
      </c>
      <c r="AG19" s="222">
        <f t="shared" si="5"/>
        <v>0.001905466446977594</v>
      </c>
    </row>
    <row r="20" spans="1:33" ht="14.25">
      <c r="A20" s="43" t="s">
        <v>22</v>
      </c>
      <c r="B20" s="43"/>
      <c r="C20" s="43"/>
      <c r="D20" s="50"/>
      <c r="E20" s="69">
        <f>SUM(E21:E22)</f>
        <v>0</v>
      </c>
      <c r="F20" s="70">
        <f>SUM(F21:F22)</f>
        <v>0</v>
      </c>
      <c r="G20" s="71">
        <f>SUM(G21:G22)</f>
        <v>0</v>
      </c>
      <c r="H20" s="72"/>
      <c r="I20" s="72">
        <f>SUM(I21:I22)</f>
        <v>0</v>
      </c>
      <c r="J20" s="69">
        <f>SUM(J21:J22)</f>
        <v>0</v>
      </c>
      <c r="K20" s="70">
        <f>SUM(K21:K22)</f>
        <v>0</v>
      </c>
      <c r="L20" s="73">
        <f>+L21+L22</f>
        <v>0</v>
      </c>
      <c r="M20" s="72"/>
      <c r="N20" s="72">
        <f>SUM(N21:N22)</f>
        <v>0</v>
      </c>
      <c r="O20" s="69">
        <v>0</v>
      </c>
      <c r="P20" s="70">
        <v>0</v>
      </c>
      <c r="Q20" s="71">
        <v>0</v>
      </c>
      <c r="R20" s="69"/>
      <c r="S20" s="70"/>
      <c r="T20" s="71">
        <f>+T21+T22</f>
        <v>0</v>
      </c>
      <c r="U20" s="74">
        <f aca="true" t="shared" si="8" ref="U20:AC20">SUM(U21:U22)</f>
        <v>0</v>
      </c>
      <c r="V20" s="70">
        <f t="shared" si="8"/>
        <v>0</v>
      </c>
      <c r="W20" s="71">
        <f t="shared" si="8"/>
        <v>0</v>
      </c>
      <c r="X20" s="69">
        <f t="shared" si="8"/>
        <v>0</v>
      </c>
      <c r="Y20" s="70">
        <f t="shared" si="8"/>
        <v>0</v>
      </c>
      <c r="Z20" s="71">
        <f t="shared" si="8"/>
        <v>0</v>
      </c>
      <c r="AA20" s="69">
        <f t="shared" si="8"/>
        <v>0</v>
      </c>
      <c r="AB20" s="70">
        <f t="shared" si="8"/>
        <v>0</v>
      </c>
      <c r="AC20" s="72">
        <f t="shared" si="8"/>
        <v>0</v>
      </c>
      <c r="AD20" s="75"/>
      <c r="AE20" s="75"/>
      <c r="AF20" s="221">
        <f t="shared" si="4"/>
        <v>0</v>
      </c>
      <c r="AG20" s="222" t="e">
        <f t="shared" si="5"/>
        <v>#DIV/0!</v>
      </c>
    </row>
    <row r="21" spans="1:33" ht="14.25">
      <c r="A21" s="96" t="s">
        <v>206</v>
      </c>
      <c r="B21" s="96"/>
      <c r="C21" s="96"/>
      <c r="D21" s="216"/>
      <c r="E21" s="217">
        <v>0</v>
      </c>
      <c r="F21" s="218">
        <v>0</v>
      </c>
      <c r="G21" s="62">
        <v>0</v>
      </c>
      <c r="H21" s="219"/>
      <c r="I21" s="219"/>
      <c r="J21" s="217">
        <v>0</v>
      </c>
      <c r="K21" s="218">
        <v>0</v>
      </c>
      <c r="L21" s="220">
        <v>0</v>
      </c>
      <c r="M21" s="68"/>
      <c r="N21" s="219">
        <v>0</v>
      </c>
      <c r="O21" s="52">
        <v>0</v>
      </c>
      <c r="P21" s="53">
        <v>0</v>
      </c>
      <c r="Q21" s="54">
        <v>0</v>
      </c>
      <c r="R21" s="58"/>
      <c r="S21" s="59"/>
      <c r="T21" s="54">
        <f>+L21+Q21+N21</f>
        <v>0</v>
      </c>
      <c r="U21" s="65"/>
      <c r="V21" s="60"/>
      <c r="W21" s="54"/>
      <c r="X21" s="61"/>
      <c r="Y21" s="60"/>
      <c r="Z21" s="54"/>
      <c r="AA21" s="52">
        <f aca="true" t="shared" si="9" ref="AA21:AC22">+X21+U21+R21</f>
        <v>0</v>
      </c>
      <c r="AB21" s="53">
        <f t="shared" si="9"/>
        <v>0</v>
      </c>
      <c r="AC21" s="57">
        <f t="shared" si="9"/>
        <v>0</v>
      </c>
      <c r="AD21" s="42"/>
      <c r="AE21" s="42"/>
      <c r="AF21" s="221">
        <f t="shared" si="4"/>
        <v>0</v>
      </c>
      <c r="AG21" s="222" t="e">
        <f t="shared" si="5"/>
        <v>#DIV/0!</v>
      </c>
    </row>
    <row r="22" spans="1:33" ht="14.25">
      <c r="A22" s="76" t="s">
        <v>106</v>
      </c>
      <c r="B22" s="76"/>
      <c r="C22" s="76"/>
      <c r="D22" s="76"/>
      <c r="E22" s="52">
        <v>0</v>
      </c>
      <c r="F22" s="53">
        <v>0</v>
      </c>
      <c r="G22" s="54">
        <v>0</v>
      </c>
      <c r="H22" s="55"/>
      <c r="I22" s="55"/>
      <c r="J22" s="52">
        <v>0</v>
      </c>
      <c r="K22" s="53">
        <v>0</v>
      </c>
      <c r="L22" s="56">
        <f>SUM(G22+H22)</f>
        <v>0</v>
      </c>
      <c r="M22" s="57"/>
      <c r="N22" s="55"/>
      <c r="O22" s="52">
        <v>0</v>
      </c>
      <c r="P22" s="53">
        <v>0</v>
      </c>
      <c r="Q22" s="54">
        <v>0</v>
      </c>
      <c r="R22" s="58"/>
      <c r="S22" s="59"/>
      <c r="T22" s="54"/>
      <c r="U22" s="65"/>
      <c r="V22" s="60"/>
      <c r="W22" s="54"/>
      <c r="X22" s="61"/>
      <c r="Y22" s="60"/>
      <c r="Z22" s="54"/>
      <c r="AA22" s="52">
        <f t="shared" si="9"/>
        <v>0</v>
      </c>
      <c r="AB22" s="53">
        <f t="shared" si="9"/>
        <v>0</v>
      </c>
      <c r="AC22" s="57">
        <f t="shared" si="9"/>
        <v>0</v>
      </c>
      <c r="AD22" s="42"/>
      <c r="AE22" s="42"/>
      <c r="AF22" s="221">
        <f t="shared" si="4"/>
        <v>0</v>
      </c>
      <c r="AG22" s="222" t="s">
        <v>198</v>
      </c>
    </row>
    <row r="23" spans="1:33" ht="14.25">
      <c r="A23" s="43" t="s">
        <v>35</v>
      </c>
      <c r="B23" s="43"/>
      <c r="C23" s="43"/>
      <c r="D23" s="43"/>
      <c r="E23" s="77">
        <f>SUM(E24:E25)</f>
        <v>1306</v>
      </c>
      <c r="F23" s="78">
        <f>SUM(F24:F25)</f>
        <v>1344</v>
      </c>
      <c r="G23" s="79">
        <f>SUM(G24:G25)</f>
        <v>212930</v>
      </c>
      <c r="H23" s="72"/>
      <c r="I23" s="72">
        <f>SUM(I24:I25)</f>
        <v>0</v>
      </c>
      <c r="J23" s="77">
        <v>1401</v>
      </c>
      <c r="K23" s="78">
        <v>1379</v>
      </c>
      <c r="L23" s="80">
        <v>229212</v>
      </c>
      <c r="M23" s="72">
        <v>0</v>
      </c>
      <c r="N23" s="72">
        <v>0</v>
      </c>
      <c r="O23" s="77">
        <v>0</v>
      </c>
      <c r="P23" s="81">
        <v>60</v>
      </c>
      <c r="Q23" s="82">
        <f>9397+74+2000</f>
        <v>11471</v>
      </c>
      <c r="R23" s="77">
        <v>1401</v>
      </c>
      <c r="S23" s="81">
        <v>1439</v>
      </c>
      <c r="T23" s="82">
        <f>+L23+N23+Q23</f>
        <v>240683</v>
      </c>
      <c r="U23" s="78">
        <v>120</v>
      </c>
      <c r="V23" s="83">
        <v>120</v>
      </c>
      <c r="W23" s="82">
        <v>12000</v>
      </c>
      <c r="X23" s="84">
        <v>0</v>
      </c>
      <c r="Y23" s="83">
        <v>0</v>
      </c>
      <c r="Z23" s="82">
        <v>-4000</v>
      </c>
      <c r="AA23" s="77">
        <v>1521</v>
      </c>
      <c r="AB23" s="81">
        <v>1559</v>
      </c>
      <c r="AC23" s="79">
        <f>+T23+W23+Z23</f>
        <v>248683</v>
      </c>
      <c r="AD23" s="85">
        <f>SUM(AD24:AD25)</f>
        <v>0</v>
      </c>
      <c r="AE23" s="85">
        <f>SUM(AE24:AE25)</f>
        <v>0</v>
      </c>
      <c r="AF23" s="221">
        <f t="shared" si="4"/>
        <v>19471</v>
      </c>
      <c r="AG23" s="222">
        <f t="shared" si="5"/>
        <v>0.08494755946460046</v>
      </c>
    </row>
    <row r="24" spans="1:33" ht="14.25" hidden="1">
      <c r="A24" s="51" t="s">
        <v>130</v>
      </c>
      <c r="E24" s="52">
        <v>1291</v>
      </c>
      <c r="F24" s="53">
        <v>1329</v>
      </c>
      <c r="G24" s="54">
        <v>210721</v>
      </c>
      <c r="H24" s="55"/>
      <c r="I24" s="55"/>
      <c r="J24" s="52"/>
      <c r="K24" s="53"/>
      <c r="L24" s="56"/>
      <c r="M24" s="57"/>
      <c r="N24" s="55"/>
      <c r="O24" s="52"/>
      <c r="P24" s="53"/>
      <c r="Q24" s="54"/>
      <c r="R24" s="58"/>
      <c r="S24" s="59"/>
      <c r="T24" s="54"/>
      <c r="U24" s="65"/>
      <c r="V24" s="60"/>
      <c r="W24" s="54"/>
      <c r="X24" s="61"/>
      <c r="Y24" s="60"/>
      <c r="Z24" s="54"/>
      <c r="AA24" s="52"/>
      <c r="AB24" s="53"/>
      <c r="AC24" s="68"/>
      <c r="AD24" s="63"/>
      <c r="AE24" s="63"/>
      <c r="AF24" s="221">
        <f t="shared" si="4"/>
        <v>0</v>
      </c>
      <c r="AG24" s="222" t="e">
        <f t="shared" si="5"/>
        <v>#DIV/0!</v>
      </c>
    </row>
    <row r="25" spans="1:33" ht="14.25" hidden="1">
      <c r="A25" s="51" t="s">
        <v>131</v>
      </c>
      <c r="E25" s="52">
        <v>15</v>
      </c>
      <c r="F25" s="53">
        <v>15</v>
      </c>
      <c r="G25" s="54">
        <v>2209</v>
      </c>
      <c r="H25" s="55"/>
      <c r="I25" s="55"/>
      <c r="J25" s="52"/>
      <c r="K25" s="53"/>
      <c r="L25" s="56"/>
      <c r="M25" s="57"/>
      <c r="N25" s="55"/>
      <c r="O25" s="52"/>
      <c r="P25" s="53"/>
      <c r="Q25" s="54"/>
      <c r="R25" s="58"/>
      <c r="S25" s="59"/>
      <c r="T25" s="54"/>
      <c r="U25" s="65"/>
      <c r="V25" s="60"/>
      <c r="W25" s="54"/>
      <c r="X25" s="61"/>
      <c r="Y25" s="60"/>
      <c r="Z25" s="54"/>
      <c r="AA25" s="52"/>
      <c r="AB25" s="53"/>
      <c r="AC25" s="68"/>
      <c r="AD25" s="63"/>
      <c r="AE25" s="63"/>
      <c r="AF25" s="221">
        <f t="shared" si="4"/>
        <v>0</v>
      </c>
      <c r="AG25" s="222" t="e">
        <f t="shared" si="5"/>
        <v>#DIV/0!</v>
      </c>
    </row>
    <row r="26" spans="1:33" ht="14.25">
      <c r="A26" s="11" t="s">
        <v>132</v>
      </c>
      <c r="E26" s="52">
        <v>453</v>
      </c>
      <c r="F26" s="53">
        <v>453</v>
      </c>
      <c r="G26" s="54">
        <v>67922</v>
      </c>
      <c r="H26" s="55"/>
      <c r="I26" s="55"/>
      <c r="J26" s="52">
        <f>453-4</f>
        <v>449</v>
      </c>
      <c r="K26" s="53">
        <v>459</v>
      </c>
      <c r="L26" s="56">
        <v>70558</v>
      </c>
      <c r="M26" s="57"/>
      <c r="N26" s="55">
        <v>0</v>
      </c>
      <c r="O26" s="52">
        <v>0</v>
      </c>
      <c r="P26" s="53">
        <v>1</v>
      </c>
      <c r="Q26" s="54">
        <v>2852</v>
      </c>
      <c r="R26" s="58">
        <f>+J26+O26</f>
        <v>449</v>
      </c>
      <c r="S26" s="59">
        <f>+K26+P26</f>
        <v>460</v>
      </c>
      <c r="T26" s="54">
        <f>+L26+Q26+N26</f>
        <v>73410</v>
      </c>
      <c r="U26" s="65">
        <v>5</v>
      </c>
      <c r="V26" s="60">
        <v>3</v>
      </c>
      <c r="W26" s="54">
        <v>460</v>
      </c>
      <c r="X26" s="61">
        <v>0</v>
      </c>
      <c r="Y26" s="60">
        <v>0</v>
      </c>
      <c r="Z26" s="54">
        <v>0</v>
      </c>
      <c r="AA26" s="52">
        <f>+X26+U26+R26</f>
        <v>454</v>
      </c>
      <c r="AB26" s="53">
        <f>+Y26+V26+S26</f>
        <v>463</v>
      </c>
      <c r="AC26" s="68">
        <f>+Z26+W26+T26</f>
        <v>73870</v>
      </c>
      <c r="AD26" s="63">
        <f>+T26*(1+$AD$11)</f>
        <v>76346.40000000001</v>
      </c>
      <c r="AE26" s="63">
        <f>+L26*$AE$11</f>
        <v>67735.68</v>
      </c>
      <c r="AF26" s="221">
        <f t="shared" si="4"/>
        <v>3312</v>
      </c>
      <c r="AG26" s="222">
        <f t="shared" si="5"/>
        <v>0.04694010601207517</v>
      </c>
    </row>
    <row r="27" spans="1:33" ht="14.25">
      <c r="A27" s="43" t="s">
        <v>73</v>
      </c>
      <c r="B27" s="43"/>
      <c r="C27" s="43"/>
      <c r="D27" s="43"/>
      <c r="E27" s="69" t="s">
        <v>30</v>
      </c>
      <c r="F27" s="81">
        <f>SUM(F28)</f>
        <v>723</v>
      </c>
      <c r="G27" s="82">
        <f>SUM(G28)</f>
        <v>0</v>
      </c>
      <c r="H27" s="72"/>
      <c r="I27" s="72">
        <f>SUM(I28:I30)</f>
        <v>0</v>
      </c>
      <c r="J27" s="69" t="s">
        <v>30</v>
      </c>
      <c r="K27" s="81">
        <f>SUM(K28)</f>
        <v>723</v>
      </c>
      <c r="L27" s="86">
        <f>SUM(L28)</f>
        <v>0</v>
      </c>
      <c r="M27" s="72">
        <f aca="true" t="shared" si="10" ref="M27:Z27">SUM(M28:M30)</f>
        <v>0</v>
      </c>
      <c r="N27" s="72">
        <f t="shared" si="10"/>
        <v>0</v>
      </c>
      <c r="O27" s="77">
        <f t="shared" si="10"/>
        <v>0</v>
      </c>
      <c r="P27" s="81">
        <f t="shared" si="10"/>
        <v>0</v>
      </c>
      <c r="Q27" s="82">
        <f t="shared" si="10"/>
        <v>0</v>
      </c>
      <c r="R27" s="69" t="s">
        <v>30</v>
      </c>
      <c r="S27" s="81">
        <f t="shared" si="10"/>
        <v>723</v>
      </c>
      <c r="T27" s="82">
        <f t="shared" si="10"/>
        <v>0</v>
      </c>
      <c r="U27" s="78">
        <f t="shared" si="10"/>
        <v>0</v>
      </c>
      <c r="V27" s="83">
        <f t="shared" si="10"/>
        <v>0</v>
      </c>
      <c r="W27" s="82">
        <f t="shared" si="10"/>
        <v>0</v>
      </c>
      <c r="X27" s="84">
        <f t="shared" si="10"/>
        <v>0</v>
      </c>
      <c r="Y27" s="83">
        <f t="shared" si="10"/>
        <v>0</v>
      </c>
      <c r="Z27" s="82">
        <f t="shared" si="10"/>
        <v>0</v>
      </c>
      <c r="AA27" s="69" t="s">
        <v>30</v>
      </c>
      <c r="AB27" s="81">
        <f>SUM(AB28:AB30)</f>
        <v>723</v>
      </c>
      <c r="AC27" s="79">
        <f>SUM(AC28:AC30)</f>
        <v>0</v>
      </c>
      <c r="AD27" s="85">
        <f>SUM(AD28:AD30)</f>
        <v>0</v>
      </c>
      <c r="AE27" s="85">
        <f>SUM(AE28:AE30)</f>
        <v>0</v>
      </c>
      <c r="AF27" s="221">
        <f t="shared" si="4"/>
        <v>0</v>
      </c>
      <c r="AG27" s="222" t="s">
        <v>198</v>
      </c>
    </row>
    <row r="28" spans="1:33" ht="14.25">
      <c r="A28" s="51" t="s">
        <v>133</v>
      </c>
      <c r="E28" s="58" t="s">
        <v>30</v>
      </c>
      <c r="F28" s="53">
        <v>723</v>
      </c>
      <c r="G28" s="54">
        <v>0</v>
      </c>
      <c r="H28" s="55"/>
      <c r="I28" s="55"/>
      <c r="J28" s="58" t="s">
        <v>30</v>
      </c>
      <c r="K28" s="53">
        <v>723</v>
      </c>
      <c r="L28" s="56">
        <v>0</v>
      </c>
      <c r="M28" s="57"/>
      <c r="N28" s="55">
        <v>0</v>
      </c>
      <c r="O28" s="52">
        <v>0</v>
      </c>
      <c r="P28" s="53">
        <v>0</v>
      </c>
      <c r="Q28" s="54">
        <v>0</v>
      </c>
      <c r="R28" s="58" t="str">
        <f>+J28</f>
        <v>[723]</v>
      </c>
      <c r="S28" s="59">
        <f>+K28+P28</f>
        <v>723</v>
      </c>
      <c r="T28" s="54">
        <f>+L28+Q28+N28</f>
        <v>0</v>
      </c>
      <c r="U28" s="65">
        <v>0</v>
      </c>
      <c r="V28" s="60">
        <v>0</v>
      </c>
      <c r="W28" s="54">
        <v>0</v>
      </c>
      <c r="X28" s="61">
        <v>0</v>
      </c>
      <c r="Y28" s="60">
        <v>0</v>
      </c>
      <c r="Z28" s="54">
        <v>0</v>
      </c>
      <c r="AA28" s="58" t="s">
        <v>30</v>
      </c>
      <c r="AB28" s="53">
        <f aca="true" t="shared" si="11" ref="AB28:AC32">+Y28+V28+S28</f>
        <v>723</v>
      </c>
      <c r="AC28" s="68">
        <f t="shared" si="11"/>
        <v>0</v>
      </c>
      <c r="AD28" s="63">
        <f>+T28*(1+$AD$11)</f>
        <v>0</v>
      </c>
      <c r="AE28" s="63">
        <f>+L28*$AE$11</f>
        <v>0</v>
      </c>
      <c r="AF28" s="221">
        <f t="shared" si="4"/>
        <v>0</v>
      </c>
      <c r="AG28" s="222" t="s">
        <v>198</v>
      </c>
    </row>
    <row r="29" spans="1:33" ht="14.25">
      <c r="A29" s="76" t="s">
        <v>107</v>
      </c>
      <c r="B29" s="76"/>
      <c r="C29" s="76"/>
      <c r="D29" s="76"/>
      <c r="E29" s="52"/>
      <c r="F29" s="53"/>
      <c r="G29" s="54">
        <v>0</v>
      </c>
      <c r="H29" s="55"/>
      <c r="I29" s="55"/>
      <c r="J29" s="52">
        <v>0</v>
      </c>
      <c r="K29" s="65">
        <v>0</v>
      </c>
      <c r="L29" s="56">
        <v>0</v>
      </c>
      <c r="M29" s="57"/>
      <c r="N29" s="55">
        <v>0</v>
      </c>
      <c r="O29" s="52">
        <v>0</v>
      </c>
      <c r="P29" s="53">
        <v>0</v>
      </c>
      <c r="Q29" s="54">
        <v>0</v>
      </c>
      <c r="R29" s="58">
        <f>+J29+O29</f>
        <v>0</v>
      </c>
      <c r="S29" s="59">
        <f>+K29+P29</f>
        <v>0</v>
      </c>
      <c r="T29" s="54">
        <f>+L29+Q29+N29</f>
        <v>0</v>
      </c>
      <c r="U29" s="65">
        <v>0</v>
      </c>
      <c r="V29" s="60">
        <v>0</v>
      </c>
      <c r="W29" s="54">
        <v>0</v>
      </c>
      <c r="X29" s="61">
        <v>0</v>
      </c>
      <c r="Y29" s="60">
        <v>0</v>
      </c>
      <c r="Z29" s="54">
        <v>0</v>
      </c>
      <c r="AA29" s="52">
        <f>+X29+U29+R29</f>
        <v>0</v>
      </c>
      <c r="AB29" s="53">
        <f t="shared" si="11"/>
        <v>0</v>
      </c>
      <c r="AC29" s="68">
        <f t="shared" si="11"/>
        <v>0</v>
      </c>
      <c r="AD29" s="63">
        <f>+T29*(1+$AD$11)</f>
        <v>0</v>
      </c>
      <c r="AE29" s="63">
        <f>+L29*$AE$11</f>
        <v>0</v>
      </c>
      <c r="AF29" s="221">
        <f t="shared" si="4"/>
        <v>0</v>
      </c>
      <c r="AG29" s="222" t="s">
        <v>198</v>
      </c>
    </row>
    <row r="30" spans="1:33" ht="14.25">
      <c r="A30" s="76" t="s">
        <v>108</v>
      </c>
      <c r="B30" s="76"/>
      <c r="C30" s="76"/>
      <c r="D30" s="76"/>
      <c r="E30" s="52"/>
      <c r="F30" s="53"/>
      <c r="G30" s="54">
        <v>0</v>
      </c>
      <c r="H30" s="55"/>
      <c r="I30" s="55"/>
      <c r="J30" s="52">
        <v>0</v>
      </c>
      <c r="K30" s="53">
        <v>0</v>
      </c>
      <c r="L30" s="56">
        <v>0</v>
      </c>
      <c r="M30" s="57"/>
      <c r="N30" s="55">
        <v>0</v>
      </c>
      <c r="O30" s="52">
        <v>0</v>
      </c>
      <c r="P30" s="53">
        <v>0</v>
      </c>
      <c r="Q30" s="54">
        <v>0</v>
      </c>
      <c r="R30" s="58">
        <f>+J30+O30</f>
        <v>0</v>
      </c>
      <c r="S30" s="59">
        <f>+K30+P30</f>
        <v>0</v>
      </c>
      <c r="T30" s="54">
        <f>+L30+Q30+N30</f>
        <v>0</v>
      </c>
      <c r="U30" s="65">
        <v>0</v>
      </c>
      <c r="V30" s="60">
        <v>0</v>
      </c>
      <c r="W30" s="54">
        <v>0</v>
      </c>
      <c r="X30" s="61">
        <v>0</v>
      </c>
      <c r="Y30" s="60">
        <v>0</v>
      </c>
      <c r="Z30" s="54">
        <v>0</v>
      </c>
      <c r="AA30" s="52">
        <f>+X30+U30+R30</f>
        <v>0</v>
      </c>
      <c r="AB30" s="53">
        <f t="shared" si="11"/>
        <v>0</v>
      </c>
      <c r="AC30" s="68">
        <f t="shared" si="11"/>
        <v>0</v>
      </c>
      <c r="AD30" s="63">
        <f>+T30*(1+$AD$11)</f>
        <v>0</v>
      </c>
      <c r="AE30" s="63">
        <f>+L30*$AE$11</f>
        <v>0</v>
      </c>
      <c r="AF30" s="221">
        <f t="shared" si="4"/>
        <v>0</v>
      </c>
      <c r="AG30" s="222" t="s">
        <v>198</v>
      </c>
    </row>
    <row r="31" spans="1:33" ht="14.25">
      <c r="A31" s="11" t="s">
        <v>39</v>
      </c>
      <c r="E31" s="52">
        <v>93</v>
      </c>
      <c r="F31" s="53">
        <v>96</v>
      </c>
      <c r="G31" s="54">
        <v>10859</v>
      </c>
      <c r="H31" s="55"/>
      <c r="I31" s="55"/>
      <c r="J31" s="52">
        <v>96</v>
      </c>
      <c r="K31" s="53">
        <v>98</v>
      </c>
      <c r="L31" s="56">
        <v>11951</v>
      </c>
      <c r="M31" s="57"/>
      <c r="N31" s="55">
        <v>0</v>
      </c>
      <c r="O31" s="52">
        <v>0</v>
      </c>
      <c r="P31" s="53">
        <v>2</v>
      </c>
      <c r="Q31" s="54">
        <v>760</v>
      </c>
      <c r="R31" s="58">
        <f>+J31+O31</f>
        <v>96</v>
      </c>
      <c r="S31" s="59">
        <f>+K31+P31</f>
        <v>100</v>
      </c>
      <c r="T31" s="54">
        <f>+L31+Q31+N31</f>
        <v>12711</v>
      </c>
      <c r="U31" s="65">
        <v>4</v>
      </c>
      <c r="V31" s="60">
        <v>2</v>
      </c>
      <c r="W31" s="54">
        <v>0</v>
      </c>
      <c r="X31" s="94">
        <v>0</v>
      </c>
      <c r="Y31" s="60">
        <v>0</v>
      </c>
      <c r="Z31" s="54">
        <v>0</v>
      </c>
      <c r="AA31" s="52">
        <f>+X31+U31+R31</f>
        <v>100</v>
      </c>
      <c r="AB31" s="53">
        <f t="shared" si="11"/>
        <v>102</v>
      </c>
      <c r="AC31" s="68">
        <f t="shared" si="11"/>
        <v>12711</v>
      </c>
      <c r="AD31" s="63">
        <f>+T31*(1+$AD$11)</f>
        <v>13219.44</v>
      </c>
      <c r="AE31" s="63">
        <f>+L31*$AE$11</f>
        <v>11472.96</v>
      </c>
      <c r="AF31" s="221">
        <f t="shared" si="4"/>
        <v>760</v>
      </c>
      <c r="AG31" s="222">
        <f t="shared" si="5"/>
        <v>0.06359300476947535</v>
      </c>
    </row>
    <row r="32" spans="1:33" ht="14.25">
      <c r="A32" s="88" t="s">
        <v>148</v>
      </c>
      <c r="E32" s="58" t="s">
        <v>169</v>
      </c>
      <c r="F32" s="59" t="s">
        <v>170</v>
      </c>
      <c r="G32" s="67" t="s">
        <v>171</v>
      </c>
      <c r="H32" s="55"/>
      <c r="I32" s="55"/>
      <c r="J32" s="58">
        <v>294</v>
      </c>
      <c r="K32" s="59">
        <v>272</v>
      </c>
      <c r="L32" s="89">
        <v>66970</v>
      </c>
      <c r="M32" s="57"/>
      <c r="N32" s="55">
        <v>0</v>
      </c>
      <c r="O32" s="52">
        <v>0</v>
      </c>
      <c r="P32" s="53">
        <v>22</v>
      </c>
      <c r="Q32" s="62">
        <v>6217</v>
      </c>
      <c r="R32" s="90">
        <f>+J32+O32</f>
        <v>294</v>
      </c>
      <c r="S32" s="91">
        <f>+K32+P32</f>
        <v>294</v>
      </c>
      <c r="T32" s="54">
        <f>+L32+Q32+N32</f>
        <v>73187</v>
      </c>
      <c r="U32" s="92">
        <v>48</v>
      </c>
      <c r="V32" s="93">
        <v>25</v>
      </c>
      <c r="W32" s="62">
        <v>5100</v>
      </c>
      <c r="X32" s="94">
        <v>0</v>
      </c>
      <c r="Y32" s="93">
        <v>0</v>
      </c>
      <c r="Z32" s="62">
        <v>0</v>
      </c>
      <c r="AA32" s="52">
        <f>+X32+U32+R32</f>
        <v>342</v>
      </c>
      <c r="AB32" s="53">
        <f t="shared" si="11"/>
        <v>319</v>
      </c>
      <c r="AC32" s="68">
        <f t="shared" si="11"/>
        <v>78287</v>
      </c>
      <c r="AD32" s="63">
        <f>+T32*(1+$AD$11)</f>
        <v>76114.48</v>
      </c>
      <c r="AE32" s="63">
        <f>+L32*$AE$11</f>
        <v>64291.2</v>
      </c>
      <c r="AF32" s="221">
        <f t="shared" si="4"/>
        <v>11317</v>
      </c>
      <c r="AG32" s="222">
        <f t="shared" si="5"/>
        <v>0.16898611318500822</v>
      </c>
    </row>
    <row r="33" spans="1:33" ht="14.25">
      <c r="A33" s="43" t="s">
        <v>40</v>
      </c>
      <c r="B33" s="43"/>
      <c r="C33" s="43"/>
      <c r="D33" s="43"/>
      <c r="E33" s="77">
        <f>SUM(E34:E42)</f>
        <v>3810</v>
      </c>
      <c r="F33" s="81">
        <f>SUM(F34:F42)</f>
        <v>4167</v>
      </c>
      <c r="G33" s="82">
        <f>SUM(G34:G42)</f>
        <v>653506</v>
      </c>
      <c r="H33" s="72"/>
      <c r="I33" s="72">
        <f>SUM(I34:I42)</f>
        <v>0</v>
      </c>
      <c r="J33" s="86">
        <f>SUM(J34:J42)</f>
        <v>3869</v>
      </c>
      <c r="K33" s="86">
        <f>SUM(K34:K42)</f>
        <v>4188</v>
      </c>
      <c r="L33" s="86">
        <f>SUM(L34:L42)</f>
        <v>684325</v>
      </c>
      <c r="M33" s="72">
        <v>0</v>
      </c>
      <c r="N33" s="72">
        <f aca="true" t="shared" si="12" ref="N33:AC33">SUM(N34:N42)</f>
        <v>0</v>
      </c>
      <c r="O33" s="77">
        <f t="shared" si="12"/>
        <v>0</v>
      </c>
      <c r="P33" s="81">
        <f t="shared" si="12"/>
        <v>81</v>
      </c>
      <c r="Q33" s="82">
        <f t="shared" si="12"/>
        <v>42455</v>
      </c>
      <c r="R33" s="77">
        <f t="shared" si="12"/>
        <v>3869</v>
      </c>
      <c r="S33" s="81">
        <f t="shared" si="12"/>
        <v>4269</v>
      </c>
      <c r="T33" s="82">
        <f t="shared" si="12"/>
        <v>726780</v>
      </c>
      <c r="U33" s="78">
        <f t="shared" si="12"/>
        <v>108</v>
      </c>
      <c r="V33" s="83">
        <f t="shared" si="12"/>
        <v>56</v>
      </c>
      <c r="W33" s="82">
        <f t="shared" si="12"/>
        <v>9500</v>
      </c>
      <c r="X33" s="84">
        <f t="shared" si="12"/>
        <v>0</v>
      </c>
      <c r="Y33" s="83">
        <f t="shared" si="12"/>
        <v>0</v>
      </c>
      <c r="Z33" s="82">
        <f t="shared" si="12"/>
        <v>0</v>
      </c>
      <c r="AA33" s="77">
        <f t="shared" si="12"/>
        <v>3977</v>
      </c>
      <c r="AB33" s="81">
        <f t="shared" si="12"/>
        <v>4325</v>
      </c>
      <c r="AC33" s="79">
        <f t="shared" si="12"/>
        <v>736280</v>
      </c>
      <c r="AD33" s="95">
        <f>SUM(AD34:AD42)+1</f>
        <v>1</v>
      </c>
      <c r="AE33" s="95">
        <f>SUM(AE34:AE42)+1</f>
        <v>1</v>
      </c>
      <c r="AF33" s="221">
        <f t="shared" si="4"/>
        <v>51955</v>
      </c>
      <c r="AG33" s="222">
        <f t="shared" si="5"/>
        <v>0.0759215285134987</v>
      </c>
    </row>
    <row r="34" spans="1:33" ht="14.25">
      <c r="A34" s="51" t="s">
        <v>41</v>
      </c>
      <c r="E34" s="52">
        <v>48</v>
      </c>
      <c r="F34" s="53">
        <v>49</v>
      </c>
      <c r="G34" s="54">
        <v>8291</v>
      </c>
      <c r="H34" s="55"/>
      <c r="I34" s="55"/>
      <c r="J34" s="52">
        <v>48</v>
      </c>
      <c r="K34" s="53">
        <v>49</v>
      </c>
      <c r="L34" s="56">
        <v>9977</v>
      </c>
      <c r="M34" s="57"/>
      <c r="N34" s="55"/>
      <c r="O34" s="52"/>
      <c r="P34" s="53">
        <v>0</v>
      </c>
      <c r="Q34" s="54">
        <v>601</v>
      </c>
      <c r="R34" s="90">
        <f aca="true" t="shared" si="13" ref="R34:S42">+J34+O34</f>
        <v>48</v>
      </c>
      <c r="S34" s="91">
        <f t="shared" si="13"/>
        <v>49</v>
      </c>
      <c r="T34" s="54">
        <f aca="true" t="shared" si="14" ref="T34:T58">+L34+Q34+N34</f>
        <v>10578</v>
      </c>
      <c r="U34" s="65">
        <v>0</v>
      </c>
      <c r="V34" s="60">
        <v>0</v>
      </c>
      <c r="W34" s="54">
        <v>0</v>
      </c>
      <c r="X34" s="61">
        <v>0</v>
      </c>
      <c r="Y34" s="60">
        <v>0</v>
      </c>
      <c r="Z34" s="54">
        <v>0</v>
      </c>
      <c r="AA34" s="62">
        <f aca="true" t="shared" si="15" ref="AA34:AC49">+X34+U34+R34</f>
        <v>48</v>
      </c>
      <c r="AB34" s="62">
        <f>+Y34+V34+S34</f>
        <v>49</v>
      </c>
      <c r="AC34" s="62">
        <f aca="true" t="shared" si="16" ref="AC34:AC42">+Z34+W34+T34</f>
        <v>10578</v>
      </c>
      <c r="AD34" s="63"/>
      <c r="AE34" s="63"/>
      <c r="AF34" s="221">
        <f t="shared" si="4"/>
        <v>601</v>
      </c>
      <c r="AG34" s="222">
        <f t="shared" si="5"/>
        <v>0.06023854866192242</v>
      </c>
    </row>
    <row r="35" spans="1:33" ht="14.25">
      <c r="A35" s="51" t="s">
        <v>23</v>
      </c>
      <c r="E35" s="52">
        <v>566</v>
      </c>
      <c r="F35" s="53">
        <v>526</v>
      </c>
      <c r="G35" s="54">
        <v>80507</v>
      </c>
      <c r="H35" s="55"/>
      <c r="I35" s="55"/>
      <c r="J35" s="52">
        <v>595</v>
      </c>
      <c r="K35" s="53">
        <v>539</v>
      </c>
      <c r="L35" s="56">
        <v>87691</v>
      </c>
      <c r="M35" s="57"/>
      <c r="N35" s="55"/>
      <c r="O35" s="52"/>
      <c r="P35" s="53">
        <v>16</v>
      </c>
      <c r="Q35" s="54">
        <v>6370</v>
      </c>
      <c r="R35" s="90">
        <f t="shared" si="13"/>
        <v>595</v>
      </c>
      <c r="S35" s="91">
        <f t="shared" si="13"/>
        <v>555</v>
      </c>
      <c r="T35" s="54">
        <f t="shared" si="14"/>
        <v>94061</v>
      </c>
      <c r="U35" s="65">
        <v>0</v>
      </c>
      <c r="V35" s="60">
        <v>0</v>
      </c>
      <c r="W35" s="54">
        <v>0</v>
      </c>
      <c r="X35" s="61"/>
      <c r="Y35" s="60"/>
      <c r="Z35" s="54">
        <v>0</v>
      </c>
      <c r="AA35" s="62">
        <f t="shared" si="15"/>
        <v>595</v>
      </c>
      <c r="AB35" s="62">
        <f t="shared" si="15"/>
        <v>555</v>
      </c>
      <c r="AC35" s="62">
        <f t="shared" si="16"/>
        <v>94061</v>
      </c>
      <c r="AD35" s="63"/>
      <c r="AE35" s="63"/>
      <c r="AF35" s="221">
        <f t="shared" si="4"/>
        <v>6370</v>
      </c>
      <c r="AG35" s="222">
        <f t="shared" si="5"/>
        <v>0.07264143412664925</v>
      </c>
    </row>
    <row r="36" spans="1:33" ht="14.25">
      <c r="A36" s="96" t="s">
        <v>24</v>
      </c>
      <c r="E36" s="52">
        <v>818</v>
      </c>
      <c r="F36" s="53">
        <v>919</v>
      </c>
      <c r="G36" s="54">
        <v>143106</v>
      </c>
      <c r="H36" s="55"/>
      <c r="I36" s="55"/>
      <c r="J36" s="52">
        <v>746</v>
      </c>
      <c r="K36" s="53">
        <v>853</v>
      </c>
      <c r="L36" s="56">
        <v>137061</v>
      </c>
      <c r="M36" s="57"/>
      <c r="N36" s="55"/>
      <c r="O36" s="52"/>
      <c r="P36" s="53">
        <v>8</v>
      </c>
      <c r="Q36" s="62">
        <v>9646</v>
      </c>
      <c r="R36" s="90">
        <f t="shared" si="13"/>
        <v>746</v>
      </c>
      <c r="S36" s="91">
        <f t="shared" si="13"/>
        <v>861</v>
      </c>
      <c r="T36" s="54">
        <f t="shared" si="14"/>
        <v>146707</v>
      </c>
      <c r="U36" s="93">
        <v>9</v>
      </c>
      <c r="V36" s="93">
        <v>6</v>
      </c>
      <c r="W36" s="62">
        <v>918</v>
      </c>
      <c r="X36" s="94"/>
      <c r="Y36" s="93"/>
      <c r="Z36" s="62"/>
      <c r="AA36" s="62">
        <f t="shared" si="15"/>
        <v>755</v>
      </c>
      <c r="AB36" s="62">
        <f t="shared" si="15"/>
        <v>867</v>
      </c>
      <c r="AC36" s="62">
        <f t="shared" si="16"/>
        <v>147625</v>
      </c>
      <c r="AD36" s="63"/>
      <c r="AE36" s="63"/>
      <c r="AF36" s="221">
        <f t="shared" si="4"/>
        <v>10564</v>
      </c>
      <c r="AG36" s="222">
        <f t="shared" si="5"/>
        <v>0.07707517090930316</v>
      </c>
    </row>
    <row r="37" spans="1:33" ht="14.25">
      <c r="A37" s="51" t="s">
        <v>42</v>
      </c>
      <c r="E37" s="52">
        <v>1100</v>
      </c>
      <c r="F37" s="53">
        <v>1137</v>
      </c>
      <c r="G37" s="54">
        <v>192864</v>
      </c>
      <c r="H37" s="55"/>
      <c r="I37" s="55"/>
      <c r="J37" s="52">
        <v>1208</v>
      </c>
      <c r="K37" s="53">
        <v>1217</v>
      </c>
      <c r="L37" s="56">
        <v>213286</v>
      </c>
      <c r="M37" s="57"/>
      <c r="N37" s="55"/>
      <c r="O37" s="52"/>
      <c r="P37" s="53">
        <v>57</v>
      </c>
      <c r="Q37" s="54">
        <v>16005</v>
      </c>
      <c r="R37" s="90">
        <f t="shared" si="13"/>
        <v>1208</v>
      </c>
      <c r="S37" s="91">
        <f t="shared" si="13"/>
        <v>1274</v>
      </c>
      <c r="T37" s="54">
        <f t="shared" si="14"/>
        <v>229291</v>
      </c>
      <c r="U37" s="65">
        <v>99</v>
      </c>
      <c r="V37" s="60">
        <v>50</v>
      </c>
      <c r="W37" s="54">
        <v>8582</v>
      </c>
      <c r="X37" s="61"/>
      <c r="Y37" s="60"/>
      <c r="Z37" s="54"/>
      <c r="AA37" s="62">
        <f t="shared" si="15"/>
        <v>1307</v>
      </c>
      <c r="AB37" s="62">
        <f t="shared" si="15"/>
        <v>1324</v>
      </c>
      <c r="AC37" s="62">
        <f t="shared" si="16"/>
        <v>237873</v>
      </c>
      <c r="AD37" s="63"/>
      <c r="AE37" s="63"/>
      <c r="AF37" s="221">
        <f t="shared" si="4"/>
        <v>24587</v>
      </c>
      <c r="AG37" s="222">
        <f t="shared" si="5"/>
        <v>0.11527713961535216</v>
      </c>
    </row>
    <row r="38" spans="1:33" ht="14.25">
      <c r="A38" s="51" t="s">
        <v>25</v>
      </c>
      <c r="E38" s="52">
        <v>439</v>
      </c>
      <c r="F38" s="53">
        <v>677</v>
      </c>
      <c r="G38" s="54">
        <v>92774</v>
      </c>
      <c r="H38" s="55"/>
      <c r="I38" s="55"/>
      <c r="J38" s="52">
        <v>436</v>
      </c>
      <c r="K38" s="53">
        <v>674</v>
      </c>
      <c r="L38" s="56">
        <v>95051</v>
      </c>
      <c r="M38" s="57"/>
      <c r="N38" s="55"/>
      <c r="O38" s="52"/>
      <c r="P38" s="53">
        <v>0</v>
      </c>
      <c r="Q38" s="54">
        <v>3504</v>
      </c>
      <c r="R38" s="90">
        <f t="shared" si="13"/>
        <v>436</v>
      </c>
      <c r="S38" s="91">
        <f t="shared" si="13"/>
        <v>674</v>
      </c>
      <c r="T38" s="54">
        <f t="shared" si="14"/>
        <v>98555</v>
      </c>
      <c r="U38" s="65">
        <v>0</v>
      </c>
      <c r="V38" s="60">
        <v>0</v>
      </c>
      <c r="W38" s="54">
        <v>0</v>
      </c>
      <c r="X38" s="61"/>
      <c r="Y38" s="60"/>
      <c r="Z38" s="54"/>
      <c r="AA38" s="62">
        <f t="shared" si="15"/>
        <v>436</v>
      </c>
      <c r="AB38" s="62">
        <f t="shared" si="15"/>
        <v>674</v>
      </c>
      <c r="AC38" s="62">
        <f t="shared" si="16"/>
        <v>98555</v>
      </c>
      <c r="AD38" s="63"/>
      <c r="AE38" s="63"/>
      <c r="AF38" s="221">
        <f t="shared" si="4"/>
        <v>3504</v>
      </c>
      <c r="AG38" s="222">
        <f t="shared" si="5"/>
        <v>0.036864420153391336</v>
      </c>
    </row>
    <row r="39" spans="1:33" ht="14.25">
      <c r="A39" s="51" t="s">
        <v>43</v>
      </c>
      <c r="E39" s="52">
        <v>37</v>
      </c>
      <c r="F39" s="53">
        <v>37</v>
      </c>
      <c r="G39" s="54">
        <v>5861</v>
      </c>
      <c r="H39" s="55"/>
      <c r="I39" s="55"/>
      <c r="J39" s="52">
        <v>37</v>
      </c>
      <c r="K39" s="53">
        <v>37</v>
      </c>
      <c r="L39" s="56">
        <v>6278</v>
      </c>
      <c r="M39" s="57"/>
      <c r="N39" s="55"/>
      <c r="O39" s="52"/>
      <c r="P39" s="53">
        <v>0</v>
      </c>
      <c r="Q39" s="54">
        <v>238</v>
      </c>
      <c r="R39" s="90">
        <f t="shared" si="13"/>
        <v>37</v>
      </c>
      <c r="S39" s="91">
        <f t="shared" si="13"/>
        <v>37</v>
      </c>
      <c r="T39" s="54">
        <f t="shared" si="14"/>
        <v>6516</v>
      </c>
      <c r="U39" s="65">
        <v>0</v>
      </c>
      <c r="V39" s="60">
        <v>0</v>
      </c>
      <c r="W39" s="54">
        <v>0</v>
      </c>
      <c r="X39" s="61"/>
      <c r="Y39" s="60"/>
      <c r="Z39" s="54"/>
      <c r="AA39" s="62">
        <f t="shared" si="15"/>
        <v>37</v>
      </c>
      <c r="AB39" s="62">
        <f t="shared" si="15"/>
        <v>37</v>
      </c>
      <c r="AC39" s="62">
        <f t="shared" si="16"/>
        <v>6516</v>
      </c>
      <c r="AD39" s="63"/>
      <c r="AE39" s="63"/>
      <c r="AF39" s="221">
        <f t="shared" si="4"/>
        <v>238</v>
      </c>
      <c r="AG39" s="222">
        <f t="shared" si="5"/>
        <v>0.03791016247212488</v>
      </c>
    </row>
    <row r="40" spans="1:33" ht="14.25">
      <c r="A40" s="51" t="s">
        <v>44</v>
      </c>
      <c r="E40" s="52">
        <v>737</v>
      </c>
      <c r="F40" s="53">
        <v>755</v>
      </c>
      <c r="G40" s="54">
        <v>109037</v>
      </c>
      <c r="H40" s="55"/>
      <c r="I40" s="55"/>
      <c r="J40" s="52">
        <v>733</v>
      </c>
      <c r="K40" s="53">
        <v>751</v>
      </c>
      <c r="L40" s="56">
        <v>113583</v>
      </c>
      <c r="M40" s="57"/>
      <c r="N40" s="55"/>
      <c r="O40" s="52"/>
      <c r="P40" s="53">
        <v>0</v>
      </c>
      <c r="Q40" s="54">
        <f>4049-304</f>
        <v>3745</v>
      </c>
      <c r="R40" s="90">
        <f t="shared" si="13"/>
        <v>733</v>
      </c>
      <c r="S40" s="91">
        <f t="shared" si="13"/>
        <v>751</v>
      </c>
      <c r="T40" s="54">
        <f t="shared" si="14"/>
        <v>117328</v>
      </c>
      <c r="U40" s="65">
        <v>0</v>
      </c>
      <c r="V40" s="60">
        <v>0</v>
      </c>
      <c r="W40" s="54">
        <v>0</v>
      </c>
      <c r="X40" s="61"/>
      <c r="Y40" s="60"/>
      <c r="Z40" s="54"/>
      <c r="AA40" s="62">
        <f t="shared" si="15"/>
        <v>733</v>
      </c>
      <c r="AB40" s="62">
        <f t="shared" si="15"/>
        <v>751</v>
      </c>
      <c r="AC40" s="62">
        <f t="shared" si="16"/>
        <v>117328</v>
      </c>
      <c r="AD40" s="63"/>
      <c r="AE40" s="63"/>
      <c r="AF40" s="221">
        <f t="shared" si="4"/>
        <v>3745</v>
      </c>
      <c r="AG40" s="222">
        <f t="shared" si="5"/>
        <v>0.032971483408608684</v>
      </c>
    </row>
    <row r="41" spans="1:33" ht="14.25">
      <c r="A41" s="51" t="s">
        <v>6</v>
      </c>
      <c r="E41" s="52">
        <v>62</v>
      </c>
      <c r="F41" s="53">
        <v>64</v>
      </c>
      <c r="G41" s="54">
        <v>20586</v>
      </c>
      <c r="H41" s="55"/>
      <c r="I41" s="55"/>
      <c r="J41" s="52">
        <v>63</v>
      </c>
      <c r="K41" s="53">
        <v>65</v>
      </c>
      <c r="L41" s="56">
        <v>20812</v>
      </c>
      <c r="M41" s="57"/>
      <c r="N41" s="55"/>
      <c r="O41" s="52"/>
      <c r="P41" s="53">
        <v>0</v>
      </c>
      <c r="Q41" s="54">
        <v>2327</v>
      </c>
      <c r="R41" s="90">
        <f t="shared" si="13"/>
        <v>63</v>
      </c>
      <c r="S41" s="91">
        <f t="shared" si="13"/>
        <v>65</v>
      </c>
      <c r="T41" s="54">
        <f t="shared" si="14"/>
        <v>23139</v>
      </c>
      <c r="U41" s="65">
        <v>0</v>
      </c>
      <c r="V41" s="60">
        <v>0</v>
      </c>
      <c r="W41" s="54">
        <v>0</v>
      </c>
      <c r="X41" s="61"/>
      <c r="Y41" s="60"/>
      <c r="Z41" s="54"/>
      <c r="AA41" s="62">
        <f t="shared" si="15"/>
        <v>63</v>
      </c>
      <c r="AB41" s="62">
        <f t="shared" si="15"/>
        <v>65</v>
      </c>
      <c r="AC41" s="62">
        <f t="shared" si="16"/>
        <v>23139</v>
      </c>
      <c r="AD41" s="63"/>
      <c r="AE41" s="63"/>
      <c r="AF41" s="221">
        <f t="shared" si="4"/>
        <v>2327</v>
      </c>
      <c r="AG41" s="222">
        <f t="shared" si="5"/>
        <v>0.1118104939458005</v>
      </c>
    </row>
    <row r="42" spans="1:33" ht="14.25">
      <c r="A42" s="51" t="s">
        <v>109</v>
      </c>
      <c r="E42" s="52">
        <v>3</v>
      </c>
      <c r="F42" s="53">
        <v>3</v>
      </c>
      <c r="G42" s="54">
        <v>480</v>
      </c>
      <c r="H42" s="55"/>
      <c r="I42" s="55"/>
      <c r="J42" s="52">
        <v>3</v>
      </c>
      <c r="K42" s="53">
        <v>3</v>
      </c>
      <c r="L42" s="56">
        <v>586</v>
      </c>
      <c r="M42" s="57"/>
      <c r="N42" s="55"/>
      <c r="O42" s="52"/>
      <c r="P42" s="53">
        <v>0</v>
      </c>
      <c r="Q42" s="54">
        <v>19</v>
      </c>
      <c r="R42" s="90">
        <f t="shared" si="13"/>
        <v>3</v>
      </c>
      <c r="S42" s="91">
        <f t="shared" si="13"/>
        <v>3</v>
      </c>
      <c r="T42" s="54">
        <f t="shared" si="14"/>
        <v>605</v>
      </c>
      <c r="U42" s="65">
        <v>0</v>
      </c>
      <c r="V42" s="60">
        <v>0</v>
      </c>
      <c r="W42" s="54">
        <v>0</v>
      </c>
      <c r="X42" s="61"/>
      <c r="Y42" s="60"/>
      <c r="Z42" s="54">
        <v>0</v>
      </c>
      <c r="AA42" s="62">
        <f t="shared" si="15"/>
        <v>3</v>
      </c>
      <c r="AB42" s="62">
        <f t="shared" si="15"/>
        <v>3</v>
      </c>
      <c r="AC42" s="62">
        <f t="shared" si="16"/>
        <v>605</v>
      </c>
      <c r="AD42" s="63"/>
      <c r="AE42" s="63"/>
      <c r="AF42" s="221">
        <f t="shared" si="4"/>
        <v>19</v>
      </c>
      <c r="AG42" s="222">
        <v>0</v>
      </c>
    </row>
    <row r="43" spans="1:33" ht="14.25">
      <c r="A43" s="11" t="s">
        <v>110</v>
      </c>
      <c r="E43" s="52">
        <v>0</v>
      </c>
      <c r="F43" s="59" t="s">
        <v>165</v>
      </c>
      <c r="G43" s="67" t="s">
        <v>167</v>
      </c>
      <c r="H43" s="55"/>
      <c r="I43" s="55"/>
      <c r="J43" s="52">
        <v>0</v>
      </c>
      <c r="K43" s="59" t="s">
        <v>165</v>
      </c>
      <c r="L43" s="89" t="s">
        <v>166</v>
      </c>
      <c r="M43" s="57"/>
      <c r="N43" s="55">
        <v>0</v>
      </c>
      <c r="O43" s="52">
        <v>0</v>
      </c>
      <c r="P43" s="53">
        <v>0</v>
      </c>
      <c r="Q43" s="67" t="s">
        <v>198</v>
      </c>
      <c r="R43" s="58">
        <f>+J43+O43</f>
        <v>0</v>
      </c>
      <c r="S43" s="59" t="str">
        <f>+K43</f>
        <v>[41]</v>
      </c>
      <c r="T43" s="67" t="s">
        <v>166</v>
      </c>
      <c r="U43" s="65">
        <v>0</v>
      </c>
      <c r="V43" s="60">
        <v>0</v>
      </c>
      <c r="W43" s="67" t="s">
        <v>199</v>
      </c>
      <c r="X43" s="61">
        <v>0</v>
      </c>
      <c r="Y43" s="60">
        <v>0</v>
      </c>
      <c r="Z43" s="54">
        <v>0</v>
      </c>
      <c r="AA43" s="52">
        <f t="shared" si="15"/>
        <v>0</v>
      </c>
      <c r="AB43" s="59" t="s">
        <v>165</v>
      </c>
      <c r="AC43" s="97" t="s">
        <v>200</v>
      </c>
      <c r="AD43" s="63">
        <v>0</v>
      </c>
      <c r="AE43" s="63">
        <v>0</v>
      </c>
      <c r="AF43" s="221">
        <v>0</v>
      </c>
      <c r="AG43" s="222" t="s">
        <v>198</v>
      </c>
    </row>
    <row r="44" spans="1:33" ht="14.25">
      <c r="A44" s="11" t="s">
        <v>111</v>
      </c>
      <c r="E44" s="52">
        <v>0</v>
      </c>
      <c r="F44" s="53">
        <v>0</v>
      </c>
      <c r="G44" s="54">
        <v>0</v>
      </c>
      <c r="H44" s="55"/>
      <c r="I44" s="55"/>
      <c r="J44" s="52">
        <v>0</v>
      </c>
      <c r="K44" s="53">
        <v>0</v>
      </c>
      <c r="L44" s="56">
        <v>0</v>
      </c>
      <c r="M44" s="57"/>
      <c r="N44" s="55">
        <v>0</v>
      </c>
      <c r="O44" s="52">
        <v>0</v>
      </c>
      <c r="P44" s="53">
        <v>0</v>
      </c>
      <c r="Q44" s="54">
        <v>0</v>
      </c>
      <c r="R44" s="58">
        <f>+J44+O44</f>
        <v>0</v>
      </c>
      <c r="S44" s="59">
        <f aca="true" t="shared" si="17" ref="S44:S51">+K44+P44</f>
        <v>0</v>
      </c>
      <c r="T44" s="54">
        <f t="shared" si="14"/>
        <v>0</v>
      </c>
      <c r="U44" s="65">
        <v>0</v>
      </c>
      <c r="V44" s="60">
        <v>0</v>
      </c>
      <c r="W44" s="54">
        <v>0</v>
      </c>
      <c r="X44" s="61">
        <v>0</v>
      </c>
      <c r="Y44" s="60">
        <v>0</v>
      </c>
      <c r="Z44" s="54">
        <v>0</v>
      </c>
      <c r="AA44" s="52">
        <f t="shared" si="15"/>
        <v>0</v>
      </c>
      <c r="AB44" s="53">
        <f t="shared" si="15"/>
        <v>0</v>
      </c>
      <c r="AC44" s="62">
        <f t="shared" si="15"/>
        <v>0</v>
      </c>
      <c r="AD44" s="63">
        <f aca="true" t="shared" si="18" ref="AD44:AD51">+T44*(1+$AD$11)</f>
        <v>0</v>
      </c>
      <c r="AE44" s="63">
        <f>+L44*$AE$11</f>
        <v>0</v>
      </c>
      <c r="AF44" s="221">
        <f t="shared" si="4"/>
        <v>0</v>
      </c>
      <c r="AG44" s="222" t="s">
        <v>198</v>
      </c>
    </row>
    <row r="45" spans="1:33" ht="14.25">
      <c r="A45" s="11" t="s">
        <v>45</v>
      </c>
      <c r="E45" s="58" t="s">
        <v>20</v>
      </c>
      <c r="F45" s="53">
        <v>851</v>
      </c>
      <c r="G45" s="54">
        <v>144088</v>
      </c>
      <c r="H45" s="55"/>
      <c r="I45" s="55"/>
      <c r="J45" s="58" t="s">
        <v>20</v>
      </c>
      <c r="K45" s="53">
        <v>851</v>
      </c>
      <c r="L45" s="56">
        <v>147742</v>
      </c>
      <c r="M45" s="57"/>
      <c r="N45" s="55">
        <v>0</v>
      </c>
      <c r="O45" s="52">
        <v>0</v>
      </c>
      <c r="P45" s="53">
        <v>0</v>
      </c>
      <c r="Q45" s="54">
        <v>8007</v>
      </c>
      <c r="R45" s="58" t="str">
        <f>+J45</f>
        <v>[880]</v>
      </c>
      <c r="S45" s="59">
        <f t="shared" si="17"/>
        <v>851</v>
      </c>
      <c r="T45" s="54">
        <f t="shared" si="14"/>
        <v>155749</v>
      </c>
      <c r="U45" s="65">
        <v>0</v>
      </c>
      <c r="V45" s="60">
        <v>0</v>
      </c>
      <c r="W45" s="54">
        <v>0</v>
      </c>
      <c r="X45" s="61">
        <v>0</v>
      </c>
      <c r="Y45" s="60">
        <v>0</v>
      </c>
      <c r="Z45" s="54">
        <v>0</v>
      </c>
      <c r="AA45" s="58" t="s">
        <v>20</v>
      </c>
      <c r="AB45" s="53">
        <f t="shared" si="15"/>
        <v>851</v>
      </c>
      <c r="AC45" s="62">
        <f t="shared" si="15"/>
        <v>155749</v>
      </c>
      <c r="AD45" s="63">
        <f t="shared" si="18"/>
        <v>161978.96</v>
      </c>
      <c r="AE45" s="63">
        <f>+L45*$AE$11</f>
        <v>141832.32</v>
      </c>
      <c r="AF45" s="221">
        <f t="shared" si="4"/>
        <v>8007</v>
      </c>
      <c r="AG45" s="222">
        <f t="shared" si="5"/>
        <v>0.054195827862083906</v>
      </c>
    </row>
    <row r="46" spans="1:33" ht="14.25">
      <c r="A46" s="11" t="s">
        <v>134</v>
      </c>
      <c r="E46" s="52">
        <v>0</v>
      </c>
      <c r="F46" s="53">
        <v>0</v>
      </c>
      <c r="G46" s="54">
        <v>-116000</v>
      </c>
      <c r="H46" s="55"/>
      <c r="I46" s="55"/>
      <c r="J46" s="52">
        <v>0</v>
      </c>
      <c r="K46" s="53">
        <v>0</v>
      </c>
      <c r="L46" s="56">
        <v>-120000</v>
      </c>
      <c r="M46" s="57"/>
      <c r="N46" s="55">
        <v>0</v>
      </c>
      <c r="O46" s="52">
        <v>0</v>
      </c>
      <c r="P46" s="53">
        <v>0</v>
      </c>
      <c r="Q46" s="54">
        <v>0</v>
      </c>
      <c r="R46" s="58">
        <f>+J46+O46</f>
        <v>0</v>
      </c>
      <c r="S46" s="59">
        <f t="shared" si="17"/>
        <v>0</v>
      </c>
      <c r="T46" s="54">
        <f t="shared" si="14"/>
        <v>-120000</v>
      </c>
      <c r="U46" s="65">
        <v>0</v>
      </c>
      <c r="V46" s="60">
        <v>0</v>
      </c>
      <c r="W46" s="54">
        <v>0</v>
      </c>
      <c r="X46" s="61">
        <v>0</v>
      </c>
      <c r="Y46" s="60">
        <v>0</v>
      </c>
      <c r="Z46" s="54">
        <v>-16290</v>
      </c>
      <c r="AA46" s="52">
        <f t="shared" si="15"/>
        <v>0</v>
      </c>
      <c r="AB46" s="53">
        <f t="shared" si="15"/>
        <v>0</v>
      </c>
      <c r="AC46" s="62">
        <f t="shared" si="15"/>
        <v>-136290</v>
      </c>
      <c r="AD46" s="63">
        <f t="shared" si="18"/>
        <v>-124800</v>
      </c>
      <c r="AE46" s="63">
        <f>+L46*$AE$11</f>
        <v>-115200</v>
      </c>
      <c r="AF46" s="221">
        <f t="shared" si="4"/>
        <v>-16290</v>
      </c>
      <c r="AG46" s="222">
        <f t="shared" si="5"/>
        <v>0.13575</v>
      </c>
    </row>
    <row r="47" spans="1:33" ht="14.25">
      <c r="A47" s="11" t="s">
        <v>7</v>
      </c>
      <c r="E47" s="52">
        <v>10097</v>
      </c>
      <c r="F47" s="53">
        <v>11631</v>
      </c>
      <c r="G47" s="54">
        <v>1588565</v>
      </c>
      <c r="H47" s="55"/>
      <c r="I47" s="55"/>
      <c r="J47" s="52">
        <v>10262</v>
      </c>
      <c r="K47" s="53">
        <v>11722</v>
      </c>
      <c r="L47" s="56">
        <v>1664400</v>
      </c>
      <c r="M47" s="55">
        <v>0</v>
      </c>
      <c r="N47" s="2">
        <v>0</v>
      </c>
      <c r="O47" s="52">
        <v>0</v>
      </c>
      <c r="P47" s="53">
        <v>155</v>
      </c>
      <c r="Q47" s="62">
        <v>74207</v>
      </c>
      <c r="R47" s="90">
        <f>+J47+O47</f>
        <v>10262</v>
      </c>
      <c r="S47" s="91">
        <f t="shared" si="17"/>
        <v>11877</v>
      </c>
      <c r="T47" s="54">
        <f t="shared" si="14"/>
        <v>1738607</v>
      </c>
      <c r="U47" s="92">
        <v>203</v>
      </c>
      <c r="V47" s="93">
        <v>203</v>
      </c>
      <c r="W47" s="62">
        <v>26300</v>
      </c>
      <c r="X47" s="94">
        <v>0</v>
      </c>
      <c r="Y47" s="93">
        <v>-203</v>
      </c>
      <c r="Z47" s="62">
        <v>-13000</v>
      </c>
      <c r="AA47" s="52">
        <f t="shared" si="15"/>
        <v>10465</v>
      </c>
      <c r="AB47" s="53">
        <f t="shared" si="15"/>
        <v>11877</v>
      </c>
      <c r="AC47" s="62">
        <f t="shared" si="15"/>
        <v>1751907</v>
      </c>
      <c r="AD47" s="63">
        <f t="shared" si="18"/>
        <v>1808151.28</v>
      </c>
      <c r="AE47" s="63">
        <f>+L47*$AE$11</f>
        <v>1597824</v>
      </c>
      <c r="AF47" s="221">
        <f t="shared" si="4"/>
        <v>87507</v>
      </c>
      <c r="AG47" s="222">
        <f t="shared" si="5"/>
        <v>0.05257570295602019</v>
      </c>
    </row>
    <row r="48" spans="1:33" ht="14.25">
      <c r="A48" s="11" t="s">
        <v>153</v>
      </c>
      <c r="E48" s="52"/>
      <c r="F48" s="53"/>
      <c r="G48" s="54">
        <v>0</v>
      </c>
      <c r="H48" s="55"/>
      <c r="I48" s="55"/>
      <c r="J48" s="52">
        <v>0</v>
      </c>
      <c r="K48" s="53">
        <v>0</v>
      </c>
      <c r="L48" s="56">
        <v>-27000</v>
      </c>
      <c r="M48" s="57"/>
      <c r="N48" s="55">
        <v>27000</v>
      </c>
      <c r="O48" s="52">
        <v>0</v>
      </c>
      <c r="P48" s="53">
        <v>0</v>
      </c>
      <c r="Q48" s="54">
        <v>0</v>
      </c>
      <c r="R48" s="58">
        <f>+J48+O48</f>
        <v>0</v>
      </c>
      <c r="S48" s="59">
        <f t="shared" si="17"/>
        <v>0</v>
      </c>
      <c r="T48" s="54">
        <f t="shared" si="14"/>
        <v>0</v>
      </c>
      <c r="U48" s="65">
        <v>0</v>
      </c>
      <c r="V48" s="60">
        <v>0</v>
      </c>
      <c r="W48" s="54">
        <v>0</v>
      </c>
      <c r="X48" s="61">
        <v>0</v>
      </c>
      <c r="Y48" s="60">
        <v>0</v>
      </c>
      <c r="Z48" s="54">
        <v>0</v>
      </c>
      <c r="AA48" s="52">
        <f t="shared" si="15"/>
        <v>0</v>
      </c>
      <c r="AB48" s="53">
        <f t="shared" si="15"/>
        <v>0</v>
      </c>
      <c r="AC48" s="62">
        <f t="shared" si="15"/>
        <v>0</v>
      </c>
      <c r="AD48" s="63">
        <f t="shared" si="18"/>
        <v>0</v>
      </c>
      <c r="AE48" s="63">
        <v>0</v>
      </c>
      <c r="AF48" s="221">
        <f t="shared" si="4"/>
        <v>27000</v>
      </c>
      <c r="AG48" s="222">
        <f t="shared" si="5"/>
        <v>-1</v>
      </c>
    </row>
    <row r="49" spans="1:33" ht="14.25">
      <c r="A49" s="11" t="s">
        <v>77</v>
      </c>
      <c r="E49" s="58" t="s">
        <v>150</v>
      </c>
      <c r="F49" s="53">
        <v>1325</v>
      </c>
      <c r="G49" s="54">
        <v>211664</v>
      </c>
      <c r="H49" s="55"/>
      <c r="I49" s="55"/>
      <c r="J49" s="58" t="s">
        <v>66</v>
      </c>
      <c r="K49" s="53">
        <v>1486</v>
      </c>
      <c r="L49" s="56">
        <v>236116</v>
      </c>
      <c r="M49" s="57"/>
      <c r="N49" s="55">
        <v>0</v>
      </c>
      <c r="O49" s="52">
        <v>0</v>
      </c>
      <c r="P49" s="53">
        <v>0</v>
      </c>
      <c r="Q49" s="54">
        <v>5703</v>
      </c>
      <c r="R49" s="58" t="str">
        <f>+J49</f>
        <v>[1,519]</v>
      </c>
      <c r="S49" s="59">
        <f t="shared" si="17"/>
        <v>1486</v>
      </c>
      <c r="T49" s="54">
        <f t="shared" si="14"/>
        <v>241819</v>
      </c>
      <c r="U49" s="99">
        <v>0</v>
      </c>
      <c r="V49" s="60">
        <v>0</v>
      </c>
      <c r="W49" s="54">
        <v>0</v>
      </c>
      <c r="X49" s="61">
        <v>0</v>
      </c>
      <c r="Y49" s="60">
        <v>0</v>
      </c>
      <c r="Z49" s="54">
        <v>0</v>
      </c>
      <c r="AA49" s="58" t="s">
        <v>66</v>
      </c>
      <c r="AB49" s="53">
        <f t="shared" si="15"/>
        <v>1486</v>
      </c>
      <c r="AC49" s="62">
        <f t="shared" si="15"/>
        <v>241819</v>
      </c>
      <c r="AD49" s="63">
        <f t="shared" si="18"/>
        <v>251491.76</v>
      </c>
      <c r="AE49" s="63">
        <f>+L49*$AE$11</f>
        <v>226671.36</v>
      </c>
      <c r="AF49" s="221">
        <f t="shared" si="4"/>
        <v>5703</v>
      </c>
      <c r="AG49" s="222">
        <f t="shared" si="5"/>
        <v>0.024153382235850174</v>
      </c>
    </row>
    <row r="50" spans="1:33" ht="14.25">
      <c r="A50" s="11" t="s">
        <v>112</v>
      </c>
      <c r="E50" s="52">
        <v>0</v>
      </c>
      <c r="F50" s="53">
        <v>0</v>
      </c>
      <c r="G50" s="54">
        <v>-214402</v>
      </c>
      <c r="H50" s="55"/>
      <c r="I50" s="55"/>
      <c r="J50" s="52">
        <v>0</v>
      </c>
      <c r="K50" s="53">
        <v>0</v>
      </c>
      <c r="L50" s="56">
        <v>-240697</v>
      </c>
      <c r="M50" s="57"/>
      <c r="N50" s="55">
        <v>1384</v>
      </c>
      <c r="O50" s="52">
        <v>0</v>
      </c>
      <c r="P50" s="53">
        <v>0</v>
      </c>
      <c r="Q50" s="54">
        <v>0</v>
      </c>
      <c r="R50" s="58">
        <f>+J50+O50</f>
        <v>0</v>
      </c>
      <c r="S50" s="59">
        <f t="shared" si="17"/>
        <v>0</v>
      </c>
      <c r="T50" s="54">
        <f t="shared" si="14"/>
        <v>-239313</v>
      </c>
      <c r="U50" s="65">
        <v>0</v>
      </c>
      <c r="V50" s="60">
        <v>0</v>
      </c>
      <c r="W50" s="54">
        <v>0</v>
      </c>
      <c r="X50" s="61">
        <v>0</v>
      </c>
      <c r="Y50" s="60">
        <v>0</v>
      </c>
      <c r="Z50" s="54">
        <v>-12876</v>
      </c>
      <c r="AA50" s="52">
        <f aca="true" t="shared" si="19" ref="AA50:AC51">+X50+U50+R50</f>
        <v>0</v>
      </c>
      <c r="AB50" s="53">
        <f t="shared" si="19"/>
        <v>0</v>
      </c>
      <c r="AC50" s="62">
        <f t="shared" si="19"/>
        <v>-252189</v>
      </c>
      <c r="AD50" s="63">
        <f t="shared" si="18"/>
        <v>-248885.52000000002</v>
      </c>
      <c r="AE50" s="63">
        <f>+L50*$AE$11</f>
        <v>-231069.12</v>
      </c>
      <c r="AF50" s="221">
        <f t="shared" si="4"/>
        <v>-11492</v>
      </c>
      <c r="AG50" s="222">
        <f t="shared" si="5"/>
        <v>0.04774467484015173</v>
      </c>
    </row>
    <row r="51" spans="1:33" ht="15" thickBot="1">
      <c r="A51" s="2" t="s">
        <v>8</v>
      </c>
      <c r="B51" s="2"/>
      <c r="C51" s="2"/>
      <c r="D51" s="100"/>
      <c r="E51" s="52">
        <v>11</v>
      </c>
      <c r="F51" s="53">
        <v>11</v>
      </c>
      <c r="G51" s="54">
        <v>1303</v>
      </c>
      <c r="H51" s="101"/>
      <c r="I51" s="101"/>
      <c r="J51" s="52">
        <v>11</v>
      </c>
      <c r="K51" s="53">
        <v>11</v>
      </c>
      <c r="L51" s="56">
        <v>1559</v>
      </c>
      <c r="M51" s="57"/>
      <c r="N51" s="55">
        <v>0</v>
      </c>
      <c r="O51" s="52">
        <v>0</v>
      </c>
      <c r="P51" s="53">
        <v>0</v>
      </c>
      <c r="Q51" s="62">
        <v>267</v>
      </c>
      <c r="R51" s="90">
        <f>+J51+O51</f>
        <v>11</v>
      </c>
      <c r="S51" s="91">
        <f t="shared" si="17"/>
        <v>11</v>
      </c>
      <c r="T51" s="54">
        <f t="shared" si="14"/>
        <v>1826</v>
      </c>
      <c r="U51" s="92">
        <v>0</v>
      </c>
      <c r="V51" s="93">
        <v>0</v>
      </c>
      <c r="W51" s="62">
        <v>0</v>
      </c>
      <c r="X51" s="94">
        <v>0</v>
      </c>
      <c r="Y51" s="93">
        <v>0</v>
      </c>
      <c r="Z51" s="62">
        <v>0</v>
      </c>
      <c r="AA51" s="52">
        <f t="shared" si="19"/>
        <v>11</v>
      </c>
      <c r="AB51" s="53">
        <f t="shared" si="19"/>
        <v>11</v>
      </c>
      <c r="AC51" s="62">
        <f t="shared" si="19"/>
        <v>1826</v>
      </c>
      <c r="AD51" s="63">
        <f t="shared" si="18"/>
        <v>1899.04</v>
      </c>
      <c r="AE51" s="63">
        <f>+L51*$AE$11</f>
        <v>1496.6399999999999</v>
      </c>
      <c r="AF51" s="221">
        <f t="shared" si="4"/>
        <v>267</v>
      </c>
      <c r="AG51" s="222">
        <f t="shared" si="5"/>
        <v>0.17126363053239255</v>
      </c>
    </row>
    <row r="52" spans="1:33" ht="14.25">
      <c r="A52" s="43" t="s">
        <v>36</v>
      </c>
      <c r="B52" s="43"/>
      <c r="C52" s="43"/>
      <c r="D52" s="43"/>
      <c r="E52" s="77">
        <f>SUM(E53:E54)</f>
        <v>4625</v>
      </c>
      <c r="F52" s="81">
        <f>SUM(F53:F54)</f>
        <v>4773</v>
      </c>
      <c r="G52" s="82">
        <f>SUM(G53:G54)</f>
        <v>800672</v>
      </c>
      <c r="H52" s="72">
        <f>SUM(H53:H54)</f>
        <v>0</v>
      </c>
      <c r="I52" s="72">
        <f>SUM(I53:I54)</f>
        <v>0</v>
      </c>
      <c r="J52" s="86">
        <f>+J53+J54</f>
        <v>4704</v>
      </c>
      <c r="K52" s="86">
        <f>+K53+K54</f>
        <v>4865</v>
      </c>
      <c r="L52" s="86">
        <f>+L53+L54</f>
        <v>825924</v>
      </c>
      <c r="M52" s="75">
        <v>0</v>
      </c>
      <c r="N52" s="75">
        <f aca="true" t="shared" si="20" ref="N52:Z52">+N53+N54</f>
        <v>0</v>
      </c>
      <c r="O52" s="215">
        <f t="shared" si="20"/>
        <v>0</v>
      </c>
      <c r="P52" s="74">
        <f t="shared" si="20"/>
        <v>27</v>
      </c>
      <c r="Q52" s="71">
        <f t="shared" si="20"/>
        <v>37573</v>
      </c>
      <c r="R52" s="69">
        <f t="shared" si="20"/>
        <v>4704</v>
      </c>
      <c r="S52" s="70">
        <f t="shared" si="20"/>
        <v>4892</v>
      </c>
      <c r="T52" s="71">
        <f t="shared" si="20"/>
        <v>863497</v>
      </c>
      <c r="U52" s="74">
        <f t="shared" si="20"/>
        <v>98</v>
      </c>
      <c r="V52" s="70">
        <f t="shared" si="20"/>
        <v>67</v>
      </c>
      <c r="W52" s="71">
        <f t="shared" si="20"/>
        <v>15307</v>
      </c>
      <c r="X52" s="69">
        <f t="shared" si="20"/>
        <v>0</v>
      </c>
      <c r="Y52" s="70">
        <f t="shared" si="20"/>
        <v>-35</v>
      </c>
      <c r="Z52" s="71">
        <f t="shared" si="20"/>
        <v>0</v>
      </c>
      <c r="AA52" s="69">
        <f>+AA53+AA54</f>
        <v>4802</v>
      </c>
      <c r="AB52" s="70">
        <f>+AB53+AB54</f>
        <v>4924</v>
      </c>
      <c r="AC52" s="72">
        <f>+AC53+AC54</f>
        <v>878804</v>
      </c>
      <c r="AD52" s="75">
        <f>SUM(AD53:AD54)</f>
        <v>0</v>
      </c>
      <c r="AE52" s="75">
        <f>SUM(AE53:AE54)</f>
        <v>0</v>
      </c>
      <c r="AF52" s="221">
        <f t="shared" si="4"/>
        <v>52880</v>
      </c>
      <c r="AG52" s="222">
        <f t="shared" si="5"/>
        <v>0.064025261404197</v>
      </c>
    </row>
    <row r="53" spans="1:33" ht="14.25">
      <c r="A53" s="51" t="s">
        <v>9</v>
      </c>
      <c r="E53" s="52">
        <v>4625</v>
      </c>
      <c r="F53" s="53">
        <v>4773</v>
      </c>
      <c r="G53" s="54">
        <v>791903</v>
      </c>
      <c r="H53" s="55"/>
      <c r="I53" s="55"/>
      <c r="J53" s="52">
        <v>4704</v>
      </c>
      <c r="K53" s="53">
        <v>4865</v>
      </c>
      <c r="L53" s="56">
        <v>824642</v>
      </c>
      <c r="M53" s="55"/>
      <c r="N53" s="55"/>
      <c r="O53" s="52">
        <v>0</v>
      </c>
      <c r="P53" s="53">
        <v>27</v>
      </c>
      <c r="Q53" s="54">
        <f>47573-10000</f>
        <v>37573</v>
      </c>
      <c r="R53" s="58">
        <f aca="true" t="shared" si="21" ref="R53:S55">+J53+O53</f>
        <v>4704</v>
      </c>
      <c r="S53" s="59">
        <f t="shared" si="21"/>
        <v>4892</v>
      </c>
      <c r="T53" s="54">
        <f t="shared" si="14"/>
        <v>862215</v>
      </c>
      <c r="U53" s="65">
        <v>98</v>
      </c>
      <c r="V53" s="60">
        <v>67</v>
      </c>
      <c r="W53" s="54">
        <v>15307</v>
      </c>
      <c r="X53" s="61"/>
      <c r="Y53" s="60">
        <v>-35</v>
      </c>
      <c r="Z53" s="54"/>
      <c r="AA53" s="52">
        <f aca="true" t="shared" si="22" ref="AA53:AC55">+X53+U53+R53</f>
        <v>4802</v>
      </c>
      <c r="AB53" s="53">
        <f t="shared" si="22"/>
        <v>4924</v>
      </c>
      <c r="AC53" s="62">
        <f t="shared" si="22"/>
        <v>877522</v>
      </c>
      <c r="AD53" s="63"/>
      <c r="AE53" s="63"/>
      <c r="AF53" s="221">
        <f t="shared" si="4"/>
        <v>52880</v>
      </c>
      <c r="AG53" s="222">
        <f t="shared" si="5"/>
        <v>0.0641247959720703</v>
      </c>
    </row>
    <row r="54" spans="1:33" ht="14.25">
      <c r="A54" s="51" t="s">
        <v>113</v>
      </c>
      <c r="E54" s="52">
        <v>0</v>
      </c>
      <c r="F54" s="53">
        <v>0</v>
      </c>
      <c r="G54" s="54">
        <v>8769</v>
      </c>
      <c r="H54" s="55"/>
      <c r="I54" s="55"/>
      <c r="J54" s="52"/>
      <c r="K54" s="53"/>
      <c r="L54" s="56">
        <v>1282</v>
      </c>
      <c r="M54" s="57"/>
      <c r="N54" s="55"/>
      <c r="O54" s="52"/>
      <c r="P54" s="53"/>
      <c r="Q54" s="54"/>
      <c r="R54" s="58">
        <f t="shared" si="21"/>
        <v>0</v>
      </c>
      <c r="S54" s="59">
        <f t="shared" si="21"/>
        <v>0</v>
      </c>
      <c r="T54" s="54">
        <f t="shared" si="14"/>
        <v>1282</v>
      </c>
      <c r="U54" s="65"/>
      <c r="V54" s="60"/>
      <c r="W54" s="54">
        <v>0</v>
      </c>
      <c r="X54" s="61"/>
      <c r="Y54" s="60"/>
      <c r="Z54" s="54"/>
      <c r="AA54" s="52">
        <f t="shared" si="22"/>
        <v>0</v>
      </c>
      <c r="AB54" s="53">
        <f t="shared" si="22"/>
        <v>0</v>
      </c>
      <c r="AC54" s="62">
        <f t="shared" si="22"/>
        <v>1282</v>
      </c>
      <c r="AD54" s="63"/>
      <c r="AE54" s="63"/>
      <c r="AF54" s="221">
        <f t="shared" si="4"/>
        <v>0</v>
      </c>
      <c r="AG54" s="222">
        <f t="shared" si="5"/>
        <v>0</v>
      </c>
    </row>
    <row r="55" spans="1:33" ht="14.25">
      <c r="A55" s="11" t="s">
        <v>10</v>
      </c>
      <c r="E55" s="52">
        <v>56</v>
      </c>
      <c r="F55" s="53">
        <v>56</v>
      </c>
      <c r="G55" s="54">
        <v>9536</v>
      </c>
      <c r="H55" s="55"/>
      <c r="I55" s="55"/>
      <c r="J55" s="52">
        <v>56</v>
      </c>
      <c r="K55" s="53">
        <v>56</v>
      </c>
      <c r="L55" s="56">
        <v>10229</v>
      </c>
      <c r="M55" s="57"/>
      <c r="N55" s="55">
        <v>0</v>
      </c>
      <c r="O55" s="52">
        <v>0</v>
      </c>
      <c r="P55" s="53">
        <v>0</v>
      </c>
      <c r="Q55" s="54">
        <v>-59</v>
      </c>
      <c r="R55" s="58">
        <f t="shared" si="21"/>
        <v>56</v>
      </c>
      <c r="S55" s="59">
        <f t="shared" si="21"/>
        <v>56</v>
      </c>
      <c r="T55" s="54">
        <f t="shared" si="14"/>
        <v>10170</v>
      </c>
      <c r="U55" s="65">
        <v>0</v>
      </c>
      <c r="V55" s="60">
        <v>0</v>
      </c>
      <c r="W55" s="54">
        <v>0</v>
      </c>
      <c r="X55" s="61">
        <v>0</v>
      </c>
      <c r="Y55" s="60">
        <v>0</v>
      </c>
      <c r="Z55" s="54">
        <v>0</v>
      </c>
      <c r="AA55" s="52">
        <f t="shared" si="22"/>
        <v>56</v>
      </c>
      <c r="AB55" s="53">
        <f t="shared" si="22"/>
        <v>56</v>
      </c>
      <c r="AC55" s="62">
        <f t="shared" si="22"/>
        <v>10170</v>
      </c>
      <c r="AD55" s="63">
        <f>+T55*(1+$AD$11)</f>
        <v>10576.800000000001</v>
      </c>
      <c r="AE55" s="63">
        <f>+L55*$AE$11</f>
        <v>9819.84</v>
      </c>
      <c r="AF55" s="221">
        <f t="shared" si="4"/>
        <v>-59</v>
      </c>
      <c r="AG55" s="222">
        <f t="shared" si="5"/>
        <v>-0.005767914752175188</v>
      </c>
    </row>
    <row r="56" spans="1:33" ht="14.25">
      <c r="A56" s="43" t="s">
        <v>37</v>
      </c>
      <c r="B56" s="43"/>
      <c r="C56" s="43"/>
      <c r="D56" s="43"/>
      <c r="E56" s="77">
        <f>SUM(E57)</f>
        <v>0</v>
      </c>
      <c r="F56" s="81">
        <f>SUM(F57)</f>
        <v>0</v>
      </c>
      <c r="G56" s="82">
        <f>SUM(G57)</f>
        <v>21194</v>
      </c>
      <c r="H56" s="72">
        <f>SUM(H57:H57)</f>
        <v>0</v>
      </c>
      <c r="I56" s="72">
        <f>SUM(I57:I57)</f>
        <v>0</v>
      </c>
      <c r="J56" s="77">
        <f>SUM(J57)</f>
        <v>0</v>
      </c>
      <c r="K56" s="81">
        <f>SUM(K57)</f>
        <v>0</v>
      </c>
      <c r="L56" s="86">
        <f>SUM(L57)</f>
        <v>21211</v>
      </c>
      <c r="M56" s="72">
        <f aca="true" t="shared" si="23" ref="M56:AE56">SUM(M57:M57)</f>
        <v>0</v>
      </c>
      <c r="N56" s="72">
        <f t="shared" si="23"/>
        <v>0</v>
      </c>
      <c r="O56" s="69">
        <f t="shared" si="23"/>
        <v>0</v>
      </c>
      <c r="P56" s="70">
        <f t="shared" si="23"/>
        <v>0</v>
      </c>
      <c r="Q56" s="71">
        <f t="shared" si="23"/>
        <v>0</v>
      </c>
      <c r="R56" s="69">
        <f t="shared" si="23"/>
        <v>0</v>
      </c>
      <c r="S56" s="70">
        <f t="shared" si="23"/>
        <v>0</v>
      </c>
      <c r="T56" s="71">
        <f t="shared" si="23"/>
        <v>21211</v>
      </c>
      <c r="U56" s="74">
        <f t="shared" si="23"/>
        <v>0</v>
      </c>
      <c r="V56" s="70">
        <f t="shared" si="23"/>
        <v>0</v>
      </c>
      <c r="W56" s="71">
        <f t="shared" si="23"/>
        <v>0</v>
      </c>
      <c r="X56" s="69">
        <f t="shared" si="23"/>
        <v>0</v>
      </c>
      <c r="Y56" s="70">
        <f t="shared" si="23"/>
        <v>0</v>
      </c>
      <c r="Z56" s="71">
        <f t="shared" si="23"/>
        <v>0</v>
      </c>
      <c r="AA56" s="69">
        <f t="shared" si="23"/>
        <v>0</v>
      </c>
      <c r="AB56" s="70">
        <f t="shared" si="23"/>
        <v>0</v>
      </c>
      <c r="AC56" s="72">
        <f t="shared" si="23"/>
        <v>21211</v>
      </c>
      <c r="AD56" s="75">
        <f t="shared" si="23"/>
        <v>22059.440000000002</v>
      </c>
      <c r="AE56" s="75">
        <f t="shared" si="23"/>
        <v>20362.559999999998</v>
      </c>
      <c r="AF56" s="221">
        <f t="shared" si="4"/>
        <v>0</v>
      </c>
      <c r="AG56" s="222">
        <f t="shared" si="5"/>
        <v>0</v>
      </c>
    </row>
    <row r="57" spans="1:33" ht="14.25">
      <c r="A57" s="51" t="s">
        <v>135</v>
      </c>
      <c r="E57" s="52">
        <v>0</v>
      </c>
      <c r="F57" s="53">
        <v>0</v>
      </c>
      <c r="G57" s="54">
        <v>21194</v>
      </c>
      <c r="H57" s="55"/>
      <c r="I57" s="55"/>
      <c r="J57" s="52">
        <v>0</v>
      </c>
      <c r="K57" s="53">
        <v>0</v>
      </c>
      <c r="L57" s="56">
        <v>21211</v>
      </c>
      <c r="M57" s="57"/>
      <c r="N57" s="55">
        <v>0</v>
      </c>
      <c r="O57" s="52">
        <v>0</v>
      </c>
      <c r="P57" s="53">
        <v>0</v>
      </c>
      <c r="Q57" s="54">
        <v>0</v>
      </c>
      <c r="R57" s="58">
        <f>+J57+O57</f>
        <v>0</v>
      </c>
      <c r="S57" s="59">
        <f>+K57+P57</f>
        <v>0</v>
      </c>
      <c r="T57" s="54">
        <f t="shared" si="14"/>
        <v>21211</v>
      </c>
      <c r="U57" s="65">
        <v>0</v>
      </c>
      <c r="V57" s="60">
        <v>0</v>
      </c>
      <c r="W57" s="54">
        <v>0</v>
      </c>
      <c r="X57" s="61">
        <v>0</v>
      </c>
      <c r="Y57" s="60">
        <v>0</v>
      </c>
      <c r="Z57" s="54">
        <v>0</v>
      </c>
      <c r="AA57" s="52">
        <f aca="true" t="shared" si="24" ref="AA57:AC59">+X57+U57+R57</f>
        <v>0</v>
      </c>
      <c r="AB57" s="53">
        <f t="shared" si="24"/>
        <v>0</v>
      </c>
      <c r="AC57" s="62">
        <f t="shared" si="24"/>
        <v>21211</v>
      </c>
      <c r="AD57" s="63">
        <f>+T57*(1+$AD$11)</f>
        <v>22059.440000000002</v>
      </c>
      <c r="AE57" s="63">
        <f>+L57*$AE$11</f>
        <v>20362.559999999998</v>
      </c>
      <c r="AF57" s="221">
        <f t="shared" si="4"/>
        <v>0</v>
      </c>
      <c r="AG57" s="222">
        <f t="shared" si="5"/>
        <v>0</v>
      </c>
    </row>
    <row r="58" spans="1:33" ht="14.25">
      <c r="A58" s="11" t="s">
        <v>11</v>
      </c>
      <c r="E58" s="58" t="s">
        <v>176</v>
      </c>
      <c r="F58" s="59" t="s">
        <v>177</v>
      </c>
      <c r="G58" s="54">
        <v>483189</v>
      </c>
      <c r="H58" s="55"/>
      <c r="I58" s="55"/>
      <c r="J58" s="58" t="s">
        <v>178</v>
      </c>
      <c r="K58" s="59" t="s">
        <v>179</v>
      </c>
      <c r="L58" s="56">
        <v>706051</v>
      </c>
      <c r="M58" s="57"/>
      <c r="N58" s="55">
        <v>0</v>
      </c>
      <c r="O58" s="58">
        <v>0</v>
      </c>
      <c r="P58" s="59">
        <v>0</v>
      </c>
      <c r="Q58" s="54">
        <f>15574</f>
        <v>15574</v>
      </c>
      <c r="R58" s="58" t="s">
        <v>178</v>
      </c>
      <c r="S58" s="59" t="s">
        <v>179</v>
      </c>
      <c r="T58" s="54">
        <f t="shared" si="14"/>
        <v>721625</v>
      </c>
      <c r="U58" s="99">
        <v>0</v>
      </c>
      <c r="V58" s="102">
        <v>0</v>
      </c>
      <c r="W58" s="54">
        <v>0</v>
      </c>
      <c r="X58" s="58" t="s">
        <v>212</v>
      </c>
      <c r="Y58" s="59" t="s">
        <v>212</v>
      </c>
      <c r="Z58" s="54">
        <f>-3400-61941</f>
        <v>-65341</v>
      </c>
      <c r="AA58" s="58" t="s">
        <v>215</v>
      </c>
      <c r="AB58" s="59" t="s">
        <v>219</v>
      </c>
      <c r="AC58" s="62">
        <f t="shared" si="24"/>
        <v>656284</v>
      </c>
      <c r="AD58" s="63">
        <f>+T58*(1+$AD$11)</f>
        <v>750490</v>
      </c>
      <c r="AE58" s="63">
        <f>+L58*$AE$11</f>
        <v>677808.96</v>
      </c>
      <c r="AF58" s="221">
        <f t="shared" si="4"/>
        <v>-49767</v>
      </c>
      <c r="AG58" s="222">
        <f t="shared" si="5"/>
        <v>-0.07048640962196782</v>
      </c>
    </row>
    <row r="59" spans="1:33" ht="14.25" hidden="1">
      <c r="A59" s="11" t="s">
        <v>56</v>
      </c>
      <c r="D59" s="2"/>
      <c r="E59" s="52">
        <v>0</v>
      </c>
      <c r="F59" s="53">
        <v>0</v>
      </c>
      <c r="G59" s="54">
        <v>0</v>
      </c>
      <c r="H59" s="55"/>
      <c r="I59" s="55"/>
      <c r="J59" s="52">
        <v>0</v>
      </c>
      <c r="K59" s="53">
        <v>0</v>
      </c>
      <c r="L59" s="56">
        <f>SUM(G59+H59)</f>
        <v>0</v>
      </c>
      <c r="M59" s="57"/>
      <c r="N59" s="55"/>
      <c r="O59" s="52"/>
      <c r="P59" s="53"/>
      <c r="Q59" s="54"/>
      <c r="R59" s="58"/>
      <c r="S59" s="59"/>
      <c r="T59" s="54"/>
      <c r="U59" s="65"/>
      <c r="V59" s="60"/>
      <c r="W59" s="54"/>
      <c r="X59" s="61"/>
      <c r="Y59" s="60"/>
      <c r="Z59" s="54"/>
      <c r="AA59" s="52">
        <f t="shared" si="24"/>
        <v>0</v>
      </c>
      <c r="AB59" s="53">
        <f t="shared" si="24"/>
        <v>0</v>
      </c>
      <c r="AC59" s="54">
        <f t="shared" si="24"/>
        <v>0</v>
      </c>
      <c r="AD59" s="63">
        <f>+T59*(1+$AD$11)</f>
        <v>0</v>
      </c>
      <c r="AE59" s="63">
        <f>+L59*$AE$11</f>
        <v>0</v>
      </c>
      <c r="AF59" s="221">
        <f t="shared" si="4"/>
        <v>0</v>
      </c>
      <c r="AG59" s="222" t="e">
        <f t="shared" si="5"/>
        <v>#DIV/0!</v>
      </c>
    </row>
    <row r="60" spans="1:33" ht="14.25">
      <c r="A60" s="43" t="s">
        <v>12</v>
      </c>
      <c r="B60" s="43"/>
      <c r="C60" s="43"/>
      <c r="D60" s="43"/>
      <c r="E60" s="77">
        <f>SUM(E61:E65)</f>
        <v>31356</v>
      </c>
      <c r="F60" s="81">
        <f>SUM(F61:F65)</f>
        <v>32382</v>
      </c>
      <c r="G60" s="82">
        <f>SUM(G61:G65)</f>
        <v>5712698</v>
      </c>
      <c r="H60" s="72">
        <f>SUM(H61:H65)</f>
        <v>0</v>
      </c>
      <c r="I60" s="72">
        <f>SUM(I61:I65)</f>
        <v>0</v>
      </c>
      <c r="J60" s="77">
        <f>SUM(J61:J64)</f>
        <v>31359</v>
      </c>
      <c r="K60" s="77">
        <f aca="true" t="shared" si="25" ref="K60:AC60">SUM(K61:K64)</f>
        <v>33103</v>
      </c>
      <c r="L60" s="77">
        <f t="shared" si="25"/>
        <v>6040050</v>
      </c>
      <c r="M60" s="77">
        <f t="shared" si="25"/>
        <v>0</v>
      </c>
      <c r="N60" s="77">
        <f t="shared" si="25"/>
        <v>0</v>
      </c>
      <c r="O60" s="77">
        <f t="shared" si="25"/>
        <v>0</v>
      </c>
      <c r="P60" s="77">
        <f t="shared" si="25"/>
        <v>38</v>
      </c>
      <c r="Q60" s="77">
        <f t="shared" si="25"/>
        <v>140332</v>
      </c>
      <c r="R60" s="77">
        <f t="shared" si="25"/>
        <v>31359</v>
      </c>
      <c r="S60" s="77">
        <f t="shared" si="25"/>
        <v>33141</v>
      </c>
      <c r="T60" s="77">
        <f t="shared" si="25"/>
        <v>6180382</v>
      </c>
      <c r="U60" s="77">
        <f t="shared" si="25"/>
        <v>805</v>
      </c>
      <c r="V60" s="77">
        <f t="shared" si="25"/>
        <v>484</v>
      </c>
      <c r="W60" s="77">
        <f t="shared" si="25"/>
        <v>261860</v>
      </c>
      <c r="X60" s="77">
        <f t="shared" si="25"/>
        <v>-3500</v>
      </c>
      <c r="Y60" s="77">
        <f t="shared" si="25"/>
        <v>-3660</v>
      </c>
      <c r="Z60" s="77">
        <f t="shared" si="25"/>
        <v>0</v>
      </c>
      <c r="AA60" s="77">
        <f t="shared" si="25"/>
        <v>28664</v>
      </c>
      <c r="AB60" s="77">
        <f t="shared" si="25"/>
        <v>29965</v>
      </c>
      <c r="AC60" s="77">
        <f t="shared" si="25"/>
        <v>6442242</v>
      </c>
      <c r="AD60" s="75">
        <f>SUM(AD61:AD65)</f>
        <v>6393078.640000001</v>
      </c>
      <c r="AE60" s="75">
        <f>SUM(AE61:AE65)</f>
        <v>5749111.68</v>
      </c>
      <c r="AF60" s="221">
        <f t="shared" si="4"/>
        <v>402192</v>
      </c>
      <c r="AG60" s="222">
        <f t="shared" si="5"/>
        <v>0.06658752824893834</v>
      </c>
    </row>
    <row r="61" spans="1:33" ht="14.25">
      <c r="A61" s="51" t="s">
        <v>114</v>
      </c>
      <c r="E61" s="52">
        <v>31356</v>
      </c>
      <c r="F61" s="53">
        <v>32382</v>
      </c>
      <c r="G61" s="54">
        <v>5675570</v>
      </c>
      <c r="H61" s="55"/>
      <c r="I61" s="55"/>
      <c r="J61" s="52">
        <v>31359</v>
      </c>
      <c r="K61" s="53">
        <v>33103</v>
      </c>
      <c r="L61" s="56">
        <v>5988658</v>
      </c>
      <c r="M61" s="57">
        <v>0</v>
      </c>
      <c r="N61" s="55">
        <v>0</v>
      </c>
      <c r="O61" s="52">
        <v>0</v>
      </c>
      <c r="P61" s="53">
        <v>38</v>
      </c>
      <c r="Q61" s="62">
        <v>158533</v>
      </c>
      <c r="R61" s="90">
        <f>+J61+O61</f>
        <v>31359</v>
      </c>
      <c r="S61" s="91">
        <f>+K61+P61</f>
        <v>33141</v>
      </c>
      <c r="T61" s="54">
        <f>+L61+Q61+N61</f>
        <v>6147191</v>
      </c>
      <c r="U61" s="92">
        <v>805</v>
      </c>
      <c r="V61" s="93">
        <v>484</v>
      </c>
      <c r="W61" s="62">
        <v>261860</v>
      </c>
      <c r="X61" s="103">
        <v>-3500</v>
      </c>
      <c r="Y61" s="104">
        <v>-3660</v>
      </c>
      <c r="Z61" s="97">
        <v>0</v>
      </c>
      <c r="AA61" s="52">
        <f aca="true" t="shared" si="26" ref="AA61:AC66">+X61+U61+R61</f>
        <v>28664</v>
      </c>
      <c r="AB61" s="53">
        <f t="shared" si="26"/>
        <v>29965</v>
      </c>
      <c r="AC61" s="62">
        <f t="shared" si="26"/>
        <v>6409051</v>
      </c>
      <c r="AD61" s="63">
        <f>+T61*(1+$AD$11)</f>
        <v>6393078.640000001</v>
      </c>
      <c r="AE61" s="63">
        <f>+L61*$AE$11</f>
        <v>5749111.68</v>
      </c>
      <c r="AF61" s="221">
        <f t="shared" si="4"/>
        <v>420393</v>
      </c>
      <c r="AG61" s="222">
        <f t="shared" si="5"/>
        <v>0.07019819799360724</v>
      </c>
    </row>
    <row r="62" spans="1:33" ht="14.25">
      <c r="A62" s="11" t="s">
        <v>138</v>
      </c>
      <c r="E62" s="52"/>
      <c r="F62" s="53"/>
      <c r="G62" s="54"/>
      <c r="H62" s="55"/>
      <c r="I62" s="55"/>
      <c r="J62" s="52"/>
      <c r="K62" s="53"/>
      <c r="L62" s="56">
        <v>0</v>
      </c>
      <c r="M62" s="57"/>
      <c r="N62" s="55">
        <v>0</v>
      </c>
      <c r="O62" s="52">
        <v>0</v>
      </c>
      <c r="P62" s="53">
        <v>0</v>
      </c>
      <c r="Q62" s="54">
        <v>0</v>
      </c>
      <c r="R62" s="58">
        <f>+J62+O62</f>
        <v>0</v>
      </c>
      <c r="S62" s="59">
        <f>+K62+P62</f>
        <v>0</v>
      </c>
      <c r="T62" s="54">
        <f>+L62+Q62+N62</f>
        <v>0</v>
      </c>
      <c r="U62" s="65">
        <v>0</v>
      </c>
      <c r="V62" s="60">
        <v>0</v>
      </c>
      <c r="W62" s="54">
        <v>0</v>
      </c>
      <c r="X62" s="105">
        <v>0</v>
      </c>
      <c r="Y62" s="102">
        <v>0</v>
      </c>
      <c r="Z62" s="67">
        <v>0</v>
      </c>
      <c r="AA62" s="52">
        <f t="shared" si="26"/>
        <v>0</v>
      </c>
      <c r="AB62" s="53">
        <f t="shared" si="26"/>
        <v>0</v>
      </c>
      <c r="AC62" s="62">
        <f t="shared" si="26"/>
        <v>0</v>
      </c>
      <c r="AD62" s="63">
        <f>+T62*(1+$AD$11)</f>
        <v>0</v>
      </c>
      <c r="AE62" s="63">
        <f>+L62*$AE$11</f>
        <v>0</v>
      </c>
      <c r="AF62" s="221">
        <f t="shared" si="4"/>
        <v>0</v>
      </c>
      <c r="AG62" s="222" t="s">
        <v>198</v>
      </c>
    </row>
    <row r="63" spans="1:33" ht="15">
      <c r="A63" s="51" t="s">
        <v>156</v>
      </c>
      <c r="E63" s="52"/>
      <c r="F63" s="53"/>
      <c r="G63" s="54">
        <v>0</v>
      </c>
      <c r="H63" s="55"/>
      <c r="I63" s="55"/>
      <c r="J63" s="58" t="s">
        <v>151</v>
      </c>
      <c r="K63" s="59" t="s">
        <v>151</v>
      </c>
      <c r="L63" s="89" t="s">
        <v>152</v>
      </c>
      <c r="M63" s="57"/>
      <c r="N63" s="55">
        <v>0</v>
      </c>
      <c r="O63" s="52">
        <v>0</v>
      </c>
      <c r="P63" s="53">
        <v>0</v>
      </c>
      <c r="Q63" s="54">
        <v>0</v>
      </c>
      <c r="R63" s="106">
        <v>0</v>
      </c>
      <c r="S63" s="107">
        <v>0</v>
      </c>
      <c r="T63" s="108">
        <v>0</v>
      </c>
      <c r="U63" s="65">
        <v>0</v>
      </c>
      <c r="V63" s="60">
        <v>0</v>
      </c>
      <c r="W63" s="54">
        <v>0</v>
      </c>
      <c r="X63" s="105">
        <v>0</v>
      </c>
      <c r="Y63" s="102">
        <v>0</v>
      </c>
      <c r="Z63" s="67">
        <v>0</v>
      </c>
      <c r="AA63" s="106">
        <v>0</v>
      </c>
      <c r="AB63" s="107">
        <v>0</v>
      </c>
      <c r="AC63" s="109">
        <v>0</v>
      </c>
      <c r="AD63" s="110">
        <v>0</v>
      </c>
      <c r="AE63" s="63">
        <v>0</v>
      </c>
      <c r="AF63" s="221">
        <v>0</v>
      </c>
      <c r="AG63" s="222" t="s">
        <v>198</v>
      </c>
    </row>
    <row r="64" spans="1:33" ht="15">
      <c r="A64" s="51" t="s">
        <v>115</v>
      </c>
      <c r="E64" s="52">
        <v>0</v>
      </c>
      <c r="F64" s="53">
        <v>0</v>
      </c>
      <c r="G64" s="54">
        <v>37128</v>
      </c>
      <c r="H64" s="55"/>
      <c r="I64" s="55"/>
      <c r="J64" s="52">
        <v>0</v>
      </c>
      <c r="K64" s="53">
        <v>0</v>
      </c>
      <c r="L64" s="56">
        <v>51392</v>
      </c>
      <c r="M64" s="57"/>
      <c r="N64" s="55">
        <v>0</v>
      </c>
      <c r="O64" s="52">
        <v>0</v>
      </c>
      <c r="P64" s="53">
        <v>0</v>
      </c>
      <c r="Q64" s="54">
        <v>-18201</v>
      </c>
      <c r="R64" s="58">
        <f aca="true" t="shared" si="27" ref="R64:S66">+J64+O64</f>
        <v>0</v>
      </c>
      <c r="S64" s="59">
        <f t="shared" si="27"/>
        <v>0</v>
      </c>
      <c r="T64" s="54">
        <f>+L64+Q64+N64</f>
        <v>33191</v>
      </c>
      <c r="U64" s="65">
        <v>0</v>
      </c>
      <c r="V64" s="60">
        <v>0</v>
      </c>
      <c r="W64" s="54">
        <v>0</v>
      </c>
      <c r="X64" s="61">
        <v>0</v>
      </c>
      <c r="Y64" s="60">
        <v>0</v>
      </c>
      <c r="Z64" s="54">
        <v>0</v>
      </c>
      <c r="AA64" s="52">
        <f>+X64+U64+R64</f>
        <v>0</v>
      </c>
      <c r="AB64" s="53">
        <f>+Y64+V64+S64</f>
        <v>0</v>
      </c>
      <c r="AC64" s="62">
        <f>+Z64+W64+T64</f>
        <v>33191</v>
      </c>
      <c r="AD64" s="110"/>
      <c r="AE64" s="63"/>
      <c r="AF64" s="221">
        <f t="shared" si="4"/>
        <v>-18201</v>
      </c>
      <c r="AG64" s="222">
        <f t="shared" si="5"/>
        <v>-0.3541601805728518</v>
      </c>
    </row>
    <row r="65" spans="1:33" ht="14.25">
      <c r="A65" s="216" t="s">
        <v>205</v>
      </c>
      <c r="B65" s="216"/>
      <c r="C65" s="216"/>
      <c r="D65" s="216"/>
      <c r="E65" s="217"/>
      <c r="F65" s="218"/>
      <c r="G65" s="62">
        <v>0</v>
      </c>
      <c r="H65" s="219"/>
      <c r="I65" s="219"/>
      <c r="J65" s="217">
        <v>0</v>
      </c>
      <c r="K65" s="218">
        <v>0</v>
      </c>
      <c r="L65" s="220">
        <v>0</v>
      </c>
      <c r="M65" s="68"/>
      <c r="N65" s="219">
        <v>0</v>
      </c>
      <c r="O65" s="52">
        <v>0</v>
      </c>
      <c r="P65" s="53">
        <v>0</v>
      </c>
      <c r="Q65" s="54">
        <v>0</v>
      </c>
      <c r="R65" s="58">
        <f t="shared" si="27"/>
        <v>0</v>
      </c>
      <c r="S65" s="59">
        <f t="shared" si="27"/>
        <v>0</v>
      </c>
      <c r="T65" s="54">
        <f>+L65+Q65+N65</f>
        <v>0</v>
      </c>
      <c r="U65" s="65">
        <v>0</v>
      </c>
      <c r="V65" s="60">
        <v>0</v>
      </c>
      <c r="W65" s="54">
        <v>0</v>
      </c>
      <c r="X65" s="61">
        <v>0</v>
      </c>
      <c r="Y65" s="60">
        <v>0</v>
      </c>
      <c r="Z65" s="54">
        <v>0</v>
      </c>
      <c r="AA65" s="52">
        <f t="shared" si="26"/>
        <v>0</v>
      </c>
      <c r="AB65" s="53">
        <f t="shared" si="26"/>
        <v>0</v>
      </c>
      <c r="AC65" s="62">
        <f t="shared" si="26"/>
        <v>0</v>
      </c>
      <c r="AD65" s="63">
        <f>+T65*(1+$AD$11)</f>
        <v>0</v>
      </c>
      <c r="AE65" s="63">
        <f>+L65*$AE$11</f>
        <v>0</v>
      </c>
      <c r="AF65" s="221">
        <f t="shared" si="4"/>
        <v>0</v>
      </c>
      <c r="AG65" s="222" t="e">
        <f t="shared" si="5"/>
        <v>#DIV/0!</v>
      </c>
    </row>
    <row r="66" spans="1:33" ht="14.25">
      <c r="A66" s="216" t="s">
        <v>207</v>
      </c>
      <c r="B66" s="216"/>
      <c r="C66" s="216"/>
      <c r="D66" s="216"/>
      <c r="E66" s="217">
        <v>0</v>
      </c>
      <c r="F66" s="218">
        <v>0</v>
      </c>
      <c r="G66" s="62">
        <v>0</v>
      </c>
      <c r="H66" s="219"/>
      <c r="I66" s="219"/>
      <c r="J66" s="217">
        <v>0</v>
      </c>
      <c r="K66" s="218">
        <v>0</v>
      </c>
      <c r="L66" s="220">
        <v>0</v>
      </c>
      <c r="M66" s="68"/>
      <c r="N66" s="219">
        <v>0</v>
      </c>
      <c r="O66" s="52">
        <v>0</v>
      </c>
      <c r="P66" s="53">
        <v>0</v>
      </c>
      <c r="Q66" s="54">
        <v>0</v>
      </c>
      <c r="R66" s="58">
        <f t="shared" si="27"/>
        <v>0</v>
      </c>
      <c r="S66" s="59">
        <f t="shared" si="27"/>
        <v>0</v>
      </c>
      <c r="T66" s="54">
        <f>+L66+Q66+N66</f>
        <v>0</v>
      </c>
      <c r="U66" s="65">
        <v>0</v>
      </c>
      <c r="V66" s="60">
        <v>0</v>
      </c>
      <c r="W66" s="54">
        <v>0</v>
      </c>
      <c r="X66" s="61">
        <v>0</v>
      </c>
      <c r="Y66" s="60">
        <v>0</v>
      </c>
      <c r="Z66" s="54">
        <v>0</v>
      </c>
      <c r="AA66" s="52">
        <f t="shared" si="26"/>
        <v>0</v>
      </c>
      <c r="AB66" s="53">
        <f t="shared" si="26"/>
        <v>0</v>
      </c>
      <c r="AC66" s="62">
        <f t="shared" si="26"/>
        <v>0</v>
      </c>
      <c r="AD66" s="63"/>
      <c r="AE66" s="63"/>
      <c r="AF66" s="221">
        <f t="shared" si="4"/>
        <v>0</v>
      </c>
      <c r="AG66" s="222" t="e">
        <f t="shared" si="5"/>
        <v>#DIV/0!</v>
      </c>
    </row>
    <row r="67" spans="1:33" ht="14.25">
      <c r="A67" s="43" t="s">
        <v>13</v>
      </c>
      <c r="B67" s="43"/>
      <c r="C67" s="43"/>
      <c r="D67" s="43"/>
      <c r="E67" s="77">
        <f>SUM(E68)</f>
        <v>8251</v>
      </c>
      <c r="F67" s="81">
        <f>SUM(F68)</f>
        <v>9655</v>
      </c>
      <c r="G67" s="82">
        <f>SUM(G68)</f>
        <v>1674918</v>
      </c>
      <c r="H67" s="72">
        <f>SUM(H68:H68)</f>
        <v>0</v>
      </c>
      <c r="I67" s="72">
        <f>SUM(I68:I68)</f>
        <v>0</v>
      </c>
      <c r="J67" s="77">
        <f>SUM(J68)</f>
        <v>8138</v>
      </c>
      <c r="K67" s="81">
        <f>SUM(K68)</f>
        <v>9469</v>
      </c>
      <c r="L67" s="86">
        <f>SUM(L68)</f>
        <v>1736491</v>
      </c>
      <c r="M67" s="72">
        <f aca="true" t="shared" si="28" ref="M67:AE67">SUM(M68:M68)</f>
        <v>0</v>
      </c>
      <c r="N67" s="72">
        <f t="shared" si="28"/>
        <v>0</v>
      </c>
      <c r="O67" s="69">
        <f t="shared" si="28"/>
        <v>0</v>
      </c>
      <c r="P67" s="70">
        <f t="shared" si="28"/>
        <v>33</v>
      </c>
      <c r="Q67" s="71">
        <f t="shared" si="28"/>
        <v>62663</v>
      </c>
      <c r="R67" s="69">
        <f t="shared" si="28"/>
        <v>8138</v>
      </c>
      <c r="S67" s="70">
        <f t="shared" si="28"/>
        <v>9502</v>
      </c>
      <c r="T67" s="71">
        <f t="shared" si="28"/>
        <v>1799154</v>
      </c>
      <c r="U67" s="74">
        <f t="shared" si="28"/>
        <v>20</v>
      </c>
      <c r="V67" s="70">
        <f t="shared" si="28"/>
        <v>14</v>
      </c>
      <c r="W67" s="71">
        <f t="shared" si="28"/>
        <v>17883</v>
      </c>
      <c r="X67" s="69">
        <f t="shared" si="28"/>
        <v>-174</v>
      </c>
      <c r="Y67" s="70">
        <f t="shared" si="28"/>
        <v>-178</v>
      </c>
      <c r="Z67" s="71">
        <f t="shared" si="28"/>
        <v>-37747</v>
      </c>
      <c r="AA67" s="69">
        <f t="shared" si="28"/>
        <v>7984</v>
      </c>
      <c r="AB67" s="70">
        <f t="shared" si="28"/>
        <v>9338</v>
      </c>
      <c r="AC67" s="72">
        <f t="shared" si="28"/>
        <v>1779290</v>
      </c>
      <c r="AD67" s="75">
        <f t="shared" si="28"/>
        <v>1871120.1600000001</v>
      </c>
      <c r="AE67" s="75">
        <f t="shared" si="28"/>
        <v>1667031.3599999999</v>
      </c>
      <c r="AF67" s="221">
        <f t="shared" si="4"/>
        <v>42799</v>
      </c>
      <c r="AG67" s="222">
        <f t="shared" si="5"/>
        <v>0.02464683087905437</v>
      </c>
    </row>
    <row r="68" spans="1:33" ht="14.25">
      <c r="A68" s="51" t="s">
        <v>116</v>
      </c>
      <c r="E68" s="52">
        <v>8251</v>
      </c>
      <c r="F68" s="53">
        <v>9655</v>
      </c>
      <c r="G68" s="54">
        <v>1674918</v>
      </c>
      <c r="H68" s="55"/>
      <c r="I68" s="55"/>
      <c r="J68" s="52">
        <v>8138</v>
      </c>
      <c r="K68" s="53">
        <f>9466+3</f>
        <v>9469</v>
      </c>
      <c r="L68" s="56">
        <v>1736491</v>
      </c>
      <c r="M68" s="55">
        <v>0</v>
      </c>
      <c r="N68" s="55">
        <v>0</v>
      </c>
      <c r="O68" s="52">
        <v>0</v>
      </c>
      <c r="P68" s="53">
        <v>33</v>
      </c>
      <c r="Q68" s="54">
        <f>62663</f>
        <v>62663</v>
      </c>
      <c r="R68" s="58">
        <f>+J68+O68</f>
        <v>8138</v>
      </c>
      <c r="S68" s="59">
        <f>+K68+P68</f>
        <v>9502</v>
      </c>
      <c r="T68" s="54">
        <f>+L68+Q68+N68</f>
        <v>1799154</v>
      </c>
      <c r="U68" s="65">
        <v>20</v>
      </c>
      <c r="V68" s="60">
        <v>14</v>
      </c>
      <c r="W68" s="54">
        <f>14483+3400</f>
        <v>17883</v>
      </c>
      <c r="X68" s="61">
        <v>-174</v>
      </c>
      <c r="Y68" s="60">
        <v>-178</v>
      </c>
      <c r="Z68" s="54">
        <v>-37747</v>
      </c>
      <c r="AA68" s="52">
        <f>+X68+U68+R68</f>
        <v>7984</v>
      </c>
      <c r="AB68" s="53">
        <f>+Y68+V68+S68</f>
        <v>9338</v>
      </c>
      <c r="AC68" s="62">
        <f>+Z68+W68+T68</f>
        <v>1779290</v>
      </c>
      <c r="AD68" s="63">
        <f>+T68*(1+$AD$11)</f>
        <v>1871120.1600000001</v>
      </c>
      <c r="AE68" s="63">
        <f>+L68*$AE$11</f>
        <v>1667031.3599999999</v>
      </c>
      <c r="AF68" s="221">
        <f t="shared" si="4"/>
        <v>42799</v>
      </c>
      <c r="AG68" s="222">
        <f t="shared" si="5"/>
        <v>0.02464683087905437</v>
      </c>
    </row>
    <row r="69" spans="1:33" ht="14.25">
      <c r="A69" s="43" t="s">
        <v>34</v>
      </c>
      <c r="B69" s="43"/>
      <c r="C69" s="43"/>
      <c r="D69" s="43"/>
      <c r="E69" s="77">
        <f aca="true" t="shared" si="29" ref="E69:AE69">SUM(E70:E71)</f>
        <v>5128</v>
      </c>
      <c r="F69" s="81">
        <f t="shared" si="29"/>
        <v>5095</v>
      </c>
      <c r="G69" s="82">
        <f t="shared" si="29"/>
        <v>931817</v>
      </c>
      <c r="H69" s="72">
        <f t="shared" si="29"/>
        <v>0</v>
      </c>
      <c r="I69" s="72">
        <f t="shared" si="29"/>
        <v>0</v>
      </c>
      <c r="J69" s="77">
        <f t="shared" si="29"/>
        <v>5148</v>
      </c>
      <c r="K69" s="81">
        <f t="shared" si="29"/>
        <v>5085</v>
      </c>
      <c r="L69" s="86">
        <f t="shared" si="29"/>
        <v>860128</v>
      </c>
      <c r="M69" s="72">
        <f t="shared" si="29"/>
        <v>0</v>
      </c>
      <c r="N69" s="72">
        <f t="shared" si="29"/>
        <v>0</v>
      </c>
      <c r="O69" s="69">
        <f t="shared" si="29"/>
        <v>0</v>
      </c>
      <c r="P69" s="70">
        <f t="shared" si="29"/>
        <v>43</v>
      </c>
      <c r="Q69" s="71">
        <f t="shared" si="29"/>
        <v>29583</v>
      </c>
      <c r="R69" s="69">
        <f t="shared" si="29"/>
        <v>5148</v>
      </c>
      <c r="S69" s="70">
        <f t="shared" si="29"/>
        <v>5128</v>
      </c>
      <c r="T69" s="71">
        <f t="shared" si="29"/>
        <v>889711</v>
      </c>
      <c r="U69" s="74">
        <f t="shared" si="29"/>
        <v>48</v>
      </c>
      <c r="V69" s="70">
        <f t="shared" si="29"/>
        <v>47</v>
      </c>
      <c r="W69" s="71">
        <f t="shared" si="29"/>
        <v>10584</v>
      </c>
      <c r="X69" s="69">
        <f t="shared" si="29"/>
        <v>-102</v>
      </c>
      <c r="Y69" s="70">
        <f t="shared" si="29"/>
        <v>-102</v>
      </c>
      <c r="Z69" s="71">
        <f t="shared" si="29"/>
        <v>-28441</v>
      </c>
      <c r="AA69" s="69">
        <f t="shared" si="29"/>
        <v>5094</v>
      </c>
      <c r="AB69" s="70">
        <f t="shared" si="29"/>
        <v>5073</v>
      </c>
      <c r="AC69" s="72">
        <f t="shared" si="29"/>
        <v>871854</v>
      </c>
      <c r="AD69" s="75">
        <f t="shared" si="29"/>
        <v>925299.4400000001</v>
      </c>
      <c r="AE69" s="75">
        <f t="shared" si="29"/>
        <v>825722.88</v>
      </c>
      <c r="AF69" s="221">
        <f t="shared" si="4"/>
        <v>11726</v>
      </c>
      <c r="AG69" s="222">
        <f t="shared" si="5"/>
        <v>0.013632854644890063</v>
      </c>
    </row>
    <row r="70" spans="1:33" ht="14.25">
      <c r="A70" s="51" t="s">
        <v>14</v>
      </c>
      <c r="E70" s="52">
        <v>5128</v>
      </c>
      <c r="F70" s="53">
        <v>5095</v>
      </c>
      <c r="G70" s="54">
        <v>931817</v>
      </c>
      <c r="H70" s="55"/>
      <c r="I70" s="55"/>
      <c r="J70" s="52">
        <v>5148</v>
      </c>
      <c r="K70" s="53">
        <v>5085</v>
      </c>
      <c r="L70" s="56">
        <v>860128</v>
      </c>
      <c r="M70" s="55">
        <v>0</v>
      </c>
      <c r="N70" s="55">
        <v>0</v>
      </c>
      <c r="O70" s="52">
        <v>0</v>
      </c>
      <c r="P70" s="53">
        <v>43</v>
      </c>
      <c r="Q70" s="54">
        <v>29583</v>
      </c>
      <c r="R70" s="58">
        <f>+J70+O70</f>
        <v>5148</v>
      </c>
      <c r="S70" s="59">
        <f>+K70+P70</f>
        <v>5128</v>
      </c>
      <c r="T70" s="54">
        <f>+L70+Q70+N70</f>
        <v>889711</v>
      </c>
      <c r="U70" s="65">
        <v>48</v>
      </c>
      <c r="V70" s="60">
        <v>47</v>
      </c>
      <c r="W70" s="54">
        <v>10584</v>
      </c>
      <c r="X70" s="61">
        <v>-102</v>
      </c>
      <c r="Y70" s="60">
        <v>-102</v>
      </c>
      <c r="Z70" s="54">
        <v>-28441</v>
      </c>
      <c r="AA70" s="52">
        <f aca="true" t="shared" si="30" ref="AA70:AC71">+X70+U70+R70</f>
        <v>5094</v>
      </c>
      <c r="AB70" s="53">
        <f t="shared" si="30"/>
        <v>5073</v>
      </c>
      <c r="AC70" s="62">
        <f t="shared" si="30"/>
        <v>871854</v>
      </c>
      <c r="AD70" s="63">
        <f>+T70*(1+$AD$11)</f>
        <v>925299.4400000001</v>
      </c>
      <c r="AE70" s="63">
        <f>+L70*$AE$11</f>
        <v>825722.88</v>
      </c>
      <c r="AF70" s="221">
        <f t="shared" si="4"/>
        <v>11726</v>
      </c>
      <c r="AG70" s="222">
        <f t="shared" si="5"/>
        <v>0.013632854644890063</v>
      </c>
    </row>
    <row r="71" spans="1:33" ht="14.25">
      <c r="A71" s="2" t="s">
        <v>68</v>
      </c>
      <c r="B71" s="2"/>
      <c r="C71" s="2"/>
      <c r="D71" s="2"/>
      <c r="E71" s="52"/>
      <c r="F71" s="53"/>
      <c r="G71" s="54">
        <v>0</v>
      </c>
      <c r="H71" s="55"/>
      <c r="I71" s="55"/>
      <c r="J71" s="52">
        <v>0</v>
      </c>
      <c r="K71" s="53">
        <v>0</v>
      </c>
      <c r="L71" s="56">
        <v>0</v>
      </c>
      <c r="M71" s="57"/>
      <c r="N71" s="55">
        <v>0</v>
      </c>
      <c r="O71" s="52">
        <v>0</v>
      </c>
      <c r="P71" s="53">
        <v>0</v>
      </c>
      <c r="Q71" s="54">
        <v>0</v>
      </c>
      <c r="R71" s="58">
        <f>+J71+O71</f>
        <v>0</v>
      </c>
      <c r="S71" s="59">
        <f>+K71+P71</f>
        <v>0</v>
      </c>
      <c r="T71" s="54">
        <f>+L71+Q71+N71</f>
        <v>0</v>
      </c>
      <c r="U71" s="65">
        <v>0</v>
      </c>
      <c r="V71" s="60">
        <v>0</v>
      </c>
      <c r="W71" s="54">
        <v>0</v>
      </c>
      <c r="X71" s="61">
        <v>0</v>
      </c>
      <c r="Y71" s="60">
        <v>0</v>
      </c>
      <c r="Z71" s="54">
        <v>0</v>
      </c>
      <c r="AA71" s="52">
        <f t="shared" si="30"/>
        <v>0</v>
      </c>
      <c r="AB71" s="53">
        <f t="shared" si="30"/>
        <v>0</v>
      </c>
      <c r="AC71" s="62">
        <f t="shared" si="30"/>
        <v>0</v>
      </c>
      <c r="AD71" s="63">
        <f>+T71*(1+$AD$11)</f>
        <v>0</v>
      </c>
      <c r="AE71" s="63">
        <f>+L71*$AE$11</f>
        <v>0</v>
      </c>
      <c r="AF71" s="221">
        <f t="shared" si="4"/>
        <v>0</v>
      </c>
      <c r="AG71" s="222" t="s">
        <v>198</v>
      </c>
    </row>
    <row r="72" spans="1:33" ht="14.25">
      <c r="A72" s="43" t="s">
        <v>15</v>
      </c>
      <c r="B72" s="43"/>
      <c r="C72" s="43"/>
      <c r="D72" s="43"/>
      <c r="E72" s="77">
        <f aca="true" t="shared" si="31" ref="E72:AE72">SUM(E73:E75)</f>
        <v>41952</v>
      </c>
      <c r="F72" s="81">
        <f t="shared" si="31"/>
        <v>38845</v>
      </c>
      <c r="G72" s="82">
        <f t="shared" si="31"/>
        <v>4930121</v>
      </c>
      <c r="H72" s="72">
        <f t="shared" si="31"/>
        <v>0</v>
      </c>
      <c r="I72" s="72">
        <f t="shared" si="31"/>
        <v>0</v>
      </c>
      <c r="J72" s="77">
        <f t="shared" si="31"/>
        <v>40136</v>
      </c>
      <c r="K72" s="81">
        <f t="shared" si="31"/>
        <v>37309</v>
      </c>
      <c r="L72" s="86">
        <f t="shared" si="31"/>
        <v>4962161</v>
      </c>
      <c r="M72" s="72">
        <f t="shared" si="31"/>
        <v>0</v>
      </c>
      <c r="N72" s="72">
        <f t="shared" si="31"/>
        <v>142000</v>
      </c>
      <c r="O72" s="69">
        <f t="shared" si="31"/>
        <v>0</v>
      </c>
      <c r="P72" s="70">
        <f t="shared" si="31"/>
        <v>0</v>
      </c>
      <c r="Q72" s="71">
        <f t="shared" si="31"/>
        <v>15192</v>
      </c>
      <c r="R72" s="69">
        <f t="shared" si="31"/>
        <v>40136</v>
      </c>
      <c r="S72" s="70">
        <f t="shared" si="31"/>
        <v>37309</v>
      </c>
      <c r="T72" s="71">
        <f t="shared" si="31"/>
        <v>5119353</v>
      </c>
      <c r="U72" s="74">
        <f t="shared" si="31"/>
        <v>0</v>
      </c>
      <c r="V72" s="70">
        <f t="shared" si="31"/>
        <v>0</v>
      </c>
      <c r="W72" s="71">
        <f t="shared" si="31"/>
        <v>208000</v>
      </c>
      <c r="X72" s="69">
        <f t="shared" si="31"/>
        <v>0</v>
      </c>
      <c r="Y72" s="70">
        <f t="shared" si="31"/>
        <v>0</v>
      </c>
      <c r="Z72" s="71">
        <f t="shared" si="31"/>
        <v>-159935</v>
      </c>
      <c r="AA72" s="69">
        <f t="shared" si="31"/>
        <v>40136</v>
      </c>
      <c r="AB72" s="71">
        <f>SUM(AB73:AB75)</f>
        <v>37309</v>
      </c>
      <c r="AC72" s="71">
        <f t="shared" si="31"/>
        <v>5167418</v>
      </c>
      <c r="AD72" s="75">
        <f t="shared" si="31"/>
        <v>5324127.12</v>
      </c>
      <c r="AE72" s="75">
        <f t="shared" si="31"/>
        <v>4899994.56</v>
      </c>
      <c r="AF72" s="221">
        <f t="shared" si="4"/>
        <v>205257</v>
      </c>
      <c r="AG72" s="222">
        <f t="shared" si="5"/>
        <v>0.04136443779232476</v>
      </c>
    </row>
    <row r="73" spans="1:33" ht="14.25">
      <c r="A73" s="51" t="s">
        <v>16</v>
      </c>
      <c r="E73" s="52">
        <v>41682</v>
      </c>
      <c r="F73" s="53">
        <v>38594</v>
      </c>
      <c r="G73" s="54">
        <v>4830160</v>
      </c>
      <c r="H73" s="55"/>
      <c r="I73" s="55"/>
      <c r="J73" s="52">
        <v>39873</v>
      </c>
      <c r="K73" s="53">
        <v>37062</v>
      </c>
      <c r="L73" s="56">
        <v>4987059</v>
      </c>
      <c r="M73" s="55"/>
      <c r="N73" s="55">
        <v>0</v>
      </c>
      <c r="O73" s="52">
        <v>0</v>
      </c>
      <c r="P73" s="53">
        <v>0</v>
      </c>
      <c r="Q73" s="54">
        <v>125294</v>
      </c>
      <c r="R73" s="58">
        <f aca="true" t="shared" si="32" ref="R73:S75">+J73+O73</f>
        <v>39873</v>
      </c>
      <c r="S73" s="59">
        <f t="shared" si="32"/>
        <v>37062</v>
      </c>
      <c r="T73" s="54">
        <f>+L73+Q73+N73</f>
        <v>5112353</v>
      </c>
      <c r="U73" s="65">
        <v>0</v>
      </c>
      <c r="V73" s="60">
        <v>0</v>
      </c>
      <c r="W73" s="54">
        <v>54000</v>
      </c>
      <c r="X73" s="61">
        <v>0</v>
      </c>
      <c r="Y73" s="60">
        <v>0</v>
      </c>
      <c r="Z73" s="54">
        <v>-40000</v>
      </c>
      <c r="AA73" s="52">
        <f aca="true" t="shared" si="33" ref="AA73:AC75">+X73+U73+R73</f>
        <v>39873</v>
      </c>
      <c r="AB73" s="53">
        <f t="shared" si="33"/>
        <v>37062</v>
      </c>
      <c r="AC73" s="62">
        <f t="shared" si="33"/>
        <v>5126353</v>
      </c>
      <c r="AD73" s="63">
        <f>+T73*(1+$AD$11)</f>
        <v>5316847.12</v>
      </c>
      <c r="AE73" s="63">
        <f>+L73*$AE$11</f>
        <v>4787576.64</v>
      </c>
      <c r="AF73" s="221">
        <f t="shared" si="4"/>
        <v>139294</v>
      </c>
      <c r="AG73" s="222">
        <f t="shared" si="5"/>
        <v>0.02793109125037422</v>
      </c>
    </row>
    <row r="74" spans="1:33" ht="14.25">
      <c r="A74" s="51" t="s">
        <v>72</v>
      </c>
      <c r="E74" s="52">
        <v>270</v>
      </c>
      <c r="F74" s="53">
        <v>251</v>
      </c>
      <c r="G74" s="54">
        <v>99961</v>
      </c>
      <c r="H74" s="55"/>
      <c r="I74" s="55"/>
      <c r="J74" s="52">
        <v>263</v>
      </c>
      <c r="K74" s="53">
        <v>247</v>
      </c>
      <c r="L74" s="56">
        <v>117102</v>
      </c>
      <c r="M74" s="55">
        <v>0</v>
      </c>
      <c r="N74" s="55">
        <v>0</v>
      </c>
      <c r="O74" s="52">
        <v>0</v>
      </c>
      <c r="P74" s="53">
        <v>0</v>
      </c>
      <c r="Q74" s="54">
        <v>-110102</v>
      </c>
      <c r="R74" s="58">
        <f t="shared" si="32"/>
        <v>263</v>
      </c>
      <c r="S74" s="59">
        <f t="shared" si="32"/>
        <v>247</v>
      </c>
      <c r="T74" s="54">
        <f>+L74+Q74+N74</f>
        <v>7000</v>
      </c>
      <c r="U74" s="65">
        <v>0</v>
      </c>
      <c r="V74" s="60">
        <v>0</v>
      </c>
      <c r="W74" s="54">
        <v>154000</v>
      </c>
      <c r="X74" s="61">
        <v>0</v>
      </c>
      <c r="Y74" s="60">
        <v>0</v>
      </c>
      <c r="Z74" s="54">
        <f>-9935-110000</f>
        <v>-119935</v>
      </c>
      <c r="AA74" s="52">
        <f t="shared" si="33"/>
        <v>263</v>
      </c>
      <c r="AB74" s="53">
        <f t="shared" si="33"/>
        <v>247</v>
      </c>
      <c r="AC74" s="62">
        <f t="shared" si="33"/>
        <v>41065</v>
      </c>
      <c r="AD74" s="63">
        <f>+T74*(1+$AD$11)</f>
        <v>7280</v>
      </c>
      <c r="AE74" s="63">
        <f>+L74*$AE$11</f>
        <v>112417.92</v>
      </c>
      <c r="AF74" s="221">
        <f t="shared" si="4"/>
        <v>-76037</v>
      </c>
      <c r="AG74" s="222">
        <f t="shared" si="5"/>
        <v>-0.6493228125907329</v>
      </c>
    </row>
    <row r="75" spans="1:33" ht="15">
      <c r="A75" s="76" t="s">
        <v>136</v>
      </c>
      <c r="B75" s="76"/>
      <c r="C75" s="76"/>
      <c r="D75" s="76"/>
      <c r="E75" s="52">
        <v>0</v>
      </c>
      <c r="F75" s="53">
        <v>0</v>
      </c>
      <c r="G75" s="54">
        <v>0</v>
      </c>
      <c r="H75" s="55"/>
      <c r="I75" s="55"/>
      <c r="J75" s="52">
        <v>0</v>
      </c>
      <c r="K75" s="53">
        <v>0</v>
      </c>
      <c r="L75" s="56">
        <v>-142000</v>
      </c>
      <c r="M75" s="57"/>
      <c r="N75" s="55">
        <v>142000</v>
      </c>
      <c r="O75" s="52">
        <v>0</v>
      </c>
      <c r="P75" s="53">
        <v>0</v>
      </c>
      <c r="Q75" s="54">
        <v>0</v>
      </c>
      <c r="R75" s="58">
        <f t="shared" si="32"/>
        <v>0</v>
      </c>
      <c r="S75" s="59">
        <f t="shared" si="32"/>
        <v>0</v>
      </c>
      <c r="T75" s="54">
        <f>+L75+Q75+N75</f>
        <v>0</v>
      </c>
      <c r="U75" s="65">
        <v>0</v>
      </c>
      <c r="V75" s="60">
        <v>0</v>
      </c>
      <c r="W75" s="54">
        <v>0</v>
      </c>
      <c r="X75" s="61">
        <v>0</v>
      </c>
      <c r="Y75" s="60">
        <v>0</v>
      </c>
      <c r="Z75" s="54">
        <v>0</v>
      </c>
      <c r="AA75" s="52">
        <f t="shared" si="33"/>
        <v>0</v>
      </c>
      <c r="AB75" s="53">
        <f t="shared" si="33"/>
        <v>0</v>
      </c>
      <c r="AC75" s="62">
        <f t="shared" si="33"/>
        <v>0</v>
      </c>
      <c r="AD75" s="63">
        <f>+T75*(1+$AD$11)</f>
        <v>0</v>
      </c>
      <c r="AE75" s="110">
        <v>0</v>
      </c>
      <c r="AF75" s="221">
        <f t="shared" si="4"/>
        <v>142000</v>
      </c>
      <c r="AG75" s="222">
        <f t="shared" si="5"/>
        <v>-1</v>
      </c>
    </row>
    <row r="76" spans="1:33" ht="14.25">
      <c r="A76" s="11" t="s">
        <v>76</v>
      </c>
      <c r="B76" s="51"/>
      <c r="C76" s="51"/>
      <c r="D76" s="51"/>
      <c r="E76" s="58" t="s">
        <v>60</v>
      </c>
      <c r="F76" s="53">
        <v>2295</v>
      </c>
      <c r="G76" s="54">
        <v>3322</v>
      </c>
      <c r="H76" s="55"/>
      <c r="I76" s="55"/>
      <c r="J76" s="58" t="s">
        <v>67</v>
      </c>
      <c r="K76" s="53">
        <v>1914</v>
      </c>
      <c r="L76" s="56">
        <v>2477</v>
      </c>
      <c r="M76" s="57"/>
      <c r="N76" s="55">
        <v>0</v>
      </c>
      <c r="O76" s="58">
        <v>0</v>
      </c>
      <c r="P76" s="59">
        <v>0</v>
      </c>
      <c r="Q76" s="67" t="s">
        <v>217</v>
      </c>
      <c r="R76" s="58" t="s">
        <v>67</v>
      </c>
      <c r="S76" s="59">
        <f>+K76+P76</f>
        <v>1914</v>
      </c>
      <c r="T76" s="54">
        <f>+L76</f>
        <v>2477</v>
      </c>
      <c r="U76" s="99" t="s">
        <v>191</v>
      </c>
      <c r="V76" s="102">
        <v>16</v>
      </c>
      <c r="W76" s="67" t="s">
        <v>201</v>
      </c>
      <c r="X76" s="61">
        <v>0</v>
      </c>
      <c r="Y76" s="60">
        <v>0</v>
      </c>
      <c r="Z76" s="54">
        <v>0</v>
      </c>
      <c r="AA76" s="58" t="s">
        <v>192</v>
      </c>
      <c r="AB76" s="53">
        <f>+Y76+V76+S76</f>
        <v>1930</v>
      </c>
      <c r="AC76" s="62">
        <f>+T76</f>
        <v>2477</v>
      </c>
      <c r="AD76" s="63">
        <f>+T76*(1+$AD$11)</f>
        <v>2576.08</v>
      </c>
      <c r="AE76" s="63">
        <f>+L76*$AE$11</f>
        <v>2377.92</v>
      </c>
      <c r="AF76" s="221">
        <f t="shared" si="4"/>
        <v>0</v>
      </c>
      <c r="AG76" s="222">
        <f t="shared" si="5"/>
        <v>0</v>
      </c>
    </row>
    <row r="77" spans="1:33" ht="15" thickBot="1">
      <c r="A77" s="11" t="s">
        <v>61</v>
      </c>
      <c r="E77" s="58" t="s">
        <v>48</v>
      </c>
      <c r="F77" s="53">
        <v>724</v>
      </c>
      <c r="G77" s="54">
        <v>0</v>
      </c>
      <c r="H77" s="55"/>
      <c r="I77" s="55"/>
      <c r="J77" s="58" t="s">
        <v>149</v>
      </c>
      <c r="K77" s="53">
        <v>695</v>
      </c>
      <c r="L77" s="56">
        <f>SUM(G77+H77)</f>
        <v>0</v>
      </c>
      <c r="M77" s="57"/>
      <c r="N77" s="55">
        <v>0</v>
      </c>
      <c r="O77" s="58">
        <v>0</v>
      </c>
      <c r="P77" s="53">
        <v>0</v>
      </c>
      <c r="Q77" s="54">
        <v>0</v>
      </c>
      <c r="R77" s="58" t="s">
        <v>149</v>
      </c>
      <c r="S77" s="59">
        <f>+K77+P77</f>
        <v>695</v>
      </c>
      <c r="T77" s="54">
        <f>+L77+Q77+N77</f>
        <v>0</v>
      </c>
      <c r="U77" s="99" t="s">
        <v>189</v>
      </c>
      <c r="V77" s="60">
        <v>6</v>
      </c>
      <c r="W77" s="54">
        <v>0</v>
      </c>
      <c r="X77" s="61">
        <v>0</v>
      </c>
      <c r="Y77" s="60">
        <v>0</v>
      </c>
      <c r="Z77" s="54">
        <v>0</v>
      </c>
      <c r="AA77" s="58" t="s">
        <v>190</v>
      </c>
      <c r="AB77" s="53">
        <f>+Y77+V77+S77</f>
        <v>701</v>
      </c>
      <c r="AC77" s="62">
        <f>+Z77+W77+T77</f>
        <v>0</v>
      </c>
      <c r="AD77" s="63">
        <f>+T77*(1+$AD$11)</f>
        <v>0</v>
      </c>
      <c r="AE77" s="63">
        <f>+L77*$AE$11</f>
        <v>0</v>
      </c>
      <c r="AF77" s="221">
        <f aca="true" t="shared" si="34" ref="AF77:AF109">+AC77-L77</f>
        <v>0</v>
      </c>
      <c r="AG77" s="222" t="s">
        <v>198</v>
      </c>
    </row>
    <row r="78" spans="1:115" ht="16.5" thickBot="1" thickTop="1">
      <c r="A78" s="111" t="s">
        <v>58</v>
      </c>
      <c r="B78" s="112"/>
      <c r="C78" s="112"/>
      <c r="D78" s="112"/>
      <c r="E78" s="113">
        <f>SUM(E12,E15:E16,E17:E18,E19:E20,E23,E26:E27,E31:E33,E43:E52,E55:E56,E58:E59,E60,E67:E67,E69,E72,E76,E77)</f>
        <v>107936</v>
      </c>
      <c r="F78" s="113">
        <f>SUM(F12,F15:F16,F17:F18,F19:F20,F23,F26:F27,F31:F33,F43:F52,F55:F56,F58:F59,F60,F67:F67,F69,F72,F76,F77)</f>
        <v>115303</v>
      </c>
      <c r="G78" s="113">
        <f>SUM(G12,G15:G16,G17:G18,G19:G20,G23,G26:G27,G31:G33,G43:G52,G55:G56,G58:G59,G60,G67:G67,G69,G72,G76,G77)</f>
        <v>18624990</v>
      </c>
      <c r="H78" s="113">
        <f>SUM(H12,H15:H16,H17:H18,H19:H20,H23,H26:H27,H31:H33,H43:H52,H55:H56,H58:H59,H60,H67:H67,H69,H72,H76,H77)</f>
        <v>0</v>
      </c>
      <c r="I78" s="113">
        <f>SUM(I12,I15:I16,I17:I18,I19:I20,I23,I26:I27,I31:I33,I43:I52,I55:I56,I58:I59,I60,I67:I67,I69,I72,I76,I77)</f>
        <v>0</v>
      </c>
      <c r="J78" s="113">
        <f>SUM(J12,J15:J16,J17:J18,J19:J20,J23,J26:J27,J31:J33,J43:J52,J55:J56,J58:J59,J60,J65,J66,J67,J69,J72,J76,J77)</f>
        <v>106718</v>
      </c>
      <c r="K78" s="113">
        <f aca="true" t="shared" si="35" ref="K78:Z78">SUM(K12,K15:K16,K17:K18,K19:K20,K23,K26:K27,K31:K33,K43:K52,K55:K56,K58:K59,K60,K65,K66,K67,K69,K72,K76,K77)</f>
        <v>114578</v>
      </c>
      <c r="L78" s="113">
        <f t="shared" si="35"/>
        <v>19601913</v>
      </c>
      <c r="M78" s="113">
        <f t="shared" si="35"/>
        <v>0</v>
      </c>
      <c r="N78" s="113">
        <f t="shared" si="35"/>
        <v>154532</v>
      </c>
      <c r="O78" s="113">
        <f t="shared" si="35"/>
        <v>-120</v>
      </c>
      <c r="P78" s="113">
        <f t="shared" si="35"/>
        <v>349</v>
      </c>
      <c r="Q78" s="113">
        <f t="shared" si="35"/>
        <v>451653</v>
      </c>
      <c r="R78" s="113">
        <f t="shared" si="35"/>
        <v>106598</v>
      </c>
      <c r="S78" s="113">
        <f t="shared" si="35"/>
        <v>114927</v>
      </c>
      <c r="T78" s="113">
        <f t="shared" si="35"/>
        <v>20208098</v>
      </c>
      <c r="U78" s="113">
        <f t="shared" si="35"/>
        <v>1459</v>
      </c>
      <c r="V78" s="113">
        <f t="shared" si="35"/>
        <v>1043</v>
      </c>
      <c r="W78" s="113">
        <f t="shared" si="35"/>
        <v>566994</v>
      </c>
      <c r="X78" s="113">
        <f t="shared" si="35"/>
        <v>-3776</v>
      </c>
      <c r="Y78" s="113">
        <f t="shared" si="35"/>
        <v>-4178</v>
      </c>
      <c r="Z78" s="113">
        <f t="shared" si="35"/>
        <v>-374883</v>
      </c>
      <c r="AA78" s="113">
        <f>SUM(AA12,AA15:AA16,AA17:AA18,AA19:AA20,AA23,AA26:AA27,AA31:AA33,AA43:AA52,AA55:AA56,AA58:AA59,AA60,AA65,AA66,AA67,AA69,AA72,AA76,AA77)</f>
        <v>104281</v>
      </c>
      <c r="AB78" s="113">
        <f>SUM(AB12,AB15:AB16,AB17:AB18,AB19:AB20,AB23,AB26:AB27,AB31:AB33,AB43:AB52,AB55:AB56,AB58:AB59,AB60,AB65,AB66,AB67,AB69,AB72,AB76,AB77)</f>
        <v>111792</v>
      </c>
      <c r="AC78" s="113">
        <f>SUM(AC12,AC15:AC16,AC17:AC18,AC19:AC20,AC23,AC26:AC27,AC31:AC33,AC43:AC52,AC55:AC56,AC58:AC59,AC60,AC65,AC66,AC67,AC69,AC72,AC76,AC77)</f>
        <v>20400209</v>
      </c>
      <c r="AD78" s="113">
        <f>SUM(AD12,AD15:AD16,AD17:AD18,AD19:AD20,AD23,AD26:AD27,AD31:AD33,AD43:AD52,AD55:AD56,AD58:AD59,AD60,AD67:AD67,AD69,AD72,AD76,AD77)</f>
        <v>19077705.88</v>
      </c>
      <c r="AE78" s="113">
        <f>SUM(AE12,AE15:AE16,AE17:AE18,AE19:AE20,AE23,AE26:AE27,AE31:AE33,AE43:AE52,AE55:AE56,AE58:AE59,AE60,AE67:AE67,AE69,AE72,AE76,AE77)</f>
        <v>17260858.6</v>
      </c>
      <c r="AF78" s="221">
        <f t="shared" si="34"/>
        <v>798296</v>
      </c>
      <c r="AG78" s="222">
        <f aca="true" t="shared" si="36" ref="AG78:AG109">+AF78/L78</f>
        <v>0.04072541287169268</v>
      </c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4"/>
      <c r="BY78" s="114"/>
      <c r="BZ78" s="114"/>
      <c r="CA78" s="114"/>
      <c r="CB78" s="114"/>
      <c r="CC78" s="114"/>
      <c r="CD78" s="3"/>
      <c r="CE78" s="114"/>
      <c r="CF78" s="114"/>
      <c r="CG78" s="114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</row>
    <row r="79" spans="1:33" ht="15.75" thickBot="1" thickTop="1">
      <c r="A79" s="43" t="s">
        <v>53</v>
      </c>
      <c r="B79" s="43"/>
      <c r="C79" s="43"/>
      <c r="D79" s="43"/>
      <c r="E79" s="77">
        <f>+E80+E92+E95+E96</f>
        <v>901</v>
      </c>
      <c r="F79" s="77">
        <f>+F80+F92+F95+F96</f>
        <v>918</v>
      </c>
      <c r="G79" s="77">
        <f>+G80+G92+G95+G96</f>
        <v>2536680</v>
      </c>
      <c r="H79" s="77">
        <f>+H80+H92+H95+H96</f>
        <v>0</v>
      </c>
      <c r="I79" s="77">
        <f>+I80+I92+I95+I96</f>
        <v>0</v>
      </c>
      <c r="J79" s="117">
        <f>+J80+J92+J95</f>
        <v>905</v>
      </c>
      <c r="K79" s="117">
        <f>+K80+K92+K95</f>
        <v>920</v>
      </c>
      <c r="L79" s="117">
        <f>+L80+L92+L95</f>
        <v>1228061</v>
      </c>
      <c r="M79" s="77">
        <v>0</v>
      </c>
      <c r="N79" s="77">
        <f aca="true" t="shared" si="37" ref="N79:AC79">+N80+N92+N95</f>
        <v>255000</v>
      </c>
      <c r="O79" s="115">
        <f t="shared" si="37"/>
        <v>0</v>
      </c>
      <c r="P79" s="116">
        <f t="shared" si="37"/>
        <v>2</v>
      </c>
      <c r="Q79" s="118">
        <f t="shared" si="37"/>
        <v>6633</v>
      </c>
      <c r="R79" s="115">
        <f t="shared" si="37"/>
        <v>202</v>
      </c>
      <c r="S79" s="116">
        <f t="shared" si="37"/>
        <v>204</v>
      </c>
      <c r="T79" s="118">
        <f t="shared" si="37"/>
        <v>1489694</v>
      </c>
      <c r="U79" s="115">
        <f t="shared" si="37"/>
        <v>45</v>
      </c>
      <c r="V79" s="116">
        <f t="shared" si="37"/>
        <v>45</v>
      </c>
      <c r="W79" s="118">
        <f t="shared" si="37"/>
        <v>1134182</v>
      </c>
      <c r="X79" s="115">
        <f t="shared" si="37"/>
        <v>0</v>
      </c>
      <c r="Y79" s="116">
        <f t="shared" si="37"/>
        <v>-36</v>
      </c>
      <c r="Z79" s="118">
        <f t="shared" si="37"/>
        <v>-2451817</v>
      </c>
      <c r="AA79" s="115">
        <f t="shared" si="37"/>
        <v>247</v>
      </c>
      <c r="AB79" s="116">
        <f t="shared" si="37"/>
        <v>213</v>
      </c>
      <c r="AC79" s="118">
        <f t="shared" si="37"/>
        <v>172059</v>
      </c>
      <c r="AD79" s="119">
        <f>+AD80+AD92+AD95+AD96</f>
        <v>1549281.76</v>
      </c>
      <c r="AE79" s="119">
        <f>+AE80+AE92+AE95+AE96</f>
        <v>1423738.5599999998</v>
      </c>
      <c r="AF79" s="221">
        <f t="shared" si="34"/>
        <v>-1056002</v>
      </c>
      <c r="AG79" s="222">
        <f t="shared" si="36"/>
        <v>-0.8598937674920057</v>
      </c>
    </row>
    <row r="80" spans="1:33" ht="15" thickTop="1">
      <c r="A80" s="50" t="s">
        <v>195</v>
      </c>
      <c r="B80" s="50"/>
      <c r="C80" s="50"/>
      <c r="D80" s="50"/>
      <c r="E80" s="120">
        <f>+E81+E84+E87+E90+E91</f>
        <v>655</v>
      </c>
      <c r="F80" s="121">
        <f>+F81+F84+F87+F90+F91</f>
        <v>672</v>
      </c>
      <c r="G80" s="122">
        <f>+G81+G84+G87+G90+G91</f>
        <v>1788688</v>
      </c>
      <c r="H80" s="122">
        <f>+H81+H84+H87+H90+H91</f>
        <v>0</v>
      </c>
      <c r="I80" s="122">
        <f>+I81+I84+I87+I90+I91</f>
        <v>0</v>
      </c>
      <c r="J80" s="115">
        <v>905</v>
      </c>
      <c r="K80" s="116">
        <v>920</v>
      </c>
      <c r="L80" s="117">
        <f>+L81+L84+L87+L90+L91</f>
        <v>906452</v>
      </c>
      <c r="M80" s="77">
        <v>0</v>
      </c>
      <c r="N80" s="117">
        <f>+N81+N84+N87+N90+N91</f>
        <v>127500</v>
      </c>
      <c r="O80" s="115">
        <f aca="true" t="shared" si="38" ref="O80:AC80">+O81+O84+O87+O90+O91</f>
        <v>0</v>
      </c>
      <c r="P80" s="116">
        <f t="shared" si="38"/>
        <v>0</v>
      </c>
      <c r="Q80" s="118">
        <f t="shared" si="38"/>
        <v>321839</v>
      </c>
      <c r="R80" s="115">
        <f t="shared" si="38"/>
        <v>0</v>
      </c>
      <c r="S80" s="116">
        <f t="shared" si="38"/>
        <v>0</v>
      </c>
      <c r="T80" s="118">
        <f t="shared" si="38"/>
        <v>1355791</v>
      </c>
      <c r="U80" s="115">
        <f t="shared" si="38"/>
        <v>0</v>
      </c>
      <c r="V80" s="116">
        <f t="shared" si="38"/>
        <v>0</v>
      </c>
      <c r="W80" s="118">
        <f t="shared" si="38"/>
        <v>494503</v>
      </c>
      <c r="X80" s="115">
        <f t="shared" si="38"/>
        <v>0</v>
      </c>
      <c r="Y80" s="116">
        <f t="shared" si="38"/>
        <v>0</v>
      </c>
      <c r="Z80" s="118">
        <f t="shared" si="38"/>
        <v>-1739826</v>
      </c>
      <c r="AA80" s="115">
        <f t="shared" si="38"/>
        <v>0</v>
      </c>
      <c r="AB80" s="116">
        <f t="shared" si="38"/>
        <v>0</v>
      </c>
      <c r="AC80" s="118">
        <f t="shared" si="38"/>
        <v>110468</v>
      </c>
      <c r="AD80" s="87">
        <f>+AD81+AD84+AD87+AD90+AD91</f>
        <v>1410022.6400000001</v>
      </c>
      <c r="AE80" s="87">
        <f>+AE81+AE84+AE87+AE90+AE91</f>
        <v>992593.9199999999</v>
      </c>
      <c r="AF80" s="221">
        <f t="shared" si="34"/>
        <v>-795984</v>
      </c>
      <c r="AG80" s="222">
        <f t="shared" si="36"/>
        <v>-0.8781314399438691</v>
      </c>
    </row>
    <row r="81" spans="1:33" ht="14.25">
      <c r="A81" s="43" t="s">
        <v>17</v>
      </c>
      <c r="B81" s="43"/>
      <c r="C81" s="43"/>
      <c r="D81" s="43"/>
      <c r="E81" s="120">
        <f>+E82+E83</f>
        <v>655</v>
      </c>
      <c r="F81" s="123">
        <f>+F82+F83</f>
        <v>672</v>
      </c>
      <c r="G81" s="125">
        <f>+G82+G83</f>
        <v>1788688</v>
      </c>
      <c r="H81" s="127">
        <f>+H82+H83</f>
        <v>0</v>
      </c>
      <c r="I81" s="127">
        <f>+I82+I83</f>
        <v>0</v>
      </c>
      <c r="J81" s="120"/>
      <c r="K81" s="123"/>
      <c r="L81" s="124">
        <f>+L82+L83</f>
        <v>906452</v>
      </c>
      <c r="M81" s="127"/>
      <c r="N81" s="124">
        <f>+N82+N83</f>
        <v>127500</v>
      </c>
      <c r="O81" s="124">
        <f aca="true" t="shared" si="39" ref="O81:AC81">+O82+O83</f>
        <v>0</v>
      </c>
      <c r="P81" s="124">
        <f t="shared" si="39"/>
        <v>0</v>
      </c>
      <c r="Q81" s="124">
        <f t="shared" si="39"/>
        <v>321839</v>
      </c>
      <c r="R81" s="124">
        <f t="shared" si="39"/>
        <v>0</v>
      </c>
      <c r="S81" s="124">
        <f t="shared" si="39"/>
        <v>0</v>
      </c>
      <c r="T81" s="124">
        <f t="shared" si="39"/>
        <v>1355791</v>
      </c>
      <c r="U81" s="124">
        <f t="shared" si="39"/>
        <v>0</v>
      </c>
      <c r="V81" s="124">
        <f t="shared" si="39"/>
        <v>0</v>
      </c>
      <c r="W81" s="124">
        <f t="shared" si="39"/>
        <v>494503</v>
      </c>
      <c r="X81" s="124">
        <f t="shared" si="39"/>
        <v>0</v>
      </c>
      <c r="Y81" s="124">
        <f t="shared" si="39"/>
        <v>0</v>
      </c>
      <c r="Z81" s="124">
        <f t="shared" si="39"/>
        <v>-1739826</v>
      </c>
      <c r="AA81" s="124">
        <f t="shared" si="39"/>
        <v>0</v>
      </c>
      <c r="AB81" s="124">
        <f t="shared" si="39"/>
        <v>0</v>
      </c>
      <c r="AC81" s="124">
        <f t="shared" si="39"/>
        <v>110468</v>
      </c>
      <c r="AD81" s="128">
        <f>+AD82+AD83</f>
        <v>1410022.6400000001</v>
      </c>
      <c r="AE81" s="128">
        <f>+AE82+AE83</f>
        <v>992593.9199999999</v>
      </c>
      <c r="AF81" s="221">
        <f t="shared" si="34"/>
        <v>-795984</v>
      </c>
      <c r="AG81" s="222">
        <f t="shared" si="36"/>
        <v>-0.8781314399438691</v>
      </c>
    </row>
    <row r="82" spans="1:33" ht="14.25">
      <c r="A82" s="51" t="s">
        <v>137</v>
      </c>
      <c r="E82" s="52">
        <v>655</v>
      </c>
      <c r="F82" s="53">
        <v>672</v>
      </c>
      <c r="G82" s="54">
        <v>1879923</v>
      </c>
      <c r="H82" s="55"/>
      <c r="I82" s="55"/>
      <c r="J82" s="52"/>
      <c r="K82" s="53"/>
      <c r="L82" s="56">
        <v>1033952</v>
      </c>
      <c r="M82" s="55"/>
      <c r="N82" s="55"/>
      <c r="O82" s="52"/>
      <c r="P82" s="53"/>
      <c r="Q82" s="62">
        <f>5497+316342</f>
        <v>321839</v>
      </c>
      <c r="R82" s="90">
        <f aca="true" t="shared" si="40" ref="R82:S96">+J82+O82</f>
        <v>0</v>
      </c>
      <c r="S82" s="91">
        <f t="shared" si="40"/>
        <v>0</v>
      </c>
      <c r="T82" s="62">
        <f>+L82+Q82+N82</f>
        <v>1355791</v>
      </c>
      <c r="U82" s="92"/>
      <c r="V82" s="93"/>
      <c r="W82" s="62">
        <f>197801+296702</f>
        <v>494503</v>
      </c>
      <c r="X82" s="94"/>
      <c r="Y82" s="93"/>
      <c r="Z82" s="62">
        <v>-1652326</v>
      </c>
      <c r="AA82" s="52">
        <f aca="true" t="shared" si="41" ref="AA82:AC96">+X82+U82+R82</f>
        <v>0</v>
      </c>
      <c r="AB82" s="53">
        <f t="shared" si="41"/>
        <v>0</v>
      </c>
      <c r="AC82" s="62">
        <f t="shared" si="41"/>
        <v>197968</v>
      </c>
      <c r="AD82" s="63">
        <f>+T82*(1+$AD$11)</f>
        <v>1410022.6400000001</v>
      </c>
      <c r="AE82" s="63">
        <f>+L82*$AE$11</f>
        <v>992593.9199999999</v>
      </c>
      <c r="AF82" s="221">
        <f t="shared" si="34"/>
        <v>-835984</v>
      </c>
      <c r="AG82" s="222">
        <f t="shared" si="36"/>
        <v>-0.8085326978428399</v>
      </c>
    </row>
    <row r="83" spans="1:33" ht="14.25">
      <c r="A83" s="11" t="s">
        <v>208</v>
      </c>
      <c r="E83" s="52"/>
      <c r="F83" s="53"/>
      <c r="G83" s="54">
        <v>-91235</v>
      </c>
      <c r="H83" s="55"/>
      <c r="I83" s="55"/>
      <c r="J83" s="52"/>
      <c r="K83" s="53"/>
      <c r="L83" s="56">
        <v>-127500</v>
      </c>
      <c r="M83" s="57"/>
      <c r="N83" s="55">
        <v>127500</v>
      </c>
      <c r="O83" s="52"/>
      <c r="P83" s="53"/>
      <c r="Q83" s="54"/>
      <c r="R83" s="58">
        <f t="shared" si="40"/>
        <v>0</v>
      </c>
      <c r="S83" s="59">
        <f t="shared" si="40"/>
        <v>0</v>
      </c>
      <c r="T83" s="54">
        <f>+L83+Q83+N83</f>
        <v>0</v>
      </c>
      <c r="U83" s="65"/>
      <c r="V83" s="60"/>
      <c r="W83" s="54"/>
      <c r="X83" s="61"/>
      <c r="Y83" s="60"/>
      <c r="Z83" s="54">
        <v>-87500</v>
      </c>
      <c r="AA83" s="52">
        <f t="shared" si="41"/>
        <v>0</v>
      </c>
      <c r="AB83" s="53">
        <f t="shared" si="41"/>
        <v>0</v>
      </c>
      <c r="AC83" s="62">
        <f t="shared" si="41"/>
        <v>-87500</v>
      </c>
      <c r="AD83" s="63">
        <f>+T83*(1+$AD$11)</f>
        <v>0</v>
      </c>
      <c r="AE83" s="63">
        <v>0</v>
      </c>
      <c r="AF83" s="221">
        <f t="shared" si="34"/>
        <v>40000</v>
      </c>
      <c r="AG83" s="222">
        <f t="shared" si="36"/>
        <v>-0.3137254901960784</v>
      </c>
    </row>
    <row r="84" spans="1:33" ht="14.25">
      <c r="A84" s="129" t="s">
        <v>18</v>
      </c>
      <c r="B84" s="43"/>
      <c r="C84" s="43"/>
      <c r="D84" s="43"/>
      <c r="E84" s="77">
        <f>SUM(E85)</f>
        <v>0</v>
      </c>
      <c r="F84" s="81">
        <f>SUM(F85)</f>
        <v>0</v>
      </c>
      <c r="G84" s="82">
        <f>SUM(G85)</f>
        <v>0</v>
      </c>
      <c r="H84" s="72">
        <f>+H85+H86</f>
        <v>0</v>
      </c>
      <c r="I84" s="72">
        <f>+I85+I86</f>
        <v>0</v>
      </c>
      <c r="J84" s="77"/>
      <c r="K84" s="81"/>
      <c r="L84" s="86">
        <f>+L85+L86</f>
        <v>0</v>
      </c>
      <c r="M84" s="79"/>
      <c r="N84" s="86">
        <f aca="true" t="shared" si="42" ref="N84:AE84">+N85+N86</f>
        <v>0</v>
      </c>
      <c r="O84" s="86">
        <f t="shared" si="42"/>
        <v>0</v>
      </c>
      <c r="P84" s="86">
        <f t="shared" si="42"/>
        <v>0</v>
      </c>
      <c r="Q84" s="86">
        <f t="shared" si="42"/>
        <v>0</v>
      </c>
      <c r="R84" s="86">
        <f t="shared" si="42"/>
        <v>0</v>
      </c>
      <c r="S84" s="86">
        <f t="shared" si="42"/>
        <v>0</v>
      </c>
      <c r="T84" s="86">
        <f t="shared" si="42"/>
        <v>0</v>
      </c>
      <c r="U84" s="86">
        <f t="shared" si="42"/>
        <v>0</v>
      </c>
      <c r="V84" s="86">
        <f t="shared" si="42"/>
        <v>0</v>
      </c>
      <c r="W84" s="86">
        <f t="shared" si="42"/>
        <v>0</v>
      </c>
      <c r="X84" s="86">
        <f t="shared" si="42"/>
        <v>0</v>
      </c>
      <c r="Y84" s="86">
        <f t="shared" si="42"/>
        <v>0</v>
      </c>
      <c r="Z84" s="86">
        <f t="shared" si="42"/>
        <v>0</v>
      </c>
      <c r="AA84" s="86">
        <f t="shared" si="42"/>
        <v>0</v>
      </c>
      <c r="AB84" s="86">
        <f t="shared" si="42"/>
        <v>0</v>
      </c>
      <c r="AC84" s="86">
        <f t="shared" si="42"/>
        <v>0</v>
      </c>
      <c r="AD84" s="75">
        <f t="shared" si="42"/>
        <v>0</v>
      </c>
      <c r="AE84" s="75">
        <f t="shared" si="42"/>
        <v>0</v>
      </c>
      <c r="AF84" s="221">
        <f t="shared" si="34"/>
        <v>0</v>
      </c>
      <c r="AG84" s="222" t="e">
        <f t="shared" si="36"/>
        <v>#DIV/0!</v>
      </c>
    </row>
    <row r="85" spans="1:33" ht="14.25">
      <c r="A85" s="51" t="s">
        <v>117</v>
      </c>
      <c r="E85" s="52"/>
      <c r="F85" s="53"/>
      <c r="G85" s="54"/>
      <c r="H85" s="55"/>
      <c r="I85" s="55"/>
      <c r="J85" s="52"/>
      <c r="K85" s="53"/>
      <c r="L85" s="56">
        <v>0</v>
      </c>
      <c r="M85" s="57"/>
      <c r="N85" s="55"/>
      <c r="O85" s="52"/>
      <c r="P85" s="53"/>
      <c r="Q85" s="54"/>
      <c r="R85" s="58">
        <f t="shared" si="40"/>
        <v>0</v>
      </c>
      <c r="S85" s="59">
        <f t="shared" si="40"/>
        <v>0</v>
      </c>
      <c r="T85" s="54">
        <f>+L85+Q85+N85</f>
        <v>0</v>
      </c>
      <c r="U85" s="65"/>
      <c r="V85" s="60"/>
      <c r="W85" s="54"/>
      <c r="X85" s="61"/>
      <c r="Y85" s="60"/>
      <c r="Z85" s="54">
        <v>0</v>
      </c>
      <c r="AA85" s="52">
        <f t="shared" si="41"/>
        <v>0</v>
      </c>
      <c r="AB85" s="53">
        <f t="shared" si="41"/>
        <v>0</v>
      </c>
      <c r="AC85" s="62">
        <f t="shared" si="41"/>
        <v>0</v>
      </c>
      <c r="AD85" s="63">
        <f>+T85*(1+$AD$11)</f>
        <v>0</v>
      </c>
      <c r="AE85" s="63">
        <f>+L85*$AE$11</f>
        <v>0</v>
      </c>
      <c r="AF85" s="221">
        <f t="shared" si="34"/>
        <v>0</v>
      </c>
      <c r="AG85" s="222" t="e">
        <f t="shared" si="36"/>
        <v>#DIV/0!</v>
      </c>
    </row>
    <row r="86" spans="1:33" ht="14.25">
      <c r="A86" s="11" t="s">
        <v>138</v>
      </c>
      <c r="E86" s="52"/>
      <c r="F86" s="53"/>
      <c r="G86" s="54">
        <v>0</v>
      </c>
      <c r="H86" s="55"/>
      <c r="I86" s="55"/>
      <c r="J86" s="52"/>
      <c r="K86" s="53"/>
      <c r="L86" s="56">
        <v>0</v>
      </c>
      <c r="M86" s="57"/>
      <c r="N86" s="55"/>
      <c r="O86" s="52"/>
      <c r="P86" s="53"/>
      <c r="Q86" s="54"/>
      <c r="R86" s="58">
        <f t="shared" si="40"/>
        <v>0</v>
      </c>
      <c r="S86" s="59">
        <f t="shared" si="40"/>
        <v>0</v>
      </c>
      <c r="T86" s="54">
        <f>+L86+Q86+N86</f>
        <v>0</v>
      </c>
      <c r="U86" s="65"/>
      <c r="V86" s="60"/>
      <c r="W86" s="54"/>
      <c r="X86" s="61"/>
      <c r="Y86" s="60"/>
      <c r="Z86" s="54"/>
      <c r="AA86" s="52">
        <f t="shared" si="41"/>
        <v>0</v>
      </c>
      <c r="AB86" s="53">
        <f t="shared" si="41"/>
        <v>0</v>
      </c>
      <c r="AC86" s="62">
        <f t="shared" si="41"/>
        <v>0</v>
      </c>
      <c r="AD86" s="63">
        <f>+T86*(1+$AD$11)</f>
        <v>0</v>
      </c>
      <c r="AE86" s="63">
        <f>+L86*$AE$11</f>
        <v>0</v>
      </c>
      <c r="AF86" s="221">
        <f t="shared" si="34"/>
        <v>0</v>
      </c>
      <c r="AG86" s="222" t="s">
        <v>198</v>
      </c>
    </row>
    <row r="87" spans="1:33" ht="14.25">
      <c r="A87" s="129" t="s">
        <v>26</v>
      </c>
      <c r="B87" s="43"/>
      <c r="C87" s="43"/>
      <c r="D87" s="43"/>
      <c r="E87" s="120">
        <f>SUM(E88+E89)</f>
        <v>0</v>
      </c>
      <c r="F87" s="123">
        <f>SUM(F88+F89)</f>
        <v>0</v>
      </c>
      <c r="G87" s="125">
        <f>SUM(G88+G89)</f>
        <v>0</v>
      </c>
      <c r="H87" s="127">
        <f>SUM(H88+H89)</f>
        <v>0</v>
      </c>
      <c r="I87" s="127">
        <f>SUM(I88+I89)</f>
        <v>0</v>
      </c>
      <c r="J87" s="120"/>
      <c r="K87" s="123"/>
      <c r="L87" s="124">
        <f>+L88+L89</f>
        <v>0</v>
      </c>
      <c r="M87" s="126"/>
      <c r="N87" s="124">
        <f>+N88+N89</f>
        <v>0</v>
      </c>
      <c r="O87" s="124">
        <f aca="true" t="shared" si="43" ref="O87:AC87">+O88+O89</f>
        <v>0</v>
      </c>
      <c r="P87" s="124">
        <f t="shared" si="43"/>
        <v>0</v>
      </c>
      <c r="Q87" s="124">
        <f t="shared" si="43"/>
        <v>0</v>
      </c>
      <c r="R87" s="124">
        <f t="shared" si="43"/>
        <v>0</v>
      </c>
      <c r="S87" s="124">
        <f t="shared" si="43"/>
        <v>0</v>
      </c>
      <c r="T87" s="124">
        <f t="shared" si="43"/>
        <v>0</v>
      </c>
      <c r="U87" s="124">
        <f t="shared" si="43"/>
        <v>0</v>
      </c>
      <c r="V87" s="124">
        <f t="shared" si="43"/>
        <v>0</v>
      </c>
      <c r="W87" s="124">
        <f t="shared" si="43"/>
        <v>0</v>
      </c>
      <c r="X87" s="124">
        <f t="shared" si="43"/>
        <v>0</v>
      </c>
      <c r="Y87" s="124">
        <f t="shared" si="43"/>
        <v>0</v>
      </c>
      <c r="Z87" s="124">
        <f t="shared" si="43"/>
        <v>0</v>
      </c>
      <c r="AA87" s="124">
        <f t="shared" si="43"/>
        <v>0</v>
      </c>
      <c r="AB87" s="124">
        <f t="shared" si="43"/>
        <v>0</v>
      </c>
      <c r="AC87" s="124">
        <f t="shared" si="43"/>
        <v>0</v>
      </c>
      <c r="AD87" s="128">
        <f>SUM(AD88+AD89)</f>
        <v>0</v>
      </c>
      <c r="AE87" s="128">
        <f>SUM(AE88+AE89)</f>
        <v>0</v>
      </c>
      <c r="AF87" s="221">
        <f t="shared" si="34"/>
        <v>0</v>
      </c>
      <c r="AG87" s="222" t="e">
        <f t="shared" si="36"/>
        <v>#DIV/0!</v>
      </c>
    </row>
    <row r="88" spans="1:33" ht="14.25">
      <c r="A88" s="51" t="s">
        <v>118</v>
      </c>
      <c r="E88" s="52"/>
      <c r="F88" s="53"/>
      <c r="G88" s="54"/>
      <c r="H88" s="55"/>
      <c r="I88" s="55"/>
      <c r="J88" s="52"/>
      <c r="K88" s="53"/>
      <c r="L88" s="56"/>
      <c r="M88" s="57"/>
      <c r="N88" s="55"/>
      <c r="O88" s="52"/>
      <c r="P88" s="53"/>
      <c r="Q88" s="54"/>
      <c r="R88" s="58">
        <f t="shared" si="40"/>
        <v>0</v>
      </c>
      <c r="S88" s="59">
        <f t="shared" si="40"/>
        <v>0</v>
      </c>
      <c r="T88" s="54">
        <f>+L88+Q88+N88</f>
        <v>0</v>
      </c>
      <c r="U88" s="65"/>
      <c r="V88" s="60"/>
      <c r="W88" s="54"/>
      <c r="X88" s="61"/>
      <c r="Y88" s="60"/>
      <c r="Z88" s="54"/>
      <c r="AA88" s="52">
        <f t="shared" si="41"/>
        <v>0</v>
      </c>
      <c r="AB88" s="53">
        <f t="shared" si="41"/>
        <v>0</v>
      </c>
      <c r="AC88" s="62">
        <f t="shared" si="41"/>
        <v>0</v>
      </c>
      <c r="AD88" s="63">
        <f>+T88*(1+$AD$11)</f>
        <v>0</v>
      </c>
      <c r="AE88" s="63">
        <f>+L88*$AE$11</f>
        <v>0</v>
      </c>
      <c r="AF88" s="221">
        <f t="shared" si="34"/>
        <v>0</v>
      </c>
      <c r="AG88" s="222" t="e">
        <f t="shared" si="36"/>
        <v>#DIV/0!</v>
      </c>
    </row>
    <row r="89" spans="1:33" ht="14.25">
      <c r="A89" s="11" t="s">
        <v>138</v>
      </c>
      <c r="E89" s="52"/>
      <c r="F89" s="53"/>
      <c r="G89" s="54"/>
      <c r="H89" s="55"/>
      <c r="I89" s="55"/>
      <c r="J89" s="52"/>
      <c r="K89" s="53"/>
      <c r="L89" s="56">
        <v>0</v>
      </c>
      <c r="M89" s="57"/>
      <c r="N89" s="55">
        <v>0</v>
      </c>
      <c r="O89" s="52"/>
      <c r="P89" s="53"/>
      <c r="Q89" s="54"/>
      <c r="R89" s="58">
        <f t="shared" si="40"/>
        <v>0</v>
      </c>
      <c r="S89" s="59">
        <f t="shared" si="40"/>
        <v>0</v>
      </c>
      <c r="T89" s="54">
        <f>+L89+Q89+N89</f>
        <v>0</v>
      </c>
      <c r="U89" s="65"/>
      <c r="V89" s="60"/>
      <c r="W89" s="54"/>
      <c r="X89" s="61"/>
      <c r="Y89" s="60"/>
      <c r="Z89" s="54"/>
      <c r="AA89" s="52">
        <f t="shared" si="41"/>
        <v>0</v>
      </c>
      <c r="AB89" s="53">
        <f t="shared" si="41"/>
        <v>0</v>
      </c>
      <c r="AC89" s="62">
        <f t="shared" si="41"/>
        <v>0</v>
      </c>
      <c r="AD89" s="63">
        <f>+T89*(1+$AD$11)</f>
        <v>0</v>
      </c>
      <c r="AE89" s="63">
        <f>+L89*$AE$11</f>
        <v>0</v>
      </c>
      <c r="AF89" s="221">
        <f t="shared" si="34"/>
        <v>0</v>
      </c>
      <c r="AG89" s="222" t="e">
        <f t="shared" si="36"/>
        <v>#DIV/0!</v>
      </c>
    </row>
    <row r="90" spans="1:33" ht="14.25">
      <c r="A90" s="51" t="s">
        <v>119</v>
      </c>
      <c r="E90" s="52"/>
      <c r="F90" s="53"/>
      <c r="G90" s="54"/>
      <c r="H90" s="55"/>
      <c r="I90" s="55"/>
      <c r="J90" s="52"/>
      <c r="K90" s="53"/>
      <c r="L90" s="56">
        <v>0</v>
      </c>
      <c r="M90" s="57"/>
      <c r="N90" s="55"/>
      <c r="O90" s="52"/>
      <c r="P90" s="53"/>
      <c r="Q90" s="54"/>
      <c r="R90" s="58">
        <f t="shared" si="40"/>
        <v>0</v>
      </c>
      <c r="S90" s="59">
        <f t="shared" si="40"/>
        <v>0</v>
      </c>
      <c r="T90" s="54">
        <f>+L90+Q90+N90</f>
        <v>0</v>
      </c>
      <c r="U90" s="65"/>
      <c r="V90" s="60"/>
      <c r="W90" s="54"/>
      <c r="X90" s="61"/>
      <c r="Y90" s="60"/>
      <c r="Z90" s="54"/>
      <c r="AA90" s="52">
        <f t="shared" si="41"/>
        <v>0</v>
      </c>
      <c r="AB90" s="53">
        <f t="shared" si="41"/>
        <v>0</v>
      </c>
      <c r="AC90" s="62">
        <f t="shared" si="41"/>
        <v>0</v>
      </c>
      <c r="AD90" s="63">
        <f>+T90*(1+$AD$11)</f>
        <v>0</v>
      </c>
      <c r="AE90" s="63">
        <f>+L90*$AE$11</f>
        <v>0</v>
      </c>
      <c r="AF90" s="221">
        <f t="shared" si="34"/>
        <v>0</v>
      </c>
      <c r="AG90" s="222" t="e">
        <f t="shared" si="36"/>
        <v>#DIV/0!</v>
      </c>
    </row>
    <row r="91" spans="1:33" ht="14.25">
      <c r="A91" s="11" t="s">
        <v>139</v>
      </c>
      <c r="E91" s="52">
        <v>0</v>
      </c>
      <c r="F91" s="53">
        <v>0</v>
      </c>
      <c r="G91" s="54">
        <v>0</v>
      </c>
      <c r="H91" s="55"/>
      <c r="I91" s="55"/>
      <c r="J91" s="52"/>
      <c r="K91" s="53"/>
      <c r="L91" s="56">
        <v>0</v>
      </c>
      <c r="M91" s="57"/>
      <c r="N91" s="55"/>
      <c r="O91" s="52"/>
      <c r="P91" s="53"/>
      <c r="Q91" s="54"/>
      <c r="R91" s="58">
        <f t="shared" si="40"/>
        <v>0</v>
      </c>
      <c r="S91" s="59">
        <f t="shared" si="40"/>
        <v>0</v>
      </c>
      <c r="T91" s="54">
        <f>+L91+Q91+N91</f>
        <v>0</v>
      </c>
      <c r="U91" s="65"/>
      <c r="V91" s="60"/>
      <c r="W91" s="54"/>
      <c r="X91" s="61"/>
      <c r="Y91" s="60"/>
      <c r="Z91" s="54"/>
      <c r="AA91" s="52">
        <f t="shared" si="41"/>
        <v>0</v>
      </c>
      <c r="AB91" s="53">
        <f t="shared" si="41"/>
        <v>0</v>
      </c>
      <c r="AC91" s="62">
        <f t="shared" si="41"/>
        <v>0</v>
      </c>
      <c r="AD91" s="63">
        <f>+T91*(1+$AD$11)</f>
        <v>0</v>
      </c>
      <c r="AE91" s="63">
        <f>+L91*$AE$11</f>
        <v>0</v>
      </c>
      <c r="AF91" s="221">
        <f t="shared" si="34"/>
        <v>0</v>
      </c>
      <c r="AG91" s="222" t="e">
        <f t="shared" si="36"/>
        <v>#DIV/0!</v>
      </c>
    </row>
    <row r="92" spans="1:33" ht="14.25">
      <c r="A92" s="129" t="s">
        <v>196</v>
      </c>
      <c r="B92" s="43"/>
      <c r="C92" s="43"/>
      <c r="D92" s="43"/>
      <c r="E92" s="77">
        <f>SUM(E93)</f>
        <v>202</v>
      </c>
      <c r="F92" s="81">
        <f>SUM(F93)</f>
        <v>202</v>
      </c>
      <c r="G92" s="82">
        <f>SUM(G93+G94)</f>
        <v>385691</v>
      </c>
      <c r="H92" s="72">
        <f>SUM(H93:H94)</f>
        <v>0</v>
      </c>
      <c r="I92" s="72">
        <f>SUM(I93:I94)</f>
        <v>0</v>
      </c>
      <c r="J92" s="77"/>
      <c r="K92" s="81"/>
      <c r="L92" s="86">
        <f>+L93+L94</f>
        <v>-25404</v>
      </c>
      <c r="M92" s="72"/>
      <c r="N92" s="86">
        <f>+N93+N94</f>
        <v>127500</v>
      </c>
      <c r="O92" s="86">
        <f aca="true" t="shared" si="44" ref="O92:AC92">+O93+O94</f>
        <v>0</v>
      </c>
      <c r="P92" s="86">
        <f t="shared" si="44"/>
        <v>0</v>
      </c>
      <c r="Q92" s="86">
        <f t="shared" si="44"/>
        <v>-285591</v>
      </c>
      <c r="R92" s="86">
        <f t="shared" si="44"/>
        <v>202</v>
      </c>
      <c r="S92" s="86">
        <f t="shared" si="44"/>
        <v>202</v>
      </c>
      <c r="T92" s="86">
        <f t="shared" si="44"/>
        <v>-183495</v>
      </c>
      <c r="U92" s="86">
        <f t="shared" si="44"/>
        <v>0</v>
      </c>
      <c r="V92" s="86">
        <f t="shared" si="44"/>
        <v>0</v>
      </c>
      <c r="W92" s="86">
        <f t="shared" si="44"/>
        <v>14679</v>
      </c>
      <c r="X92" s="86">
        <f t="shared" si="44"/>
        <v>0</v>
      </c>
      <c r="Y92" s="86">
        <f t="shared" si="44"/>
        <v>-36</v>
      </c>
      <c r="Z92" s="86">
        <f t="shared" si="44"/>
        <v>-342984</v>
      </c>
      <c r="AA92" s="86">
        <f t="shared" si="44"/>
        <v>202</v>
      </c>
      <c r="AB92" s="86">
        <f t="shared" si="44"/>
        <v>166</v>
      </c>
      <c r="AC92" s="86">
        <f t="shared" si="44"/>
        <v>-511800</v>
      </c>
      <c r="AD92" s="75">
        <f>SUM(AD93:AD94)</f>
        <v>-190834.80000000002</v>
      </c>
      <c r="AE92" s="75">
        <f>SUM(AE93:AE94)</f>
        <v>98012.16</v>
      </c>
      <c r="AF92" s="221">
        <f t="shared" si="34"/>
        <v>-486396</v>
      </c>
      <c r="AG92" s="222">
        <f t="shared" si="36"/>
        <v>19.14643363249882</v>
      </c>
    </row>
    <row r="93" spans="1:33" ht="14.25">
      <c r="A93" s="51" t="s">
        <v>120</v>
      </c>
      <c r="E93" s="52">
        <v>202</v>
      </c>
      <c r="F93" s="53">
        <v>202</v>
      </c>
      <c r="G93" s="54">
        <v>472191</v>
      </c>
      <c r="H93" s="55"/>
      <c r="I93" s="55"/>
      <c r="J93" s="52">
        <v>202</v>
      </c>
      <c r="K93" s="53">
        <v>202</v>
      </c>
      <c r="L93" s="56">
        <v>102096</v>
      </c>
      <c r="M93" s="57"/>
      <c r="N93" s="55"/>
      <c r="O93" s="52"/>
      <c r="P93" s="53"/>
      <c r="Q93" s="54">
        <f>817-286408</f>
        <v>-285591</v>
      </c>
      <c r="R93" s="58">
        <f t="shared" si="40"/>
        <v>202</v>
      </c>
      <c r="S93" s="59">
        <f t="shared" si="40"/>
        <v>202</v>
      </c>
      <c r="T93" s="54">
        <f>+L93+Q93+N93</f>
        <v>-183495</v>
      </c>
      <c r="U93" s="65"/>
      <c r="V93" s="60">
        <v>0</v>
      </c>
      <c r="W93" s="54">
        <v>14679</v>
      </c>
      <c r="X93" s="61"/>
      <c r="Y93" s="60">
        <v>-36</v>
      </c>
      <c r="Z93" s="54">
        <f>-342984+87500</f>
        <v>-255484</v>
      </c>
      <c r="AA93" s="52">
        <f t="shared" si="41"/>
        <v>202</v>
      </c>
      <c r="AB93" s="53">
        <f t="shared" si="41"/>
        <v>166</v>
      </c>
      <c r="AC93" s="62">
        <f t="shared" si="41"/>
        <v>-424300</v>
      </c>
      <c r="AD93" s="63">
        <f>+T93*(1+$AD$11)</f>
        <v>-190834.80000000002</v>
      </c>
      <c r="AE93" s="63">
        <f>+L93*$AE$11</f>
        <v>98012.16</v>
      </c>
      <c r="AF93" s="221">
        <f t="shared" si="34"/>
        <v>-526396</v>
      </c>
      <c r="AG93" s="222">
        <f t="shared" si="36"/>
        <v>-5.155892493339602</v>
      </c>
    </row>
    <row r="94" spans="1:33" ht="14.25">
      <c r="A94" s="11" t="s">
        <v>121</v>
      </c>
      <c r="E94" s="52"/>
      <c r="F94" s="53"/>
      <c r="G94" s="54">
        <v>-86500</v>
      </c>
      <c r="H94" s="55"/>
      <c r="I94" s="55"/>
      <c r="J94" s="52"/>
      <c r="K94" s="53"/>
      <c r="L94" s="56">
        <v>-127500</v>
      </c>
      <c r="M94" s="57"/>
      <c r="N94" s="55">
        <v>127500</v>
      </c>
      <c r="O94" s="52"/>
      <c r="P94" s="53"/>
      <c r="Q94" s="54"/>
      <c r="R94" s="58">
        <f t="shared" si="40"/>
        <v>0</v>
      </c>
      <c r="S94" s="59">
        <f t="shared" si="40"/>
        <v>0</v>
      </c>
      <c r="T94" s="54">
        <f>+L94+Q94+N94</f>
        <v>0</v>
      </c>
      <c r="U94" s="65"/>
      <c r="V94" s="60"/>
      <c r="W94" s="54"/>
      <c r="X94" s="61"/>
      <c r="Y94" s="60"/>
      <c r="Z94" s="54">
        <v>-87500</v>
      </c>
      <c r="AA94" s="52">
        <f t="shared" si="41"/>
        <v>0</v>
      </c>
      <c r="AB94" s="53">
        <f t="shared" si="41"/>
        <v>0</v>
      </c>
      <c r="AC94" s="62">
        <f t="shared" si="41"/>
        <v>-87500</v>
      </c>
      <c r="AD94" s="63">
        <f>+T94*(1+$AD$11)</f>
        <v>0</v>
      </c>
      <c r="AE94" s="63">
        <v>0</v>
      </c>
      <c r="AF94" s="221">
        <f t="shared" si="34"/>
        <v>40000</v>
      </c>
      <c r="AG94" s="222">
        <f t="shared" si="36"/>
        <v>-0.3137254901960784</v>
      </c>
    </row>
    <row r="95" spans="1:33" ht="14.25">
      <c r="A95" s="11" t="s">
        <v>197</v>
      </c>
      <c r="E95" s="52">
        <v>44</v>
      </c>
      <c r="F95" s="53">
        <v>44</v>
      </c>
      <c r="G95" s="54">
        <v>381566</v>
      </c>
      <c r="H95" s="55"/>
      <c r="I95" s="55"/>
      <c r="J95" s="52">
        <v>0</v>
      </c>
      <c r="K95" s="53">
        <v>0</v>
      </c>
      <c r="L95" s="56">
        <v>347013</v>
      </c>
      <c r="M95" s="57"/>
      <c r="N95" s="55"/>
      <c r="O95" s="52"/>
      <c r="P95" s="53">
        <v>2</v>
      </c>
      <c r="Q95" s="54">
        <f>320-29935</f>
        <v>-29615</v>
      </c>
      <c r="R95" s="58">
        <f t="shared" si="40"/>
        <v>0</v>
      </c>
      <c r="S95" s="59">
        <f t="shared" si="40"/>
        <v>2</v>
      </c>
      <c r="T95" s="54">
        <f>+L95+Q95+N95</f>
        <v>317398</v>
      </c>
      <c r="U95" s="65">
        <v>45</v>
      </c>
      <c r="V95" s="60">
        <v>45</v>
      </c>
      <c r="W95" s="54">
        <v>625000</v>
      </c>
      <c r="X95" s="61"/>
      <c r="Y95" s="60"/>
      <c r="Z95" s="54">
        <v>-369007</v>
      </c>
      <c r="AA95" s="52">
        <f t="shared" si="41"/>
        <v>45</v>
      </c>
      <c r="AB95" s="53">
        <f t="shared" si="41"/>
        <v>47</v>
      </c>
      <c r="AC95" s="62">
        <f t="shared" si="41"/>
        <v>573391</v>
      </c>
      <c r="AD95" s="63">
        <f>+T95*(1+$AD$11)</f>
        <v>330093.92</v>
      </c>
      <c r="AE95" s="63">
        <f>+L95*$AE$11</f>
        <v>333132.48</v>
      </c>
      <c r="AF95" s="221">
        <f t="shared" si="34"/>
        <v>226378</v>
      </c>
      <c r="AG95" s="222">
        <f t="shared" si="36"/>
        <v>0.6523617270822707</v>
      </c>
    </row>
    <row r="96" spans="1:33" ht="15" thickBot="1">
      <c r="A96" s="2" t="s">
        <v>164</v>
      </c>
      <c r="E96" s="130"/>
      <c r="F96" s="3"/>
      <c r="G96" s="57">
        <v>-19265</v>
      </c>
      <c r="H96" s="55"/>
      <c r="I96" s="55"/>
      <c r="J96" s="130"/>
      <c r="K96" s="3"/>
      <c r="L96" s="56">
        <v>0</v>
      </c>
      <c r="M96" s="57"/>
      <c r="N96" s="55">
        <v>0</v>
      </c>
      <c r="O96" s="130">
        <v>0</v>
      </c>
      <c r="P96" s="3">
        <v>0</v>
      </c>
      <c r="Q96" s="57">
        <v>0</v>
      </c>
      <c r="R96" s="131">
        <f t="shared" si="40"/>
        <v>0</v>
      </c>
      <c r="S96" s="132">
        <f t="shared" si="40"/>
        <v>0</v>
      </c>
      <c r="T96" s="54">
        <f>+L96+Q96+N96</f>
        <v>0</v>
      </c>
      <c r="U96" s="3">
        <v>0</v>
      </c>
      <c r="V96" s="2">
        <v>0</v>
      </c>
      <c r="W96" s="57">
        <v>0</v>
      </c>
      <c r="X96" s="133">
        <v>0</v>
      </c>
      <c r="Y96" s="2">
        <v>0</v>
      </c>
      <c r="Z96" s="57">
        <v>0</v>
      </c>
      <c r="AA96" s="52">
        <f t="shared" si="41"/>
        <v>0</v>
      </c>
      <c r="AB96" s="53">
        <f t="shared" si="41"/>
        <v>0</v>
      </c>
      <c r="AC96" s="62">
        <f t="shared" si="41"/>
        <v>0</v>
      </c>
      <c r="AD96" s="63">
        <f>+T96*(1+$AD$11)</f>
        <v>0</v>
      </c>
      <c r="AE96" s="63">
        <f>+L96*$AE$11</f>
        <v>0</v>
      </c>
      <c r="AF96" s="221">
        <f t="shared" si="34"/>
        <v>0</v>
      </c>
      <c r="AG96" s="222" t="s">
        <v>198</v>
      </c>
    </row>
    <row r="97" spans="1:33" ht="16.5" thickBot="1" thickTop="1">
      <c r="A97" s="111" t="s">
        <v>78</v>
      </c>
      <c r="B97" s="112"/>
      <c r="C97" s="112"/>
      <c r="D97" s="112"/>
      <c r="E97" s="134">
        <f aca="true" t="shared" si="45" ref="E97:AE97">+E78+E79</f>
        <v>108837</v>
      </c>
      <c r="F97" s="134">
        <f t="shared" si="45"/>
        <v>116221</v>
      </c>
      <c r="G97" s="134">
        <f t="shared" si="45"/>
        <v>21161670</v>
      </c>
      <c r="H97" s="135">
        <f t="shared" si="45"/>
        <v>0</v>
      </c>
      <c r="I97" s="135">
        <f t="shared" si="45"/>
        <v>0</v>
      </c>
      <c r="J97" s="113">
        <f t="shared" si="45"/>
        <v>107623</v>
      </c>
      <c r="K97" s="113">
        <f t="shared" si="45"/>
        <v>115498</v>
      </c>
      <c r="L97" s="136">
        <f t="shared" si="45"/>
        <v>20829974</v>
      </c>
      <c r="M97" s="137">
        <f t="shared" si="45"/>
        <v>0</v>
      </c>
      <c r="N97" s="137">
        <f t="shared" si="45"/>
        <v>409532</v>
      </c>
      <c r="O97" s="137">
        <f t="shared" si="45"/>
        <v>-120</v>
      </c>
      <c r="P97" s="137">
        <f t="shared" si="45"/>
        <v>351</v>
      </c>
      <c r="Q97" s="137">
        <f t="shared" si="45"/>
        <v>458286</v>
      </c>
      <c r="R97" s="137">
        <f t="shared" si="45"/>
        <v>106800</v>
      </c>
      <c r="S97" s="137">
        <f t="shared" si="45"/>
        <v>115131</v>
      </c>
      <c r="T97" s="137">
        <f t="shared" si="45"/>
        <v>21697792</v>
      </c>
      <c r="U97" s="137">
        <f t="shared" si="45"/>
        <v>1504</v>
      </c>
      <c r="V97" s="137">
        <f t="shared" si="45"/>
        <v>1088</v>
      </c>
      <c r="W97" s="137">
        <f t="shared" si="45"/>
        <v>1701176</v>
      </c>
      <c r="X97" s="137">
        <f t="shared" si="45"/>
        <v>-3776</v>
      </c>
      <c r="Y97" s="137">
        <f t="shared" si="45"/>
        <v>-4214</v>
      </c>
      <c r="Z97" s="137">
        <f t="shared" si="45"/>
        <v>-2826700</v>
      </c>
      <c r="AA97" s="137">
        <f t="shared" si="45"/>
        <v>104528</v>
      </c>
      <c r="AB97" s="137">
        <f t="shared" si="45"/>
        <v>112005</v>
      </c>
      <c r="AC97" s="137">
        <f t="shared" si="45"/>
        <v>20572268</v>
      </c>
      <c r="AD97" s="137">
        <f t="shared" si="45"/>
        <v>20626987.64</v>
      </c>
      <c r="AE97" s="137">
        <f t="shared" si="45"/>
        <v>18684597.16</v>
      </c>
      <c r="AF97" s="221">
        <f t="shared" si="34"/>
        <v>-257706</v>
      </c>
      <c r="AG97" s="222">
        <f t="shared" si="36"/>
        <v>-0.012371882941380532</v>
      </c>
    </row>
    <row r="98" spans="1:33" ht="15" thickTop="1">
      <c r="A98" s="138" t="s">
        <v>54</v>
      </c>
      <c r="B98" s="138"/>
      <c r="C98" s="138"/>
      <c r="D98" s="138"/>
      <c r="E98" s="52"/>
      <c r="F98" s="53"/>
      <c r="G98" s="54"/>
      <c r="H98" s="139"/>
      <c r="I98" s="139"/>
      <c r="J98" s="52"/>
      <c r="K98" s="53"/>
      <c r="L98" s="56"/>
      <c r="M98" s="57"/>
      <c r="N98" s="139">
        <v>0</v>
      </c>
      <c r="O98" s="52">
        <v>0</v>
      </c>
      <c r="P98" s="53">
        <v>0</v>
      </c>
      <c r="Q98" s="54">
        <v>0</v>
      </c>
      <c r="R98" s="58">
        <f aca="true" t="shared" si="46" ref="R98:T106">+J98+O98</f>
        <v>0</v>
      </c>
      <c r="S98" s="59">
        <f t="shared" si="46"/>
        <v>0</v>
      </c>
      <c r="T98" s="54">
        <f t="shared" si="46"/>
        <v>0</v>
      </c>
      <c r="U98" s="52">
        <v>0</v>
      </c>
      <c r="V98" s="60">
        <v>0</v>
      </c>
      <c r="W98" s="54">
        <v>0</v>
      </c>
      <c r="X98" s="61">
        <v>0</v>
      </c>
      <c r="Y98" s="60">
        <v>0</v>
      </c>
      <c r="Z98" s="54">
        <v>0</v>
      </c>
      <c r="AA98" s="52">
        <f aca="true" t="shared" si="47" ref="AA98:AC105">+X98+U98+R98</f>
        <v>0</v>
      </c>
      <c r="AB98" s="53">
        <f t="shared" si="47"/>
        <v>0</v>
      </c>
      <c r="AC98" s="54">
        <f t="shared" si="47"/>
        <v>0</v>
      </c>
      <c r="AD98" s="63">
        <f aca="true" t="shared" si="48" ref="AD98:AD106">+T98*(1+$AD$11)</f>
        <v>0</v>
      </c>
      <c r="AE98" s="63">
        <f>+L98*$AE$11</f>
        <v>0</v>
      </c>
      <c r="AF98" s="221">
        <f t="shared" si="34"/>
        <v>0</v>
      </c>
      <c r="AG98" s="222" t="s">
        <v>198</v>
      </c>
    </row>
    <row r="99" spans="1:33" ht="14.25" hidden="1">
      <c r="A99" s="2" t="s">
        <v>140</v>
      </c>
      <c r="B99" s="2"/>
      <c r="C99" s="2"/>
      <c r="D99" s="2"/>
      <c r="E99" s="52"/>
      <c r="F99" s="53"/>
      <c r="G99" s="54">
        <v>0</v>
      </c>
      <c r="H99" s="55"/>
      <c r="I99" s="55">
        <v>0</v>
      </c>
      <c r="J99" s="52">
        <v>0</v>
      </c>
      <c r="K99" s="53">
        <v>0</v>
      </c>
      <c r="L99" s="56">
        <f>SUM(G99+H99)</f>
        <v>0</v>
      </c>
      <c r="M99" s="57"/>
      <c r="N99" s="55">
        <v>0</v>
      </c>
      <c r="O99" s="52">
        <v>0</v>
      </c>
      <c r="P99" s="53">
        <v>0</v>
      </c>
      <c r="Q99" s="54">
        <v>0</v>
      </c>
      <c r="R99" s="58">
        <f t="shared" si="46"/>
        <v>0</v>
      </c>
      <c r="S99" s="59">
        <f t="shared" si="46"/>
        <v>0</v>
      </c>
      <c r="T99" s="54">
        <f t="shared" si="46"/>
        <v>0</v>
      </c>
      <c r="U99" s="52">
        <v>0</v>
      </c>
      <c r="V99" s="60">
        <v>0</v>
      </c>
      <c r="W99" s="54">
        <v>0</v>
      </c>
      <c r="X99" s="61">
        <v>0</v>
      </c>
      <c r="Y99" s="60">
        <v>0</v>
      </c>
      <c r="Z99" s="54">
        <v>0</v>
      </c>
      <c r="AA99" s="52">
        <f t="shared" si="47"/>
        <v>0</v>
      </c>
      <c r="AB99" s="53">
        <f t="shared" si="47"/>
        <v>0</v>
      </c>
      <c r="AC99" s="54">
        <f t="shared" si="47"/>
        <v>0</v>
      </c>
      <c r="AD99" s="63">
        <f t="shared" si="48"/>
        <v>0</v>
      </c>
      <c r="AE99" s="63">
        <f>+L99*$AE$11</f>
        <v>0</v>
      </c>
      <c r="AF99" s="221">
        <f t="shared" si="34"/>
        <v>0</v>
      </c>
      <c r="AG99" s="222" t="e">
        <f t="shared" si="36"/>
        <v>#DIV/0!</v>
      </c>
    </row>
    <row r="100" spans="1:33" ht="14.25" hidden="1">
      <c r="A100" s="2" t="s">
        <v>71</v>
      </c>
      <c r="B100" s="2"/>
      <c r="C100" s="88"/>
      <c r="D100" s="2"/>
      <c r="E100" s="52"/>
      <c r="F100" s="53"/>
      <c r="G100" s="54">
        <v>0</v>
      </c>
      <c r="H100" s="55"/>
      <c r="I100" s="55"/>
      <c r="J100" s="52">
        <v>0</v>
      </c>
      <c r="K100" s="53">
        <v>0</v>
      </c>
      <c r="L100" s="56">
        <f>SUM(G100+H100)</f>
        <v>0</v>
      </c>
      <c r="M100" s="57"/>
      <c r="N100" s="55">
        <v>0</v>
      </c>
      <c r="O100" s="52">
        <v>0</v>
      </c>
      <c r="P100" s="53">
        <v>0</v>
      </c>
      <c r="Q100" s="54">
        <v>0</v>
      </c>
      <c r="R100" s="58">
        <f t="shared" si="46"/>
        <v>0</v>
      </c>
      <c r="S100" s="59">
        <f t="shared" si="46"/>
        <v>0</v>
      </c>
      <c r="T100" s="54">
        <f t="shared" si="46"/>
        <v>0</v>
      </c>
      <c r="U100" s="52">
        <v>0</v>
      </c>
      <c r="V100" s="60">
        <v>0</v>
      </c>
      <c r="W100" s="54">
        <v>0</v>
      </c>
      <c r="X100" s="61">
        <v>0</v>
      </c>
      <c r="Y100" s="60">
        <v>0</v>
      </c>
      <c r="Z100" s="54">
        <v>0</v>
      </c>
      <c r="AA100" s="52">
        <f t="shared" si="47"/>
        <v>0</v>
      </c>
      <c r="AB100" s="53">
        <f t="shared" si="47"/>
        <v>0</v>
      </c>
      <c r="AC100" s="54">
        <f t="shared" si="47"/>
        <v>0</v>
      </c>
      <c r="AD100" s="63">
        <f t="shared" si="48"/>
        <v>0</v>
      </c>
      <c r="AE100" s="63">
        <f>+L100*$AE$11</f>
        <v>0</v>
      </c>
      <c r="AF100" s="221">
        <f t="shared" si="34"/>
        <v>0</v>
      </c>
      <c r="AG100" s="222" t="e">
        <f t="shared" si="36"/>
        <v>#DIV/0!</v>
      </c>
    </row>
    <row r="101" spans="1:33" ht="14.25" hidden="1">
      <c r="A101" s="2" t="s">
        <v>69</v>
      </c>
      <c r="B101" s="2"/>
      <c r="C101" s="2"/>
      <c r="D101" s="2"/>
      <c r="E101" s="52"/>
      <c r="F101" s="53"/>
      <c r="G101" s="54">
        <v>0</v>
      </c>
      <c r="H101" s="55"/>
      <c r="I101" s="55"/>
      <c r="J101" s="52">
        <v>0</v>
      </c>
      <c r="K101" s="53">
        <v>0</v>
      </c>
      <c r="L101" s="56">
        <f>SUM(G101+H101)</f>
        <v>0</v>
      </c>
      <c r="M101" s="57"/>
      <c r="N101" s="55">
        <v>0</v>
      </c>
      <c r="O101" s="52">
        <v>0</v>
      </c>
      <c r="P101" s="53">
        <v>0</v>
      </c>
      <c r="Q101" s="54">
        <v>0</v>
      </c>
      <c r="R101" s="58">
        <f t="shared" si="46"/>
        <v>0</v>
      </c>
      <c r="S101" s="59">
        <f t="shared" si="46"/>
        <v>0</v>
      </c>
      <c r="T101" s="54">
        <f t="shared" si="46"/>
        <v>0</v>
      </c>
      <c r="U101" s="52">
        <v>0</v>
      </c>
      <c r="V101" s="60">
        <v>0</v>
      </c>
      <c r="W101" s="54">
        <v>0</v>
      </c>
      <c r="X101" s="61">
        <v>0</v>
      </c>
      <c r="Y101" s="60">
        <v>0</v>
      </c>
      <c r="Z101" s="54">
        <v>0</v>
      </c>
      <c r="AA101" s="52">
        <f t="shared" si="47"/>
        <v>0</v>
      </c>
      <c r="AB101" s="53">
        <f t="shared" si="47"/>
        <v>0</v>
      </c>
      <c r="AC101" s="54">
        <f t="shared" si="47"/>
        <v>0</v>
      </c>
      <c r="AD101" s="63">
        <f t="shared" si="48"/>
        <v>0</v>
      </c>
      <c r="AE101" s="63">
        <f>+L101*$AE$11</f>
        <v>0</v>
      </c>
      <c r="AF101" s="221">
        <f t="shared" si="34"/>
        <v>0</v>
      </c>
      <c r="AG101" s="222" t="e">
        <f t="shared" si="36"/>
        <v>#DIV/0!</v>
      </c>
    </row>
    <row r="102" spans="1:34" ht="14.25" hidden="1">
      <c r="A102" s="88" t="s">
        <v>70</v>
      </c>
      <c r="B102" s="2"/>
      <c r="C102" s="2"/>
      <c r="D102" s="2"/>
      <c r="E102" s="52"/>
      <c r="F102" s="53"/>
      <c r="G102" s="54">
        <v>0</v>
      </c>
      <c r="H102" s="55"/>
      <c r="I102" s="55"/>
      <c r="J102" s="52">
        <v>0</v>
      </c>
      <c r="K102" s="53">
        <v>0</v>
      </c>
      <c r="L102" s="56">
        <f>SUM(G102+H102)</f>
        <v>0</v>
      </c>
      <c r="M102" s="57"/>
      <c r="N102" s="55">
        <v>0</v>
      </c>
      <c r="O102" s="52">
        <v>0</v>
      </c>
      <c r="P102" s="53">
        <v>0</v>
      </c>
      <c r="Q102" s="54">
        <v>0</v>
      </c>
      <c r="R102" s="58">
        <f t="shared" si="46"/>
        <v>0</v>
      </c>
      <c r="S102" s="59">
        <f t="shared" si="46"/>
        <v>0</v>
      </c>
      <c r="T102" s="54">
        <f t="shared" si="46"/>
        <v>0</v>
      </c>
      <c r="U102" s="52">
        <v>0</v>
      </c>
      <c r="V102" s="60">
        <v>0</v>
      </c>
      <c r="W102" s="54">
        <v>0</v>
      </c>
      <c r="X102" s="61">
        <v>0</v>
      </c>
      <c r="Y102" s="60">
        <v>0</v>
      </c>
      <c r="Z102" s="54">
        <v>0</v>
      </c>
      <c r="AA102" s="52">
        <f t="shared" si="47"/>
        <v>0</v>
      </c>
      <c r="AB102" s="53">
        <f t="shared" si="47"/>
        <v>0</v>
      </c>
      <c r="AC102" s="54">
        <f t="shared" si="47"/>
        <v>0</v>
      </c>
      <c r="AD102" s="63">
        <f t="shared" si="48"/>
        <v>0</v>
      </c>
      <c r="AE102" s="63">
        <f>+L102*$AE$11</f>
        <v>0</v>
      </c>
      <c r="AF102" s="221">
        <f t="shared" si="34"/>
        <v>0</v>
      </c>
      <c r="AG102" s="222" t="e">
        <f t="shared" si="36"/>
        <v>#DIV/0!</v>
      </c>
      <c r="AH102" s="3"/>
    </row>
    <row r="103" spans="1:34" ht="14.25">
      <c r="A103" s="2" t="s">
        <v>122</v>
      </c>
      <c r="B103" s="2"/>
      <c r="C103" s="2"/>
      <c r="D103" s="2"/>
      <c r="E103" s="52"/>
      <c r="F103" s="53"/>
      <c r="G103" s="54">
        <v>-1291563</v>
      </c>
      <c r="H103" s="55"/>
      <c r="I103" s="55"/>
      <c r="J103" s="52">
        <v>0</v>
      </c>
      <c r="K103" s="53">
        <v>0</v>
      </c>
      <c r="L103" s="56">
        <v>-1255000</v>
      </c>
      <c r="M103" s="57"/>
      <c r="N103" s="55">
        <v>1255000</v>
      </c>
      <c r="O103" s="52">
        <v>0</v>
      </c>
      <c r="P103" s="53">
        <v>0</v>
      </c>
      <c r="Q103" s="54">
        <v>0</v>
      </c>
      <c r="R103" s="58">
        <f t="shared" si="46"/>
        <v>0</v>
      </c>
      <c r="S103" s="59">
        <f t="shared" si="46"/>
        <v>0</v>
      </c>
      <c r="T103" s="54">
        <f>+L103+Q103+N103</f>
        <v>0</v>
      </c>
      <c r="U103" s="52">
        <v>0</v>
      </c>
      <c r="V103" s="60">
        <v>0</v>
      </c>
      <c r="W103" s="54">
        <v>0</v>
      </c>
      <c r="X103" s="61">
        <v>0</v>
      </c>
      <c r="Y103" s="60">
        <v>0</v>
      </c>
      <c r="Z103" s="54">
        <v>-1321000</v>
      </c>
      <c r="AA103" s="52">
        <f t="shared" si="47"/>
        <v>0</v>
      </c>
      <c r="AB103" s="53">
        <f t="shared" si="47"/>
        <v>0</v>
      </c>
      <c r="AC103" s="62">
        <f t="shared" si="47"/>
        <v>-1321000</v>
      </c>
      <c r="AD103" s="63">
        <f t="shared" si="48"/>
        <v>0</v>
      </c>
      <c r="AE103" s="63">
        <v>0</v>
      </c>
      <c r="AF103" s="221">
        <f t="shared" si="34"/>
        <v>-66000</v>
      </c>
      <c r="AG103" s="222">
        <f t="shared" si="36"/>
        <v>0.05258964143426295</v>
      </c>
      <c r="AH103" s="3"/>
    </row>
    <row r="104" spans="1:33" ht="14.25">
      <c r="A104" s="2" t="s">
        <v>141</v>
      </c>
      <c r="B104" s="2"/>
      <c r="C104" s="2"/>
      <c r="D104" s="2"/>
      <c r="E104" s="52"/>
      <c r="F104" s="53"/>
      <c r="G104" s="54">
        <v>-2500</v>
      </c>
      <c r="H104" s="55"/>
      <c r="I104" s="55"/>
      <c r="J104" s="52">
        <v>0</v>
      </c>
      <c r="K104" s="53">
        <v>0</v>
      </c>
      <c r="L104" s="56">
        <v>0</v>
      </c>
      <c r="M104" s="57"/>
      <c r="N104" s="55">
        <v>0</v>
      </c>
      <c r="O104" s="52">
        <v>0</v>
      </c>
      <c r="P104" s="53">
        <v>0</v>
      </c>
      <c r="Q104" s="54">
        <v>0</v>
      </c>
      <c r="R104" s="58">
        <f t="shared" si="46"/>
        <v>0</v>
      </c>
      <c r="S104" s="59">
        <f t="shared" si="46"/>
        <v>0</v>
      </c>
      <c r="T104" s="54">
        <f t="shared" si="46"/>
        <v>0</v>
      </c>
      <c r="U104" s="52">
        <v>0</v>
      </c>
      <c r="V104" s="60">
        <v>0</v>
      </c>
      <c r="W104" s="54">
        <v>0</v>
      </c>
      <c r="X104" s="61">
        <v>0</v>
      </c>
      <c r="Y104" s="60">
        <v>0</v>
      </c>
      <c r="Z104" s="54">
        <v>0</v>
      </c>
      <c r="AA104" s="52">
        <f t="shared" si="47"/>
        <v>0</v>
      </c>
      <c r="AB104" s="53">
        <f t="shared" si="47"/>
        <v>0</v>
      </c>
      <c r="AC104" s="54">
        <f t="shared" si="47"/>
        <v>0</v>
      </c>
      <c r="AD104" s="63">
        <f t="shared" si="48"/>
        <v>0</v>
      </c>
      <c r="AE104" s="63">
        <f>+L104*$AE$11</f>
        <v>0</v>
      </c>
      <c r="AF104" s="221">
        <f t="shared" si="34"/>
        <v>0</v>
      </c>
      <c r="AG104" s="222" t="s">
        <v>198</v>
      </c>
    </row>
    <row r="105" spans="1:33" ht="14.25">
      <c r="A105" s="2" t="s">
        <v>157</v>
      </c>
      <c r="B105" s="2"/>
      <c r="C105" s="2"/>
      <c r="D105" s="2"/>
      <c r="E105" s="52"/>
      <c r="F105" s="53"/>
      <c r="G105" s="54">
        <v>0</v>
      </c>
      <c r="H105" s="55"/>
      <c r="I105" s="55"/>
      <c r="J105" s="52">
        <v>0</v>
      </c>
      <c r="K105" s="53">
        <v>0</v>
      </c>
      <c r="L105" s="56">
        <v>-11000</v>
      </c>
      <c r="M105" s="57"/>
      <c r="N105" s="55">
        <v>11000</v>
      </c>
      <c r="O105" s="52">
        <v>0</v>
      </c>
      <c r="P105" s="53">
        <v>0</v>
      </c>
      <c r="Q105" s="54">
        <v>0</v>
      </c>
      <c r="R105" s="58">
        <f t="shared" si="46"/>
        <v>0</v>
      </c>
      <c r="S105" s="59">
        <f t="shared" si="46"/>
        <v>0</v>
      </c>
      <c r="T105" s="54">
        <f>+L105+Q105+N105</f>
        <v>0</v>
      </c>
      <c r="U105" s="52">
        <v>0</v>
      </c>
      <c r="V105" s="60">
        <v>0</v>
      </c>
      <c r="W105" s="54">
        <v>0</v>
      </c>
      <c r="X105" s="61">
        <v>0</v>
      </c>
      <c r="Y105" s="60">
        <v>0</v>
      </c>
      <c r="Z105" s="54">
        <v>0</v>
      </c>
      <c r="AA105" s="52">
        <f t="shared" si="47"/>
        <v>0</v>
      </c>
      <c r="AB105" s="53">
        <f t="shared" si="47"/>
        <v>0</v>
      </c>
      <c r="AC105" s="54">
        <f t="shared" si="47"/>
        <v>0</v>
      </c>
      <c r="AD105" s="63">
        <f t="shared" si="48"/>
        <v>0</v>
      </c>
      <c r="AE105" s="63">
        <v>0</v>
      </c>
      <c r="AF105" s="221">
        <f t="shared" si="34"/>
        <v>11000</v>
      </c>
      <c r="AG105" s="222" t="s">
        <v>198</v>
      </c>
    </row>
    <row r="106" spans="1:33" ht="15" thickBot="1">
      <c r="A106" s="2" t="s">
        <v>216</v>
      </c>
      <c r="B106" s="2"/>
      <c r="C106" s="2"/>
      <c r="D106" s="2"/>
      <c r="E106" s="52"/>
      <c r="F106" s="53"/>
      <c r="G106" s="54">
        <v>-102000</v>
      </c>
      <c r="H106" s="55"/>
      <c r="I106" s="55"/>
      <c r="J106" s="52">
        <v>0</v>
      </c>
      <c r="K106" s="53">
        <v>0</v>
      </c>
      <c r="L106" s="56">
        <v>-109000</v>
      </c>
      <c r="M106" s="57"/>
      <c r="N106" s="55">
        <v>109000</v>
      </c>
      <c r="O106" s="52">
        <v>0</v>
      </c>
      <c r="P106" s="53">
        <v>0</v>
      </c>
      <c r="Q106" s="54">
        <v>0</v>
      </c>
      <c r="R106" s="58">
        <f t="shared" si="46"/>
        <v>0</v>
      </c>
      <c r="S106" s="59">
        <f t="shared" si="46"/>
        <v>0</v>
      </c>
      <c r="T106" s="54">
        <f>+L106+Q106+N106</f>
        <v>0</v>
      </c>
      <c r="U106" s="52">
        <v>0</v>
      </c>
      <c r="V106" s="60">
        <v>0</v>
      </c>
      <c r="W106" s="54">
        <v>0</v>
      </c>
      <c r="X106" s="61">
        <v>0</v>
      </c>
      <c r="Y106" s="60">
        <v>0</v>
      </c>
      <c r="Z106" s="54">
        <v>-345000</v>
      </c>
      <c r="AA106" s="52">
        <f>SUM(R106+U106+X106)</f>
        <v>0</v>
      </c>
      <c r="AB106" s="53">
        <f>SUM(S106+V106+Y106)</f>
        <v>0</v>
      </c>
      <c r="AC106" s="54">
        <f>SUM(T106+W106+Z106)</f>
        <v>-345000</v>
      </c>
      <c r="AD106" s="63">
        <f t="shared" si="48"/>
        <v>0</v>
      </c>
      <c r="AE106" s="63">
        <v>0</v>
      </c>
      <c r="AF106" s="221">
        <f t="shared" si="34"/>
        <v>-236000</v>
      </c>
      <c r="AG106" s="222">
        <f t="shared" si="36"/>
        <v>2.165137614678899</v>
      </c>
    </row>
    <row r="107" spans="1:33" ht="16.5" thickBot="1" thickTop="1">
      <c r="A107" s="111" t="s">
        <v>79</v>
      </c>
      <c r="B107" s="140"/>
      <c r="C107" s="140"/>
      <c r="D107" s="140"/>
      <c r="E107" s="141">
        <f aca="true" t="shared" si="49" ref="E107:AE107">SUM(E99:E106)</f>
        <v>0</v>
      </c>
      <c r="F107" s="142">
        <f t="shared" si="49"/>
        <v>0</v>
      </c>
      <c r="G107" s="143">
        <f t="shared" si="49"/>
        <v>-1396063</v>
      </c>
      <c r="H107" s="143">
        <f t="shared" si="49"/>
        <v>0</v>
      </c>
      <c r="I107" s="143">
        <f t="shared" si="49"/>
        <v>0</v>
      </c>
      <c r="J107" s="141">
        <f t="shared" si="49"/>
        <v>0</v>
      </c>
      <c r="K107" s="142">
        <f t="shared" si="49"/>
        <v>0</v>
      </c>
      <c r="L107" s="144">
        <f t="shared" si="49"/>
        <v>-1375000</v>
      </c>
      <c r="M107" s="143">
        <f t="shared" si="49"/>
        <v>0</v>
      </c>
      <c r="N107" s="143">
        <f t="shared" si="49"/>
        <v>1375000</v>
      </c>
      <c r="O107" s="141">
        <f t="shared" si="49"/>
        <v>0</v>
      </c>
      <c r="P107" s="142">
        <f t="shared" si="49"/>
        <v>0</v>
      </c>
      <c r="Q107" s="145">
        <f t="shared" si="49"/>
        <v>0</v>
      </c>
      <c r="R107" s="141">
        <f t="shared" si="49"/>
        <v>0</v>
      </c>
      <c r="S107" s="142">
        <f t="shared" si="49"/>
        <v>0</v>
      </c>
      <c r="T107" s="145">
        <f t="shared" si="49"/>
        <v>0</v>
      </c>
      <c r="U107" s="146">
        <f t="shared" si="49"/>
        <v>0</v>
      </c>
      <c r="V107" s="142">
        <f t="shared" si="49"/>
        <v>0</v>
      </c>
      <c r="W107" s="145">
        <f t="shared" si="49"/>
        <v>0</v>
      </c>
      <c r="X107" s="141">
        <f t="shared" si="49"/>
        <v>0</v>
      </c>
      <c r="Y107" s="142">
        <f t="shared" si="49"/>
        <v>0</v>
      </c>
      <c r="Z107" s="145">
        <f t="shared" si="49"/>
        <v>-1666000</v>
      </c>
      <c r="AA107" s="145">
        <f t="shared" si="49"/>
        <v>0</v>
      </c>
      <c r="AB107" s="145">
        <f t="shared" si="49"/>
        <v>0</v>
      </c>
      <c r="AC107" s="145">
        <f t="shared" si="49"/>
        <v>-1666000</v>
      </c>
      <c r="AD107" s="147">
        <f t="shared" si="49"/>
        <v>0</v>
      </c>
      <c r="AE107" s="147">
        <f t="shared" si="49"/>
        <v>0</v>
      </c>
      <c r="AF107" s="221">
        <f t="shared" si="34"/>
        <v>-291000</v>
      </c>
      <c r="AG107" s="222">
        <f t="shared" si="36"/>
        <v>0.21163636363636365</v>
      </c>
    </row>
    <row r="108" spans="1:33" ht="10.5" customHeight="1" thickBot="1" thickTop="1">
      <c r="A108" s="148"/>
      <c r="B108" s="149"/>
      <c r="C108" s="149"/>
      <c r="D108" s="149"/>
      <c r="E108" s="52"/>
      <c r="F108" s="53"/>
      <c r="G108" s="54"/>
      <c r="H108" s="150"/>
      <c r="I108" s="150"/>
      <c r="J108" s="52"/>
      <c r="K108" s="53"/>
      <c r="L108" s="56"/>
      <c r="M108" s="57"/>
      <c r="N108" s="150"/>
      <c r="O108" s="52"/>
      <c r="P108" s="53"/>
      <c r="Q108" s="54"/>
      <c r="R108" s="58"/>
      <c r="S108" s="59"/>
      <c r="T108" s="54"/>
      <c r="U108" s="52"/>
      <c r="V108" s="60"/>
      <c r="W108" s="54"/>
      <c r="X108" s="61"/>
      <c r="Y108" s="60"/>
      <c r="Z108" s="54"/>
      <c r="AA108" s="52"/>
      <c r="AB108" s="53"/>
      <c r="AC108" s="54"/>
      <c r="AD108" s="42"/>
      <c r="AE108" s="42"/>
      <c r="AF108" s="221">
        <f t="shared" si="34"/>
        <v>0</v>
      </c>
      <c r="AG108" s="222" t="s">
        <v>198</v>
      </c>
    </row>
    <row r="109" spans="1:33" ht="16.5" thickBot="1" thickTop="1">
      <c r="A109" s="111" t="s">
        <v>80</v>
      </c>
      <c r="B109" s="151"/>
      <c r="C109" s="151"/>
      <c r="D109" s="151"/>
      <c r="E109" s="137">
        <f aca="true" t="shared" si="50" ref="E109:AE109">+E97+E107</f>
        <v>108837</v>
      </c>
      <c r="F109" s="137">
        <f t="shared" si="50"/>
        <v>116221</v>
      </c>
      <c r="G109" s="137">
        <f t="shared" si="50"/>
        <v>19765607</v>
      </c>
      <c r="H109" s="152">
        <f t="shared" si="50"/>
        <v>0</v>
      </c>
      <c r="I109" s="152">
        <f t="shared" si="50"/>
        <v>0</v>
      </c>
      <c r="J109" s="137">
        <f t="shared" si="50"/>
        <v>107623</v>
      </c>
      <c r="K109" s="137">
        <f t="shared" si="50"/>
        <v>115498</v>
      </c>
      <c r="L109" s="153">
        <f t="shared" si="50"/>
        <v>19454974</v>
      </c>
      <c r="M109" s="152">
        <f t="shared" si="50"/>
        <v>0</v>
      </c>
      <c r="N109" s="152">
        <f t="shared" si="50"/>
        <v>1784532</v>
      </c>
      <c r="O109" s="152">
        <f t="shared" si="50"/>
        <v>-120</v>
      </c>
      <c r="P109" s="154">
        <f t="shared" si="50"/>
        <v>351</v>
      </c>
      <c r="Q109" s="155">
        <f t="shared" si="50"/>
        <v>458286</v>
      </c>
      <c r="R109" s="155">
        <f t="shared" si="50"/>
        <v>106800</v>
      </c>
      <c r="S109" s="155">
        <f t="shared" si="50"/>
        <v>115131</v>
      </c>
      <c r="T109" s="155">
        <f t="shared" si="50"/>
        <v>21697792</v>
      </c>
      <c r="U109" s="152">
        <f t="shared" si="50"/>
        <v>1504</v>
      </c>
      <c r="V109" s="154">
        <f t="shared" si="50"/>
        <v>1088</v>
      </c>
      <c r="W109" s="155">
        <f t="shared" si="50"/>
        <v>1701176</v>
      </c>
      <c r="X109" s="152">
        <f t="shared" si="50"/>
        <v>-3776</v>
      </c>
      <c r="Y109" s="154">
        <f t="shared" si="50"/>
        <v>-4214</v>
      </c>
      <c r="Z109" s="155">
        <f t="shared" si="50"/>
        <v>-4492700</v>
      </c>
      <c r="AA109" s="152">
        <f t="shared" si="50"/>
        <v>104528</v>
      </c>
      <c r="AB109" s="154">
        <f t="shared" si="50"/>
        <v>112005</v>
      </c>
      <c r="AC109" s="156">
        <f t="shared" si="50"/>
        <v>18906268</v>
      </c>
      <c r="AD109" s="157">
        <f t="shared" si="50"/>
        <v>20626987.64</v>
      </c>
      <c r="AE109" s="157">
        <f t="shared" si="50"/>
        <v>18684597.16</v>
      </c>
      <c r="AF109" s="223">
        <f t="shared" si="34"/>
        <v>-548706</v>
      </c>
      <c r="AG109" s="224">
        <f t="shared" si="36"/>
        <v>-0.02820389274228791</v>
      </c>
    </row>
    <row r="110" spans="1:32" ht="15" thickTop="1">
      <c r="A110" s="138" t="s">
        <v>81</v>
      </c>
      <c r="B110" s="138"/>
      <c r="C110" s="138"/>
      <c r="D110" s="138"/>
      <c r="E110" s="52"/>
      <c r="F110" s="53"/>
      <c r="G110" s="54"/>
      <c r="H110" s="139"/>
      <c r="I110" s="139"/>
      <c r="J110" s="52"/>
      <c r="K110" s="53"/>
      <c r="L110" s="56"/>
      <c r="M110" s="57"/>
      <c r="N110" s="139" t="s">
        <v>198</v>
      </c>
      <c r="O110" s="52"/>
      <c r="P110" s="53"/>
      <c r="Q110" s="54"/>
      <c r="R110" s="58"/>
      <c r="S110" s="59"/>
      <c r="T110" s="54"/>
      <c r="U110" s="52"/>
      <c r="V110" s="60"/>
      <c r="W110" s="54"/>
      <c r="X110" s="61"/>
      <c r="Y110" s="60"/>
      <c r="Z110" s="54"/>
      <c r="AA110" s="52"/>
      <c r="AB110" s="53"/>
      <c r="AC110" s="54"/>
      <c r="AD110" s="63">
        <f>+T110*(1+$AD$11)</f>
        <v>0</v>
      </c>
      <c r="AE110" s="63">
        <f>+L110*$AE$11</f>
        <v>0</v>
      </c>
      <c r="AF110" s="3"/>
    </row>
    <row r="111" spans="1:32" ht="15" thickBot="1">
      <c r="A111" s="158" t="s">
        <v>142</v>
      </c>
      <c r="B111" s="2"/>
      <c r="C111" s="2"/>
      <c r="D111" s="2"/>
      <c r="E111" s="52"/>
      <c r="F111" s="53">
        <v>239</v>
      </c>
      <c r="G111" s="54">
        <v>38610</v>
      </c>
      <c r="H111" s="55"/>
      <c r="I111" s="55"/>
      <c r="J111" s="52"/>
      <c r="K111" s="53">
        <v>0</v>
      </c>
      <c r="L111" s="56">
        <v>0</v>
      </c>
      <c r="M111" s="57"/>
      <c r="N111" s="55">
        <v>0</v>
      </c>
      <c r="O111" s="52">
        <v>120</v>
      </c>
      <c r="P111" s="53">
        <v>120</v>
      </c>
      <c r="Q111" s="54">
        <v>16000</v>
      </c>
      <c r="R111" s="58">
        <f>+J111+O111</f>
        <v>120</v>
      </c>
      <c r="S111" s="59">
        <f>+K111+P111</f>
        <v>120</v>
      </c>
      <c r="T111" s="54">
        <f>+L111+Q111+N111</f>
        <v>16000</v>
      </c>
      <c r="U111" s="52">
        <v>0</v>
      </c>
      <c r="V111" s="60">
        <v>0</v>
      </c>
      <c r="W111" s="54">
        <v>0</v>
      </c>
      <c r="X111" s="61">
        <v>0</v>
      </c>
      <c r="Y111" s="60">
        <v>0</v>
      </c>
      <c r="Z111" s="54">
        <v>0</v>
      </c>
      <c r="AA111" s="52">
        <f>+X111+U111+R111</f>
        <v>120</v>
      </c>
      <c r="AB111" s="53">
        <f>+Y111+V111+S111</f>
        <v>120</v>
      </c>
      <c r="AC111" s="54">
        <f>+Z111+W111+T111</f>
        <v>16000</v>
      </c>
      <c r="AD111" s="63">
        <f>+T111*(1+$AD$11)</f>
        <v>16640</v>
      </c>
      <c r="AE111" s="63">
        <f>+L111*$AE$11</f>
        <v>0</v>
      </c>
      <c r="AF111" s="3"/>
    </row>
    <row r="112" spans="1:31" ht="16.5" thickBot="1" thickTop="1">
      <c r="A112" s="854" t="s">
        <v>102</v>
      </c>
      <c r="B112" s="855"/>
      <c r="C112" s="855"/>
      <c r="D112" s="855"/>
      <c r="E112" s="159">
        <f aca="true" t="shared" si="51" ref="E112:AC112">E111</f>
        <v>0</v>
      </c>
      <c r="F112" s="160">
        <f t="shared" si="51"/>
        <v>239</v>
      </c>
      <c r="G112" s="161">
        <f t="shared" si="51"/>
        <v>38610</v>
      </c>
      <c r="H112" s="162">
        <f t="shared" si="51"/>
        <v>0</v>
      </c>
      <c r="I112" s="162">
        <f t="shared" si="51"/>
        <v>0</v>
      </c>
      <c r="J112" s="159">
        <f t="shared" si="51"/>
        <v>0</v>
      </c>
      <c r="K112" s="160">
        <f t="shared" si="51"/>
        <v>0</v>
      </c>
      <c r="L112" s="163">
        <f t="shared" si="51"/>
        <v>0</v>
      </c>
      <c r="M112" s="163"/>
      <c r="N112" s="163">
        <f t="shared" si="51"/>
        <v>0</v>
      </c>
      <c r="O112" s="159">
        <f t="shared" si="51"/>
        <v>120</v>
      </c>
      <c r="P112" s="160">
        <f t="shared" si="51"/>
        <v>120</v>
      </c>
      <c r="Q112" s="161">
        <f t="shared" si="51"/>
        <v>16000</v>
      </c>
      <c r="R112" s="161">
        <f t="shared" si="51"/>
        <v>120</v>
      </c>
      <c r="S112" s="161">
        <f t="shared" si="51"/>
        <v>120</v>
      </c>
      <c r="T112" s="161">
        <f t="shared" si="51"/>
        <v>16000</v>
      </c>
      <c r="U112" s="159">
        <f t="shared" si="51"/>
        <v>0</v>
      </c>
      <c r="V112" s="160">
        <f t="shared" si="51"/>
        <v>0</v>
      </c>
      <c r="W112" s="161">
        <f t="shared" si="51"/>
        <v>0</v>
      </c>
      <c r="X112" s="159">
        <f t="shared" si="51"/>
        <v>0</v>
      </c>
      <c r="Y112" s="160">
        <f t="shared" si="51"/>
        <v>0</v>
      </c>
      <c r="Z112" s="161">
        <f t="shared" si="51"/>
        <v>0</v>
      </c>
      <c r="AA112" s="161">
        <f t="shared" si="51"/>
        <v>120</v>
      </c>
      <c r="AB112" s="161">
        <f t="shared" si="51"/>
        <v>120</v>
      </c>
      <c r="AC112" s="161">
        <f t="shared" si="51"/>
        <v>16000</v>
      </c>
      <c r="AD112" s="162"/>
      <c r="AE112" s="162"/>
    </row>
    <row r="113" spans="1:32" s="167" customFormat="1" ht="16.5" thickBot="1" thickTop="1">
      <c r="A113" s="111" t="s">
        <v>88</v>
      </c>
      <c r="B113" s="112"/>
      <c r="C113" s="112"/>
      <c r="D113" s="112"/>
      <c r="E113" s="137">
        <f aca="true" t="shared" si="52" ref="E113:AE113">E109+E112</f>
        <v>108837</v>
      </c>
      <c r="F113" s="137">
        <f t="shared" si="52"/>
        <v>116460</v>
      </c>
      <c r="G113" s="137">
        <f t="shared" si="52"/>
        <v>19804217</v>
      </c>
      <c r="H113" s="164">
        <f t="shared" si="52"/>
        <v>0</v>
      </c>
      <c r="I113" s="164">
        <f t="shared" si="52"/>
        <v>0</v>
      </c>
      <c r="J113" s="137">
        <f t="shared" si="52"/>
        <v>107623</v>
      </c>
      <c r="K113" s="137">
        <f t="shared" si="52"/>
        <v>115498</v>
      </c>
      <c r="L113" s="153">
        <f t="shared" si="52"/>
        <v>19454974</v>
      </c>
      <c r="M113" s="164">
        <f t="shared" si="52"/>
        <v>0</v>
      </c>
      <c r="N113" s="164">
        <f t="shared" si="52"/>
        <v>1784532</v>
      </c>
      <c r="O113" s="164">
        <f t="shared" si="52"/>
        <v>0</v>
      </c>
      <c r="P113" s="165">
        <f t="shared" si="52"/>
        <v>471</v>
      </c>
      <c r="Q113" s="166">
        <f t="shared" si="52"/>
        <v>474286</v>
      </c>
      <c r="R113" s="166">
        <f t="shared" si="52"/>
        <v>106920</v>
      </c>
      <c r="S113" s="166">
        <f t="shared" si="52"/>
        <v>115251</v>
      </c>
      <c r="T113" s="166">
        <f t="shared" si="52"/>
        <v>21713792</v>
      </c>
      <c r="U113" s="164">
        <f t="shared" si="52"/>
        <v>1504</v>
      </c>
      <c r="V113" s="165">
        <f t="shared" si="52"/>
        <v>1088</v>
      </c>
      <c r="W113" s="166">
        <f t="shared" si="52"/>
        <v>1701176</v>
      </c>
      <c r="X113" s="164">
        <f t="shared" si="52"/>
        <v>-3776</v>
      </c>
      <c r="Y113" s="165">
        <f t="shared" si="52"/>
        <v>-4214</v>
      </c>
      <c r="Z113" s="166">
        <f t="shared" si="52"/>
        <v>-4492700</v>
      </c>
      <c r="AA113" s="166">
        <f t="shared" si="52"/>
        <v>104648</v>
      </c>
      <c r="AB113" s="166">
        <f t="shared" si="52"/>
        <v>112125</v>
      </c>
      <c r="AC113" s="166">
        <f t="shared" si="52"/>
        <v>18922268</v>
      </c>
      <c r="AD113" s="137">
        <f t="shared" si="52"/>
        <v>20626987.64</v>
      </c>
      <c r="AE113" s="137">
        <f t="shared" si="52"/>
        <v>18684597.16</v>
      </c>
      <c r="AF113" s="114"/>
    </row>
    <row r="114" spans="1:31" ht="15" thickTop="1">
      <c r="A114" s="11" t="s">
        <v>31</v>
      </c>
      <c r="E114" s="52"/>
      <c r="F114" s="53"/>
      <c r="G114" s="54"/>
      <c r="H114" s="55"/>
      <c r="I114" s="55"/>
      <c r="J114" s="52"/>
      <c r="K114" s="53"/>
      <c r="L114" s="56"/>
      <c r="M114" s="57"/>
      <c r="N114" s="55"/>
      <c r="O114" s="52"/>
      <c r="P114" s="53"/>
      <c r="Q114" s="54"/>
      <c r="R114" s="58"/>
      <c r="S114" s="59"/>
      <c r="T114" s="54"/>
      <c r="U114" s="52"/>
      <c r="V114" s="60"/>
      <c r="W114" s="54"/>
      <c r="X114" s="61"/>
      <c r="Y114" s="60"/>
      <c r="Z114" s="54"/>
      <c r="AA114" s="52"/>
      <c r="AB114" s="53"/>
      <c r="AC114" s="54"/>
      <c r="AD114" s="42"/>
      <c r="AE114" s="42"/>
    </row>
    <row r="115" spans="1:31" ht="14.25">
      <c r="A115" s="11" t="s">
        <v>89</v>
      </c>
      <c r="E115" s="52">
        <v>0</v>
      </c>
      <c r="F115" s="53">
        <v>0</v>
      </c>
      <c r="G115" s="54">
        <v>168300</v>
      </c>
      <c r="H115" s="55"/>
      <c r="I115" s="55"/>
      <c r="J115" s="52">
        <v>0</v>
      </c>
      <c r="K115" s="53">
        <v>0</v>
      </c>
      <c r="L115" s="56">
        <f>SUM(G115+H115)</f>
        <v>168300</v>
      </c>
      <c r="M115" s="57"/>
      <c r="N115" s="55">
        <v>0</v>
      </c>
      <c r="O115" s="52">
        <v>0</v>
      </c>
      <c r="P115" s="53">
        <v>0</v>
      </c>
      <c r="Q115" s="54">
        <v>0</v>
      </c>
      <c r="R115" s="58">
        <f aca="true" t="shared" si="53" ref="R115:T124">+J115+O115</f>
        <v>0</v>
      </c>
      <c r="S115" s="59">
        <f t="shared" si="53"/>
        <v>0</v>
      </c>
      <c r="T115" s="54">
        <f t="shared" si="53"/>
        <v>168300</v>
      </c>
      <c r="U115" s="52">
        <v>0</v>
      </c>
      <c r="V115" s="60">
        <v>0</v>
      </c>
      <c r="W115" s="54">
        <v>0</v>
      </c>
      <c r="X115" s="61">
        <v>0</v>
      </c>
      <c r="Y115" s="60">
        <v>0</v>
      </c>
      <c r="Z115" s="54">
        <v>0</v>
      </c>
      <c r="AA115" s="52">
        <f aca="true" t="shared" si="54" ref="AA115:AC124">+X115+U115+R115</f>
        <v>0</v>
      </c>
      <c r="AB115" s="53">
        <f t="shared" si="54"/>
        <v>0</v>
      </c>
      <c r="AC115" s="54">
        <f t="shared" si="54"/>
        <v>168300</v>
      </c>
      <c r="AD115" s="42"/>
      <c r="AE115" s="42"/>
    </row>
    <row r="116" spans="1:31" ht="14.25">
      <c r="A116" s="11" t="s">
        <v>123</v>
      </c>
      <c r="E116" s="52">
        <v>0</v>
      </c>
      <c r="F116" s="53">
        <v>0</v>
      </c>
      <c r="G116" s="54">
        <v>9500</v>
      </c>
      <c r="H116" s="55"/>
      <c r="I116" s="55"/>
      <c r="J116" s="52">
        <v>0</v>
      </c>
      <c r="K116" s="53">
        <v>0</v>
      </c>
      <c r="L116" s="56">
        <f>SUM(G116+H116)</f>
        <v>9500</v>
      </c>
      <c r="M116" s="57"/>
      <c r="N116" s="55">
        <v>0</v>
      </c>
      <c r="O116" s="52">
        <v>0</v>
      </c>
      <c r="P116" s="53">
        <v>0</v>
      </c>
      <c r="Q116" s="54">
        <v>0</v>
      </c>
      <c r="R116" s="58">
        <f t="shared" si="53"/>
        <v>0</v>
      </c>
      <c r="S116" s="59">
        <f t="shared" si="53"/>
        <v>0</v>
      </c>
      <c r="T116" s="54">
        <f t="shared" si="53"/>
        <v>9500</v>
      </c>
      <c r="U116" s="52">
        <v>0</v>
      </c>
      <c r="V116" s="60">
        <v>0</v>
      </c>
      <c r="W116" s="54">
        <v>0</v>
      </c>
      <c r="X116" s="61">
        <v>0</v>
      </c>
      <c r="Y116" s="60">
        <v>0</v>
      </c>
      <c r="Z116" s="54">
        <v>0</v>
      </c>
      <c r="AA116" s="52">
        <f t="shared" si="54"/>
        <v>0</v>
      </c>
      <c r="AB116" s="53">
        <f t="shared" si="54"/>
        <v>0</v>
      </c>
      <c r="AC116" s="54">
        <f t="shared" si="54"/>
        <v>9500</v>
      </c>
      <c r="AD116" s="42"/>
      <c r="AE116" s="42"/>
    </row>
    <row r="117" spans="1:31" ht="14.25">
      <c r="A117" s="11" t="s">
        <v>126</v>
      </c>
      <c r="E117" s="52">
        <v>0</v>
      </c>
      <c r="F117" s="53">
        <v>0</v>
      </c>
      <c r="G117" s="54">
        <v>53625</v>
      </c>
      <c r="H117" s="55"/>
      <c r="I117" s="55"/>
      <c r="J117" s="52">
        <v>0</v>
      </c>
      <c r="K117" s="53">
        <v>0</v>
      </c>
      <c r="L117" s="56">
        <v>43950</v>
      </c>
      <c r="M117" s="57"/>
      <c r="N117" s="55">
        <v>0</v>
      </c>
      <c r="O117" s="52">
        <v>0</v>
      </c>
      <c r="P117" s="53">
        <v>0</v>
      </c>
      <c r="Q117" s="54">
        <v>0</v>
      </c>
      <c r="R117" s="58">
        <f t="shared" si="53"/>
        <v>0</v>
      </c>
      <c r="S117" s="59">
        <f t="shared" si="53"/>
        <v>0</v>
      </c>
      <c r="T117" s="54">
        <f t="shared" si="53"/>
        <v>43950</v>
      </c>
      <c r="U117" s="52">
        <v>0</v>
      </c>
      <c r="V117" s="60">
        <v>0</v>
      </c>
      <c r="W117" s="54">
        <v>0</v>
      </c>
      <c r="X117" s="61">
        <v>0</v>
      </c>
      <c r="Y117" s="60">
        <v>0</v>
      </c>
      <c r="Z117" s="54">
        <v>0</v>
      </c>
      <c r="AA117" s="52">
        <f t="shared" si="54"/>
        <v>0</v>
      </c>
      <c r="AB117" s="53">
        <f t="shared" si="54"/>
        <v>0</v>
      </c>
      <c r="AC117" s="54">
        <f t="shared" si="54"/>
        <v>43950</v>
      </c>
      <c r="AD117" s="42"/>
      <c r="AE117" s="42"/>
    </row>
    <row r="118" spans="1:31" ht="14.25">
      <c r="A118" s="11" t="s">
        <v>124</v>
      </c>
      <c r="E118" s="52">
        <v>0</v>
      </c>
      <c r="F118" s="53">
        <v>0</v>
      </c>
      <c r="G118" s="54">
        <v>64000</v>
      </c>
      <c r="H118" s="55"/>
      <c r="I118" s="55"/>
      <c r="J118" s="52">
        <v>0</v>
      </c>
      <c r="K118" s="53">
        <v>0</v>
      </c>
      <c r="L118" s="56">
        <v>49734</v>
      </c>
      <c r="M118" s="57"/>
      <c r="N118" s="55">
        <v>0</v>
      </c>
      <c r="O118" s="52">
        <v>0</v>
      </c>
      <c r="P118" s="53">
        <v>0</v>
      </c>
      <c r="Q118" s="54">
        <v>0</v>
      </c>
      <c r="R118" s="58">
        <f t="shared" si="53"/>
        <v>0</v>
      </c>
      <c r="S118" s="59">
        <f t="shared" si="53"/>
        <v>0</v>
      </c>
      <c r="T118" s="54">
        <f t="shared" si="53"/>
        <v>49734</v>
      </c>
      <c r="U118" s="52">
        <v>0</v>
      </c>
      <c r="V118" s="60">
        <v>0</v>
      </c>
      <c r="W118" s="54">
        <v>0</v>
      </c>
      <c r="X118" s="61">
        <v>0</v>
      </c>
      <c r="Y118" s="60">
        <v>0</v>
      </c>
      <c r="Z118" s="54">
        <v>0</v>
      </c>
      <c r="AA118" s="52">
        <f t="shared" si="54"/>
        <v>0</v>
      </c>
      <c r="AB118" s="53">
        <f t="shared" si="54"/>
        <v>0</v>
      </c>
      <c r="AC118" s="54">
        <f t="shared" si="54"/>
        <v>49734</v>
      </c>
      <c r="AD118" s="42"/>
      <c r="AE118" s="42"/>
    </row>
    <row r="119" spans="1:31" ht="14.25">
      <c r="A119" s="11" t="s">
        <v>143</v>
      </c>
      <c r="E119" s="52">
        <v>0</v>
      </c>
      <c r="F119" s="53">
        <v>0</v>
      </c>
      <c r="G119" s="54">
        <v>548623</v>
      </c>
      <c r="H119" s="55"/>
      <c r="I119" s="55"/>
      <c r="J119" s="52">
        <v>0</v>
      </c>
      <c r="K119" s="53">
        <v>0</v>
      </c>
      <c r="L119" s="56">
        <v>531063</v>
      </c>
      <c r="M119" s="57"/>
      <c r="N119" s="55">
        <v>0</v>
      </c>
      <c r="O119" s="52">
        <v>0</v>
      </c>
      <c r="P119" s="53">
        <v>0</v>
      </c>
      <c r="Q119" s="54">
        <v>0</v>
      </c>
      <c r="R119" s="58">
        <f t="shared" si="53"/>
        <v>0</v>
      </c>
      <c r="S119" s="59">
        <f t="shared" si="53"/>
        <v>0</v>
      </c>
      <c r="T119" s="54">
        <f t="shared" si="53"/>
        <v>531063</v>
      </c>
      <c r="U119" s="52">
        <v>0</v>
      </c>
      <c r="V119" s="60">
        <v>0</v>
      </c>
      <c r="W119" s="54">
        <v>0</v>
      </c>
      <c r="X119" s="61">
        <v>0</v>
      </c>
      <c r="Y119" s="60">
        <v>0</v>
      </c>
      <c r="Z119" s="54">
        <v>0</v>
      </c>
      <c r="AA119" s="52">
        <f t="shared" si="54"/>
        <v>0</v>
      </c>
      <c r="AB119" s="53">
        <f t="shared" si="54"/>
        <v>0</v>
      </c>
      <c r="AC119" s="54">
        <f t="shared" si="54"/>
        <v>531063</v>
      </c>
      <c r="AD119" s="42"/>
      <c r="AE119" s="42"/>
    </row>
    <row r="120" spans="1:31" ht="14.25">
      <c r="A120" s="11" t="s">
        <v>144</v>
      </c>
      <c r="E120" s="52">
        <v>0</v>
      </c>
      <c r="F120" s="53">
        <v>0</v>
      </c>
      <c r="G120" s="54">
        <v>116000</v>
      </c>
      <c r="H120" s="55"/>
      <c r="I120" s="55"/>
      <c r="J120" s="52">
        <v>0</v>
      </c>
      <c r="K120" s="53">
        <v>0</v>
      </c>
      <c r="L120" s="56">
        <v>120000</v>
      </c>
      <c r="M120" s="57"/>
      <c r="N120" s="55">
        <v>0</v>
      </c>
      <c r="O120" s="52">
        <v>0</v>
      </c>
      <c r="P120" s="53">
        <v>0</v>
      </c>
      <c r="Q120" s="54">
        <v>0</v>
      </c>
      <c r="R120" s="58">
        <f t="shared" si="53"/>
        <v>0</v>
      </c>
      <c r="S120" s="59">
        <f t="shared" si="53"/>
        <v>0</v>
      </c>
      <c r="T120" s="54">
        <f t="shared" si="53"/>
        <v>120000</v>
      </c>
      <c r="U120" s="52">
        <v>0</v>
      </c>
      <c r="V120" s="60">
        <v>0</v>
      </c>
      <c r="W120" s="54">
        <v>0</v>
      </c>
      <c r="X120" s="61">
        <v>0</v>
      </c>
      <c r="Y120" s="60">
        <v>0</v>
      </c>
      <c r="Z120" s="54">
        <v>0</v>
      </c>
      <c r="AA120" s="52">
        <f t="shared" si="54"/>
        <v>0</v>
      </c>
      <c r="AB120" s="53">
        <f t="shared" si="54"/>
        <v>0</v>
      </c>
      <c r="AC120" s="54">
        <f t="shared" si="54"/>
        <v>120000</v>
      </c>
      <c r="AD120" s="42"/>
      <c r="AE120" s="42"/>
    </row>
    <row r="121" spans="1:31" ht="14.25">
      <c r="A121" s="11" t="s">
        <v>125</v>
      </c>
      <c r="E121" s="52">
        <v>0</v>
      </c>
      <c r="F121" s="53">
        <v>0</v>
      </c>
      <c r="G121" s="54">
        <v>214402</v>
      </c>
      <c r="H121" s="55"/>
      <c r="I121" s="55"/>
      <c r="J121" s="52">
        <v>0</v>
      </c>
      <c r="K121" s="53">
        <v>0</v>
      </c>
      <c r="L121" s="56">
        <v>240697</v>
      </c>
      <c r="M121" s="57"/>
      <c r="N121" s="55">
        <v>-1384</v>
      </c>
      <c r="O121" s="52">
        <v>0</v>
      </c>
      <c r="P121" s="53">
        <v>0</v>
      </c>
      <c r="Q121" s="54">
        <v>0</v>
      </c>
      <c r="R121" s="58">
        <f t="shared" si="53"/>
        <v>0</v>
      </c>
      <c r="S121" s="59">
        <f t="shared" si="53"/>
        <v>0</v>
      </c>
      <c r="T121" s="54">
        <f>+L121+Q121+N121</f>
        <v>239313</v>
      </c>
      <c r="U121" s="52">
        <v>0</v>
      </c>
      <c r="V121" s="60">
        <v>0</v>
      </c>
      <c r="W121" s="54">
        <v>0</v>
      </c>
      <c r="X121" s="61">
        <v>0</v>
      </c>
      <c r="Y121" s="60">
        <v>0</v>
      </c>
      <c r="Z121" s="54">
        <v>0</v>
      </c>
      <c r="AA121" s="52">
        <f t="shared" si="54"/>
        <v>0</v>
      </c>
      <c r="AB121" s="53">
        <f t="shared" si="54"/>
        <v>0</v>
      </c>
      <c r="AC121" s="54">
        <f t="shared" si="54"/>
        <v>239313</v>
      </c>
      <c r="AD121" s="42"/>
      <c r="AE121" s="42"/>
    </row>
    <row r="122" spans="1:31" ht="14.25">
      <c r="A122" s="2" t="s">
        <v>68</v>
      </c>
      <c r="E122" s="52"/>
      <c r="F122" s="53"/>
      <c r="G122" s="54"/>
      <c r="H122" s="55"/>
      <c r="I122" s="55"/>
      <c r="J122" s="52"/>
      <c r="K122" s="53"/>
      <c r="L122" s="56">
        <v>120000</v>
      </c>
      <c r="M122" s="57"/>
      <c r="N122" s="55">
        <v>-120000</v>
      </c>
      <c r="O122" s="52">
        <v>0</v>
      </c>
      <c r="P122" s="53">
        <v>0</v>
      </c>
      <c r="Q122" s="54">
        <v>0</v>
      </c>
      <c r="R122" s="58">
        <f t="shared" si="53"/>
        <v>0</v>
      </c>
      <c r="S122" s="59">
        <f t="shared" si="53"/>
        <v>0</v>
      </c>
      <c r="T122" s="54">
        <f>+L122+Q122+N122</f>
        <v>0</v>
      </c>
      <c r="U122" s="52">
        <v>0</v>
      </c>
      <c r="V122" s="60">
        <v>0</v>
      </c>
      <c r="W122" s="54">
        <v>0</v>
      </c>
      <c r="X122" s="61">
        <v>0</v>
      </c>
      <c r="Y122" s="60">
        <v>0</v>
      </c>
      <c r="Z122" s="54">
        <v>0</v>
      </c>
      <c r="AA122" s="52">
        <f t="shared" si="54"/>
        <v>0</v>
      </c>
      <c r="AB122" s="53">
        <f t="shared" si="54"/>
        <v>0</v>
      </c>
      <c r="AC122" s="54">
        <f t="shared" si="54"/>
        <v>0</v>
      </c>
      <c r="AD122" s="42"/>
      <c r="AE122" s="42"/>
    </row>
    <row r="123" spans="1:31" ht="14.25">
      <c r="A123" s="11" t="s">
        <v>19</v>
      </c>
      <c r="E123" s="58" t="s">
        <v>154</v>
      </c>
      <c r="F123" s="53">
        <v>1107</v>
      </c>
      <c r="G123" s="54">
        <v>201673</v>
      </c>
      <c r="H123" s="55"/>
      <c r="I123" s="55"/>
      <c r="J123" s="58" t="s">
        <v>155</v>
      </c>
      <c r="K123" s="53">
        <v>1152</v>
      </c>
      <c r="L123" s="56">
        <v>212078</v>
      </c>
      <c r="M123" s="57"/>
      <c r="N123" s="55">
        <v>0</v>
      </c>
      <c r="O123" s="58">
        <v>0</v>
      </c>
      <c r="P123" s="53">
        <v>16</v>
      </c>
      <c r="Q123" s="54">
        <v>10771</v>
      </c>
      <c r="R123" s="58" t="s">
        <v>155</v>
      </c>
      <c r="S123" s="59">
        <f t="shared" si="53"/>
        <v>1168</v>
      </c>
      <c r="T123" s="54">
        <f t="shared" si="53"/>
        <v>222849</v>
      </c>
      <c r="U123" s="58" t="s">
        <v>193</v>
      </c>
      <c r="V123" s="60">
        <v>8</v>
      </c>
      <c r="W123" s="54">
        <v>16980</v>
      </c>
      <c r="X123" s="61">
        <v>0</v>
      </c>
      <c r="Y123" s="60">
        <v>0</v>
      </c>
      <c r="Z123" s="54">
        <v>0</v>
      </c>
      <c r="AA123" s="58" t="s">
        <v>194</v>
      </c>
      <c r="AB123" s="53">
        <f t="shared" si="54"/>
        <v>1176</v>
      </c>
      <c r="AC123" s="62">
        <f t="shared" si="54"/>
        <v>239829</v>
      </c>
      <c r="AD123" s="63"/>
      <c r="AE123" s="63"/>
    </row>
    <row r="124" spans="1:31" ht="15" thickBot="1">
      <c r="A124" s="11" t="s">
        <v>145</v>
      </c>
      <c r="E124" s="52">
        <v>0</v>
      </c>
      <c r="F124" s="53">
        <v>0</v>
      </c>
      <c r="G124" s="54">
        <v>625000</v>
      </c>
      <c r="H124" s="55"/>
      <c r="I124" s="55"/>
      <c r="J124" s="52">
        <v>0</v>
      </c>
      <c r="K124" s="53">
        <v>0</v>
      </c>
      <c r="L124" s="56">
        <v>625000</v>
      </c>
      <c r="M124" s="57"/>
      <c r="N124" s="55">
        <v>50000</v>
      </c>
      <c r="O124" s="52">
        <v>0</v>
      </c>
      <c r="P124" s="53">
        <v>0</v>
      </c>
      <c r="Q124" s="54">
        <v>0</v>
      </c>
      <c r="R124" s="58">
        <f>+J124+O124</f>
        <v>0</v>
      </c>
      <c r="S124" s="59">
        <f t="shared" si="53"/>
        <v>0</v>
      </c>
      <c r="T124" s="54">
        <f>+L124+Q124+N124</f>
        <v>675000</v>
      </c>
      <c r="U124" s="52">
        <v>0</v>
      </c>
      <c r="V124" s="60">
        <v>0</v>
      </c>
      <c r="W124" s="54">
        <v>0</v>
      </c>
      <c r="X124" s="61">
        <v>0</v>
      </c>
      <c r="Y124" s="60">
        <v>0</v>
      </c>
      <c r="Z124" s="54">
        <v>0</v>
      </c>
      <c r="AA124" s="52">
        <f t="shared" si="54"/>
        <v>0</v>
      </c>
      <c r="AB124" s="53">
        <f t="shared" si="54"/>
        <v>0</v>
      </c>
      <c r="AC124" s="54">
        <f t="shared" si="54"/>
        <v>675000</v>
      </c>
      <c r="AD124" s="42"/>
      <c r="AE124" s="42"/>
    </row>
    <row r="125" spans="1:31" ht="16.5" thickBot="1" thickTop="1">
      <c r="A125" s="111" t="s">
        <v>33</v>
      </c>
      <c r="B125" s="140"/>
      <c r="C125" s="140"/>
      <c r="D125" s="140"/>
      <c r="E125" s="147" t="s">
        <v>154</v>
      </c>
      <c r="F125" s="147">
        <f>SUM(F115:F124)</f>
        <v>1107</v>
      </c>
      <c r="G125" s="147">
        <f>SUM(G115:G124)</f>
        <v>2001123</v>
      </c>
      <c r="H125" s="143">
        <f>SUM(H115:H124)</f>
        <v>0</v>
      </c>
      <c r="I125" s="143">
        <f>SUM(I115:I124)</f>
        <v>0</v>
      </c>
      <c r="J125" s="147" t="s">
        <v>155</v>
      </c>
      <c r="K125" s="147">
        <f aca="true" t="shared" si="55" ref="K125:Q125">SUM(K115:K124)</f>
        <v>1152</v>
      </c>
      <c r="L125" s="168">
        <f t="shared" si="55"/>
        <v>2120322</v>
      </c>
      <c r="M125" s="143">
        <f t="shared" si="55"/>
        <v>0</v>
      </c>
      <c r="N125" s="143">
        <f t="shared" si="55"/>
        <v>-71384</v>
      </c>
      <c r="O125" s="141">
        <f t="shared" si="55"/>
        <v>0</v>
      </c>
      <c r="P125" s="142">
        <f t="shared" si="55"/>
        <v>16</v>
      </c>
      <c r="Q125" s="145">
        <f t="shared" si="55"/>
        <v>10771</v>
      </c>
      <c r="R125" s="145" t="s">
        <v>154</v>
      </c>
      <c r="S125" s="145">
        <f aca="true" t="shared" si="56" ref="S125:Z125">SUM(S115:S124)</f>
        <v>1168</v>
      </c>
      <c r="T125" s="145">
        <f t="shared" si="56"/>
        <v>2059709</v>
      </c>
      <c r="U125" s="142">
        <f t="shared" si="56"/>
        <v>0</v>
      </c>
      <c r="V125" s="142">
        <f t="shared" si="56"/>
        <v>8</v>
      </c>
      <c r="W125" s="145">
        <f t="shared" si="56"/>
        <v>16980</v>
      </c>
      <c r="X125" s="141">
        <f t="shared" si="56"/>
        <v>0</v>
      </c>
      <c r="Y125" s="142">
        <f t="shared" si="56"/>
        <v>0</v>
      </c>
      <c r="Z125" s="145">
        <f t="shared" si="56"/>
        <v>0</v>
      </c>
      <c r="AA125" s="145" t="s">
        <v>155</v>
      </c>
      <c r="AB125" s="145">
        <f>SUM(AB115:AB124)</f>
        <v>1176</v>
      </c>
      <c r="AC125" s="145">
        <f>SUM(AC115:AC124)</f>
        <v>2076689</v>
      </c>
      <c r="AD125" s="147">
        <f>SUM(AD115:AD124)</f>
        <v>0</v>
      </c>
      <c r="AE125" s="147">
        <f>SUM(AE115:AE124)</f>
        <v>0</v>
      </c>
    </row>
    <row r="126" spans="1:31" ht="15" thickTop="1">
      <c r="A126" s="138" t="s">
        <v>172</v>
      </c>
      <c r="B126" s="2"/>
      <c r="C126" s="2"/>
      <c r="D126" s="2"/>
      <c r="E126" s="169"/>
      <c r="F126" s="170"/>
      <c r="G126" s="171"/>
      <c r="H126" s="55"/>
      <c r="I126" s="55"/>
      <c r="J126" s="169"/>
      <c r="K126" s="170"/>
      <c r="L126" s="172"/>
      <c r="M126" s="55"/>
      <c r="N126" s="55"/>
      <c r="O126" s="58"/>
      <c r="P126" s="59"/>
      <c r="Q126" s="67"/>
      <c r="R126" s="132"/>
      <c r="S126" s="173"/>
      <c r="T126" s="67"/>
      <c r="U126" s="58"/>
      <c r="V126" s="59"/>
      <c r="W126" s="67"/>
      <c r="X126" s="58"/>
      <c r="Y126" s="59"/>
      <c r="Z126" s="67"/>
      <c r="AA126" s="132"/>
      <c r="AB126" s="173"/>
      <c r="AC126" s="67"/>
      <c r="AD126" s="98"/>
      <c r="AE126" s="98"/>
    </row>
    <row r="127" spans="1:31" ht="14.25">
      <c r="A127" s="2" t="s">
        <v>173</v>
      </c>
      <c r="B127" s="2"/>
      <c r="C127" s="2"/>
      <c r="D127" s="2"/>
      <c r="E127" s="58"/>
      <c r="F127" s="59"/>
      <c r="G127" s="67"/>
      <c r="H127" s="55"/>
      <c r="I127" s="55"/>
      <c r="J127" s="58"/>
      <c r="K127" s="59"/>
      <c r="L127" s="89">
        <v>139650</v>
      </c>
      <c r="M127" s="55"/>
      <c r="N127" s="55">
        <v>0</v>
      </c>
      <c r="O127" s="58">
        <v>0</v>
      </c>
      <c r="P127" s="59">
        <v>0</v>
      </c>
      <c r="Q127" s="67">
        <v>0</v>
      </c>
      <c r="R127" s="132">
        <f aca="true" t="shared" si="57" ref="R127:T129">+J127+O127</f>
        <v>0</v>
      </c>
      <c r="S127" s="173">
        <f t="shared" si="57"/>
        <v>0</v>
      </c>
      <c r="T127" s="67">
        <f t="shared" si="57"/>
        <v>139650</v>
      </c>
      <c r="U127" s="58">
        <v>0</v>
      </c>
      <c r="V127" s="59">
        <v>0</v>
      </c>
      <c r="W127" s="67">
        <v>0</v>
      </c>
      <c r="X127" s="58">
        <v>0</v>
      </c>
      <c r="Y127" s="59">
        <v>0</v>
      </c>
      <c r="Z127" s="67">
        <v>0</v>
      </c>
      <c r="AA127" s="132">
        <f aca="true" t="shared" si="58" ref="AA127:AC129">+X127+U127+R127</f>
        <v>0</v>
      </c>
      <c r="AB127" s="173">
        <f t="shared" si="58"/>
        <v>0</v>
      </c>
      <c r="AC127" s="67">
        <f t="shared" si="58"/>
        <v>139650</v>
      </c>
      <c r="AD127" s="98"/>
      <c r="AE127" s="98"/>
    </row>
    <row r="128" spans="1:31" ht="14.25">
      <c r="A128" s="2" t="s">
        <v>174</v>
      </c>
      <c r="B128" s="2"/>
      <c r="C128" s="2"/>
      <c r="D128" s="2"/>
      <c r="E128" s="58"/>
      <c r="F128" s="59"/>
      <c r="G128" s="67"/>
      <c r="H128" s="55"/>
      <c r="I128" s="55"/>
      <c r="J128" s="58"/>
      <c r="K128" s="59"/>
      <c r="L128" s="89">
        <v>75000</v>
      </c>
      <c r="M128" s="55"/>
      <c r="N128" s="55">
        <v>0</v>
      </c>
      <c r="O128" s="58">
        <v>0</v>
      </c>
      <c r="P128" s="59">
        <v>0</v>
      </c>
      <c r="Q128" s="67">
        <v>0</v>
      </c>
      <c r="R128" s="132">
        <f t="shared" si="57"/>
        <v>0</v>
      </c>
      <c r="S128" s="173">
        <f t="shared" si="57"/>
        <v>0</v>
      </c>
      <c r="T128" s="67">
        <f t="shared" si="57"/>
        <v>75000</v>
      </c>
      <c r="U128" s="58">
        <v>0</v>
      </c>
      <c r="V128" s="59">
        <v>0</v>
      </c>
      <c r="W128" s="67">
        <v>0</v>
      </c>
      <c r="X128" s="58">
        <v>0</v>
      </c>
      <c r="Y128" s="59">
        <v>0</v>
      </c>
      <c r="Z128" s="67">
        <v>0</v>
      </c>
      <c r="AA128" s="132">
        <f t="shared" si="58"/>
        <v>0</v>
      </c>
      <c r="AB128" s="173">
        <f t="shared" si="58"/>
        <v>0</v>
      </c>
      <c r="AC128" s="67">
        <f t="shared" si="58"/>
        <v>75000</v>
      </c>
      <c r="AD128" s="98"/>
      <c r="AE128" s="98"/>
    </row>
    <row r="129" spans="1:31" ht="15" thickBot="1">
      <c r="A129" s="149" t="s">
        <v>175</v>
      </c>
      <c r="B129" s="2"/>
      <c r="C129" s="2"/>
      <c r="D129" s="2"/>
      <c r="E129" s="174"/>
      <c r="F129" s="175"/>
      <c r="G129" s="176"/>
      <c r="H129" s="55"/>
      <c r="I129" s="55"/>
      <c r="J129" s="174"/>
      <c r="K129" s="175"/>
      <c r="L129" s="177">
        <v>48171</v>
      </c>
      <c r="M129" s="57"/>
      <c r="N129" s="55">
        <v>0</v>
      </c>
      <c r="O129" s="58">
        <v>0</v>
      </c>
      <c r="P129" s="59">
        <v>0</v>
      </c>
      <c r="Q129" s="67">
        <v>0</v>
      </c>
      <c r="R129" s="58">
        <f t="shared" si="57"/>
        <v>0</v>
      </c>
      <c r="S129" s="59">
        <f t="shared" si="57"/>
        <v>0</v>
      </c>
      <c r="T129" s="67">
        <f t="shared" si="57"/>
        <v>48171</v>
      </c>
      <c r="U129" s="58">
        <v>0</v>
      </c>
      <c r="V129" s="59">
        <v>0</v>
      </c>
      <c r="W129" s="67">
        <v>0</v>
      </c>
      <c r="X129" s="58">
        <v>0</v>
      </c>
      <c r="Y129" s="59">
        <v>0</v>
      </c>
      <c r="Z129" s="67">
        <v>0</v>
      </c>
      <c r="AA129" s="58">
        <f t="shared" si="58"/>
        <v>0</v>
      </c>
      <c r="AB129" s="59">
        <f t="shared" si="58"/>
        <v>0</v>
      </c>
      <c r="AC129" s="67">
        <f t="shared" si="58"/>
        <v>48171</v>
      </c>
      <c r="AD129" s="98"/>
      <c r="AE129" s="98"/>
    </row>
    <row r="130" spans="1:31" ht="16.5" thickBot="1" thickTop="1">
      <c r="A130" s="854" t="s">
        <v>102</v>
      </c>
      <c r="B130" s="855"/>
      <c r="C130" s="855"/>
      <c r="D130" s="855"/>
      <c r="E130" s="178"/>
      <c r="F130" s="179"/>
      <c r="G130" s="180"/>
      <c r="H130" s="162"/>
      <c r="I130" s="162"/>
      <c r="J130" s="181">
        <f aca="true" t="shared" si="59" ref="J130:AC130">SUM(J127:J129)</f>
        <v>0</v>
      </c>
      <c r="K130" s="181">
        <f t="shared" si="59"/>
        <v>0</v>
      </c>
      <c r="L130" s="181">
        <f t="shared" si="59"/>
        <v>262821</v>
      </c>
      <c r="M130" s="181">
        <f t="shared" si="59"/>
        <v>0</v>
      </c>
      <c r="N130" s="181">
        <f t="shared" si="59"/>
        <v>0</v>
      </c>
      <c r="O130" s="181">
        <f t="shared" si="59"/>
        <v>0</v>
      </c>
      <c r="P130" s="181">
        <f t="shared" si="59"/>
        <v>0</v>
      </c>
      <c r="Q130" s="181">
        <f t="shared" si="59"/>
        <v>0</v>
      </c>
      <c r="R130" s="181">
        <f t="shared" si="59"/>
        <v>0</v>
      </c>
      <c r="S130" s="181">
        <f t="shared" si="59"/>
        <v>0</v>
      </c>
      <c r="T130" s="181">
        <f t="shared" si="59"/>
        <v>262821</v>
      </c>
      <c r="U130" s="181">
        <f t="shared" si="59"/>
        <v>0</v>
      </c>
      <c r="V130" s="181">
        <f t="shared" si="59"/>
        <v>0</v>
      </c>
      <c r="W130" s="181">
        <f t="shared" si="59"/>
        <v>0</v>
      </c>
      <c r="X130" s="181">
        <f t="shared" si="59"/>
        <v>0</v>
      </c>
      <c r="Y130" s="181">
        <f t="shared" si="59"/>
        <v>0</v>
      </c>
      <c r="Z130" s="181">
        <f t="shared" si="59"/>
        <v>0</v>
      </c>
      <c r="AA130" s="181">
        <f t="shared" si="59"/>
        <v>0</v>
      </c>
      <c r="AB130" s="181">
        <f t="shared" si="59"/>
        <v>0</v>
      </c>
      <c r="AC130" s="182">
        <f t="shared" si="59"/>
        <v>262821</v>
      </c>
      <c r="AD130" s="182"/>
      <c r="AE130" s="182"/>
    </row>
    <row r="131" spans="1:31" ht="16.5" thickBot="1" thickTop="1">
      <c r="A131" s="183" t="s">
        <v>21</v>
      </c>
      <c r="B131" s="151"/>
      <c r="C131" s="151"/>
      <c r="D131" s="151"/>
      <c r="E131" s="137">
        <f>SUM(E113,E125)</f>
        <v>108837</v>
      </c>
      <c r="F131" s="137">
        <f>SUM(F113,F125)</f>
        <v>117567</v>
      </c>
      <c r="G131" s="137">
        <f>SUM(G113,G125)</f>
        <v>21805340</v>
      </c>
      <c r="H131" s="164">
        <f>SUM(H113,H125)</f>
        <v>0</v>
      </c>
      <c r="I131" s="164">
        <f>SUM(I113,I125)</f>
        <v>0</v>
      </c>
      <c r="J131" s="137">
        <f aca="true" t="shared" si="60" ref="J131:AE131">SUM(J113,J125,J130)</f>
        <v>107623</v>
      </c>
      <c r="K131" s="137">
        <f t="shared" si="60"/>
        <v>116650</v>
      </c>
      <c r="L131" s="137">
        <f t="shared" si="60"/>
        <v>21838117</v>
      </c>
      <c r="M131" s="137">
        <f t="shared" si="60"/>
        <v>0</v>
      </c>
      <c r="N131" s="137">
        <f t="shared" si="60"/>
        <v>1713148</v>
      </c>
      <c r="O131" s="137">
        <f t="shared" si="60"/>
        <v>0</v>
      </c>
      <c r="P131" s="137">
        <f t="shared" si="60"/>
        <v>487</v>
      </c>
      <c r="Q131" s="137">
        <f t="shared" si="60"/>
        <v>485057</v>
      </c>
      <c r="R131" s="137">
        <f t="shared" si="60"/>
        <v>106920</v>
      </c>
      <c r="S131" s="137">
        <f t="shared" si="60"/>
        <v>116419</v>
      </c>
      <c r="T131" s="137">
        <f t="shared" si="60"/>
        <v>24036322</v>
      </c>
      <c r="U131" s="137">
        <f t="shared" si="60"/>
        <v>1504</v>
      </c>
      <c r="V131" s="137">
        <f t="shared" si="60"/>
        <v>1096</v>
      </c>
      <c r="W131" s="137">
        <f t="shared" si="60"/>
        <v>1718156</v>
      </c>
      <c r="X131" s="137">
        <f t="shared" si="60"/>
        <v>-3776</v>
      </c>
      <c r="Y131" s="137">
        <f t="shared" si="60"/>
        <v>-4214</v>
      </c>
      <c r="Z131" s="137">
        <f t="shared" si="60"/>
        <v>-4492700</v>
      </c>
      <c r="AA131" s="137">
        <f t="shared" si="60"/>
        <v>104648</v>
      </c>
      <c r="AB131" s="137">
        <f t="shared" si="60"/>
        <v>113301</v>
      </c>
      <c r="AC131" s="137">
        <f t="shared" si="60"/>
        <v>21261778</v>
      </c>
      <c r="AD131" s="137">
        <f t="shared" si="60"/>
        <v>20626987.64</v>
      </c>
      <c r="AE131" s="137">
        <f t="shared" si="60"/>
        <v>18684597.16</v>
      </c>
    </row>
    <row r="132" spans="1:31" ht="15" thickTop="1">
      <c r="A132" s="2" t="s">
        <v>46</v>
      </c>
      <c r="B132" s="2"/>
      <c r="C132" s="2"/>
      <c r="D132" s="2"/>
      <c r="E132" s="52"/>
      <c r="F132" s="53"/>
      <c r="G132" s="54"/>
      <c r="H132" s="55"/>
      <c r="I132" s="55"/>
      <c r="J132" s="52"/>
      <c r="K132" s="53"/>
      <c r="L132" s="56"/>
      <c r="M132" s="57"/>
      <c r="N132" s="55"/>
      <c r="O132" s="52"/>
      <c r="P132" s="53"/>
      <c r="Q132" s="54"/>
      <c r="R132" s="58"/>
      <c r="S132" s="59"/>
      <c r="T132" s="54"/>
      <c r="U132" s="52"/>
      <c r="V132" s="60"/>
      <c r="W132" s="54"/>
      <c r="X132" s="61"/>
      <c r="Y132" s="60"/>
      <c r="Z132" s="54"/>
      <c r="AA132" s="58"/>
      <c r="AB132" s="53"/>
      <c r="AC132" s="54"/>
      <c r="AD132" s="42"/>
      <c r="AE132" s="42"/>
    </row>
    <row r="133" spans="1:31" ht="14.25">
      <c r="A133" s="2" t="s">
        <v>62</v>
      </c>
      <c r="B133" s="2"/>
      <c r="C133" s="2"/>
      <c r="D133" s="2"/>
      <c r="E133" s="58" t="s">
        <v>63</v>
      </c>
      <c r="F133" s="53">
        <v>250</v>
      </c>
      <c r="G133" s="54">
        <v>49415</v>
      </c>
      <c r="H133" s="55"/>
      <c r="I133" s="55"/>
      <c r="J133" s="58" t="s">
        <v>63</v>
      </c>
      <c r="K133" s="53">
        <v>250</v>
      </c>
      <c r="L133" s="56">
        <f>SUM(G133+H133)</f>
        <v>49415</v>
      </c>
      <c r="M133" s="57"/>
      <c r="N133" s="55">
        <v>0</v>
      </c>
      <c r="O133" s="52">
        <v>0</v>
      </c>
      <c r="P133" s="53">
        <v>0</v>
      </c>
      <c r="Q133" s="54">
        <v>0</v>
      </c>
      <c r="R133" s="58" t="s">
        <v>63</v>
      </c>
      <c r="S133" s="59">
        <f aca="true" t="shared" si="61" ref="S133:T135">+K133+P133</f>
        <v>250</v>
      </c>
      <c r="T133" s="54">
        <f t="shared" si="61"/>
        <v>49415</v>
      </c>
      <c r="U133" s="52">
        <v>0</v>
      </c>
      <c r="V133" s="60">
        <v>0</v>
      </c>
      <c r="W133" s="54">
        <v>0</v>
      </c>
      <c r="X133" s="61">
        <v>0</v>
      </c>
      <c r="Y133" s="60">
        <v>0</v>
      </c>
      <c r="Z133" s="54">
        <v>0</v>
      </c>
      <c r="AA133" s="58" t="s">
        <v>63</v>
      </c>
      <c r="AB133" s="53">
        <f aca="true" t="shared" si="62" ref="AA133:AC135">+Y133+V133+S133</f>
        <v>250</v>
      </c>
      <c r="AC133" s="54">
        <f t="shared" si="62"/>
        <v>49415</v>
      </c>
      <c r="AD133" s="42"/>
      <c r="AE133" s="42"/>
    </row>
    <row r="134" spans="1:31" ht="14.25">
      <c r="A134" s="2" t="s">
        <v>47</v>
      </c>
      <c r="B134" s="2"/>
      <c r="C134" s="2"/>
      <c r="D134" s="2"/>
      <c r="E134" s="58" t="s">
        <v>55</v>
      </c>
      <c r="F134" s="53">
        <v>775</v>
      </c>
      <c r="G134" s="54">
        <v>114000</v>
      </c>
      <c r="H134" s="55"/>
      <c r="I134" s="55"/>
      <c r="J134" s="58" t="s">
        <v>75</v>
      </c>
      <c r="K134" s="53">
        <v>760</v>
      </c>
      <c r="L134" s="56">
        <f>SUM(G134+H134)</f>
        <v>114000</v>
      </c>
      <c r="M134" s="57"/>
      <c r="N134" s="55">
        <v>0</v>
      </c>
      <c r="O134" s="52">
        <v>0</v>
      </c>
      <c r="P134" s="53">
        <v>0</v>
      </c>
      <c r="Q134" s="54">
        <v>0</v>
      </c>
      <c r="R134" s="58" t="s">
        <v>75</v>
      </c>
      <c r="S134" s="59">
        <f t="shared" si="61"/>
        <v>760</v>
      </c>
      <c r="T134" s="54">
        <f t="shared" si="61"/>
        <v>114000</v>
      </c>
      <c r="U134" s="52">
        <v>0</v>
      </c>
      <c r="V134" s="60">
        <v>0</v>
      </c>
      <c r="W134" s="54">
        <v>0</v>
      </c>
      <c r="X134" s="105">
        <v>0</v>
      </c>
      <c r="Y134" s="60">
        <v>0</v>
      </c>
      <c r="Z134" s="54">
        <v>0</v>
      </c>
      <c r="AA134" s="58" t="s">
        <v>75</v>
      </c>
      <c r="AB134" s="53">
        <f t="shared" si="62"/>
        <v>760</v>
      </c>
      <c r="AC134" s="54">
        <f t="shared" si="62"/>
        <v>114000</v>
      </c>
      <c r="AD134" s="42"/>
      <c r="AE134" s="42"/>
    </row>
    <row r="135" spans="1:31" ht="15" thickBot="1">
      <c r="A135" s="2" t="s">
        <v>158</v>
      </c>
      <c r="B135" s="2"/>
      <c r="C135" s="2"/>
      <c r="D135" s="2"/>
      <c r="E135" s="58"/>
      <c r="F135" s="53"/>
      <c r="G135" s="54"/>
      <c r="H135" s="55"/>
      <c r="I135" s="55"/>
      <c r="J135" s="58"/>
      <c r="K135" s="53"/>
      <c r="L135" s="56">
        <v>11450</v>
      </c>
      <c r="M135" s="57"/>
      <c r="N135" s="55">
        <v>0</v>
      </c>
      <c r="O135" s="52">
        <v>0</v>
      </c>
      <c r="P135" s="53">
        <v>0</v>
      </c>
      <c r="Q135" s="54">
        <v>0</v>
      </c>
      <c r="R135" s="132">
        <f>+J135+O135</f>
        <v>0</v>
      </c>
      <c r="S135" s="173">
        <f t="shared" si="61"/>
        <v>0</v>
      </c>
      <c r="T135" s="54">
        <f t="shared" si="61"/>
        <v>11450</v>
      </c>
      <c r="U135" s="52">
        <v>0</v>
      </c>
      <c r="V135" s="60">
        <v>0</v>
      </c>
      <c r="W135" s="54">
        <v>0</v>
      </c>
      <c r="X135" s="105">
        <v>0</v>
      </c>
      <c r="Y135" s="60">
        <v>0</v>
      </c>
      <c r="Z135" s="54">
        <v>0</v>
      </c>
      <c r="AA135" s="132">
        <f t="shared" si="62"/>
        <v>0</v>
      </c>
      <c r="AB135" s="184">
        <f t="shared" si="62"/>
        <v>0</v>
      </c>
      <c r="AC135" s="54">
        <f t="shared" si="62"/>
        <v>11450</v>
      </c>
      <c r="AD135" s="42"/>
      <c r="AE135" s="42"/>
    </row>
    <row r="136" spans="1:31" ht="16.5" thickBot="1" thickTop="1">
      <c r="A136" s="111" t="s">
        <v>90</v>
      </c>
      <c r="B136" s="140"/>
      <c r="C136" s="140"/>
      <c r="D136" s="185"/>
      <c r="E136" s="186" t="s">
        <v>82</v>
      </c>
      <c r="F136" s="187">
        <f>SUM(F133:F135)</f>
        <v>1025</v>
      </c>
      <c r="G136" s="188">
        <f>SUM(G133:G135)</f>
        <v>163415</v>
      </c>
      <c r="H136" s="189">
        <f>SUM(H133:H134)</f>
        <v>0</v>
      </c>
      <c r="I136" s="189">
        <f>SUM(I133:I134)</f>
        <v>0</v>
      </c>
      <c r="J136" s="186" t="s">
        <v>182</v>
      </c>
      <c r="K136" s="187">
        <f aca="true" t="shared" si="63" ref="K136:Q136">SUM(K133:K135)</f>
        <v>1010</v>
      </c>
      <c r="L136" s="190">
        <f t="shared" si="63"/>
        <v>174865</v>
      </c>
      <c r="M136" s="191">
        <f t="shared" si="63"/>
        <v>0</v>
      </c>
      <c r="N136" s="191">
        <f t="shared" si="63"/>
        <v>0</v>
      </c>
      <c r="O136" s="187">
        <f t="shared" si="63"/>
        <v>0</v>
      </c>
      <c r="P136" s="187">
        <f t="shared" si="63"/>
        <v>0</v>
      </c>
      <c r="Q136" s="192">
        <f t="shared" si="63"/>
        <v>0</v>
      </c>
      <c r="R136" s="193" t="s">
        <v>82</v>
      </c>
      <c r="S136" s="187">
        <f aca="true" t="shared" si="64" ref="S136:Z136">SUM(S133:S135)</f>
        <v>1010</v>
      </c>
      <c r="T136" s="192">
        <f t="shared" si="64"/>
        <v>174865</v>
      </c>
      <c r="U136" s="193">
        <f t="shared" si="64"/>
        <v>0</v>
      </c>
      <c r="V136" s="187">
        <f t="shared" si="64"/>
        <v>0</v>
      </c>
      <c r="W136" s="192">
        <f t="shared" si="64"/>
        <v>0</v>
      </c>
      <c r="X136" s="187">
        <f t="shared" si="64"/>
        <v>0</v>
      </c>
      <c r="Y136" s="187">
        <f t="shared" si="64"/>
        <v>0</v>
      </c>
      <c r="Z136" s="187">
        <f t="shared" si="64"/>
        <v>0</v>
      </c>
      <c r="AA136" s="187" t="s">
        <v>159</v>
      </c>
      <c r="AB136" s="187">
        <f>SUM(AB133:AB135)</f>
        <v>1010</v>
      </c>
      <c r="AC136" s="192">
        <f>SUM(AC133:AC135)</f>
        <v>174865</v>
      </c>
      <c r="AD136" s="191">
        <f>SUM(AD133:AD135)</f>
        <v>0</v>
      </c>
      <c r="AE136" s="191">
        <f>SUM(AE133:AE135)</f>
        <v>0</v>
      </c>
    </row>
    <row r="137" spans="1:31" ht="18" customHeight="1" thickBot="1" thickTop="1">
      <c r="A137" s="194" t="s">
        <v>32</v>
      </c>
      <c r="B137" s="195"/>
      <c r="C137" s="195"/>
      <c r="D137" s="195"/>
      <c r="E137" s="137">
        <f aca="true" t="shared" si="65" ref="E137:AE137">SUM(E131,E136)</f>
        <v>108837</v>
      </c>
      <c r="F137" s="137">
        <f t="shared" si="65"/>
        <v>118592</v>
      </c>
      <c r="G137" s="137">
        <f t="shared" si="65"/>
        <v>21968755</v>
      </c>
      <c r="H137" s="137">
        <f t="shared" si="65"/>
        <v>0</v>
      </c>
      <c r="I137" s="137">
        <f t="shared" si="65"/>
        <v>0</v>
      </c>
      <c r="J137" s="137">
        <f t="shared" si="65"/>
        <v>107623</v>
      </c>
      <c r="K137" s="137">
        <f t="shared" si="65"/>
        <v>117660</v>
      </c>
      <c r="L137" s="153">
        <f t="shared" si="65"/>
        <v>22012982</v>
      </c>
      <c r="M137" s="137">
        <f t="shared" si="65"/>
        <v>0</v>
      </c>
      <c r="N137" s="137">
        <f t="shared" si="65"/>
        <v>1713148</v>
      </c>
      <c r="O137" s="164">
        <f t="shared" si="65"/>
        <v>0</v>
      </c>
      <c r="P137" s="165">
        <f t="shared" si="65"/>
        <v>487</v>
      </c>
      <c r="Q137" s="166">
        <f t="shared" si="65"/>
        <v>485057</v>
      </c>
      <c r="R137" s="166">
        <f t="shared" si="65"/>
        <v>106920</v>
      </c>
      <c r="S137" s="166">
        <f t="shared" si="65"/>
        <v>117429</v>
      </c>
      <c r="T137" s="166">
        <f t="shared" si="65"/>
        <v>24211187</v>
      </c>
      <c r="U137" s="164">
        <f t="shared" si="65"/>
        <v>1504</v>
      </c>
      <c r="V137" s="165">
        <f t="shared" si="65"/>
        <v>1096</v>
      </c>
      <c r="W137" s="166">
        <f t="shared" si="65"/>
        <v>1718156</v>
      </c>
      <c r="X137" s="164">
        <f t="shared" si="65"/>
        <v>-3776</v>
      </c>
      <c r="Y137" s="165">
        <f t="shared" si="65"/>
        <v>-4214</v>
      </c>
      <c r="Z137" s="166">
        <f t="shared" si="65"/>
        <v>-4492700</v>
      </c>
      <c r="AA137" s="166">
        <f t="shared" si="65"/>
        <v>104648</v>
      </c>
      <c r="AB137" s="166">
        <f t="shared" si="65"/>
        <v>114311</v>
      </c>
      <c r="AC137" s="166">
        <f t="shared" si="65"/>
        <v>21436643</v>
      </c>
      <c r="AD137" s="137">
        <f t="shared" si="65"/>
        <v>20626987.64</v>
      </c>
      <c r="AE137" s="137">
        <f t="shared" si="65"/>
        <v>18684597.16</v>
      </c>
    </row>
    <row r="138" spans="1:31" ht="15.75" hidden="1" thickBot="1" thickTop="1">
      <c r="A138" s="11" t="s">
        <v>86</v>
      </c>
      <c r="E138" s="52"/>
      <c r="F138" s="53"/>
      <c r="G138" s="54"/>
      <c r="H138" s="55"/>
      <c r="I138" s="55"/>
      <c r="J138" s="52"/>
      <c r="K138" s="53"/>
      <c r="L138" s="56"/>
      <c r="M138" s="57"/>
      <c r="N138" s="55"/>
      <c r="O138" s="52"/>
      <c r="P138" s="53"/>
      <c r="Q138" s="54"/>
      <c r="R138" s="58"/>
      <c r="S138" s="59"/>
      <c r="T138" s="54"/>
      <c r="U138" s="52"/>
      <c r="V138" s="60"/>
      <c r="W138" s="54"/>
      <c r="X138" s="61"/>
      <c r="Y138" s="60"/>
      <c r="Z138" s="54"/>
      <c r="AA138" s="52"/>
      <c r="AB138" s="53"/>
      <c r="AC138" s="184"/>
      <c r="AD138" s="42"/>
      <c r="AE138" s="42"/>
    </row>
    <row r="139" spans="1:31" ht="15.75" hidden="1" thickBot="1" thickTop="1">
      <c r="A139" s="11" t="s">
        <v>127</v>
      </c>
      <c r="E139" s="52">
        <v>0</v>
      </c>
      <c r="F139" s="53">
        <v>0</v>
      </c>
      <c r="G139" s="67" t="s">
        <v>64</v>
      </c>
      <c r="H139" s="55"/>
      <c r="I139" s="55"/>
      <c r="J139" s="58">
        <v>0</v>
      </c>
      <c r="K139" s="59">
        <v>0</v>
      </c>
      <c r="L139" s="89" t="s">
        <v>93</v>
      </c>
      <c r="M139" s="55"/>
      <c r="N139" s="55"/>
      <c r="O139" s="52"/>
      <c r="P139" s="53"/>
      <c r="Q139" s="54"/>
      <c r="R139" s="58"/>
      <c r="S139" s="59"/>
      <c r="T139" s="67"/>
      <c r="U139" s="99"/>
      <c r="V139" s="59"/>
      <c r="W139" s="67"/>
      <c r="X139" s="58"/>
      <c r="Y139" s="59"/>
      <c r="Z139" s="67"/>
      <c r="AA139" s="52"/>
      <c r="AB139" s="53"/>
      <c r="AC139" s="173"/>
      <c r="AD139" s="98"/>
      <c r="AE139" s="98"/>
    </row>
    <row r="140" spans="1:31" ht="15.75" hidden="1" thickBot="1" thickTop="1">
      <c r="A140" s="2" t="s">
        <v>83</v>
      </c>
      <c r="E140" s="52"/>
      <c r="F140" s="53"/>
      <c r="G140" s="54"/>
      <c r="H140" s="55"/>
      <c r="I140" s="55"/>
      <c r="J140" s="58">
        <v>0</v>
      </c>
      <c r="K140" s="59">
        <v>0</v>
      </c>
      <c r="L140" s="89" t="s">
        <v>64</v>
      </c>
      <c r="M140" s="57"/>
      <c r="N140" s="55"/>
      <c r="O140" s="52"/>
      <c r="P140" s="53"/>
      <c r="Q140" s="54"/>
      <c r="R140" s="58"/>
      <c r="S140" s="59"/>
      <c r="T140" s="54"/>
      <c r="U140" s="99"/>
      <c r="V140" s="59"/>
      <c r="W140" s="67"/>
      <c r="X140" s="58"/>
      <c r="Y140" s="59"/>
      <c r="Z140" s="67"/>
      <c r="AA140" s="52"/>
      <c r="AB140" s="53"/>
      <c r="AC140" s="173"/>
      <c r="AD140" s="98"/>
      <c r="AE140" s="98"/>
    </row>
    <row r="141" spans="1:31" ht="15.75" hidden="1" thickBot="1" thickTop="1">
      <c r="A141" s="856" t="s">
        <v>94</v>
      </c>
      <c r="B141" s="857"/>
      <c r="C141" s="857"/>
      <c r="D141" s="858"/>
      <c r="E141" s="52"/>
      <c r="F141" s="53"/>
      <c r="G141" s="54"/>
      <c r="H141" s="55"/>
      <c r="I141" s="55"/>
      <c r="J141" s="58">
        <v>0</v>
      </c>
      <c r="K141" s="59">
        <v>0</v>
      </c>
      <c r="L141" s="89" t="s">
        <v>95</v>
      </c>
      <c r="M141" s="57"/>
      <c r="N141" s="55"/>
      <c r="O141" s="52"/>
      <c r="P141" s="53"/>
      <c r="Q141" s="54"/>
      <c r="R141" s="58"/>
      <c r="S141" s="59"/>
      <c r="T141" s="54"/>
      <c r="U141" s="99"/>
      <c r="V141" s="59"/>
      <c r="W141" s="67"/>
      <c r="X141" s="58"/>
      <c r="Y141" s="59"/>
      <c r="Z141" s="67"/>
      <c r="AA141" s="52"/>
      <c r="AB141" s="53"/>
      <c r="AC141" s="173"/>
      <c r="AD141" s="98"/>
      <c r="AE141" s="98"/>
    </row>
    <row r="142" spans="1:31" ht="15.75" hidden="1" thickBot="1" thickTop="1">
      <c r="A142" s="2" t="s">
        <v>84</v>
      </c>
      <c r="E142" s="52"/>
      <c r="F142" s="53"/>
      <c r="G142" s="54"/>
      <c r="H142" s="55"/>
      <c r="I142" s="55"/>
      <c r="J142" s="58" t="s">
        <v>91</v>
      </c>
      <c r="K142" s="59">
        <v>0</v>
      </c>
      <c r="L142" s="89" t="s">
        <v>92</v>
      </c>
      <c r="M142" s="57"/>
      <c r="N142" s="55"/>
      <c r="O142" s="52"/>
      <c r="P142" s="53"/>
      <c r="Q142" s="54"/>
      <c r="R142" s="58"/>
      <c r="S142" s="59"/>
      <c r="T142" s="54"/>
      <c r="U142" s="99"/>
      <c r="V142" s="59"/>
      <c r="W142" s="67"/>
      <c r="X142" s="58"/>
      <c r="Y142" s="59"/>
      <c r="Z142" s="67"/>
      <c r="AA142" s="58"/>
      <c r="AB142" s="59"/>
      <c r="AC142" s="173"/>
      <c r="AD142" s="98"/>
      <c r="AE142" s="98"/>
    </row>
    <row r="143" spans="1:31" ht="15.75" hidden="1" thickBot="1" thickTop="1">
      <c r="A143" s="2" t="s">
        <v>85</v>
      </c>
      <c r="E143" s="52"/>
      <c r="F143" s="53"/>
      <c r="G143" s="54"/>
      <c r="H143" s="55"/>
      <c r="I143" s="55"/>
      <c r="J143" s="58" t="s">
        <v>97</v>
      </c>
      <c r="K143" s="59" t="s">
        <v>98</v>
      </c>
      <c r="L143" s="89" t="s">
        <v>99</v>
      </c>
      <c r="M143" s="57"/>
      <c r="N143" s="55"/>
      <c r="O143" s="52"/>
      <c r="P143" s="53"/>
      <c r="Q143" s="54"/>
      <c r="R143" s="58"/>
      <c r="S143" s="59"/>
      <c r="T143" s="54"/>
      <c r="U143" s="99"/>
      <c r="V143" s="59"/>
      <c r="W143" s="67"/>
      <c r="X143" s="58"/>
      <c r="Y143" s="59"/>
      <c r="Z143" s="67"/>
      <c r="AA143" s="58"/>
      <c r="AB143" s="59"/>
      <c r="AC143" s="173"/>
      <c r="AD143" s="98"/>
      <c r="AE143" s="98"/>
    </row>
    <row r="144" spans="1:31" ht="13.5" customHeight="1" hidden="1">
      <c r="A144" s="2" t="s">
        <v>96</v>
      </c>
      <c r="E144" s="52"/>
      <c r="F144" s="53"/>
      <c r="G144" s="54"/>
      <c r="H144" s="55"/>
      <c r="I144" s="55"/>
      <c r="J144" s="58">
        <v>0</v>
      </c>
      <c r="K144" s="59">
        <v>0</v>
      </c>
      <c r="L144" s="89" t="s">
        <v>95</v>
      </c>
      <c r="M144" s="57"/>
      <c r="N144" s="55"/>
      <c r="O144" s="52"/>
      <c r="P144" s="53"/>
      <c r="Q144" s="54"/>
      <c r="R144" s="58"/>
      <c r="S144" s="59"/>
      <c r="T144" s="54"/>
      <c r="U144" s="99"/>
      <c r="V144" s="59"/>
      <c r="W144" s="67"/>
      <c r="X144" s="58"/>
      <c r="Y144" s="59"/>
      <c r="Z144" s="67"/>
      <c r="AA144" s="52"/>
      <c r="AB144" s="53"/>
      <c r="AC144" s="173"/>
      <c r="AD144" s="98"/>
      <c r="AE144" s="98"/>
    </row>
    <row r="145" spans="1:31" ht="13.5" customHeight="1" hidden="1">
      <c r="A145" s="11" t="s">
        <v>101</v>
      </c>
      <c r="E145" s="52"/>
      <c r="F145" s="53"/>
      <c r="G145" s="54"/>
      <c r="H145" s="55"/>
      <c r="I145" s="55"/>
      <c r="J145" s="58"/>
      <c r="K145" s="59"/>
      <c r="L145" s="89">
        <v>0</v>
      </c>
      <c r="M145" s="57"/>
      <c r="N145" s="55"/>
      <c r="O145" s="52"/>
      <c r="P145" s="53"/>
      <c r="Q145" s="54"/>
      <c r="R145" s="58"/>
      <c r="S145" s="59"/>
      <c r="T145" s="54"/>
      <c r="U145" s="99"/>
      <c r="V145" s="59"/>
      <c r="W145" s="67"/>
      <c r="X145" s="58"/>
      <c r="Y145" s="59"/>
      <c r="Z145" s="67"/>
      <c r="AA145" s="52"/>
      <c r="AB145" s="53"/>
      <c r="AC145" s="184"/>
      <c r="AD145" s="42"/>
      <c r="AE145" s="42"/>
    </row>
    <row r="146" spans="1:31" ht="15.75" hidden="1" thickBot="1" thickTop="1">
      <c r="A146" s="11" t="s">
        <v>128</v>
      </c>
      <c r="E146" s="52"/>
      <c r="F146" s="53"/>
      <c r="G146" s="54"/>
      <c r="H146" s="55"/>
      <c r="I146" s="55"/>
      <c r="J146" s="58"/>
      <c r="K146" s="59"/>
      <c r="L146" s="89">
        <v>0</v>
      </c>
      <c r="M146" s="57"/>
      <c r="N146" s="55"/>
      <c r="O146" s="52"/>
      <c r="P146" s="53"/>
      <c r="Q146" s="54"/>
      <c r="R146" s="58"/>
      <c r="S146" s="59"/>
      <c r="T146" s="54"/>
      <c r="U146" s="99"/>
      <c r="V146" s="59"/>
      <c r="W146" s="67"/>
      <c r="X146" s="58"/>
      <c r="Y146" s="59"/>
      <c r="Z146" s="67"/>
      <c r="AA146" s="52"/>
      <c r="AB146" s="53"/>
      <c r="AC146" s="184"/>
      <c r="AD146" s="42"/>
      <c r="AE146" s="42"/>
    </row>
    <row r="147" spans="1:31" ht="15.75" hidden="1" thickBot="1" thickTop="1">
      <c r="A147" s="11" t="s">
        <v>129</v>
      </c>
      <c r="E147" s="52"/>
      <c r="F147" s="53"/>
      <c r="G147" s="54"/>
      <c r="H147" s="55"/>
      <c r="I147" s="55"/>
      <c r="J147" s="58"/>
      <c r="K147" s="59"/>
      <c r="L147" s="89">
        <v>0</v>
      </c>
      <c r="M147" s="57"/>
      <c r="N147" s="55"/>
      <c r="O147" s="52"/>
      <c r="P147" s="53"/>
      <c r="Q147" s="54"/>
      <c r="R147" s="58"/>
      <c r="S147" s="59"/>
      <c r="T147" s="54"/>
      <c r="U147" s="99"/>
      <c r="V147" s="59"/>
      <c r="W147" s="67"/>
      <c r="X147" s="58"/>
      <c r="Y147" s="59"/>
      <c r="Z147" s="67"/>
      <c r="AA147" s="52"/>
      <c r="AB147" s="53"/>
      <c r="AC147" s="184"/>
      <c r="AD147" s="42"/>
      <c r="AE147" s="42"/>
    </row>
    <row r="148" spans="1:31" ht="15.75" hidden="1" thickBot="1" thickTop="1">
      <c r="A148" s="11" t="s">
        <v>147</v>
      </c>
      <c r="E148" s="52"/>
      <c r="F148" s="53"/>
      <c r="G148" s="54"/>
      <c r="H148" s="55"/>
      <c r="I148" s="55"/>
      <c r="J148" s="58"/>
      <c r="K148" s="59"/>
      <c r="L148" s="89">
        <v>0</v>
      </c>
      <c r="M148" s="57"/>
      <c r="N148" s="55"/>
      <c r="O148" s="52"/>
      <c r="P148" s="53"/>
      <c r="Q148" s="54"/>
      <c r="R148" s="58"/>
      <c r="S148" s="59"/>
      <c r="T148" s="54"/>
      <c r="U148" s="99"/>
      <c r="V148" s="59"/>
      <c r="W148" s="67"/>
      <c r="X148" s="58"/>
      <c r="Y148" s="59"/>
      <c r="Z148" s="67"/>
      <c r="AA148" s="52"/>
      <c r="AB148" s="53"/>
      <c r="AC148" s="184"/>
      <c r="AD148" s="42"/>
      <c r="AE148" s="42"/>
    </row>
    <row r="149" spans="1:31" ht="15.75" hidden="1" thickBot="1" thickTop="1">
      <c r="A149" s="11" t="s">
        <v>146</v>
      </c>
      <c r="E149" s="174"/>
      <c r="F149" s="175"/>
      <c r="G149" s="176"/>
      <c r="H149" s="55"/>
      <c r="I149" s="55"/>
      <c r="J149" s="196"/>
      <c r="K149" s="197"/>
      <c r="L149" s="198">
        <v>0</v>
      </c>
      <c r="M149" s="57"/>
      <c r="N149" s="55"/>
      <c r="O149" s="52"/>
      <c r="P149" s="53"/>
      <c r="Q149" s="54"/>
      <c r="R149" s="58"/>
      <c r="S149" s="59"/>
      <c r="T149" s="54"/>
      <c r="U149" s="99"/>
      <c r="V149" s="59"/>
      <c r="W149" s="67"/>
      <c r="X149" s="58"/>
      <c r="Y149" s="59"/>
      <c r="Z149" s="67"/>
      <c r="AA149" s="52"/>
      <c r="AB149" s="53"/>
      <c r="AC149" s="184"/>
      <c r="AD149" s="42"/>
      <c r="AE149" s="42"/>
    </row>
    <row r="150" spans="1:31" ht="15" customHeight="1" hidden="1">
      <c r="A150" s="199" t="s">
        <v>87</v>
      </c>
      <c r="B150" s="200"/>
      <c r="C150" s="200"/>
      <c r="D150" s="200"/>
      <c r="E150" s="159"/>
      <c r="F150" s="160"/>
      <c r="G150" s="161"/>
      <c r="H150" s="201">
        <f>SUM(H139:H149)</f>
        <v>0</v>
      </c>
      <c r="I150" s="162">
        <f>SUM(I139:I149)</f>
        <v>0</v>
      </c>
      <c r="J150" s="159" t="s">
        <v>100</v>
      </c>
      <c r="K150" s="160" t="s">
        <v>98</v>
      </c>
      <c r="L150" s="163" t="s">
        <v>103</v>
      </c>
      <c r="M150" s="162">
        <f aca="true" t="shared" si="66" ref="M150:S150">SUM(M139:M149)</f>
        <v>0</v>
      </c>
      <c r="N150" s="162">
        <f t="shared" si="66"/>
        <v>0</v>
      </c>
      <c r="O150" s="159">
        <f t="shared" si="66"/>
        <v>0</v>
      </c>
      <c r="P150" s="160">
        <f t="shared" si="66"/>
        <v>0</v>
      </c>
      <c r="Q150" s="161">
        <f t="shared" si="66"/>
        <v>0</v>
      </c>
      <c r="R150" s="159">
        <f t="shared" si="66"/>
        <v>0</v>
      </c>
      <c r="S150" s="160">
        <f t="shared" si="66"/>
        <v>0</v>
      </c>
      <c r="T150" s="161">
        <v>0</v>
      </c>
      <c r="U150" s="161">
        <v>0</v>
      </c>
      <c r="V150" s="161">
        <v>0</v>
      </c>
      <c r="W150" s="161">
        <v>0</v>
      </c>
      <c r="X150" s="159">
        <v>0</v>
      </c>
      <c r="Y150" s="160">
        <v>0</v>
      </c>
      <c r="Z150" s="161">
        <f>SUM(Z139:Z149)</f>
        <v>0</v>
      </c>
      <c r="AA150" s="159">
        <v>0</v>
      </c>
      <c r="AB150" s="160">
        <v>0</v>
      </c>
      <c r="AC150" s="202">
        <v>0</v>
      </c>
      <c r="AD150" s="162"/>
      <c r="AE150" s="162"/>
    </row>
    <row r="151" spans="1:31" ht="15.75" thickTop="1">
      <c r="A151" s="850"/>
      <c r="B151" s="851"/>
      <c r="C151" s="851"/>
      <c r="D151" s="851"/>
      <c r="E151" s="3"/>
      <c r="F151" s="3"/>
      <c r="G151" s="3"/>
      <c r="H151" s="10"/>
      <c r="I151" s="10"/>
      <c r="J151" s="3"/>
      <c r="K151" s="3"/>
      <c r="L151" s="3"/>
      <c r="P151" s="3"/>
      <c r="Q151" s="3"/>
      <c r="R151" s="3"/>
      <c r="S151" s="3"/>
      <c r="T151" s="3"/>
      <c r="W151" s="3"/>
      <c r="Z151" s="3"/>
      <c r="AA151" s="3"/>
      <c r="AB151" s="3"/>
      <c r="AC151" s="3"/>
      <c r="AD151" s="3"/>
      <c r="AE151" s="3"/>
    </row>
    <row r="152" spans="1:31" ht="14.25">
      <c r="A152" s="882"/>
      <c r="B152" s="883"/>
      <c r="C152" s="883"/>
      <c r="D152" s="883"/>
      <c r="E152" s="3"/>
      <c r="F152" s="3"/>
      <c r="G152" s="3"/>
      <c r="H152" s="10"/>
      <c r="I152" s="10"/>
      <c r="J152" s="3"/>
      <c r="K152" s="3"/>
      <c r="L152" s="3"/>
      <c r="M152" s="3"/>
      <c r="N152" s="3"/>
      <c r="Q152" s="3"/>
      <c r="R152" s="3"/>
      <c r="S152" s="3"/>
      <c r="T152" s="3"/>
      <c r="W152" s="3"/>
      <c r="Z152" s="3"/>
      <c r="AA152" s="3"/>
      <c r="AB152" s="3"/>
      <c r="AC152" s="3"/>
      <c r="AD152" s="3"/>
      <c r="AE152" s="3"/>
    </row>
    <row r="153" spans="1:31" ht="14.25">
      <c r="A153" s="203"/>
      <c r="B153" s="204"/>
      <c r="C153" s="204"/>
      <c r="D153" s="204"/>
      <c r="E153" s="3"/>
      <c r="F153" s="3"/>
      <c r="G153" s="3"/>
      <c r="H153" s="10"/>
      <c r="I153" s="10"/>
      <c r="J153" s="3"/>
      <c r="K153" s="3"/>
      <c r="L153" s="3"/>
      <c r="M153" s="3"/>
      <c r="N153" s="3"/>
      <c r="R153" s="3"/>
      <c r="S153" s="3"/>
      <c r="T153" s="3"/>
      <c r="W153" s="3"/>
      <c r="Z153" s="3"/>
      <c r="AA153" s="3"/>
      <c r="AB153" s="3"/>
      <c r="AC153" s="3"/>
      <c r="AD153" s="3"/>
      <c r="AE153" s="3"/>
    </row>
    <row r="154" spans="1:31" ht="14.25">
      <c r="A154" s="884"/>
      <c r="B154" s="885"/>
      <c r="C154" s="885"/>
      <c r="D154" s="885"/>
      <c r="E154" s="3"/>
      <c r="F154" s="3"/>
      <c r="G154" s="3"/>
      <c r="H154" s="10"/>
      <c r="I154" s="10"/>
      <c r="J154" s="3"/>
      <c r="K154" s="3"/>
      <c r="L154" s="3"/>
      <c r="M154" s="3"/>
      <c r="N154" s="3"/>
      <c r="Q154" s="3"/>
      <c r="R154" s="3"/>
      <c r="S154" s="3"/>
      <c r="T154" s="3"/>
      <c r="W154" s="3"/>
      <c r="Z154" s="3"/>
      <c r="AA154" s="3"/>
      <c r="AB154" s="3"/>
      <c r="AC154" s="3"/>
      <c r="AD154" s="3"/>
      <c r="AE154" s="3"/>
    </row>
    <row r="155" spans="1:31" ht="14.25">
      <c r="A155" s="205"/>
      <c r="B155" s="206"/>
      <c r="C155" s="206"/>
      <c r="D155" s="206"/>
      <c r="E155" s="3"/>
      <c r="F155" s="3"/>
      <c r="G155" s="3"/>
      <c r="H155" s="10"/>
      <c r="I155" s="10"/>
      <c r="J155" s="3"/>
      <c r="K155" s="3"/>
      <c r="L155" s="3"/>
      <c r="M155" s="3"/>
      <c r="N155" s="3"/>
      <c r="R155" s="3"/>
      <c r="S155" s="3"/>
      <c r="T155" s="3"/>
      <c r="W155" s="3"/>
      <c r="Z155" s="3"/>
      <c r="AA155" s="3"/>
      <c r="AB155" s="3"/>
      <c r="AC155" s="3"/>
      <c r="AD155" s="3"/>
      <c r="AE155" s="3"/>
    </row>
    <row r="156" spans="1:31" ht="14.25">
      <c r="A156" s="207"/>
      <c r="B156" s="206"/>
      <c r="C156" s="206"/>
      <c r="D156" s="206"/>
      <c r="E156" s="3"/>
      <c r="F156" s="3"/>
      <c r="G156" s="3"/>
      <c r="H156" s="10"/>
      <c r="I156" s="10"/>
      <c r="J156" s="3"/>
      <c r="K156" s="3"/>
      <c r="L156" s="3"/>
      <c r="M156" s="3"/>
      <c r="N156" s="3"/>
      <c r="R156" s="3"/>
      <c r="S156" s="3"/>
      <c r="T156" s="3"/>
      <c r="W156" s="3"/>
      <c r="Z156" s="3"/>
      <c r="AA156" s="3"/>
      <c r="AB156" s="3"/>
      <c r="AC156" s="3"/>
      <c r="AD156" s="3"/>
      <c r="AE156" s="3"/>
    </row>
    <row r="157" spans="1:31" ht="14.25">
      <c r="A157" s="207"/>
      <c r="B157" s="206"/>
      <c r="C157" s="206"/>
      <c r="D157" s="206"/>
      <c r="E157" s="3"/>
      <c r="F157" s="3"/>
      <c r="G157" s="3"/>
      <c r="H157" s="10"/>
      <c r="I157" s="10"/>
      <c r="J157" s="3"/>
      <c r="K157" s="3"/>
      <c r="L157" s="3"/>
      <c r="M157" s="3"/>
      <c r="N157" s="3"/>
      <c r="R157" s="3"/>
      <c r="S157" s="3"/>
      <c r="T157" s="3"/>
      <c r="W157" s="3"/>
      <c r="Z157" s="3"/>
      <c r="AA157" s="3"/>
      <c r="AB157" s="3"/>
      <c r="AC157" s="3"/>
      <c r="AD157" s="3"/>
      <c r="AE157" s="3"/>
    </row>
    <row r="158" spans="1:14" ht="14.25">
      <c r="A158" s="208"/>
      <c r="B158" s="209"/>
      <c r="E158" s="3"/>
      <c r="F158" s="3"/>
      <c r="G158" s="3"/>
      <c r="H158" s="10"/>
      <c r="I158" s="10"/>
      <c r="J158" s="3"/>
      <c r="K158" s="3"/>
      <c r="L158" s="3"/>
      <c r="M158" s="3"/>
      <c r="N158" s="3"/>
    </row>
    <row r="159" spans="1:14" ht="14.25">
      <c r="A159" s="210"/>
      <c r="B159" s="209"/>
      <c r="E159" s="3"/>
      <c r="F159" s="3"/>
      <c r="G159" s="3"/>
      <c r="H159" s="10"/>
      <c r="I159" s="10"/>
      <c r="J159" s="3"/>
      <c r="K159" s="3"/>
      <c r="L159" s="3"/>
      <c r="M159" s="3"/>
      <c r="N159" s="3"/>
    </row>
    <row r="160" spans="1:14" ht="14.25">
      <c r="A160" s="210"/>
      <c r="B160" s="209"/>
      <c r="E160" s="3"/>
      <c r="F160" s="3"/>
      <c r="G160" s="3"/>
      <c r="H160" s="10"/>
      <c r="I160" s="10"/>
      <c r="J160" s="3"/>
      <c r="K160" s="3"/>
      <c r="L160" s="3"/>
      <c r="M160" s="3"/>
      <c r="N160" s="3"/>
    </row>
    <row r="161" spans="1:14" ht="14.25">
      <c r="A161" s="210"/>
      <c r="B161" s="209"/>
      <c r="E161" s="3"/>
      <c r="F161" s="3"/>
      <c r="G161" s="3"/>
      <c r="H161" s="10"/>
      <c r="I161" s="10"/>
      <c r="J161" s="3"/>
      <c r="K161" s="3"/>
      <c r="L161" s="3"/>
      <c r="M161" s="3"/>
      <c r="N161" s="3"/>
    </row>
    <row r="162" spans="1:14" ht="14.25">
      <c r="A162" s="210"/>
      <c r="B162" s="209"/>
      <c r="E162" s="3"/>
      <c r="F162" s="3"/>
      <c r="G162" s="3"/>
      <c r="H162" s="10"/>
      <c r="I162" s="10"/>
      <c r="J162" s="3"/>
      <c r="K162" s="3"/>
      <c r="L162" s="3"/>
      <c r="M162" s="3"/>
      <c r="N162" s="3"/>
    </row>
    <row r="163" spans="1:14" ht="14.25">
      <c r="A163" s="210"/>
      <c r="B163" s="209"/>
      <c r="E163" s="3"/>
      <c r="F163" s="3"/>
      <c r="G163" s="3"/>
      <c r="H163" s="10"/>
      <c r="I163" s="10"/>
      <c r="J163" s="3"/>
      <c r="K163" s="3"/>
      <c r="L163" s="3"/>
      <c r="M163" s="3"/>
      <c r="N163" s="3"/>
    </row>
    <row r="164" spans="1:14" ht="14.25">
      <c r="A164" s="210"/>
      <c r="B164" s="209"/>
      <c r="E164" s="3"/>
      <c r="F164" s="3"/>
      <c r="G164" s="3"/>
      <c r="H164" s="10"/>
      <c r="I164" s="10"/>
      <c r="J164" s="3"/>
      <c r="K164" s="3"/>
      <c r="L164" s="3"/>
      <c r="M164" s="3"/>
      <c r="N164" s="3"/>
    </row>
    <row r="165" spans="1:14" ht="14.25">
      <c r="A165" s="210"/>
      <c r="B165" s="209"/>
      <c r="E165" s="3"/>
      <c r="F165" s="3"/>
      <c r="G165" s="3"/>
      <c r="H165" s="10"/>
      <c r="I165" s="10"/>
      <c r="J165" s="3"/>
      <c r="K165" s="3"/>
      <c r="L165" s="3"/>
      <c r="M165" s="3"/>
      <c r="N165" s="3"/>
    </row>
    <row r="166" spans="1:14" ht="14.25">
      <c r="A166" s="210"/>
      <c r="B166" s="209"/>
      <c r="E166" s="3"/>
      <c r="F166" s="3"/>
      <c r="G166" s="3"/>
      <c r="H166" s="10"/>
      <c r="I166" s="10"/>
      <c r="J166" s="3"/>
      <c r="K166" s="3"/>
      <c r="L166" s="3"/>
      <c r="M166" s="3"/>
      <c r="N166" s="3"/>
    </row>
    <row r="167" spans="1:14" ht="14.25">
      <c r="A167" s="210"/>
      <c r="B167" s="209"/>
      <c r="E167" s="3"/>
      <c r="F167" s="3"/>
      <c r="G167" s="3"/>
      <c r="H167" s="10"/>
      <c r="I167" s="10"/>
      <c r="J167" s="3"/>
      <c r="K167" s="3"/>
      <c r="L167" s="3"/>
      <c r="M167" s="3"/>
      <c r="N167" s="3"/>
    </row>
    <row r="168" spans="1:14" ht="14.25">
      <c r="A168" s="210"/>
      <c r="B168" s="209"/>
      <c r="E168" s="3"/>
      <c r="F168" s="3"/>
      <c r="G168" s="3"/>
      <c r="H168" s="10"/>
      <c r="I168" s="10"/>
      <c r="J168" s="3"/>
      <c r="K168" s="3"/>
      <c r="L168" s="3"/>
      <c r="M168" s="3"/>
      <c r="N168" s="3"/>
    </row>
    <row r="169" spans="1:14" ht="14.25">
      <c r="A169" s="210"/>
      <c r="B169" s="209"/>
      <c r="E169" s="3"/>
      <c r="F169" s="3"/>
      <c r="G169" s="3"/>
      <c r="H169" s="10"/>
      <c r="I169" s="10"/>
      <c r="J169" s="3"/>
      <c r="K169" s="3"/>
      <c r="L169" s="3"/>
      <c r="M169" s="3"/>
      <c r="N169" s="3"/>
    </row>
    <row r="170" spans="1:14" ht="14.25">
      <c r="A170" s="210"/>
      <c r="B170" s="209"/>
      <c r="E170" s="3"/>
      <c r="F170" s="3"/>
      <c r="G170" s="3"/>
      <c r="H170" s="10"/>
      <c r="I170" s="10"/>
      <c r="J170" s="3"/>
      <c r="K170" s="3"/>
      <c r="L170" s="3"/>
      <c r="M170" s="3"/>
      <c r="N170" s="3"/>
    </row>
    <row r="171" spans="1:14" ht="14.25">
      <c r="A171" s="210"/>
      <c r="B171" s="209"/>
      <c r="E171" s="3"/>
      <c r="F171" s="3"/>
      <c r="G171" s="3"/>
      <c r="H171" s="10"/>
      <c r="I171" s="10"/>
      <c r="J171" s="3"/>
      <c r="K171" s="3"/>
      <c r="L171" s="3"/>
      <c r="M171" s="3"/>
      <c r="N171" s="3"/>
    </row>
    <row r="172" spans="1:14" ht="14.25">
      <c r="A172" s="210"/>
      <c r="B172" s="209"/>
      <c r="E172" s="3"/>
      <c r="F172" s="3"/>
      <c r="G172" s="3"/>
      <c r="H172" s="10"/>
      <c r="I172" s="10"/>
      <c r="J172" s="3"/>
      <c r="K172" s="3"/>
      <c r="L172" s="3"/>
      <c r="M172" s="3"/>
      <c r="N172" s="3"/>
    </row>
    <row r="173" spans="1:14" ht="14.25">
      <c r="A173" s="210"/>
      <c r="B173" s="209"/>
      <c r="E173" s="3"/>
      <c r="F173" s="3"/>
      <c r="G173" s="3"/>
      <c r="H173" s="10"/>
      <c r="I173" s="10"/>
      <c r="J173" s="3"/>
      <c r="K173" s="3"/>
      <c r="L173" s="3"/>
      <c r="M173" s="3"/>
      <c r="N173" s="3"/>
    </row>
    <row r="174" spans="1:14" ht="14.25">
      <c r="A174" s="211"/>
      <c r="B174" s="209"/>
      <c r="E174" s="3"/>
      <c r="F174" s="3"/>
      <c r="G174" s="3"/>
      <c r="H174" s="10"/>
      <c r="I174" s="10"/>
      <c r="J174" s="3"/>
      <c r="K174" s="3"/>
      <c r="L174" s="3"/>
      <c r="M174" s="3"/>
      <c r="N174" s="3"/>
    </row>
    <row r="175" spans="1:14" ht="14.25">
      <c r="A175" s="211"/>
      <c r="B175" s="209"/>
      <c r="E175" s="3"/>
      <c r="F175" s="3"/>
      <c r="G175" s="3"/>
      <c r="H175" s="10"/>
      <c r="I175" s="10"/>
      <c r="J175" s="3"/>
      <c r="K175" s="3"/>
      <c r="L175" s="3"/>
      <c r="M175" s="3"/>
      <c r="N175" s="3"/>
    </row>
    <row r="176" spans="1:14" ht="14.25">
      <c r="A176" s="211"/>
      <c r="B176" s="209"/>
      <c r="E176" s="3"/>
      <c r="F176" s="3"/>
      <c r="G176" s="3"/>
      <c r="H176" s="10"/>
      <c r="I176" s="10"/>
      <c r="J176" s="3"/>
      <c r="K176" s="3"/>
      <c r="L176" s="3"/>
      <c r="M176" s="3"/>
      <c r="N176" s="3"/>
    </row>
    <row r="177" spans="1:14" ht="14.25">
      <c r="A177" s="211"/>
      <c r="B177" s="209"/>
      <c r="E177" s="3"/>
      <c r="F177" s="3"/>
      <c r="G177" s="3"/>
      <c r="H177" s="10"/>
      <c r="I177" s="10"/>
      <c r="J177" s="3"/>
      <c r="K177" s="3"/>
      <c r="L177" s="3"/>
      <c r="M177" s="3"/>
      <c r="N177" s="3"/>
    </row>
    <row r="178" spans="1:14" ht="14.25">
      <c r="A178" s="211"/>
      <c r="B178" s="209"/>
      <c r="E178" s="3"/>
      <c r="F178" s="3"/>
      <c r="G178" s="3"/>
      <c r="H178" s="10"/>
      <c r="I178" s="10"/>
      <c r="J178" s="3"/>
      <c r="K178" s="3"/>
      <c r="L178" s="3"/>
      <c r="M178" s="3"/>
      <c r="N178" s="3"/>
    </row>
    <row r="179" spans="1:14" ht="14.25">
      <c r="A179" s="211"/>
      <c r="B179" s="209"/>
      <c r="E179" s="3"/>
      <c r="F179" s="3"/>
      <c r="G179" s="3"/>
      <c r="H179" s="10"/>
      <c r="I179" s="10"/>
      <c r="J179" s="3"/>
      <c r="K179" s="3"/>
      <c r="L179" s="3"/>
      <c r="M179" s="3"/>
      <c r="N179" s="3"/>
    </row>
    <row r="180" spans="1:14" ht="14.25">
      <c r="A180" s="211"/>
      <c r="B180" s="209"/>
      <c r="E180" s="3"/>
      <c r="F180" s="3"/>
      <c r="G180" s="3"/>
      <c r="H180" s="10"/>
      <c r="I180" s="10"/>
      <c r="J180" s="3"/>
      <c r="K180" s="3"/>
      <c r="L180" s="3"/>
      <c r="M180" s="3"/>
      <c r="N180" s="3"/>
    </row>
    <row r="181" spans="1:14" ht="14.25">
      <c r="A181" s="211"/>
      <c r="B181" s="209"/>
      <c r="E181" s="3"/>
      <c r="F181" s="3"/>
      <c r="G181" s="3"/>
      <c r="H181" s="10"/>
      <c r="I181" s="10"/>
      <c r="J181" s="3"/>
      <c r="K181" s="3"/>
      <c r="L181" s="3"/>
      <c r="M181" s="3"/>
      <c r="N181" s="3"/>
    </row>
    <row r="182" spans="1:14" ht="14.25">
      <c r="A182" s="211"/>
      <c r="B182" s="209"/>
      <c r="E182" s="3"/>
      <c r="F182" s="3"/>
      <c r="G182" s="3"/>
      <c r="H182" s="10"/>
      <c r="I182" s="10"/>
      <c r="J182" s="3"/>
      <c r="K182" s="3"/>
      <c r="L182" s="3"/>
      <c r="M182" s="3"/>
      <c r="N182" s="3"/>
    </row>
    <row r="183" spans="1:14" ht="14.25">
      <c r="A183" s="211"/>
      <c r="B183" s="209"/>
      <c r="E183" s="3"/>
      <c r="F183" s="3"/>
      <c r="G183" s="3"/>
      <c r="H183" s="10"/>
      <c r="I183" s="10"/>
      <c r="J183" s="3"/>
      <c r="K183" s="3"/>
      <c r="L183" s="3"/>
      <c r="M183" s="3"/>
      <c r="N183" s="3"/>
    </row>
    <row r="184" spans="1:14" ht="14.25">
      <c r="A184" s="211"/>
      <c r="B184" s="209"/>
      <c r="E184" s="3"/>
      <c r="F184" s="3"/>
      <c r="G184" s="3"/>
      <c r="H184" s="10"/>
      <c r="I184" s="10"/>
      <c r="J184" s="3"/>
      <c r="K184" s="3"/>
      <c r="L184" s="3"/>
      <c r="M184" s="3"/>
      <c r="N184" s="3"/>
    </row>
    <row r="185" spans="1:14" ht="14.25">
      <c r="A185" s="211"/>
      <c r="B185" s="209"/>
      <c r="E185" s="3"/>
      <c r="F185" s="3"/>
      <c r="G185" s="3"/>
      <c r="H185" s="10"/>
      <c r="I185" s="10"/>
      <c r="J185" s="3"/>
      <c r="K185" s="3"/>
      <c r="L185" s="3"/>
      <c r="M185" s="3"/>
      <c r="N185" s="3"/>
    </row>
    <row r="186" spans="1:14" ht="14.25">
      <c r="A186" s="211"/>
      <c r="B186" s="209"/>
      <c r="E186" s="3"/>
      <c r="F186" s="3"/>
      <c r="G186" s="3"/>
      <c r="H186" s="10"/>
      <c r="I186" s="10"/>
      <c r="J186" s="3"/>
      <c r="K186" s="3"/>
      <c r="L186" s="3"/>
      <c r="M186" s="3"/>
      <c r="N186" s="3"/>
    </row>
    <row r="187" spans="1:14" ht="14.25">
      <c r="A187" s="211"/>
      <c r="B187" s="209"/>
      <c r="E187" s="3"/>
      <c r="F187" s="3"/>
      <c r="G187" s="3"/>
      <c r="H187" s="10"/>
      <c r="I187" s="10"/>
      <c r="J187" s="3"/>
      <c r="K187" s="3"/>
      <c r="L187" s="3"/>
      <c r="M187" s="3"/>
      <c r="N187" s="3"/>
    </row>
    <row r="188" spans="1:14" ht="14.25">
      <c r="A188" s="211"/>
      <c r="B188" s="209"/>
      <c r="E188" s="3"/>
      <c r="F188" s="3"/>
      <c r="G188" s="3"/>
      <c r="H188" s="10"/>
      <c r="I188" s="10"/>
      <c r="J188" s="3"/>
      <c r="K188" s="3"/>
      <c r="L188" s="3"/>
      <c r="M188" s="3"/>
      <c r="N188" s="3"/>
    </row>
    <row r="189" spans="1:14" ht="14.25">
      <c r="A189" s="211"/>
      <c r="B189" s="209"/>
      <c r="E189" s="3"/>
      <c r="F189" s="3"/>
      <c r="G189" s="3"/>
      <c r="H189" s="10"/>
      <c r="I189" s="10"/>
      <c r="J189" s="3"/>
      <c r="K189" s="3"/>
      <c r="L189" s="3"/>
      <c r="M189" s="3"/>
      <c r="N189" s="3"/>
    </row>
    <row r="190" spans="1:14" ht="14.25">
      <c r="A190" s="211"/>
      <c r="B190" s="209"/>
      <c r="E190" s="3"/>
      <c r="F190" s="3"/>
      <c r="G190" s="3"/>
      <c r="H190" s="10"/>
      <c r="I190" s="10"/>
      <c r="J190" s="3"/>
      <c r="K190" s="3"/>
      <c r="L190" s="3"/>
      <c r="M190" s="3"/>
      <c r="N190" s="3"/>
    </row>
    <row r="191" spans="1:14" ht="14.25">
      <c r="A191" s="211"/>
      <c r="B191" s="209"/>
      <c r="E191" s="3"/>
      <c r="F191" s="3"/>
      <c r="G191" s="3"/>
      <c r="H191" s="10"/>
      <c r="I191" s="10"/>
      <c r="J191" s="3"/>
      <c r="K191" s="3"/>
      <c r="L191" s="3"/>
      <c r="M191" s="3"/>
      <c r="N191" s="3"/>
    </row>
    <row r="192" spans="1:14" ht="14.25">
      <c r="A192" s="211"/>
      <c r="B192" s="209"/>
      <c r="E192" s="3"/>
      <c r="F192" s="3"/>
      <c r="G192" s="3"/>
      <c r="H192" s="10"/>
      <c r="I192" s="10"/>
      <c r="J192" s="3"/>
      <c r="K192" s="3"/>
      <c r="L192" s="3"/>
      <c r="M192" s="3"/>
      <c r="N192" s="3"/>
    </row>
    <row r="193" spans="1:14" ht="14.25">
      <c r="A193" s="211"/>
      <c r="B193" s="209"/>
      <c r="E193" s="3"/>
      <c r="F193" s="3"/>
      <c r="G193" s="3"/>
      <c r="H193" s="10"/>
      <c r="I193" s="10"/>
      <c r="J193" s="3"/>
      <c r="K193" s="3"/>
      <c r="L193" s="3"/>
      <c r="M193" s="3"/>
      <c r="N193" s="3"/>
    </row>
    <row r="194" spans="1:14" ht="14.25">
      <c r="A194" s="211"/>
      <c r="B194" s="209"/>
      <c r="E194" s="3"/>
      <c r="F194" s="3"/>
      <c r="G194" s="3"/>
      <c r="H194" s="10"/>
      <c r="I194" s="10"/>
      <c r="J194" s="3"/>
      <c r="K194" s="3"/>
      <c r="L194" s="3"/>
      <c r="M194" s="3"/>
      <c r="N194" s="3"/>
    </row>
    <row r="195" spans="1:14" ht="14.25">
      <c r="A195" s="211"/>
      <c r="B195" s="209"/>
      <c r="E195" s="3"/>
      <c r="F195" s="3"/>
      <c r="G195" s="3"/>
      <c r="H195" s="10"/>
      <c r="I195" s="10"/>
      <c r="J195" s="3"/>
      <c r="K195" s="3"/>
      <c r="L195" s="3"/>
      <c r="M195" s="3"/>
      <c r="N195" s="3"/>
    </row>
    <row r="196" spans="1:14" ht="14.25">
      <c r="A196" s="211"/>
      <c r="B196" s="209"/>
      <c r="E196" s="3"/>
      <c r="F196" s="3"/>
      <c r="G196" s="3"/>
      <c r="H196" s="10"/>
      <c r="I196" s="10"/>
      <c r="J196" s="3"/>
      <c r="K196" s="3"/>
      <c r="L196" s="3"/>
      <c r="M196" s="3"/>
      <c r="N196" s="3"/>
    </row>
    <row r="197" spans="1:14" ht="14.25">
      <c r="A197" s="211"/>
      <c r="B197" s="209"/>
      <c r="E197" s="3"/>
      <c r="F197" s="3"/>
      <c r="G197" s="3"/>
      <c r="H197" s="10"/>
      <c r="I197" s="10"/>
      <c r="J197" s="3"/>
      <c r="K197" s="3"/>
      <c r="L197" s="3"/>
      <c r="M197" s="3"/>
      <c r="N197" s="3"/>
    </row>
    <row r="198" spans="1:14" ht="14.25">
      <c r="A198" s="211"/>
      <c r="B198" s="209"/>
      <c r="E198" s="3"/>
      <c r="F198" s="3"/>
      <c r="G198" s="3"/>
      <c r="H198" s="10"/>
      <c r="I198" s="10"/>
      <c r="J198" s="3"/>
      <c r="K198" s="3"/>
      <c r="L198" s="3"/>
      <c r="M198" s="3"/>
      <c r="N198" s="3"/>
    </row>
    <row r="199" spans="1:14" ht="14.25">
      <c r="A199" s="211"/>
      <c r="B199" s="209"/>
      <c r="E199" s="3"/>
      <c r="F199" s="3"/>
      <c r="G199" s="3"/>
      <c r="H199" s="10"/>
      <c r="I199" s="10"/>
      <c r="J199" s="3"/>
      <c r="K199" s="3"/>
      <c r="L199" s="3"/>
      <c r="M199" s="3"/>
      <c r="N199" s="3"/>
    </row>
    <row r="200" spans="1:14" ht="14.25">
      <c r="A200" s="211"/>
      <c r="B200" s="209"/>
      <c r="E200" s="3"/>
      <c r="F200" s="3"/>
      <c r="G200" s="3"/>
      <c r="H200" s="10"/>
      <c r="I200" s="10"/>
      <c r="J200" s="3"/>
      <c r="K200" s="3"/>
      <c r="L200" s="3"/>
      <c r="M200" s="3"/>
      <c r="N200" s="3"/>
    </row>
    <row r="201" spans="1:14" ht="14.25">
      <c r="A201" s="211"/>
      <c r="B201" s="209"/>
      <c r="E201" s="3"/>
      <c r="F201" s="3"/>
      <c r="G201" s="3"/>
      <c r="H201" s="10"/>
      <c r="I201" s="10"/>
      <c r="J201" s="3"/>
      <c r="K201" s="3"/>
      <c r="L201" s="3"/>
      <c r="M201" s="3"/>
      <c r="N201" s="3"/>
    </row>
    <row r="202" spans="1:14" ht="14.25">
      <c r="A202" s="211"/>
      <c r="B202" s="209"/>
      <c r="E202" s="3"/>
      <c r="F202" s="3"/>
      <c r="G202" s="3"/>
      <c r="H202" s="10"/>
      <c r="I202" s="10"/>
      <c r="J202" s="3"/>
      <c r="K202" s="3"/>
      <c r="L202" s="3"/>
      <c r="M202" s="3"/>
      <c r="N202" s="3"/>
    </row>
    <row r="203" spans="1:14" ht="14.25">
      <c r="A203" s="211"/>
      <c r="B203" s="209"/>
      <c r="E203" s="3"/>
      <c r="F203" s="3"/>
      <c r="G203" s="3"/>
      <c r="H203" s="10"/>
      <c r="I203" s="10"/>
      <c r="J203" s="3"/>
      <c r="K203" s="3"/>
      <c r="L203" s="3"/>
      <c r="M203" s="3"/>
      <c r="N203" s="3"/>
    </row>
    <row r="204" spans="1:14" ht="14.25">
      <c r="A204" s="211"/>
      <c r="E204" s="3"/>
      <c r="F204" s="3"/>
      <c r="G204" s="3"/>
      <c r="H204" s="10"/>
      <c r="I204" s="10"/>
      <c r="J204" s="3"/>
      <c r="K204" s="3"/>
      <c r="L204" s="3"/>
      <c r="M204" s="3"/>
      <c r="N204" s="3"/>
    </row>
    <row r="205" spans="1:14" ht="14.25">
      <c r="A205" s="211"/>
      <c r="E205" s="3"/>
      <c r="F205" s="3"/>
      <c r="G205" s="3"/>
      <c r="H205" s="10"/>
      <c r="I205" s="10"/>
      <c r="J205" s="3"/>
      <c r="K205" s="3"/>
      <c r="L205" s="3"/>
      <c r="M205" s="3"/>
      <c r="N205" s="3"/>
    </row>
    <row r="206" spans="1:14" ht="14.25">
      <c r="A206" s="211"/>
      <c r="E206" s="3"/>
      <c r="F206" s="3"/>
      <c r="G206" s="3"/>
      <c r="H206" s="10"/>
      <c r="I206" s="10"/>
      <c r="J206" s="3"/>
      <c r="K206" s="3"/>
      <c r="L206" s="3"/>
      <c r="M206" s="3"/>
      <c r="N206" s="3"/>
    </row>
    <row r="207" spans="1:14" ht="14.25">
      <c r="A207" s="211"/>
      <c r="E207" s="3"/>
      <c r="F207" s="3"/>
      <c r="G207" s="3"/>
      <c r="H207" s="10"/>
      <c r="I207" s="10"/>
      <c r="J207" s="3"/>
      <c r="K207" s="3"/>
      <c r="L207" s="3"/>
      <c r="M207" s="3"/>
      <c r="N207" s="3"/>
    </row>
    <row r="208" spans="1:14" ht="14.25">
      <c r="A208" s="211"/>
      <c r="E208" s="3"/>
      <c r="F208" s="3"/>
      <c r="G208" s="3"/>
      <c r="H208" s="10"/>
      <c r="I208" s="10"/>
      <c r="J208" s="3"/>
      <c r="K208" s="3"/>
      <c r="L208" s="3"/>
      <c r="M208" s="3"/>
      <c r="N208" s="3"/>
    </row>
    <row r="209" spans="1:14" ht="14.25">
      <c r="A209" s="211"/>
      <c r="E209" s="3"/>
      <c r="F209" s="3"/>
      <c r="G209" s="3"/>
      <c r="H209" s="10"/>
      <c r="I209" s="10"/>
      <c r="J209" s="3"/>
      <c r="K209" s="3"/>
      <c r="L209" s="3"/>
      <c r="M209" s="3"/>
      <c r="N209" s="3"/>
    </row>
    <row r="210" spans="1:14" ht="14.25">
      <c r="A210" s="211"/>
      <c r="E210" s="3"/>
      <c r="F210" s="3"/>
      <c r="G210" s="3"/>
      <c r="H210" s="10"/>
      <c r="I210" s="10"/>
      <c r="J210" s="3"/>
      <c r="K210" s="3"/>
      <c r="L210" s="3"/>
      <c r="M210" s="3"/>
      <c r="N210" s="3"/>
    </row>
    <row r="211" spans="1:14" ht="14.25">
      <c r="A211" s="211"/>
      <c r="E211" s="3"/>
      <c r="F211" s="3"/>
      <c r="G211" s="3"/>
      <c r="H211" s="10"/>
      <c r="I211" s="10"/>
      <c r="J211" s="3"/>
      <c r="K211" s="3"/>
      <c r="L211" s="3"/>
      <c r="M211" s="3"/>
      <c r="N211" s="3"/>
    </row>
    <row r="212" spans="1:14" ht="14.25">
      <c r="A212" s="211"/>
      <c r="E212" s="3"/>
      <c r="F212" s="3"/>
      <c r="G212" s="3"/>
      <c r="H212" s="10"/>
      <c r="I212" s="10"/>
      <c r="J212" s="3"/>
      <c r="K212" s="3"/>
      <c r="L212" s="3"/>
      <c r="M212" s="3"/>
      <c r="N212" s="3"/>
    </row>
    <row r="213" spans="1:14" ht="14.25">
      <c r="A213" s="211"/>
      <c r="E213" s="3"/>
      <c r="F213" s="3"/>
      <c r="G213" s="3"/>
      <c r="H213" s="10"/>
      <c r="I213" s="10"/>
      <c r="J213" s="3"/>
      <c r="K213" s="3"/>
      <c r="L213" s="3"/>
      <c r="M213" s="3"/>
      <c r="N213" s="3"/>
    </row>
    <row r="214" spans="1:14" ht="14.25">
      <c r="A214" s="211"/>
      <c r="E214" s="3"/>
      <c r="F214" s="3"/>
      <c r="G214" s="3"/>
      <c r="H214" s="10"/>
      <c r="I214" s="10"/>
      <c r="J214" s="3"/>
      <c r="K214" s="3"/>
      <c r="L214" s="3"/>
      <c r="M214" s="3"/>
      <c r="N214" s="3"/>
    </row>
    <row r="215" spans="5:14" ht="14.25">
      <c r="E215" s="3"/>
      <c r="F215" s="3"/>
      <c r="G215" s="3"/>
      <c r="H215" s="10"/>
      <c r="I215" s="10"/>
      <c r="J215" s="3"/>
      <c r="K215" s="3"/>
      <c r="L215" s="3"/>
      <c r="M215" s="3"/>
      <c r="N215" s="3"/>
    </row>
    <row r="216" spans="5:14" ht="14.25">
      <c r="E216" s="3"/>
      <c r="F216" s="3"/>
      <c r="G216" s="3"/>
      <c r="H216" s="10"/>
      <c r="I216" s="10"/>
      <c r="J216" s="3"/>
      <c r="K216" s="3"/>
      <c r="L216" s="3"/>
      <c r="M216" s="3"/>
      <c r="N216" s="3"/>
    </row>
    <row r="217" spans="5:14" ht="14.25">
      <c r="E217" s="3"/>
      <c r="F217" s="3"/>
      <c r="G217" s="3"/>
      <c r="H217" s="10"/>
      <c r="I217" s="10"/>
      <c r="J217" s="3"/>
      <c r="K217" s="3"/>
      <c r="L217" s="3"/>
      <c r="M217" s="3"/>
      <c r="N217" s="3"/>
    </row>
    <row r="218" spans="5:14" ht="14.25">
      <c r="E218" s="3"/>
      <c r="F218" s="3"/>
      <c r="G218" s="3"/>
      <c r="H218" s="10"/>
      <c r="I218" s="10"/>
      <c r="J218" s="3"/>
      <c r="K218" s="3"/>
      <c r="L218" s="3"/>
      <c r="M218" s="3"/>
      <c r="N218" s="3"/>
    </row>
    <row r="219" spans="5:14" ht="14.25">
      <c r="E219" s="3"/>
      <c r="F219" s="3"/>
      <c r="G219" s="3"/>
      <c r="H219" s="10"/>
      <c r="I219" s="10"/>
      <c r="J219" s="3"/>
      <c r="K219" s="3"/>
      <c r="L219" s="3"/>
      <c r="M219" s="3"/>
      <c r="N219" s="3"/>
    </row>
    <row r="220" spans="5:14" ht="14.25">
      <c r="E220" s="3"/>
      <c r="F220" s="3"/>
      <c r="G220" s="3"/>
      <c r="H220" s="10"/>
      <c r="I220" s="10"/>
      <c r="J220" s="3"/>
      <c r="K220" s="3"/>
      <c r="L220" s="3"/>
      <c r="M220" s="3"/>
      <c r="N220" s="3"/>
    </row>
    <row r="221" spans="5:14" ht="14.25">
      <c r="E221" s="3"/>
      <c r="F221" s="3"/>
      <c r="G221" s="3"/>
      <c r="H221" s="10"/>
      <c r="I221" s="10"/>
      <c r="J221" s="3"/>
      <c r="K221" s="3"/>
      <c r="L221" s="3"/>
      <c r="M221" s="3"/>
      <c r="N221" s="3"/>
    </row>
    <row r="222" spans="5:14" ht="14.25">
      <c r="E222" s="3"/>
      <c r="F222" s="3"/>
      <c r="G222" s="3"/>
      <c r="H222" s="10"/>
      <c r="I222" s="10"/>
      <c r="J222" s="3"/>
      <c r="K222" s="3"/>
      <c r="L222" s="3"/>
      <c r="M222" s="3"/>
      <c r="N222" s="3"/>
    </row>
    <row r="223" spans="5:14" ht="14.25">
      <c r="E223" s="3"/>
      <c r="F223" s="3"/>
      <c r="G223" s="3"/>
      <c r="H223" s="10"/>
      <c r="I223" s="10"/>
      <c r="J223" s="3"/>
      <c r="K223" s="3"/>
      <c r="L223" s="3"/>
      <c r="M223" s="3"/>
      <c r="N223" s="3"/>
    </row>
    <row r="224" spans="5:14" ht="14.25">
      <c r="E224" s="3"/>
      <c r="F224" s="3"/>
      <c r="G224" s="3"/>
      <c r="H224" s="10"/>
      <c r="I224" s="10"/>
      <c r="J224" s="3"/>
      <c r="K224" s="3"/>
      <c r="L224" s="3"/>
      <c r="M224" s="3"/>
      <c r="N224" s="3"/>
    </row>
    <row r="225" spans="1:14" ht="14.25">
      <c r="A225" s="212"/>
      <c r="E225" s="3"/>
      <c r="F225" s="3"/>
      <c r="G225" s="3"/>
      <c r="H225" s="10"/>
      <c r="I225" s="10"/>
      <c r="J225" s="3"/>
      <c r="K225" s="3"/>
      <c r="L225" s="3"/>
      <c r="M225" s="3"/>
      <c r="N225" s="3"/>
    </row>
    <row r="226" spans="5:14" ht="14.25">
      <c r="E226" s="3"/>
      <c r="F226" s="3"/>
      <c r="G226" s="3"/>
      <c r="H226" s="10"/>
      <c r="I226" s="10"/>
      <c r="J226" s="3"/>
      <c r="K226" s="3"/>
      <c r="L226" s="3"/>
      <c r="M226" s="3"/>
      <c r="N226" s="3"/>
    </row>
    <row r="227" spans="5:14" ht="14.25">
      <c r="E227" s="3"/>
      <c r="F227" s="3"/>
      <c r="G227" s="3"/>
      <c r="H227" s="10"/>
      <c r="I227" s="10"/>
      <c r="J227" s="3"/>
      <c r="K227" s="3"/>
      <c r="L227" s="3"/>
      <c r="M227" s="3"/>
      <c r="N227" s="3"/>
    </row>
    <row r="228" spans="1:14" ht="14.25">
      <c r="A228" s="213"/>
      <c r="E228" s="3"/>
      <c r="F228" s="3"/>
      <c r="G228" s="3"/>
      <c r="H228" s="10"/>
      <c r="I228" s="10"/>
      <c r="J228" s="3"/>
      <c r="K228" s="3"/>
      <c r="L228" s="3"/>
      <c r="M228" s="3"/>
      <c r="N228" s="3"/>
    </row>
    <row r="229" spans="5:14" ht="14.25">
      <c r="E229" s="3"/>
      <c r="F229" s="3"/>
      <c r="G229" s="3"/>
      <c r="H229" s="10"/>
      <c r="I229" s="10"/>
      <c r="J229" s="3"/>
      <c r="K229" s="3"/>
      <c r="L229" s="3"/>
      <c r="M229" s="3"/>
      <c r="N229" s="3"/>
    </row>
    <row r="230" spans="5:14" ht="14.25">
      <c r="E230" s="3"/>
      <c r="F230" s="3"/>
      <c r="G230" s="3"/>
      <c r="H230" s="10"/>
      <c r="I230" s="10"/>
      <c r="J230" s="3"/>
      <c r="K230" s="3"/>
      <c r="L230" s="3"/>
      <c r="M230" s="3"/>
      <c r="N230" s="3"/>
    </row>
    <row r="231" spans="5:14" ht="14.25">
      <c r="E231" s="3"/>
      <c r="F231" s="3"/>
      <c r="G231" s="3"/>
      <c r="H231" s="10"/>
      <c r="I231" s="10"/>
      <c r="J231" s="3"/>
      <c r="K231" s="3"/>
      <c r="L231" s="3"/>
      <c r="M231" s="3"/>
      <c r="N231" s="3"/>
    </row>
    <row r="232" spans="5:14" ht="14.25">
      <c r="E232" s="3"/>
      <c r="F232" s="3"/>
      <c r="G232" s="3"/>
      <c r="H232" s="10"/>
      <c r="I232" s="10"/>
      <c r="J232" s="3"/>
      <c r="K232" s="3"/>
      <c r="L232" s="3"/>
      <c r="M232" s="3"/>
      <c r="N232" s="3"/>
    </row>
    <row r="233" spans="5:14" ht="14.25">
      <c r="E233" s="3"/>
      <c r="F233" s="3"/>
      <c r="G233" s="3"/>
      <c r="H233" s="10"/>
      <c r="I233" s="10"/>
      <c r="J233" s="3"/>
      <c r="K233" s="3"/>
      <c r="L233" s="3"/>
      <c r="M233" s="3"/>
      <c r="N233" s="3"/>
    </row>
    <row r="234" spans="5:14" ht="14.25">
      <c r="E234" s="3"/>
      <c r="F234" s="3"/>
      <c r="G234" s="3"/>
      <c r="H234" s="10"/>
      <c r="I234" s="10"/>
      <c r="J234" s="3"/>
      <c r="K234" s="3"/>
      <c r="L234" s="3"/>
      <c r="M234" s="3"/>
      <c r="N234" s="3"/>
    </row>
    <row r="235" spans="5:14" ht="14.25">
      <c r="E235" s="3"/>
      <c r="F235" s="3"/>
      <c r="G235" s="3"/>
      <c r="H235" s="10"/>
      <c r="I235" s="10"/>
      <c r="J235" s="3"/>
      <c r="K235" s="3"/>
      <c r="L235" s="3"/>
      <c r="M235" s="3"/>
      <c r="N235" s="3"/>
    </row>
    <row r="236" spans="5:14" ht="14.25">
      <c r="E236" s="3"/>
      <c r="F236" s="3"/>
      <c r="G236" s="3"/>
      <c r="H236" s="10"/>
      <c r="I236" s="10"/>
      <c r="J236" s="3"/>
      <c r="K236" s="3"/>
      <c r="L236" s="3"/>
      <c r="M236" s="3"/>
      <c r="N236" s="3"/>
    </row>
    <row r="237" spans="5:14" ht="14.25">
      <c r="E237" s="3"/>
      <c r="F237" s="3"/>
      <c r="G237" s="3"/>
      <c r="H237" s="10"/>
      <c r="I237" s="10"/>
      <c r="J237" s="3"/>
      <c r="K237" s="3"/>
      <c r="L237" s="3"/>
      <c r="M237" s="3"/>
      <c r="N237" s="3"/>
    </row>
    <row r="238" spans="5:14" ht="14.25">
      <c r="E238" s="3"/>
      <c r="F238" s="3"/>
      <c r="G238" s="3"/>
      <c r="H238" s="10"/>
      <c r="I238" s="10"/>
      <c r="J238" s="3"/>
      <c r="K238" s="3"/>
      <c r="L238" s="3"/>
      <c r="M238" s="3"/>
      <c r="N238" s="3"/>
    </row>
    <row r="239" spans="5:14" ht="14.25">
      <c r="E239" s="3"/>
      <c r="F239" s="3"/>
      <c r="G239" s="3"/>
      <c r="H239" s="10"/>
      <c r="I239" s="10"/>
      <c r="J239" s="3"/>
      <c r="K239" s="3"/>
      <c r="L239" s="3"/>
      <c r="M239" s="3"/>
      <c r="N239" s="3"/>
    </row>
    <row r="240" spans="5:14" ht="14.25">
      <c r="E240" s="3"/>
      <c r="F240" s="3"/>
      <c r="G240" s="3"/>
      <c r="H240" s="10"/>
      <c r="I240" s="10"/>
      <c r="J240" s="3"/>
      <c r="K240" s="3"/>
      <c r="L240" s="3"/>
      <c r="M240" s="3"/>
      <c r="N240" s="3"/>
    </row>
    <row r="241" spans="1:14" ht="14.25">
      <c r="A241" s="214"/>
      <c r="E241" s="3"/>
      <c r="F241" s="3"/>
      <c r="G241" s="3"/>
      <c r="H241" s="10"/>
      <c r="I241" s="10"/>
      <c r="J241" s="3"/>
      <c r="K241" s="3"/>
      <c r="L241" s="3"/>
      <c r="M241" s="3"/>
      <c r="N241" s="3"/>
    </row>
    <row r="242" spans="1:14" ht="14.25">
      <c r="A242" s="214"/>
      <c r="E242" s="3"/>
      <c r="F242" s="3"/>
      <c r="G242" s="3"/>
      <c r="H242" s="10"/>
      <c r="I242" s="10"/>
      <c r="J242" s="3"/>
      <c r="K242" s="3"/>
      <c r="L242" s="3"/>
      <c r="M242" s="3"/>
      <c r="N242" s="3"/>
    </row>
    <row r="243" spans="5:14" ht="14.25">
      <c r="E243" s="3"/>
      <c r="F243" s="3"/>
      <c r="G243" s="3"/>
      <c r="H243" s="10"/>
      <c r="I243" s="10"/>
      <c r="J243" s="3"/>
      <c r="K243" s="3"/>
      <c r="L243" s="3"/>
      <c r="M243" s="3"/>
      <c r="N243" s="3"/>
    </row>
    <row r="244" spans="5:14" ht="14.25">
      <c r="E244" s="3"/>
      <c r="F244" s="3"/>
      <c r="G244" s="3"/>
      <c r="H244" s="10"/>
      <c r="I244" s="10"/>
      <c r="J244" s="3"/>
      <c r="K244" s="3"/>
      <c r="L244" s="3"/>
      <c r="M244" s="3"/>
      <c r="N244" s="3"/>
    </row>
    <row r="245" spans="5:14" ht="14.25">
      <c r="E245" s="3"/>
      <c r="F245" s="3"/>
      <c r="G245" s="3"/>
      <c r="H245" s="10"/>
      <c r="I245" s="10"/>
      <c r="J245" s="3"/>
      <c r="K245" s="3"/>
      <c r="L245" s="3"/>
      <c r="M245" s="3"/>
      <c r="N245" s="3"/>
    </row>
    <row r="246" spans="5:14" ht="14.25">
      <c r="E246" s="3"/>
      <c r="F246" s="3"/>
      <c r="G246" s="3"/>
      <c r="H246" s="10"/>
      <c r="I246" s="10"/>
      <c r="J246" s="3"/>
      <c r="K246" s="3"/>
      <c r="L246" s="3"/>
      <c r="M246" s="3"/>
      <c r="N246" s="3"/>
    </row>
    <row r="247" spans="5:14" ht="14.25">
      <c r="E247" s="3"/>
      <c r="F247" s="3"/>
      <c r="G247" s="3"/>
      <c r="H247" s="10"/>
      <c r="I247" s="10"/>
      <c r="J247" s="3"/>
      <c r="K247" s="3"/>
      <c r="L247" s="3"/>
      <c r="M247" s="3"/>
      <c r="N247" s="3"/>
    </row>
    <row r="248" spans="5:14" ht="14.25">
      <c r="E248" s="3"/>
      <c r="F248" s="3"/>
      <c r="G248" s="3"/>
      <c r="H248" s="10"/>
      <c r="I248" s="10"/>
      <c r="J248" s="3"/>
      <c r="K248" s="3"/>
      <c r="L248" s="3"/>
      <c r="M248" s="3"/>
      <c r="N248" s="3"/>
    </row>
    <row r="249" spans="5:14" ht="14.25">
      <c r="E249" s="3"/>
      <c r="F249" s="3"/>
      <c r="G249" s="3"/>
      <c r="H249" s="10"/>
      <c r="I249" s="10"/>
      <c r="J249" s="3"/>
      <c r="K249" s="3"/>
      <c r="L249" s="3"/>
      <c r="M249" s="3"/>
      <c r="N249" s="3"/>
    </row>
    <row r="250" spans="5:14" ht="14.25">
      <c r="E250" s="3"/>
      <c r="F250" s="3"/>
      <c r="G250" s="3"/>
      <c r="H250" s="10"/>
      <c r="I250" s="10"/>
      <c r="J250" s="3"/>
      <c r="K250" s="3"/>
      <c r="L250" s="3"/>
      <c r="M250" s="3"/>
      <c r="N250" s="3"/>
    </row>
    <row r="251" spans="5:14" ht="14.25">
      <c r="E251" s="3"/>
      <c r="F251" s="3"/>
      <c r="G251" s="3"/>
      <c r="H251" s="10"/>
      <c r="I251" s="10"/>
      <c r="J251" s="3"/>
      <c r="K251" s="3"/>
      <c r="L251" s="3"/>
      <c r="M251" s="3"/>
      <c r="N251" s="3"/>
    </row>
    <row r="252" spans="5:14" ht="14.25">
      <c r="E252" s="3"/>
      <c r="F252" s="3"/>
      <c r="G252" s="3"/>
      <c r="H252" s="10"/>
      <c r="I252" s="10"/>
      <c r="J252" s="3"/>
      <c r="K252" s="3"/>
      <c r="L252" s="3"/>
      <c r="M252" s="3"/>
      <c r="N252" s="3"/>
    </row>
    <row r="253" spans="5:14" ht="14.25">
      <c r="E253" s="3"/>
      <c r="F253" s="3"/>
      <c r="G253" s="3"/>
      <c r="H253" s="10"/>
      <c r="I253" s="10"/>
      <c r="J253" s="3"/>
      <c r="K253" s="3"/>
      <c r="L253" s="3"/>
      <c r="M253" s="3"/>
      <c r="N253" s="3"/>
    </row>
    <row r="254" spans="5:14" ht="14.25">
      <c r="E254" s="3"/>
      <c r="F254" s="3"/>
      <c r="G254" s="3"/>
      <c r="H254" s="10"/>
      <c r="I254" s="10"/>
      <c r="J254" s="3"/>
      <c r="K254" s="3"/>
      <c r="L254" s="3"/>
      <c r="M254" s="3"/>
      <c r="N254" s="3"/>
    </row>
    <row r="255" spans="5:14" ht="14.25">
      <c r="E255" s="3"/>
      <c r="F255" s="3"/>
      <c r="G255" s="3"/>
      <c r="H255" s="10"/>
      <c r="I255" s="10"/>
      <c r="J255" s="3"/>
      <c r="K255" s="3"/>
      <c r="L255" s="3"/>
      <c r="M255" s="3"/>
      <c r="N255" s="3"/>
    </row>
    <row r="256" spans="5:14" ht="14.25">
      <c r="E256" s="3"/>
      <c r="F256" s="3"/>
      <c r="G256" s="3"/>
      <c r="H256" s="10"/>
      <c r="I256" s="10"/>
      <c r="J256" s="3"/>
      <c r="K256" s="3"/>
      <c r="L256" s="3"/>
      <c r="M256" s="3"/>
      <c r="N256" s="3"/>
    </row>
    <row r="257" spans="5:14" ht="14.25">
      <c r="E257" s="3"/>
      <c r="F257" s="3"/>
      <c r="G257" s="3"/>
      <c r="H257" s="10"/>
      <c r="I257" s="10"/>
      <c r="J257" s="3"/>
      <c r="K257" s="3"/>
      <c r="L257" s="3"/>
      <c r="M257" s="3"/>
      <c r="N257" s="3"/>
    </row>
    <row r="258" spans="5:14" ht="14.25">
      <c r="E258" s="3"/>
      <c r="F258" s="3"/>
      <c r="G258" s="3"/>
      <c r="H258" s="10"/>
      <c r="I258" s="10"/>
      <c r="J258" s="3"/>
      <c r="K258" s="3"/>
      <c r="L258" s="3"/>
      <c r="M258" s="3"/>
      <c r="N258" s="3"/>
    </row>
    <row r="259" spans="5:14" ht="14.25">
      <c r="E259" s="3"/>
      <c r="F259" s="3"/>
      <c r="G259" s="3"/>
      <c r="H259" s="10"/>
      <c r="I259" s="10"/>
      <c r="J259" s="3"/>
      <c r="K259" s="3"/>
      <c r="L259" s="3"/>
      <c r="M259" s="3"/>
      <c r="N259" s="3"/>
    </row>
    <row r="260" spans="5:14" ht="14.25">
      <c r="E260" s="3"/>
      <c r="F260" s="3"/>
      <c r="G260" s="3"/>
      <c r="H260" s="10"/>
      <c r="I260" s="10"/>
      <c r="J260" s="3"/>
      <c r="K260" s="3"/>
      <c r="L260" s="3"/>
      <c r="M260" s="3"/>
      <c r="N260" s="3"/>
    </row>
    <row r="261" spans="5:14" ht="14.25">
      <c r="E261" s="3"/>
      <c r="F261" s="3"/>
      <c r="G261" s="3"/>
      <c r="H261" s="10"/>
      <c r="I261" s="10"/>
      <c r="J261" s="3"/>
      <c r="K261" s="3"/>
      <c r="L261" s="3"/>
      <c r="M261" s="3"/>
      <c r="N261" s="3"/>
    </row>
    <row r="262" spans="5:14" ht="14.25">
      <c r="E262" s="3"/>
      <c r="F262" s="3"/>
      <c r="G262" s="3"/>
      <c r="H262" s="10"/>
      <c r="I262" s="10"/>
      <c r="J262" s="3"/>
      <c r="K262" s="3"/>
      <c r="L262" s="3"/>
      <c r="M262" s="3"/>
      <c r="N262" s="3"/>
    </row>
    <row r="263" spans="5:14" ht="14.25">
      <c r="E263" s="3"/>
      <c r="F263" s="3"/>
      <c r="G263" s="3"/>
      <c r="H263" s="10"/>
      <c r="I263" s="10"/>
      <c r="J263" s="3"/>
      <c r="K263" s="3"/>
      <c r="L263" s="3"/>
      <c r="M263" s="3"/>
      <c r="N263" s="3"/>
    </row>
    <row r="264" spans="5:14" ht="14.25">
      <c r="E264" s="3"/>
      <c r="F264" s="3"/>
      <c r="G264" s="3"/>
      <c r="H264" s="10"/>
      <c r="I264" s="10"/>
      <c r="J264" s="3"/>
      <c r="K264" s="3"/>
      <c r="L264" s="3"/>
      <c r="M264" s="3"/>
      <c r="N264" s="3"/>
    </row>
    <row r="265" spans="5:14" ht="14.25">
      <c r="E265" s="3"/>
      <c r="F265" s="3"/>
      <c r="G265" s="3"/>
      <c r="H265" s="10"/>
      <c r="I265" s="10"/>
      <c r="J265" s="3"/>
      <c r="K265" s="3"/>
      <c r="L265" s="3"/>
      <c r="M265" s="3"/>
      <c r="N265" s="3"/>
    </row>
    <row r="266" spans="5:14" ht="14.25">
      <c r="E266" s="3"/>
      <c r="F266" s="3"/>
      <c r="G266" s="3"/>
      <c r="H266" s="10"/>
      <c r="I266" s="10"/>
      <c r="J266" s="3"/>
      <c r="K266" s="3"/>
      <c r="L266" s="3"/>
      <c r="M266" s="3"/>
      <c r="N266" s="3"/>
    </row>
    <row r="267" spans="5:14" ht="14.25">
      <c r="E267" s="3"/>
      <c r="F267" s="3"/>
      <c r="G267" s="3"/>
      <c r="H267" s="10"/>
      <c r="I267" s="10"/>
      <c r="J267" s="3"/>
      <c r="K267" s="3"/>
      <c r="L267" s="3"/>
      <c r="M267" s="3"/>
      <c r="N267" s="3"/>
    </row>
    <row r="268" spans="5:14" ht="14.25">
      <c r="E268" s="3"/>
      <c r="F268" s="3"/>
      <c r="G268" s="3"/>
      <c r="H268" s="10"/>
      <c r="I268" s="10"/>
      <c r="J268" s="3"/>
      <c r="K268" s="3"/>
      <c r="L268" s="3"/>
      <c r="M268" s="3"/>
      <c r="N268" s="3"/>
    </row>
    <row r="269" spans="5:14" ht="14.25">
      <c r="E269" s="3"/>
      <c r="F269" s="3"/>
      <c r="G269" s="3"/>
      <c r="H269" s="10"/>
      <c r="I269" s="10"/>
      <c r="J269" s="3"/>
      <c r="K269" s="3"/>
      <c r="L269" s="3"/>
      <c r="M269" s="3"/>
      <c r="N269" s="3"/>
    </row>
    <row r="270" spans="5:14" ht="14.25">
      <c r="E270" s="3"/>
      <c r="F270" s="3"/>
      <c r="G270" s="3"/>
      <c r="H270" s="10"/>
      <c r="I270" s="10"/>
      <c r="J270" s="3"/>
      <c r="K270" s="3"/>
      <c r="L270" s="3"/>
      <c r="M270" s="3"/>
      <c r="N270" s="3"/>
    </row>
    <row r="271" spans="5:14" ht="14.25">
      <c r="E271" s="3"/>
      <c r="F271" s="3"/>
      <c r="G271" s="3"/>
      <c r="H271" s="10"/>
      <c r="I271" s="10"/>
      <c r="J271" s="3"/>
      <c r="K271" s="3"/>
      <c r="L271" s="3"/>
      <c r="M271" s="3"/>
      <c r="N271" s="3"/>
    </row>
    <row r="272" spans="5:14" ht="14.25">
      <c r="E272" s="3"/>
      <c r="F272" s="3"/>
      <c r="G272" s="3"/>
      <c r="H272" s="10"/>
      <c r="I272" s="10"/>
      <c r="J272" s="3"/>
      <c r="K272" s="3"/>
      <c r="L272" s="3"/>
      <c r="M272" s="3"/>
      <c r="N272" s="3"/>
    </row>
    <row r="273" spans="5:14" ht="14.25">
      <c r="E273" s="3"/>
      <c r="F273" s="3"/>
      <c r="G273" s="3"/>
      <c r="H273" s="10"/>
      <c r="I273" s="10"/>
      <c r="J273" s="3"/>
      <c r="K273" s="3"/>
      <c r="L273" s="3"/>
      <c r="M273" s="3"/>
      <c r="N273" s="3"/>
    </row>
    <row r="274" spans="5:14" ht="14.25">
      <c r="E274" s="3"/>
      <c r="F274" s="3"/>
      <c r="G274" s="3"/>
      <c r="H274" s="10"/>
      <c r="I274" s="10"/>
      <c r="J274" s="3"/>
      <c r="K274" s="3"/>
      <c r="L274" s="3"/>
      <c r="M274" s="3"/>
      <c r="N274" s="3"/>
    </row>
    <row r="275" spans="5:14" ht="14.25">
      <c r="E275" s="3"/>
      <c r="F275" s="3"/>
      <c r="G275" s="3"/>
      <c r="H275" s="10"/>
      <c r="I275" s="10"/>
      <c r="J275" s="3"/>
      <c r="K275" s="3"/>
      <c r="L275" s="3"/>
      <c r="M275" s="3"/>
      <c r="N275" s="3"/>
    </row>
    <row r="276" spans="5:14" ht="14.25">
      <c r="E276" s="3"/>
      <c r="F276" s="3"/>
      <c r="G276" s="3"/>
      <c r="H276" s="10"/>
      <c r="I276" s="10"/>
      <c r="J276" s="3"/>
      <c r="K276" s="3"/>
      <c r="L276" s="3"/>
      <c r="M276" s="3"/>
      <c r="N276" s="3"/>
    </row>
    <row r="277" spans="5:14" ht="14.25">
      <c r="E277" s="3"/>
      <c r="F277" s="3"/>
      <c r="G277" s="3"/>
      <c r="H277" s="10"/>
      <c r="I277" s="10"/>
      <c r="J277" s="3"/>
      <c r="K277" s="3"/>
      <c r="L277" s="3"/>
      <c r="M277" s="3"/>
      <c r="N277" s="3"/>
    </row>
    <row r="278" spans="5:14" ht="14.25">
      <c r="E278" s="3"/>
      <c r="F278" s="3"/>
      <c r="G278" s="3"/>
      <c r="H278" s="10"/>
      <c r="I278" s="10"/>
      <c r="J278" s="3"/>
      <c r="K278" s="3"/>
      <c r="L278" s="3"/>
      <c r="M278" s="3"/>
      <c r="N278" s="3"/>
    </row>
    <row r="279" spans="5:14" ht="14.25">
      <c r="E279" s="3"/>
      <c r="F279" s="3"/>
      <c r="G279" s="3"/>
      <c r="H279" s="10"/>
      <c r="I279" s="10"/>
      <c r="J279" s="3"/>
      <c r="K279" s="3"/>
      <c r="L279" s="3"/>
      <c r="M279" s="3"/>
      <c r="N279" s="3"/>
    </row>
    <row r="280" spans="5:14" ht="14.25">
      <c r="E280" s="3"/>
      <c r="F280" s="3"/>
      <c r="G280" s="3"/>
      <c r="H280" s="10"/>
      <c r="I280" s="10"/>
      <c r="J280" s="3"/>
      <c r="K280" s="3"/>
      <c r="L280" s="3"/>
      <c r="M280" s="3"/>
      <c r="N280" s="3"/>
    </row>
    <row r="281" spans="5:14" ht="14.25">
      <c r="E281" s="3"/>
      <c r="F281" s="3"/>
      <c r="G281" s="3"/>
      <c r="H281" s="10"/>
      <c r="I281" s="10"/>
      <c r="J281" s="3"/>
      <c r="K281" s="3"/>
      <c r="L281" s="3"/>
      <c r="M281" s="3"/>
      <c r="N281" s="3"/>
    </row>
    <row r="282" spans="5:14" ht="14.25">
      <c r="E282" s="3"/>
      <c r="F282" s="3"/>
      <c r="G282" s="3"/>
      <c r="H282" s="10"/>
      <c r="I282" s="10"/>
      <c r="J282" s="3"/>
      <c r="K282" s="3"/>
      <c r="L282" s="3"/>
      <c r="M282" s="3"/>
      <c r="N282" s="3"/>
    </row>
    <row r="283" spans="5:14" ht="14.25">
      <c r="E283" s="3"/>
      <c r="F283" s="3"/>
      <c r="G283" s="3"/>
      <c r="H283" s="10"/>
      <c r="I283" s="10"/>
      <c r="J283" s="3"/>
      <c r="K283" s="3"/>
      <c r="L283" s="3"/>
      <c r="M283" s="3"/>
      <c r="N283" s="3"/>
    </row>
    <row r="284" spans="5:14" ht="14.25">
      <c r="E284" s="3"/>
      <c r="F284" s="3"/>
      <c r="G284" s="3"/>
      <c r="H284" s="10"/>
      <c r="I284" s="10"/>
      <c r="J284" s="3"/>
      <c r="K284" s="3"/>
      <c r="L284" s="3"/>
      <c r="M284" s="3"/>
      <c r="N284" s="3"/>
    </row>
    <row r="285" spans="5:14" ht="14.25">
      <c r="E285" s="3"/>
      <c r="F285" s="3"/>
      <c r="G285" s="3"/>
      <c r="H285" s="10"/>
      <c r="I285" s="10"/>
      <c r="J285" s="3"/>
      <c r="K285" s="3"/>
      <c r="L285" s="3"/>
      <c r="M285" s="3"/>
      <c r="N285" s="3"/>
    </row>
    <row r="286" spans="5:14" ht="14.25">
      <c r="E286" s="3"/>
      <c r="F286" s="3"/>
      <c r="G286" s="3"/>
      <c r="H286" s="10"/>
      <c r="I286" s="10"/>
      <c r="J286" s="3"/>
      <c r="K286" s="3"/>
      <c r="L286" s="3"/>
      <c r="M286" s="3"/>
      <c r="N286" s="3"/>
    </row>
    <row r="287" spans="5:14" ht="14.25">
      <c r="E287" s="3"/>
      <c r="F287" s="3"/>
      <c r="G287" s="3"/>
      <c r="H287" s="10"/>
      <c r="I287" s="10"/>
      <c r="J287" s="3"/>
      <c r="K287" s="3"/>
      <c r="L287" s="3"/>
      <c r="M287" s="3"/>
      <c r="N287" s="3"/>
    </row>
    <row r="288" spans="5:14" ht="14.25">
      <c r="E288" s="3"/>
      <c r="F288" s="3"/>
      <c r="G288" s="3"/>
      <c r="H288" s="10"/>
      <c r="I288" s="10"/>
      <c r="J288" s="3"/>
      <c r="K288" s="3"/>
      <c r="L288" s="3"/>
      <c r="M288" s="3"/>
      <c r="N288" s="3"/>
    </row>
    <row r="289" spans="5:14" ht="14.25">
      <c r="E289" s="3"/>
      <c r="F289" s="3"/>
      <c r="G289" s="3"/>
      <c r="H289" s="10"/>
      <c r="I289" s="10"/>
      <c r="J289" s="3"/>
      <c r="K289" s="3"/>
      <c r="L289" s="3"/>
      <c r="M289" s="3"/>
      <c r="N289" s="3"/>
    </row>
    <row r="290" spans="5:14" ht="14.25">
      <c r="E290" s="3"/>
      <c r="F290" s="3"/>
      <c r="G290" s="3"/>
      <c r="H290" s="10"/>
      <c r="I290" s="10"/>
      <c r="J290" s="3"/>
      <c r="K290" s="3"/>
      <c r="L290" s="3"/>
      <c r="M290" s="3"/>
      <c r="N290" s="3"/>
    </row>
    <row r="291" spans="5:14" ht="14.25">
      <c r="E291" s="3"/>
      <c r="F291" s="3"/>
      <c r="G291" s="3"/>
      <c r="H291" s="10"/>
      <c r="I291" s="10"/>
      <c r="J291" s="3"/>
      <c r="K291" s="3"/>
      <c r="L291" s="3"/>
      <c r="M291" s="3"/>
      <c r="N291" s="3"/>
    </row>
    <row r="292" spans="5:14" ht="14.25">
      <c r="E292" s="3"/>
      <c r="F292" s="3"/>
      <c r="G292" s="3"/>
      <c r="H292" s="10"/>
      <c r="I292" s="10"/>
      <c r="J292" s="3"/>
      <c r="K292" s="3"/>
      <c r="L292" s="3"/>
      <c r="M292" s="3"/>
      <c r="N292" s="3"/>
    </row>
    <row r="293" spans="5:14" ht="14.25">
      <c r="E293" s="3"/>
      <c r="F293" s="3"/>
      <c r="G293" s="3"/>
      <c r="H293" s="10"/>
      <c r="I293" s="10"/>
      <c r="J293" s="3"/>
      <c r="K293" s="3"/>
      <c r="L293" s="3"/>
      <c r="M293" s="3"/>
      <c r="N293" s="3"/>
    </row>
    <row r="294" spans="5:14" ht="14.25">
      <c r="E294" s="3"/>
      <c r="F294" s="3"/>
      <c r="G294" s="3"/>
      <c r="H294" s="10"/>
      <c r="I294" s="10"/>
      <c r="J294" s="3"/>
      <c r="K294" s="3"/>
      <c r="L294" s="3"/>
      <c r="M294" s="3"/>
      <c r="N294" s="3"/>
    </row>
    <row r="295" spans="5:14" ht="14.25">
      <c r="E295" s="3"/>
      <c r="F295" s="3"/>
      <c r="G295" s="3"/>
      <c r="H295" s="10"/>
      <c r="I295" s="10"/>
      <c r="J295" s="3"/>
      <c r="K295" s="3"/>
      <c r="L295" s="3"/>
      <c r="M295" s="3"/>
      <c r="N295" s="3"/>
    </row>
    <row r="296" spans="5:14" ht="14.25">
      <c r="E296" s="3"/>
      <c r="F296" s="3"/>
      <c r="G296" s="3"/>
      <c r="H296" s="10"/>
      <c r="I296" s="10"/>
      <c r="J296" s="3"/>
      <c r="K296" s="3"/>
      <c r="L296" s="3"/>
      <c r="M296" s="3"/>
      <c r="N296" s="3"/>
    </row>
    <row r="297" spans="5:14" ht="14.25">
      <c r="E297" s="3"/>
      <c r="F297" s="3"/>
      <c r="G297" s="3"/>
      <c r="H297" s="10"/>
      <c r="I297" s="10"/>
      <c r="J297" s="3"/>
      <c r="K297" s="3"/>
      <c r="L297" s="3"/>
      <c r="M297" s="3"/>
      <c r="N297" s="3"/>
    </row>
    <row r="298" spans="5:14" ht="14.25">
      <c r="E298" s="3"/>
      <c r="F298" s="3"/>
      <c r="G298" s="3"/>
      <c r="H298" s="10"/>
      <c r="I298" s="10"/>
      <c r="J298" s="3"/>
      <c r="K298" s="3"/>
      <c r="L298" s="3"/>
      <c r="M298" s="3"/>
      <c r="N298" s="3"/>
    </row>
    <row r="299" spans="5:14" ht="14.25">
      <c r="E299" s="3"/>
      <c r="F299" s="3"/>
      <c r="G299" s="3"/>
      <c r="H299" s="10"/>
      <c r="I299" s="10"/>
      <c r="J299" s="3"/>
      <c r="K299" s="3"/>
      <c r="L299" s="3"/>
      <c r="M299" s="3"/>
      <c r="N299" s="3"/>
    </row>
    <row r="300" spans="5:14" ht="14.25">
      <c r="E300" s="3"/>
      <c r="F300" s="3"/>
      <c r="G300" s="3"/>
      <c r="H300" s="10"/>
      <c r="I300" s="10"/>
      <c r="J300" s="3"/>
      <c r="K300" s="3"/>
      <c r="L300" s="3"/>
      <c r="M300" s="3"/>
      <c r="N300" s="3"/>
    </row>
    <row r="301" spans="5:14" ht="14.25">
      <c r="E301" s="3"/>
      <c r="F301" s="3"/>
      <c r="G301" s="3"/>
      <c r="H301" s="10"/>
      <c r="I301" s="10"/>
      <c r="J301" s="3"/>
      <c r="K301" s="3"/>
      <c r="L301" s="3"/>
      <c r="M301" s="3"/>
      <c r="N301" s="3"/>
    </row>
    <row r="302" spans="5:14" ht="14.25">
      <c r="E302" s="3"/>
      <c r="F302" s="3"/>
      <c r="G302" s="3"/>
      <c r="H302" s="10"/>
      <c r="I302" s="10"/>
      <c r="J302" s="3"/>
      <c r="K302" s="3"/>
      <c r="L302" s="3"/>
      <c r="M302" s="3"/>
      <c r="N302" s="3"/>
    </row>
    <row r="303" spans="5:14" ht="14.25">
      <c r="E303" s="3"/>
      <c r="F303" s="3"/>
      <c r="G303" s="3"/>
      <c r="H303" s="10"/>
      <c r="I303" s="10"/>
      <c r="J303" s="3"/>
      <c r="K303" s="3"/>
      <c r="L303" s="3"/>
      <c r="M303" s="3"/>
      <c r="N303" s="3"/>
    </row>
    <row r="304" spans="5:14" ht="14.25">
      <c r="E304" s="3"/>
      <c r="F304" s="3"/>
      <c r="G304" s="3"/>
      <c r="H304" s="10"/>
      <c r="I304" s="10"/>
      <c r="J304" s="3"/>
      <c r="K304" s="3"/>
      <c r="L304" s="3"/>
      <c r="M304" s="3"/>
      <c r="N304" s="3"/>
    </row>
    <row r="305" spans="5:14" ht="14.25">
      <c r="E305" s="3"/>
      <c r="F305" s="3"/>
      <c r="G305" s="3"/>
      <c r="H305" s="10"/>
      <c r="I305" s="10"/>
      <c r="J305" s="3"/>
      <c r="K305" s="3"/>
      <c r="L305" s="3"/>
      <c r="M305" s="3"/>
      <c r="N305" s="3"/>
    </row>
    <row r="306" spans="5:14" ht="14.25">
      <c r="E306" s="3"/>
      <c r="F306" s="3"/>
      <c r="G306" s="3"/>
      <c r="H306" s="10"/>
      <c r="I306" s="10"/>
      <c r="J306" s="3"/>
      <c r="K306" s="3"/>
      <c r="L306" s="3"/>
      <c r="M306" s="3"/>
      <c r="N306" s="3"/>
    </row>
    <row r="307" spans="5:14" ht="14.25">
      <c r="E307" s="3"/>
      <c r="F307" s="3"/>
      <c r="G307" s="3"/>
      <c r="H307" s="10"/>
      <c r="I307" s="10"/>
      <c r="J307" s="3"/>
      <c r="K307" s="3"/>
      <c r="L307" s="3"/>
      <c r="M307" s="3"/>
      <c r="N307" s="3"/>
    </row>
    <row r="308" spans="5:14" ht="14.25">
      <c r="E308" s="3"/>
      <c r="F308" s="3"/>
      <c r="G308" s="3"/>
      <c r="H308" s="10"/>
      <c r="I308" s="10"/>
      <c r="J308" s="3"/>
      <c r="K308" s="3"/>
      <c r="L308" s="3"/>
      <c r="M308" s="3"/>
      <c r="N308" s="3"/>
    </row>
    <row r="309" spans="5:14" ht="14.25">
      <c r="E309" s="3"/>
      <c r="F309" s="3"/>
      <c r="G309" s="3"/>
      <c r="H309" s="10"/>
      <c r="I309" s="10"/>
      <c r="J309" s="3"/>
      <c r="K309" s="3"/>
      <c r="L309" s="3"/>
      <c r="M309" s="3"/>
      <c r="N309" s="3"/>
    </row>
    <row r="310" spans="5:14" ht="14.25">
      <c r="E310" s="3"/>
      <c r="F310" s="3"/>
      <c r="G310" s="3"/>
      <c r="H310" s="10"/>
      <c r="I310" s="10"/>
      <c r="J310" s="3"/>
      <c r="K310" s="3"/>
      <c r="L310" s="3"/>
      <c r="M310" s="3"/>
      <c r="N310" s="3"/>
    </row>
    <row r="311" spans="5:14" ht="14.25">
      <c r="E311" s="3"/>
      <c r="F311" s="3"/>
      <c r="G311" s="3"/>
      <c r="H311" s="10"/>
      <c r="I311" s="10"/>
      <c r="J311" s="3"/>
      <c r="K311" s="3"/>
      <c r="L311" s="3"/>
      <c r="M311" s="3"/>
      <c r="N311" s="3"/>
    </row>
    <row r="312" spans="5:14" ht="14.25">
      <c r="E312" s="3"/>
      <c r="F312" s="3"/>
      <c r="G312" s="3"/>
      <c r="H312" s="10"/>
      <c r="I312" s="10"/>
      <c r="J312" s="3"/>
      <c r="K312" s="3"/>
      <c r="L312" s="3"/>
      <c r="M312" s="3"/>
      <c r="N312" s="3"/>
    </row>
    <row r="313" spans="5:14" ht="14.25">
      <c r="E313" s="3"/>
      <c r="F313" s="3"/>
      <c r="G313" s="3"/>
      <c r="H313" s="10"/>
      <c r="I313" s="10"/>
      <c r="J313" s="3"/>
      <c r="K313" s="3"/>
      <c r="L313" s="3"/>
      <c r="M313" s="3"/>
      <c r="N313" s="3"/>
    </row>
    <row r="314" spans="5:14" ht="14.25">
      <c r="E314" s="3"/>
      <c r="F314" s="3"/>
      <c r="G314" s="3"/>
      <c r="H314" s="10"/>
      <c r="I314" s="10"/>
      <c r="J314" s="3"/>
      <c r="K314" s="3"/>
      <c r="L314" s="3"/>
      <c r="M314" s="3"/>
      <c r="N314" s="3"/>
    </row>
    <row r="315" spans="5:14" ht="14.25">
      <c r="E315" s="3"/>
      <c r="F315" s="3"/>
      <c r="G315" s="3"/>
      <c r="H315" s="10"/>
      <c r="I315" s="10"/>
      <c r="J315" s="3"/>
      <c r="K315" s="3"/>
      <c r="L315" s="3"/>
      <c r="M315" s="3"/>
      <c r="N315" s="3"/>
    </row>
    <row r="316" spans="5:14" ht="14.25">
      <c r="E316" s="3"/>
      <c r="F316" s="3"/>
      <c r="G316" s="3"/>
      <c r="H316" s="10"/>
      <c r="I316" s="10"/>
      <c r="J316" s="3"/>
      <c r="K316" s="3"/>
      <c r="L316" s="3"/>
      <c r="M316" s="3"/>
      <c r="N316" s="3"/>
    </row>
    <row r="317" spans="5:14" ht="14.25">
      <c r="E317" s="3"/>
      <c r="F317" s="3"/>
      <c r="G317" s="3"/>
      <c r="H317" s="10"/>
      <c r="I317" s="10"/>
      <c r="J317" s="3"/>
      <c r="K317" s="3"/>
      <c r="L317" s="3"/>
      <c r="M317" s="3"/>
      <c r="N317" s="3"/>
    </row>
    <row r="318" spans="5:14" ht="14.25">
      <c r="E318" s="3"/>
      <c r="F318" s="3"/>
      <c r="G318" s="3"/>
      <c r="H318" s="10"/>
      <c r="I318" s="10"/>
      <c r="J318" s="3"/>
      <c r="K318" s="3"/>
      <c r="L318" s="3"/>
      <c r="M318" s="3"/>
      <c r="N318" s="3"/>
    </row>
    <row r="319" spans="5:14" ht="14.25">
      <c r="E319" s="3"/>
      <c r="F319" s="3"/>
      <c r="G319" s="3"/>
      <c r="H319" s="10"/>
      <c r="I319" s="10"/>
      <c r="J319" s="3"/>
      <c r="K319" s="3"/>
      <c r="L319" s="3"/>
      <c r="M319" s="3"/>
      <c r="N319" s="3"/>
    </row>
    <row r="320" spans="5:14" ht="14.25">
      <c r="E320" s="3"/>
      <c r="F320" s="3"/>
      <c r="G320" s="3"/>
      <c r="H320" s="10"/>
      <c r="I320" s="10"/>
      <c r="J320" s="3"/>
      <c r="K320" s="3"/>
      <c r="L320" s="3"/>
      <c r="M320" s="3"/>
      <c r="N320" s="3"/>
    </row>
    <row r="321" spans="5:14" ht="14.25">
      <c r="E321" s="3"/>
      <c r="F321" s="3"/>
      <c r="G321" s="3"/>
      <c r="H321" s="10"/>
      <c r="I321" s="10"/>
      <c r="J321" s="3"/>
      <c r="K321" s="3"/>
      <c r="L321" s="3"/>
      <c r="M321" s="3"/>
      <c r="N321" s="3"/>
    </row>
    <row r="322" spans="5:14" ht="14.25">
      <c r="E322" s="3"/>
      <c r="F322" s="3"/>
      <c r="G322" s="3"/>
      <c r="H322" s="10"/>
      <c r="I322" s="10"/>
      <c r="J322" s="3"/>
      <c r="K322" s="3"/>
      <c r="L322" s="3"/>
      <c r="M322" s="3"/>
      <c r="N322" s="3"/>
    </row>
    <row r="323" spans="5:14" ht="14.25">
      <c r="E323" s="3"/>
      <c r="F323" s="3"/>
      <c r="G323" s="3"/>
      <c r="H323" s="10"/>
      <c r="I323" s="10"/>
      <c r="J323" s="3"/>
      <c r="K323" s="3"/>
      <c r="L323" s="3"/>
      <c r="M323" s="3"/>
      <c r="N323" s="3"/>
    </row>
    <row r="324" spans="5:14" ht="14.25">
      <c r="E324" s="3"/>
      <c r="F324" s="3"/>
      <c r="G324" s="3"/>
      <c r="H324" s="10"/>
      <c r="I324" s="10"/>
      <c r="J324" s="3"/>
      <c r="K324" s="3"/>
      <c r="L324" s="3"/>
      <c r="M324" s="3"/>
      <c r="N324" s="3"/>
    </row>
    <row r="325" spans="5:14" ht="14.25">
      <c r="E325" s="3"/>
      <c r="F325" s="3"/>
      <c r="G325" s="3"/>
      <c r="H325" s="10"/>
      <c r="I325" s="10"/>
      <c r="J325" s="3"/>
      <c r="K325" s="3"/>
      <c r="L325" s="3"/>
      <c r="M325" s="3"/>
      <c r="N325" s="3"/>
    </row>
    <row r="326" spans="5:14" ht="14.25">
      <c r="E326" s="3"/>
      <c r="F326" s="3"/>
      <c r="G326" s="3"/>
      <c r="H326" s="10"/>
      <c r="I326" s="10"/>
      <c r="J326" s="3"/>
      <c r="K326" s="3"/>
      <c r="L326" s="3"/>
      <c r="M326" s="3"/>
      <c r="N326" s="3"/>
    </row>
    <row r="327" spans="5:14" ht="14.25">
      <c r="E327" s="3"/>
      <c r="F327" s="3"/>
      <c r="G327" s="3"/>
      <c r="H327" s="10"/>
      <c r="I327" s="10"/>
      <c r="J327" s="3"/>
      <c r="K327" s="3"/>
      <c r="L327" s="3"/>
      <c r="M327" s="3"/>
      <c r="N327" s="3"/>
    </row>
    <row r="328" spans="5:14" ht="14.25">
      <c r="E328" s="3"/>
      <c r="F328" s="3"/>
      <c r="G328" s="3"/>
      <c r="H328" s="10"/>
      <c r="I328" s="10"/>
      <c r="J328" s="3"/>
      <c r="K328" s="3"/>
      <c r="L328" s="3"/>
      <c r="M328" s="3"/>
      <c r="N328" s="3"/>
    </row>
    <row r="329" spans="5:14" ht="14.25">
      <c r="E329" s="3"/>
      <c r="F329" s="3"/>
      <c r="G329" s="3"/>
      <c r="H329" s="10"/>
      <c r="I329" s="10"/>
      <c r="J329" s="3"/>
      <c r="K329" s="3"/>
      <c r="L329" s="3"/>
      <c r="M329" s="3"/>
      <c r="N329" s="3"/>
    </row>
    <row r="330" spans="5:14" ht="14.25">
      <c r="E330" s="3"/>
      <c r="F330" s="3"/>
      <c r="G330" s="3"/>
      <c r="H330" s="10"/>
      <c r="I330" s="10"/>
      <c r="J330" s="3"/>
      <c r="K330" s="3"/>
      <c r="L330" s="3"/>
      <c r="M330" s="3"/>
      <c r="N330" s="3"/>
    </row>
    <row r="331" spans="5:14" ht="14.25">
      <c r="E331" s="3"/>
      <c r="F331" s="3"/>
      <c r="G331" s="3"/>
      <c r="H331" s="10"/>
      <c r="I331" s="10"/>
      <c r="J331" s="3"/>
      <c r="K331" s="3"/>
      <c r="L331" s="3"/>
      <c r="M331" s="3"/>
      <c r="N331" s="3"/>
    </row>
    <row r="332" spans="5:14" ht="14.25">
      <c r="E332" s="3"/>
      <c r="F332" s="3"/>
      <c r="G332" s="3"/>
      <c r="H332" s="10"/>
      <c r="I332" s="10"/>
      <c r="J332" s="3"/>
      <c r="K332" s="3"/>
      <c r="L332" s="3"/>
      <c r="M332" s="3"/>
      <c r="N332" s="3"/>
    </row>
    <row r="333" spans="5:14" ht="14.25">
      <c r="E333" s="3"/>
      <c r="F333" s="3"/>
      <c r="G333" s="3"/>
      <c r="H333" s="10"/>
      <c r="I333" s="10"/>
      <c r="J333" s="3"/>
      <c r="K333" s="3"/>
      <c r="L333" s="3"/>
      <c r="M333" s="3"/>
      <c r="N333" s="3"/>
    </row>
    <row r="334" spans="5:14" ht="14.25">
      <c r="E334" s="3"/>
      <c r="F334" s="3"/>
      <c r="G334" s="3"/>
      <c r="H334" s="10"/>
      <c r="I334" s="10"/>
      <c r="J334" s="3"/>
      <c r="K334" s="3"/>
      <c r="L334" s="3"/>
      <c r="M334" s="3"/>
      <c r="N334" s="3"/>
    </row>
    <row r="335" spans="5:14" ht="14.25">
      <c r="E335" s="3"/>
      <c r="F335" s="3"/>
      <c r="G335" s="3"/>
      <c r="H335" s="10"/>
      <c r="I335" s="10"/>
      <c r="J335" s="3"/>
      <c r="K335" s="3"/>
      <c r="L335" s="3"/>
      <c r="M335" s="3"/>
      <c r="N335" s="3"/>
    </row>
    <row r="336" spans="5:14" ht="14.25">
      <c r="E336" s="3"/>
      <c r="F336" s="3"/>
      <c r="G336" s="3"/>
      <c r="H336" s="10"/>
      <c r="I336" s="10"/>
      <c r="J336" s="3"/>
      <c r="K336" s="3"/>
      <c r="L336" s="3"/>
      <c r="M336" s="3"/>
      <c r="N336" s="3"/>
    </row>
    <row r="337" spans="5:14" ht="14.25">
      <c r="E337" s="3"/>
      <c r="F337" s="3"/>
      <c r="G337" s="3"/>
      <c r="H337" s="10"/>
      <c r="I337" s="10"/>
      <c r="J337" s="3"/>
      <c r="K337" s="3"/>
      <c r="L337" s="3"/>
      <c r="M337" s="3"/>
      <c r="N337" s="3"/>
    </row>
    <row r="338" spans="5:14" ht="14.25">
      <c r="E338" s="3"/>
      <c r="F338" s="3"/>
      <c r="G338" s="3"/>
      <c r="H338" s="10"/>
      <c r="I338" s="10"/>
      <c r="J338" s="3"/>
      <c r="K338" s="3"/>
      <c r="L338" s="3"/>
      <c r="M338" s="3"/>
      <c r="N338" s="3"/>
    </row>
    <row r="339" spans="5:14" ht="14.25">
      <c r="E339" s="3"/>
      <c r="F339" s="3"/>
      <c r="G339" s="3"/>
      <c r="H339" s="10"/>
      <c r="I339" s="10"/>
      <c r="J339" s="3"/>
      <c r="K339" s="3"/>
      <c r="L339" s="3"/>
      <c r="M339" s="3"/>
      <c r="N339" s="3"/>
    </row>
    <row r="340" spans="5:14" ht="14.25">
      <c r="E340" s="3"/>
      <c r="F340" s="3"/>
      <c r="G340" s="3"/>
      <c r="H340" s="10"/>
      <c r="I340" s="10"/>
      <c r="J340" s="3"/>
      <c r="K340" s="3"/>
      <c r="L340" s="3"/>
      <c r="M340" s="3"/>
      <c r="N340" s="3"/>
    </row>
    <row r="341" spans="5:14" ht="14.25">
      <c r="E341" s="3"/>
      <c r="F341" s="3"/>
      <c r="G341" s="3"/>
      <c r="H341" s="10"/>
      <c r="I341" s="10"/>
      <c r="J341" s="3"/>
      <c r="K341" s="3"/>
      <c r="L341" s="3"/>
      <c r="M341" s="3"/>
      <c r="N341" s="3"/>
    </row>
    <row r="342" spans="5:14" ht="14.25">
      <c r="E342" s="3"/>
      <c r="F342" s="3"/>
      <c r="G342" s="3"/>
      <c r="H342" s="10"/>
      <c r="I342" s="10"/>
      <c r="J342" s="3"/>
      <c r="K342" s="3"/>
      <c r="L342" s="3"/>
      <c r="M342" s="3"/>
      <c r="N342" s="3"/>
    </row>
    <row r="343" spans="5:14" ht="14.25">
      <c r="E343" s="3"/>
      <c r="F343" s="3"/>
      <c r="G343" s="3"/>
      <c r="H343" s="10"/>
      <c r="I343" s="10"/>
      <c r="J343" s="3"/>
      <c r="K343" s="3"/>
      <c r="L343" s="3"/>
      <c r="M343" s="3"/>
      <c r="N343" s="3"/>
    </row>
    <row r="344" spans="5:14" ht="14.25">
      <c r="E344" s="3"/>
      <c r="F344" s="3"/>
      <c r="G344" s="3"/>
      <c r="H344" s="10"/>
      <c r="I344" s="10"/>
      <c r="J344" s="3"/>
      <c r="K344" s="3"/>
      <c r="L344" s="3"/>
      <c r="M344" s="3"/>
      <c r="N344" s="3"/>
    </row>
    <row r="345" spans="5:14" ht="14.25">
      <c r="E345" s="3"/>
      <c r="F345" s="3"/>
      <c r="G345" s="3"/>
      <c r="H345" s="10"/>
      <c r="I345" s="10"/>
      <c r="J345" s="3"/>
      <c r="K345" s="3"/>
      <c r="L345" s="3"/>
      <c r="M345" s="3"/>
      <c r="N345" s="3"/>
    </row>
    <row r="346" spans="5:14" ht="14.25">
      <c r="E346" s="3"/>
      <c r="F346" s="3"/>
      <c r="G346" s="3"/>
      <c r="H346" s="10"/>
      <c r="I346" s="10"/>
      <c r="J346" s="3"/>
      <c r="K346" s="3"/>
      <c r="L346" s="3"/>
      <c r="M346" s="3"/>
      <c r="N346" s="3"/>
    </row>
    <row r="347" spans="5:14" ht="14.25">
      <c r="E347" s="3"/>
      <c r="F347" s="3"/>
      <c r="G347" s="3"/>
      <c r="H347" s="10"/>
      <c r="I347" s="10"/>
      <c r="J347" s="3"/>
      <c r="K347" s="3"/>
      <c r="L347" s="3"/>
      <c r="M347" s="3"/>
      <c r="N347" s="3"/>
    </row>
    <row r="348" spans="5:14" ht="14.25">
      <c r="E348" s="3"/>
      <c r="F348" s="3"/>
      <c r="G348" s="3"/>
      <c r="H348" s="10"/>
      <c r="I348" s="10"/>
      <c r="J348" s="3"/>
      <c r="K348" s="3"/>
      <c r="L348" s="3"/>
      <c r="M348" s="3"/>
      <c r="N348" s="3"/>
    </row>
    <row r="349" spans="5:14" ht="14.25">
      <c r="E349" s="3"/>
      <c r="F349" s="3"/>
      <c r="G349" s="3"/>
      <c r="H349" s="10"/>
      <c r="I349" s="10"/>
      <c r="J349" s="3"/>
      <c r="K349" s="3"/>
      <c r="L349" s="3"/>
      <c r="M349" s="3"/>
      <c r="N349" s="3"/>
    </row>
    <row r="350" spans="5:14" ht="14.25">
      <c r="E350" s="3"/>
      <c r="F350" s="3"/>
      <c r="G350" s="3"/>
      <c r="H350" s="10"/>
      <c r="I350" s="10"/>
      <c r="J350" s="3"/>
      <c r="K350" s="3"/>
      <c r="L350" s="3"/>
      <c r="M350" s="3"/>
      <c r="N350" s="3"/>
    </row>
    <row r="351" spans="5:14" ht="14.25">
      <c r="E351" s="3"/>
      <c r="F351" s="3"/>
      <c r="G351" s="3"/>
      <c r="H351" s="10"/>
      <c r="I351" s="10"/>
      <c r="J351" s="3"/>
      <c r="K351" s="3"/>
      <c r="L351" s="3"/>
      <c r="M351" s="3"/>
      <c r="N351" s="3"/>
    </row>
    <row r="352" spans="5:14" ht="14.25">
      <c r="E352" s="3"/>
      <c r="F352" s="3"/>
      <c r="G352" s="3"/>
      <c r="H352" s="10"/>
      <c r="I352" s="10"/>
      <c r="J352" s="3"/>
      <c r="K352" s="3"/>
      <c r="L352" s="3"/>
      <c r="M352" s="3"/>
      <c r="N352" s="3"/>
    </row>
    <row r="353" spans="5:14" ht="14.25">
      <c r="E353" s="3"/>
      <c r="F353" s="3"/>
      <c r="G353" s="3"/>
      <c r="H353" s="10"/>
      <c r="I353" s="10"/>
      <c r="J353" s="3"/>
      <c r="K353" s="3"/>
      <c r="L353" s="3"/>
      <c r="M353" s="3"/>
      <c r="N353" s="3"/>
    </row>
    <row r="354" spans="5:14" ht="14.25">
      <c r="E354" s="3"/>
      <c r="F354" s="3"/>
      <c r="G354" s="3"/>
      <c r="H354" s="10"/>
      <c r="I354" s="10"/>
      <c r="J354" s="3"/>
      <c r="K354" s="3"/>
      <c r="L354" s="3"/>
      <c r="M354" s="3"/>
      <c r="N354" s="3"/>
    </row>
    <row r="355" spans="5:14" ht="14.25">
      <c r="E355" s="3"/>
      <c r="F355" s="3"/>
      <c r="G355" s="3"/>
      <c r="H355" s="10"/>
      <c r="I355" s="10"/>
      <c r="J355" s="3"/>
      <c r="K355" s="3"/>
      <c r="L355" s="3"/>
      <c r="M355" s="3"/>
      <c r="N355" s="3"/>
    </row>
    <row r="356" spans="5:14" ht="14.25">
      <c r="E356" s="3"/>
      <c r="F356" s="3"/>
      <c r="G356" s="3"/>
      <c r="H356" s="10"/>
      <c r="I356" s="10"/>
      <c r="J356" s="3"/>
      <c r="K356" s="3"/>
      <c r="L356" s="3"/>
      <c r="M356" s="3"/>
      <c r="N356" s="3"/>
    </row>
    <row r="357" spans="5:14" ht="14.25">
      <c r="E357" s="3"/>
      <c r="F357" s="3"/>
      <c r="G357" s="3"/>
      <c r="H357" s="10"/>
      <c r="I357" s="10"/>
      <c r="J357" s="3"/>
      <c r="K357" s="3"/>
      <c r="L357" s="3"/>
      <c r="M357" s="3"/>
      <c r="N357" s="3"/>
    </row>
    <row r="358" spans="5:14" ht="14.25">
      <c r="E358" s="3"/>
      <c r="F358" s="3"/>
      <c r="G358" s="3"/>
      <c r="H358" s="10"/>
      <c r="I358" s="10"/>
      <c r="J358" s="3"/>
      <c r="K358" s="3"/>
      <c r="L358" s="3"/>
      <c r="M358" s="3"/>
      <c r="N358" s="3"/>
    </row>
    <row r="359" spans="5:14" ht="14.25">
      <c r="E359" s="3"/>
      <c r="F359" s="3"/>
      <c r="G359" s="3"/>
      <c r="H359" s="10"/>
      <c r="I359" s="10"/>
      <c r="J359" s="3"/>
      <c r="K359" s="3"/>
      <c r="L359" s="3"/>
      <c r="M359" s="3"/>
      <c r="N359" s="3"/>
    </row>
    <row r="360" spans="5:14" ht="14.25">
      <c r="E360" s="3"/>
      <c r="F360" s="3"/>
      <c r="G360" s="3"/>
      <c r="H360" s="10"/>
      <c r="I360" s="10"/>
      <c r="J360" s="3"/>
      <c r="K360" s="3"/>
      <c r="L360" s="3"/>
      <c r="M360" s="3"/>
      <c r="N360" s="3"/>
    </row>
    <row r="361" spans="5:14" ht="14.25">
      <c r="E361" s="3"/>
      <c r="F361" s="3"/>
      <c r="G361" s="3"/>
      <c r="H361" s="10"/>
      <c r="I361" s="10"/>
      <c r="J361" s="3"/>
      <c r="K361" s="3"/>
      <c r="L361" s="3"/>
      <c r="M361" s="3"/>
      <c r="N361" s="3"/>
    </row>
    <row r="362" spans="5:14" ht="14.25">
      <c r="E362" s="3"/>
      <c r="F362" s="3"/>
      <c r="G362" s="3"/>
      <c r="H362" s="10"/>
      <c r="I362" s="10"/>
      <c r="J362" s="3"/>
      <c r="K362" s="3"/>
      <c r="L362" s="3"/>
      <c r="M362" s="3"/>
      <c r="N362" s="3"/>
    </row>
    <row r="363" spans="5:14" ht="14.25">
      <c r="E363" s="3"/>
      <c r="F363" s="3"/>
      <c r="G363" s="3"/>
      <c r="H363" s="10"/>
      <c r="I363" s="10"/>
      <c r="J363" s="3"/>
      <c r="K363" s="3"/>
      <c r="L363" s="3"/>
      <c r="M363" s="3"/>
      <c r="N363" s="3"/>
    </row>
    <row r="364" spans="5:14" ht="14.25">
      <c r="E364" s="3"/>
      <c r="F364" s="3"/>
      <c r="G364" s="3"/>
      <c r="H364" s="10"/>
      <c r="I364" s="10"/>
      <c r="J364" s="3"/>
      <c r="K364" s="3"/>
      <c r="L364" s="3"/>
      <c r="M364" s="3"/>
      <c r="N364" s="3"/>
    </row>
    <row r="365" spans="5:14" ht="14.25">
      <c r="E365" s="3"/>
      <c r="F365" s="3"/>
      <c r="G365" s="3"/>
      <c r="H365" s="10"/>
      <c r="I365" s="10"/>
      <c r="J365" s="3"/>
      <c r="K365" s="3"/>
      <c r="L365" s="3"/>
      <c r="M365" s="3"/>
      <c r="N365" s="3"/>
    </row>
    <row r="366" spans="5:14" ht="14.25">
      <c r="E366" s="3"/>
      <c r="F366" s="3"/>
      <c r="G366" s="3"/>
      <c r="H366" s="10"/>
      <c r="I366" s="10"/>
      <c r="J366" s="3"/>
      <c r="K366" s="3"/>
      <c r="L366" s="3"/>
      <c r="M366" s="3"/>
      <c r="N366" s="3"/>
    </row>
    <row r="367" spans="5:14" ht="14.25">
      <c r="E367" s="3"/>
      <c r="F367" s="3"/>
      <c r="G367" s="3"/>
      <c r="H367" s="10"/>
      <c r="I367" s="10"/>
      <c r="J367" s="3"/>
      <c r="K367" s="3"/>
      <c r="L367" s="3"/>
      <c r="M367" s="3"/>
      <c r="N367" s="3"/>
    </row>
    <row r="368" spans="5:14" ht="14.25">
      <c r="E368" s="3"/>
      <c r="F368" s="3"/>
      <c r="G368" s="3"/>
      <c r="H368" s="10"/>
      <c r="I368" s="10"/>
      <c r="J368" s="3"/>
      <c r="K368" s="3"/>
      <c r="L368" s="3"/>
      <c r="M368" s="3"/>
      <c r="N368" s="3"/>
    </row>
    <row r="369" spans="5:14" ht="14.25">
      <c r="E369" s="3"/>
      <c r="F369" s="3"/>
      <c r="G369" s="3"/>
      <c r="H369" s="10"/>
      <c r="I369" s="10"/>
      <c r="J369" s="3"/>
      <c r="K369" s="3"/>
      <c r="L369" s="3"/>
      <c r="M369" s="3"/>
      <c r="N369" s="3"/>
    </row>
    <row r="370" spans="5:14" ht="14.25">
      <c r="E370" s="3"/>
      <c r="F370" s="3"/>
      <c r="G370" s="3"/>
      <c r="H370" s="10"/>
      <c r="I370" s="10"/>
      <c r="J370" s="3"/>
      <c r="K370" s="3"/>
      <c r="L370" s="3"/>
      <c r="M370" s="3"/>
      <c r="N370" s="3"/>
    </row>
    <row r="371" spans="5:14" ht="14.25">
      <c r="E371" s="3"/>
      <c r="F371" s="3"/>
      <c r="G371" s="3"/>
      <c r="H371" s="10"/>
      <c r="I371" s="10"/>
      <c r="J371" s="3"/>
      <c r="K371" s="3"/>
      <c r="L371" s="3"/>
      <c r="M371" s="3"/>
      <c r="N371" s="3"/>
    </row>
    <row r="372" spans="5:14" ht="14.25">
      <c r="E372" s="3"/>
      <c r="F372" s="3"/>
      <c r="G372" s="3"/>
      <c r="H372" s="10"/>
      <c r="I372" s="10"/>
      <c r="J372" s="3"/>
      <c r="K372" s="3"/>
      <c r="L372" s="3"/>
      <c r="M372" s="3"/>
      <c r="N372" s="3"/>
    </row>
    <row r="373" spans="5:14" ht="14.25">
      <c r="E373" s="3"/>
      <c r="F373" s="3"/>
      <c r="G373" s="3"/>
      <c r="H373" s="10"/>
      <c r="I373" s="10"/>
      <c r="J373" s="3"/>
      <c r="K373" s="3"/>
      <c r="L373" s="3"/>
      <c r="M373" s="3"/>
      <c r="N373" s="3"/>
    </row>
    <row r="374" spans="5:14" ht="14.25">
      <c r="E374" s="3"/>
      <c r="F374" s="3"/>
      <c r="G374" s="3"/>
      <c r="H374" s="10"/>
      <c r="I374" s="10"/>
      <c r="J374" s="3"/>
      <c r="K374" s="3"/>
      <c r="L374" s="3"/>
      <c r="M374" s="3"/>
      <c r="N374" s="3"/>
    </row>
    <row r="375" spans="5:14" ht="14.25">
      <c r="E375" s="3"/>
      <c r="F375" s="3"/>
      <c r="G375" s="3"/>
      <c r="H375" s="10"/>
      <c r="I375" s="10"/>
      <c r="J375" s="3"/>
      <c r="K375" s="3"/>
      <c r="L375" s="3"/>
      <c r="M375" s="3"/>
      <c r="N375" s="3"/>
    </row>
    <row r="376" spans="5:14" ht="14.25">
      <c r="E376" s="3"/>
      <c r="F376" s="3"/>
      <c r="G376" s="3"/>
      <c r="H376" s="10"/>
      <c r="I376" s="10"/>
      <c r="J376" s="3"/>
      <c r="K376" s="3"/>
      <c r="L376" s="3"/>
      <c r="M376" s="3"/>
      <c r="N376" s="3"/>
    </row>
    <row r="377" spans="5:14" ht="14.25">
      <c r="E377" s="3"/>
      <c r="F377" s="3"/>
      <c r="G377" s="3"/>
      <c r="H377" s="10"/>
      <c r="I377" s="10"/>
      <c r="J377" s="3"/>
      <c r="K377" s="3"/>
      <c r="L377" s="3"/>
      <c r="M377" s="3"/>
      <c r="N377" s="3"/>
    </row>
    <row r="378" spans="5:14" ht="14.25">
      <c r="E378" s="3"/>
      <c r="F378" s="3"/>
      <c r="G378" s="3"/>
      <c r="H378" s="10"/>
      <c r="I378" s="10"/>
      <c r="J378" s="3"/>
      <c r="K378" s="3"/>
      <c r="L378" s="3"/>
      <c r="M378" s="3"/>
      <c r="N378" s="3"/>
    </row>
    <row r="379" spans="5:14" ht="14.25">
      <c r="E379" s="3"/>
      <c r="F379" s="3"/>
      <c r="G379" s="3"/>
      <c r="H379" s="10"/>
      <c r="I379" s="10"/>
      <c r="J379" s="3"/>
      <c r="K379" s="3"/>
      <c r="L379" s="3"/>
      <c r="M379" s="3"/>
      <c r="N379" s="3"/>
    </row>
    <row r="380" spans="5:14" ht="14.25">
      <c r="E380" s="3"/>
      <c r="F380" s="3"/>
      <c r="G380" s="3"/>
      <c r="H380" s="10"/>
      <c r="I380" s="10"/>
      <c r="J380" s="3"/>
      <c r="K380" s="3"/>
      <c r="L380" s="3"/>
      <c r="M380" s="3"/>
      <c r="N380" s="3"/>
    </row>
    <row r="381" spans="5:14" ht="14.25">
      <c r="E381" s="3"/>
      <c r="F381" s="3"/>
      <c r="G381" s="3"/>
      <c r="H381" s="10"/>
      <c r="I381" s="10"/>
      <c r="J381" s="3"/>
      <c r="K381" s="3"/>
      <c r="L381" s="3"/>
      <c r="M381" s="3"/>
      <c r="N381" s="3"/>
    </row>
    <row r="382" spans="5:14" ht="14.25">
      <c r="E382" s="3"/>
      <c r="F382" s="3"/>
      <c r="G382" s="3"/>
      <c r="H382" s="10"/>
      <c r="I382" s="10"/>
      <c r="J382" s="3"/>
      <c r="K382" s="3"/>
      <c r="L382" s="3"/>
      <c r="M382" s="3"/>
      <c r="N382" s="3"/>
    </row>
    <row r="383" spans="5:14" ht="14.25">
      <c r="E383" s="3"/>
      <c r="F383" s="3"/>
      <c r="G383" s="3"/>
      <c r="H383" s="10"/>
      <c r="I383" s="10"/>
      <c r="J383" s="3"/>
      <c r="K383" s="3"/>
      <c r="L383" s="3"/>
      <c r="M383" s="3"/>
      <c r="N383" s="3"/>
    </row>
    <row r="384" spans="5:14" ht="14.25">
      <c r="E384" s="3"/>
      <c r="F384" s="3"/>
      <c r="G384" s="3"/>
      <c r="H384" s="10"/>
      <c r="I384" s="10"/>
      <c r="J384" s="3"/>
      <c r="K384" s="3"/>
      <c r="L384" s="3"/>
      <c r="M384" s="3"/>
      <c r="N384" s="3"/>
    </row>
    <row r="385" spans="5:14" ht="14.25">
      <c r="E385" s="3"/>
      <c r="F385" s="3"/>
      <c r="G385" s="3"/>
      <c r="H385" s="10"/>
      <c r="I385" s="10"/>
      <c r="J385" s="3"/>
      <c r="K385" s="3"/>
      <c r="L385" s="3"/>
      <c r="M385" s="3"/>
      <c r="N385" s="3"/>
    </row>
    <row r="386" spans="5:14" ht="14.25">
      <c r="E386" s="3"/>
      <c r="F386" s="3"/>
      <c r="G386" s="3"/>
      <c r="H386" s="10"/>
      <c r="I386" s="10"/>
      <c r="J386" s="3"/>
      <c r="K386" s="3"/>
      <c r="L386" s="3"/>
      <c r="M386" s="3"/>
      <c r="N386" s="3"/>
    </row>
    <row r="387" spans="5:14" ht="14.25">
      <c r="E387" s="3"/>
      <c r="F387" s="3"/>
      <c r="G387" s="3"/>
      <c r="H387" s="10"/>
      <c r="I387" s="10"/>
      <c r="J387" s="3"/>
      <c r="K387" s="3"/>
      <c r="L387" s="3"/>
      <c r="M387" s="3"/>
      <c r="N387" s="3"/>
    </row>
    <row r="388" spans="5:14" ht="14.25">
      <c r="E388" s="3"/>
      <c r="F388" s="3"/>
      <c r="G388" s="3"/>
      <c r="H388" s="10"/>
      <c r="I388" s="10"/>
      <c r="J388" s="3"/>
      <c r="K388" s="3"/>
      <c r="L388" s="3"/>
      <c r="M388" s="3"/>
      <c r="N388" s="3"/>
    </row>
    <row r="389" spans="5:14" ht="14.25">
      <c r="E389" s="3"/>
      <c r="F389" s="3"/>
      <c r="G389" s="3"/>
      <c r="H389" s="10"/>
      <c r="I389" s="10"/>
      <c r="J389" s="3"/>
      <c r="K389" s="3"/>
      <c r="L389" s="3"/>
      <c r="M389" s="3"/>
      <c r="N389" s="3"/>
    </row>
    <row r="390" spans="5:14" ht="14.25">
      <c r="E390" s="3"/>
      <c r="F390" s="3"/>
      <c r="G390" s="3"/>
      <c r="H390" s="10"/>
      <c r="I390" s="10"/>
      <c r="J390" s="3"/>
      <c r="K390" s="3"/>
      <c r="L390" s="3"/>
      <c r="M390" s="3"/>
      <c r="N390" s="3"/>
    </row>
    <row r="391" spans="5:14" ht="14.25">
      <c r="E391" s="3"/>
      <c r="F391" s="3"/>
      <c r="G391" s="3"/>
      <c r="H391" s="10"/>
      <c r="I391" s="10"/>
      <c r="J391" s="3"/>
      <c r="K391" s="3"/>
      <c r="L391" s="3"/>
      <c r="M391" s="3"/>
      <c r="N391" s="3"/>
    </row>
    <row r="392" spans="5:14" ht="14.25">
      <c r="E392" s="3"/>
      <c r="F392" s="3"/>
      <c r="G392" s="3"/>
      <c r="H392" s="10"/>
      <c r="I392" s="10"/>
      <c r="J392" s="3"/>
      <c r="K392" s="3"/>
      <c r="L392" s="3"/>
      <c r="M392" s="3"/>
      <c r="N392" s="3"/>
    </row>
    <row r="393" spans="5:14" ht="14.25">
      <c r="E393" s="3"/>
      <c r="F393" s="3"/>
      <c r="G393" s="3"/>
      <c r="H393" s="10"/>
      <c r="I393" s="10"/>
      <c r="J393" s="3"/>
      <c r="K393" s="3"/>
      <c r="L393" s="3"/>
      <c r="M393" s="3"/>
      <c r="N393" s="3"/>
    </row>
    <row r="394" spans="5:14" ht="14.25">
      <c r="E394" s="3"/>
      <c r="F394" s="3"/>
      <c r="G394" s="3"/>
      <c r="H394" s="10"/>
      <c r="I394" s="10"/>
      <c r="J394" s="3"/>
      <c r="K394" s="3"/>
      <c r="L394" s="3"/>
      <c r="M394" s="3"/>
      <c r="N394" s="3"/>
    </row>
    <row r="395" spans="5:14" ht="14.25">
      <c r="E395" s="3"/>
      <c r="F395" s="3"/>
      <c r="G395" s="3"/>
      <c r="H395" s="10"/>
      <c r="I395" s="10"/>
      <c r="J395" s="3"/>
      <c r="K395" s="3"/>
      <c r="L395" s="3"/>
      <c r="M395" s="3"/>
      <c r="N395" s="3"/>
    </row>
    <row r="396" spans="5:14" ht="14.25">
      <c r="E396" s="3"/>
      <c r="F396" s="3"/>
      <c r="G396" s="3"/>
      <c r="H396" s="10"/>
      <c r="I396" s="10"/>
      <c r="J396" s="3"/>
      <c r="K396" s="3"/>
      <c r="L396" s="3"/>
      <c r="M396" s="3"/>
      <c r="N396" s="3"/>
    </row>
    <row r="397" spans="5:14" ht="14.25">
      <c r="E397" s="3"/>
      <c r="F397" s="3"/>
      <c r="G397" s="3"/>
      <c r="H397" s="10"/>
      <c r="I397" s="10"/>
      <c r="J397" s="3"/>
      <c r="K397" s="3"/>
      <c r="L397" s="3"/>
      <c r="M397" s="3"/>
      <c r="N397" s="3"/>
    </row>
    <row r="398" spans="5:14" ht="14.25">
      <c r="E398" s="3"/>
      <c r="F398" s="3"/>
      <c r="G398" s="3"/>
      <c r="H398" s="10"/>
      <c r="I398" s="10"/>
      <c r="J398" s="3"/>
      <c r="K398" s="3"/>
      <c r="L398" s="3"/>
      <c r="M398" s="3"/>
      <c r="N398" s="3"/>
    </row>
    <row r="399" spans="5:14" ht="14.25">
      <c r="E399" s="3"/>
      <c r="F399" s="3"/>
      <c r="G399" s="3"/>
      <c r="H399" s="10"/>
      <c r="I399" s="10"/>
      <c r="J399" s="3"/>
      <c r="K399" s="3"/>
      <c r="L399" s="3"/>
      <c r="M399" s="3"/>
      <c r="N399" s="3"/>
    </row>
    <row r="400" spans="5:14" ht="14.25">
      <c r="E400" s="3"/>
      <c r="F400" s="3"/>
      <c r="G400" s="3"/>
      <c r="H400" s="10"/>
      <c r="I400" s="10"/>
      <c r="J400" s="3"/>
      <c r="K400" s="3"/>
      <c r="L400" s="3"/>
      <c r="M400" s="3"/>
      <c r="N400" s="3"/>
    </row>
    <row r="401" spans="5:14" ht="14.25">
      <c r="E401" s="3"/>
      <c r="F401" s="3"/>
      <c r="G401" s="3"/>
      <c r="H401" s="10"/>
      <c r="I401" s="10"/>
      <c r="J401" s="3"/>
      <c r="K401" s="3"/>
      <c r="L401" s="3"/>
      <c r="M401" s="3"/>
      <c r="N401" s="3"/>
    </row>
    <row r="402" spans="5:14" ht="14.25">
      <c r="E402" s="3"/>
      <c r="F402" s="3"/>
      <c r="G402" s="3"/>
      <c r="H402" s="10"/>
      <c r="I402" s="10"/>
      <c r="J402" s="3"/>
      <c r="K402" s="3"/>
      <c r="L402" s="3"/>
      <c r="M402" s="3"/>
      <c r="N402" s="3"/>
    </row>
    <row r="403" spans="5:14" ht="14.25">
      <c r="E403" s="3"/>
      <c r="F403" s="3"/>
      <c r="G403" s="3"/>
      <c r="H403" s="10"/>
      <c r="I403" s="10"/>
      <c r="J403" s="3"/>
      <c r="K403" s="3"/>
      <c r="L403" s="3"/>
      <c r="M403" s="3"/>
      <c r="N403" s="3"/>
    </row>
    <row r="404" spans="5:14" ht="14.25">
      <c r="E404" s="3"/>
      <c r="F404" s="3"/>
      <c r="G404" s="3"/>
      <c r="H404" s="10"/>
      <c r="I404" s="10"/>
      <c r="J404" s="3"/>
      <c r="K404" s="3"/>
      <c r="L404" s="3"/>
      <c r="M404" s="3"/>
      <c r="N404" s="3"/>
    </row>
    <row r="405" spans="5:14" ht="14.25">
      <c r="E405" s="3"/>
      <c r="F405" s="3"/>
      <c r="G405" s="3"/>
      <c r="H405" s="10"/>
      <c r="I405" s="10"/>
      <c r="J405" s="3"/>
      <c r="K405" s="3"/>
      <c r="L405" s="3"/>
      <c r="M405" s="3"/>
      <c r="N405" s="3"/>
    </row>
    <row r="406" spans="5:14" ht="14.25">
      <c r="E406" s="3"/>
      <c r="F406" s="3"/>
      <c r="G406" s="3"/>
      <c r="H406" s="10"/>
      <c r="I406" s="10"/>
      <c r="J406" s="3"/>
      <c r="K406" s="3"/>
      <c r="L406" s="3"/>
      <c r="M406" s="3"/>
      <c r="N406" s="3"/>
    </row>
    <row r="407" spans="5:14" ht="14.25">
      <c r="E407" s="3"/>
      <c r="F407" s="3"/>
      <c r="G407" s="3"/>
      <c r="H407" s="10"/>
      <c r="I407" s="10"/>
      <c r="J407" s="3"/>
      <c r="K407" s="3"/>
      <c r="L407" s="3"/>
      <c r="M407" s="3"/>
      <c r="N407" s="3"/>
    </row>
    <row r="408" spans="5:14" ht="14.25">
      <c r="E408" s="3"/>
      <c r="F408" s="3"/>
      <c r="G408" s="3"/>
      <c r="H408" s="10"/>
      <c r="I408" s="10"/>
      <c r="J408" s="3"/>
      <c r="K408" s="3"/>
      <c r="L408" s="3"/>
      <c r="M408" s="3"/>
      <c r="N408" s="3"/>
    </row>
    <row r="409" spans="5:14" ht="14.25">
      <c r="E409" s="3"/>
      <c r="F409" s="3"/>
      <c r="G409" s="3"/>
      <c r="H409" s="10"/>
      <c r="I409" s="10"/>
      <c r="J409" s="3"/>
      <c r="K409" s="3"/>
      <c r="L409" s="3"/>
      <c r="M409" s="3"/>
      <c r="N409" s="3"/>
    </row>
    <row r="410" spans="5:14" ht="14.25">
      <c r="E410" s="3"/>
      <c r="F410" s="3"/>
      <c r="G410" s="3"/>
      <c r="H410" s="10"/>
      <c r="I410" s="10"/>
      <c r="J410" s="3"/>
      <c r="K410" s="3"/>
      <c r="L410" s="3"/>
      <c r="M410" s="3"/>
      <c r="N410" s="3"/>
    </row>
    <row r="411" spans="5:14" ht="14.25">
      <c r="E411" s="3"/>
      <c r="F411" s="3"/>
      <c r="G411" s="3"/>
      <c r="H411" s="10"/>
      <c r="I411" s="10"/>
      <c r="J411" s="3"/>
      <c r="K411" s="3"/>
      <c r="L411" s="3"/>
      <c r="M411" s="3"/>
      <c r="N411" s="3"/>
    </row>
    <row r="412" spans="5:14" ht="14.25">
      <c r="E412" s="3"/>
      <c r="F412" s="3"/>
      <c r="G412" s="3"/>
      <c r="H412" s="10"/>
      <c r="I412" s="10"/>
      <c r="J412" s="3"/>
      <c r="K412" s="3"/>
      <c r="L412" s="3"/>
      <c r="M412" s="3"/>
      <c r="N412" s="3"/>
    </row>
    <row r="413" spans="5:14" ht="14.25">
      <c r="E413" s="3"/>
      <c r="F413" s="3"/>
      <c r="G413" s="3"/>
      <c r="H413" s="10"/>
      <c r="I413" s="10"/>
      <c r="J413" s="3"/>
      <c r="K413" s="3"/>
      <c r="L413" s="3"/>
      <c r="M413" s="3"/>
      <c r="N413" s="3"/>
    </row>
    <row r="414" spans="5:14" ht="14.25">
      <c r="E414" s="3"/>
      <c r="F414" s="3"/>
      <c r="G414" s="3"/>
      <c r="H414" s="10"/>
      <c r="I414" s="10"/>
      <c r="J414" s="3"/>
      <c r="K414" s="3"/>
      <c r="L414" s="3"/>
      <c r="M414" s="3"/>
      <c r="N414" s="3"/>
    </row>
    <row r="415" spans="5:14" ht="14.25">
      <c r="E415" s="3"/>
      <c r="F415" s="3"/>
      <c r="G415" s="3"/>
      <c r="H415" s="10"/>
      <c r="I415" s="10"/>
      <c r="J415" s="3"/>
      <c r="K415" s="3"/>
      <c r="L415" s="3"/>
      <c r="M415" s="3"/>
      <c r="N415" s="3"/>
    </row>
    <row r="416" spans="5:14" ht="14.25">
      <c r="E416" s="3"/>
      <c r="F416" s="3"/>
      <c r="G416" s="3"/>
      <c r="H416" s="10"/>
      <c r="I416" s="10"/>
      <c r="J416" s="3"/>
      <c r="K416" s="3"/>
      <c r="L416" s="3"/>
      <c r="M416" s="3"/>
      <c r="N416" s="3"/>
    </row>
    <row r="417" spans="5:14" ht="14.25">
      <c r="E417" s="3"/>
      <c r="F417" s="3"/>
      <c r="G417" s="3"/>
      <c r="H417" s="10"/>
      <c r="I417" s="10"/>
      <c r="J417" s="3"/>
      <c r="K417" s="3"/>
      <c r="L417" s="3"/>
      <c r="M417" s="3"/>
      <c r="N417" s="3"/>
    </row>
    <row r="418" spans="5:14" ht="14.25">
      <c r="E418" s="3"/>
      <c r="F418" s="3"/>
      <c r="G418" s="3"/>
      <c r="H418" s="10"/>
      <c r="I418" s="10"/>
      <c r="J418" s="3"/>
      <c r="K418" s="3"/>
      <c r="L418" s="3"/>
      <c r="M418" s="3"/>
      <c r="N418" s="3"/>
    </row>
    <row r="419" spans="5:14" ht="14.25">
      <c r="E419" s="3"/>
      <c r="F419" s="3"/>
      <c r="G419" s="3"/>
      <c r="H419" s="10"/>
      <c r="I419" s="10"/>
      <c r="J419" s="3"/>
      <c r="K419" s="3"/>
      <c r="L419" s="3"/>
      <c r="M419" s="3"/>
      <c r="N419" s="3"/>
    </row>
    <row r="420" spans="5:14" ht="14.25">
      <c r="E420" s="3"/>
      <c r="F420" s="3"/>
      <c r="G420" s="3"/>
      <c r="H420" s="10"/>
      <c r="I420" s="10"/>
      <c r="J420" s="3"/>
      <c r="K420" s="3"/>
      <c r="L420" s="3"/>
      <c r="M420" s="3"/>
      <c r="N420" s="3"/>
    </row>
    <row r="421" spans="5:14" ht="14.25">
      <c r="E421" s="3"/>
      <c r="F421" s="3"/>
      <c r="G421" s="3"/>
      <c r="H421" s="10"/>
      <c r="I421" s="10"/>
      <c r="J421" s="3"/>
      <c r="K421" s="3"/>
      <c r="L421" s="3"/>
      <c r="M421" s="3"/>
      <c r="N421" s="3"/>
    </row>
    <row r="422" spans="5:14" ht="14.25">
      <c r="E422" s="3"/>
      <c r="F422" s="3"/>
      <c r="G422" s="3"/>
      <c r="H422" s="10"/>
      <c r="I422" s="10"/>
      <c r="J422" s="3"/>
      <c r="K422" s="3"/>
      <c r="L422" s="3"/>
      <c r="M422" s="3"/>
      <c r="N422" s="3"/>
    </row>
    <row r="423" spans="5:14" ht="14.25">
      <c r="E423" s="3"/>
      <c r="F423" s="3"/>
      <c r="G423" s="3"/>
      <c r="H423" s="10"/>
      <c r="I423" s="10"/>
      <c r="J423" s="3"/>
      <c r="K423" s="3"/>
      <c r="L423" s="3"/>
      <c r="M423" s="3"/>
      <c r="N423" s="3"/>
    </row>
    <row r="424" spans="5:14" ht="14.25">
      <c r="E424" s="3"/>
      <c r="F424" s="3"/>
      <c r="G424" s="3"/>
      <c r="H424" s="10"/>
      <c r="I424" s="10"/>
      <c r="J424" s="3"/>
      <c r="K424" s="3"/>
      <c r="L424" s="3"/>
      <c r="M424" s="3"/>
      <c r="N424" s="3"/>
    </row>
    <row r="425" spans="5:14" ht="14.25">
      <c r="E425" s="3"/>
      <c r="F425" s="3"/>
      <c r="G425" s="3"/>
      <c r="H425" s="10"/>
      <c r="I425" s="10"/>
      <c r="J425" s="3"/>
      <c r="K425" s="3"/>
      <c r="L425" s="3"/>
      <c r="M425" s="3"/>
      <c r="N425" s="3"/>
    </row>
    <row r="426" spans="5:14" ht="14.25">
      <c r="E426" s="3"/>
      <c r="F426" s="3"/>
      <c r="G426" s="3"/>
      <c r="H426" s="10"/>
      <c r="I426" s="10"/>
      <c r="J426" s="3"/>
      <c r="K426" s="3"/>
      <c r="L426" s="3"/>
      <c r="M426" s="3"/>
      <c r="N426" s="3"/>
    </row>
    <row r="427" spans="5:14" ht="14.25">
      <c r="E427" s="3"/>
      <c r="F427" s="3"/>
      <c r="G427" s="3"/>
      <c r="H427" s="10"/>
      <c r="I427" s="10"/>
      <c r="J427" s="3"/>
      <c r="K427" s="3"/>
      <c r="L427" s="3"/>
      <c r="M427" s="3"/>
      <c r="N427" s="3"/>
    </row>
    <row r="428" spans="5:14" ht="14.25">
      <c r="E428" s="3"/>
      <c r="F428" s="3"/>
      <c r="G428" s="3"/>
      <c r="H428" s="10"/>
      <c r="I428" s="10"/>
      <c r="J428" s="3"/>
      <c r="K428" s="3"/>
      <c r="L428" s="3"/>
      <c r="M428" s="3"/>
      <c r="N428" s="3"/>
    </row>
    <row r="429" spans="5:14" ht="14.25">
      <c r="E429" s="3"/>
      <c r="F429" s="3"/>
      <c r="G429" s="3"/>
      <c r="H429" s="10"/>
      <c r="I429" s="10"/>
      <c r="J429" s="3"/>
      <c r="K429" s="3"/>
      <c r="L429" s="3"/>
      <c r="M429" s="3"/>
      <c r="N429" s="3"/>
    </row>
    <row r="430" spans="5:14" ht="14.25">
      <c r="E430" s="3"/>
      <c r="F430" s="3"/>
      <c r="G430" s="3"/>
      <c r="H430" s="10"/>
      <c r="I430" s="10"/>
      <c r="J430" s="3"/>
      <c r="K430" s="3"/>
      <c r="L430" s="3"/>
      <c r="M430" s="3"/>
      <c r="N430" s="3"/>
    </row>
    <row r="431" spans="5:14" ht="14.25">
      <c r="E431" s="3"/>
      <c r="F431" s="3"/>
      <c r="G431" s="3"/>
      <c r="H431" s="10"/>
      <c r="I431" s="10"/>
      <c r="J431" s="3"/>
      <c r="K431" s="3"/>
      <c r="L431" s="3"/>
      <c r="M431" s="3"/>
      <c r="N431" s="3"/>
    </row>
    <row r="432" spans="5:14" ht="14.25">
      <c r="E432" s="3"/>
      <c r="F432" s="3"/>
      <c r="G432" s="3"/>
      <c r="H432" s="10"/>
      <c r="I432" s="10"/>
      <c r="J432" s="3"/>
      <c r="K432" s="3"/>
      <c r="L432" s="3"/>
      <c r="M432" s="3"/>
      <c r="N432" s="3"/>
    </row>
    <row r="433" spans="5:14" ht="14.25">
      <c r="E433" s="3"/>
      <c r="F433" s="3"/>
      <c r="G433" s="3"/>
      <c r="H433" s="10"/>
      <c r="I433" s="10"/>
      <c r="J433" s="3"/>
      <c r="K433" s="3"/>
      <c r="L433" s="3"/>
      <c r="M433" s="3"/>
      <c r="N433" s="3"/>
    </row>
    <row r="434" spans="5:14" ht="14.25">
      <c r="E434" s="3"/>
      <c r="F434" s="3"/>
      <c r="G434" s="3"/>
      <c r="H434" s="10"/>
      <c r="I434" s="10"/>
      <c r="J434" s="3"/>
      <c r="K434" s="3"/>
      <c r="L434" s="3"/>
      <c r="M434" s="3"/>
      <c r="N434" s="3"/>
    </row>
    <row r="435" spans="5:14" ht="14.25">
      <c r="E435" s="3"/>
      <c r="F435" s="3"/>
      <c r="G435" s="3"/>
      <c r="H435" s="10"/>
      <c r="I435" s="10"/>
      <c r="J435" s="3"/>
      <c r="K435" s="3"/>
      <c r="L435" s="3"/>
      <c r="M435" s="3"/>
      <c r="N435" s="3"/>
    </row>
    <row r="436" spans="5:14" ht="14.25">
      <c r="E436" s="3"/>
      <c r="F436" s="3"/>
      <c r="G436" s="3"/>
      <c r="H436" s="10"/>
      <c r="I436" s="10"/>
      <c r="J436" s="3"/>
      <c r="K436" s="3"/>
      <c r="L436" s="3"/>
      <c r="M436" s="3"/>
      <c r="N436" s="3"/>
    </row>
    <row r="437" spans="5:14" ht="14.25">
      <c r="E437" s="3"/>
      <c r="F437" s="3"/>
      <c r="G437" s="3"/>
      <c r="H437" s="10"/>
      <c r="I437" s="10"/>
      <c r="J437" s="3"/>
      <c r="K437" s="3"/>
      <c r="L437" s="3"/>
      <c r="M437" s="3"/>
      <c r="N437" s="3"/>
    </row>
    <row r="438" spans="5:14" ht="14.25">
      <c r="E438" s="3"/>
      <c r="F438" s="3"/>
      <c r="G438" s="3"/>
      <c r="H438" s="10"/>
      <c r="I438" s="10"/>
      <c r="J438" s="3"/>
      <c r="K438" s="3"/>
      <c r="L438" s="3"/>
      <c r="M438" s="3"/>
      <c r="N438" s="3"/>
    </row>
    <row r="439" spans="5:14" ht="14.25">
      <c r="E439" s="3"/>
      <c r="F439" s="3"/>
      <c r="G439" s="3"/>
      <c r="H439" s="10"/>
      <c r="I439" s="10"/>
      <c r="J439" s="3"/>
      <c r="K439" s="3"/>
      <c r="L439" s="3"/>
      <c r="M439" s="3"/>
      <c r="N439" s="3"/>
    </row>
    <row r="440" spans="5:14" ht="14.25">
      <c r="E440" s="3"/>
      <c r="F440" s="3"/>
      <c r="G440" s="3"/>
      <c r="H440" s="10"/>
      <c r="I440" s="10"/>
      <c r="J440" s="3"/>
      <c r="K440" s="3"/>
      <c r="L440" s="3"/>
      <c r="M440" s="3"/>
      <c r="N440" s="3"/>
    </row>
    <row r="441" spans="5:14" ht="14.25">
      <c r="E441" s="3"/>
      <c r="F441" s="3"/>
      <c r="G441" s="3"/>
      <c r="H441" s="10"/>
      <c r="I441" s="10"/>
      <c r="J441" s="3"/>
      <c r="K441" s="3"/>
      <c r="L441" s="3"/>
      <c r="M441" s="3"/>
      <c r="N441" s="3"/>
    </row>
    <row r="442" spans="5:14" ht="14.25">
      <c r="E442" s="3"/>
      <c r="F442" s="3"/>
      <c r="G442" s="3"/>
      <c r="H442" s="10"/>
      <c r="I442" s="10"/>
      <c r="J442" s="3"/>
      <c r="K442" s="3"/>
      <c r="L442" s="3"/>
      <c r="M442" s="3"/>
      <c r="N442" s="3"/>
    </row>
    <row r="443" spans="5:14" ht="14.25">
      <c r="E443" s="3"/>
      <c r="F443" s="3"/>
      <c r="G443" s="3"/>
      <c r="H443" s="10"/>
      <c r="I443" s="10"/>
      <c r="J443" s="3"/>
      <c r="K443" s="3"/>
      <c r="L443" s="3"/>
      <c r="M443" s="3"/>
      <c r="N443" s="3"/>
    </row>
    <row r="444" spans="5:14" ht="14.25">
      <c r="E444" s="3"/>
      <c r="F444" s="3"/>
      <c r="G444" s="3"/>
      <c r="H444" s="10"/>
      <c r="I444" s="10"/>
      <c r="J444" s="3"/>
      <c r="K444" s="3"/>
      <c r="L444" s="3"/>
      <c r="M444" s="3"/>
      <c r="N444" s="3"/>
    </row>
    <row r="445" spans="5:14" ht="14.25">
      <c r="E445" s="3"/>
      <c r="F445" s="3"/>
      <c r="G445" s="3"/>
      <c r="H445" s="10"/>
      <c r="I445" s="10"/>
      <c r="J445" s="3"/>
      <c r="K445" s="3"/>
      <c r="L445" s="3"/>
      <c r="M445" s="3"/>
      <c r="N445" s="3"/>
    </row>
    <row r="446" spans="5:14" ht="14.25">
      <c r="E446" s="3"/>
      <c r="F446" s="3"/>
      <c r="G446" s="3"/>
      <c r="H446" s="10"/>
      <c r="I446" s="10"/>
      <c r="J446" s="3"/>
      <c r="K446" s="3"/>
      <c r="L446" s="3"/>
      <c r="M446" s="3"/>
      <c r="N446" s="3"/>
    </row>
    <row r="447" spans="5:14" ht="14.25">
      <c r="E447" s="3"/>
      <c r="F447" s="3"/>
      <c r="G447" s="3"/>
      <c r="H447" s="10"/>
      <c r="I447" s="10"/>
      <c r="J447" s="3"/>
      <c r="K447" s="3"/>
      <c r="L447" s="3"/>
      <c r="M447" s="3"/>
      <c r="N447" s="3"/>
    </row>
    <row r="448" spans="5:14" ht="14.25">
      <c r="E448" s="3"/>
      <c r="F448" s="3"/>
      <c r="G448" s="3"/>
      <c r="H448" s="10"/>
      <c r="I448" s="10"/>
      <c r="J448" s="3"/>
      <c r="K448" s="3"/>
      <c r="L448" s="3"/>
      <c r="M448" s="3"/>
      <c r="N448" s="3"/>
    </row>
    <row r="449" spans="5:14" ht="14.25">
      <c r="E449" s="3"/>
      <c r="F449" s="3"/>
      <c r="G449" s="3"/>
      <c r="H449" s="10"/>
      <c r="I449" s="10"/>
      <c r="J449" s="3"/>
      <c r="K449" s="3"/>
      <c r="L449" s="3"/>
      <c r="M449" s="3"/>
      <c r="N449" s="3"/>
    </row>
    <row r="450" spans="5:14" ht="14.25">
      <c r="E450" s="3"/>
      <c r="F450" s="3"/>
      <c r="G450" s="3"/>
      <c r="H450" s="10"/>
      <c r="I450" s="10"/>
      <c r="J450" s="3"/>
      <c r="K450" s="3"/>
      <c r="L450" s="3"/>
      <c r="M450" s="3"/>
      <c r="N450" s="3"/>
    </row>
    <row r="451" spans="5:14" ht="14.25">
      <c r="E451" s="3"/>
      <c r="F451" s="3"/>
      <c r="G451" s="3"/>
      <c r="H451" s="10"/>
      <c r="I451" s="10"/>
      <c r="J451" s="3"/>
      <c r="K451" s="3"/>
      <c r="L451" s="3"/>
      <c r="M451" s="3"/>
      <c r="N451" s="3"/>
    </row>
    <row r="452" spans="5:14" ht="14.25">
      <c r="E452" s="3"/>
      <c r="F452" s="3"/>
      <c r="G452" s="3"/>
      <c r="H452" s="10"/>
      <c r="I452" s="10"/>
      <c r="J452" s="3"/>
      <c r="K452" s="3"/>
      <c r="L452" s="3"/>
      <c r="M452" s="3"/>
      <c r="N452" s="3"/>
    </row>
    <row r="453" spans="5:14" ht="14.25">
      <c r="E453" s="3"/>
      <c r="F453" s="3"/>
      <c r="G453" s="3"/>
      <c r="H453" s="10"/>
      <c r="I453" s="10"/>
      <c r="J453" s="3"/>
      <c r="K453" s="3"/>
      <c r="L453" s="3"/>
      <c r="M453" s="3"/>
      <c r="N453" s="3"/>
    </row>
    <row r="454" spans="5:14" ht="14.25">
      <c r="E454" s="3"/>
      <c r="F454" s="3"/>
      <c r="G454" s="3"/>
      <c r="H454" s="10"/>
      <c r="I454" s="10"/>
      <c r="J454" s="3"/>
      <c r="K454" s="3"/>
      <c r="L454" s="3"/>
      <c r="M454" s="3"/>
      <c r="N454" s="3"/>
    </row>
    <row r="455" spans="5:14" ht="14.25">
      <c r="E455" s="3"/>
      <c r="F455" s="3"/>
      <c r="G455" s="3"/>
      <c r="H455" s="10"/>
      <c r="I455" s="10"/>
      <c r="J455" s="3"/>
      <c r="K455" s="3"/>
      <c r="L455" s="3"/>
      <c r="M455" s="3"/>
      <c r="N455" s="3"/>
    </row>
    <row r="456" spans="5:14" ht="14.25">
      <c r="E456" s="3"/>
      <c r="F456" s="3"/>
      <c r="G456" s="3"/>
      <c r="H456" s="10"/>
      <c r="I456" s="10"/>
      <c r="J456" s="3"/>
      <c r="K456" s="3"/>
      <c r="L456" s="3"/>
      <c r="M456" s="3"/>
      <c r="N456" s="3"/>
    </row>
    <row r="457" spans="5:14" ht="14.25">
      <c r="E457" s="3"/>
      <c r="F457" s="3"/>
      <c r="G457" s="3"/>
      <c r="H457" s="10"/>
      <c r="I457" s="10"/>
      <c r="J457" s="3"/>
      <c r="K457" s="3"/>
      <c r="L457" s="3"/>
      <c r="M457" s="3"/>
      <c r="N457" s="3"/>
    </row>
    <row r="458" spans="5:14" ht="14.25">
      <c r="E458" s="3"/>
      <c r="F458" s="3"/>
      <c r="G458" s="3"/>
      <c r="H458" s="10"/>
      <c r="I458" s="10"/>
      <c r="J458" s="3"/>
      <c r="K458" s="3"/>
      <c r="L458" s="3"/>
      <c r="M458" s="3"/>
      <c r="N458" s="3"/>
    </row>
    <row r="459" spans="5:14" ht="14.25">
      <c r="E459" s="3"/>
      <c r="F459" s="3"/>
      <c r="G459" s="3"/>
      <c r="H459" s="10"/>
      <c r="I459" s="10"/>
      <c r="J459" s="3"/>
      <c r="K459" s="3"/>
      <c r="L459" s="3"/>
      <c r="M459" s="3"/>
      <c r="N459" s="3"/>
    </row>
    <row r="460" spans="5:14" ht="14.25">
      <c r="E460" s="3"/>
      <c r="F460" s="3"/>
      <c r="G460" s="3"/>
      <c r="H460" s="10"/>
      <c r="I460" s="10"/>
      <c r="J460" s="3"/>
      <c r="K460" s="3"/>
      <c r="L460" s="3"/>
      <c r="M460" s="3"/>
      <c r="N460" s="3"/>
    </row>
    <row r="461" spans="5:14" ht="14.25">
      <c r="E461" s="3"/>
      <c r="F461" s="3"/>
      <c r="G461" s="3"/>
      <c r="H461" s="10"/>
      <c r="I461" s="10"/>
      <c r="J461" s="3"/>
      <c r="K461" s="3"/>
      <c r="L461" s="3"/>
      <c r="M461" s="3"/>
      <c r="N461" s="3"/>
    </row>
    <row r="462" spans="5:14" ht="14.25">
      <c r="E462" s="3"/>
      <c r="F462" s="3"/>
      <c r="G462" s="3"/>
      <c r="H462" s="10"/>
      <c r="I462" s="10"/>
      <c r="J462" s="3"/>
      <c r="K462" s="3"/>
      <c r="L462" s="3"/>
      <c r="M462" s="3"/>
      <c r="N462" s="3"/>
    </row>
    <row r="463" spans="5:14" ht="14.25">
      <c r="E463" s="3"/>
      <c r="F463" s="3"/>
      <c r="G463" s="3"/>
      <c r="H463" s="10"/>
      <c r="I463" s="10"/>
      <c r="J463" s="3"/>
      <c r="K463" s="3"/>
      <c r="L463" s="3"/>
      <c r="M463" s="3"/>
      <c r="N463" s="3"/>
    </row>
    <row r="464" spans="5:14" ht="14.25">
      <c r="E464" s="3"/>
      <c r="F464" s="3"/>
      <c r="G464" s="3"/>
      <c r="H464" s="10"/>
      <c r="I464" s="10"/>
      <c r="J464" s="3"/>
      <c r="K464" s="3"/>
      <c r="L464" s="3"/>
      <c r="M464" s="3"/>
      <c r="N464" s="3"/>
    </row>
    <row r="465" spans="5:14" ht="14.25">
      <c r="E465" s="3"/>
      <c r="F465" s="3"/>
      <c r="G465" s="3"/>
      <c r="H465" s="10"/>
      <c r="I465" s="10"/>
      <c r="J465" s="3"/>
      <c r="K465" s="3"/>
      <c r="L465" s="3"/>
      <c r="M465" s="3"/>
      <c r="N465" s="3"/>
    </row>
    <row r="466" spans="5:14" ht="14.25">
      <c r="E466" s="3"/>
      <c r="F466" s="3"/>
      <c r="G466" s="3"/>
      <c r="H466" s="10"/>
      <c r="I466" s="10"/>
      <c r="J466" s="3"/>
      <c r="K466" s="3"/>
      <c r="L466" s="3"/>
      <c r="M466" s="3"/>
      <c r="N466" s="3"/>
    </row>
    <row r="467" spans="5:14" ht="14.25">
      <c r="E467" s="3"/>
      <c r="F467" s="3"/>
      <c r="G467" s="3"/>
      <c r="H467" s="10"/>
      <c r="I467" s="10"/>
      <c r="J467" s="3"/>
      <c r="K467" s="3"/>
      <c r="L467" s="3"/>
      <c r="M467" s="3"/>
      <c r="N467" s="3"/>
    </row>
    <row r="468" spans="5:14" ht="14.25">
      <c r="E468" s="3"/>
      <c r="F468" s="3"/>
      <c r="G468" s="3"/>
      <c r="H468" s="10"/>
      <c r="I468" s="10"/>
      <c r="J468" s="3"/>
      <c r="K468" s="3"/>
      <c r="L468" s="3"/>
      <c r="M468" s="3"/>
      <c r="N468" s="3"/>
    </row>
    <row r="469" spans="5:14" ht="14.25">
      <c r="E469" s="3"/>
      <c r="F469" s="3"/>
      <c r="G469" s="3"/>
      <c r="H469" s="10"/>
      <c r="I469" s="10"/>
      <c r="J469" s="3"/>
      <c r="K469" s="3"/>
      <c r="L469" s="3"/>
      <c r="M469" s="3"/>
      <c r="N469" s="3"/>
    </row>
    <row r="470" spans="5:14" ht="14.25">
      <c r="E470" s="3"/>
      <c r="F470" s="3"/>
      <c r="G470" s="3"/>
      <c r="H470" s="10"/>
      <c r="I470" s="10"/>
      <c r="J470" s="3"/>
      <c r="K470" s="3"/>
      <c r="L470" s="3"/>
      <c r="M470" s="3"/>
      <c r="N470" s="3"/>
    </row>
    <row r="471" spans="5:14" ht="14.25">
      <c r="E471" s="3"/>
      <c r="F471" s="3"/>
      <c r="G471" s="3"/>
      <c r="H471" s="10"/>
      <c r="I471" s="10"/>
      <c r="J471" s="3"/>
      <c r="K471" s="3"/>
      <c r="L471" s="3"/>
      <c r="M471" s="3"/>
      <c r="N471" s="3"/>
    </row>
    <row r="472" spans="5:14" ht="14.25">
      <c r="E472" s="3"/>
      <c r="F472" s="3"/>
      <c r="G472" s="3"/>
      <c r="H472" s="10"/>
      <c r="I472" s="10"/>
      <c r="J472" s="3"/>
      <c r="K472" s="3"/>
      <c r="L472" s="3"/>
      <c r="M472" s="3"/>
      <c r="N472" s="3"/>
    </row>
    <row r="473" spans="5:14" ht="14.25">
      <c r="E473" s="3"/>
      <c r="F473" s="3"/>
      <c r="G473" s="3"/>
      <c r="H473" s="10"/>
      <c r="I473" s="10"/>
      <c r="J473" s="3"/>
      <c r="K473" s="3"/>
      <c r="L473" s="3"/>
      <c r="M473" s="3"/>
      <c r="N473" s="3"/>
    </row>
    <row r="474" spans="5:14" ht="14.25">
      <c r="E474" s="3"/>
      <c r="F474" s="3"/>
      <c r="G474" s="3"/>
      <c r="H474" s="10"/>
      <c r="I474" s="10"/>
      <c r="J474" s="3"/>
      <c r="K474" s="3"/>
      <c r="L474" s="3"/>
      <c r="M474" s="3"/>
      <c r="N474" s="3"/>
    </row>
    <row r="475" spans="5:14" ht="14.25">
      <c r="E475" s="3"/>
      <c r="F475" s="3"/>
      <c r="G475" s="3"/>
      <c r="H475" s="10"/>
      <c r="I475" s="10"/>
      <c r="J475" s="3"/>
      <c r="K475" s="3"/>
      <c r="L475" s="3"/>
      <c r="M475" s="3"/>
      <c r="N475" s="3"/>
    </row>
    <row r="476" spans="5:14" ht="14.25">
      <c r="E476" s="3"/>
      <c r="F476" s="3"/>
      <c r="G476" s="3"/>
      <c r="H476" s="10"/>
      <c r="I476" s="10"/>
      <c r="J476" s="3"/>
      <c r="K476" s="3"/>
      <c r="L476" s="3"/>
      <c r="M476" s="3"/>
      <c r="N476" s="3"/>
    </row>
    <row r="477" spans="5:14" ht="14.25">
      <c r="E477" s="3"/>
      <c r="F477" s="3"/>
      <c r="G477" s="3"/>
      <c r="H477" s="10"/>
      <c r="I477" s="10"/>
      <c r="J477" s="3"/>
      <c r="K477" s="3"/>
      <c r="L477" s="3"/>
      <c r="M477" s="3"/>
      <c r="N477" s="3"/>
    </row>
    <row r="478" spans="5:14" ht="14.25">
      <c r="E478" s="3"/>
      <c r="F478" s="3"/>
      <c r="G478" s="3"/>
      <c r="H478" s="10"/>
      <c r="I478" s="10"/>
      <c r="J478" s="3"/>
      <c r="K478" s="3"/>
      <c r="L478" s="3"/>
      <c r="M478" s="3"/>
      <c r="N478" s="3"/>
    </row>
    <row r="479" spans="5:14" ht="14.25">
      <c r="E479" s="3"/>
      <c r="F479" s="3"/>
      <c r="G479" s="3"/>
      <c r="H479" s="10"/>
      <c r="I479" s="10"/>
      <c r="J479" s="3"/>
      <c r="K479" s="3"/>
      <c r="L479" s="3"/>
      <c r="M479" s="3"/>
      <c r="N479" s="3"/>
    </row>
    <row r="480" spans="5:14" ht="14.25">
      <c r="E480" s="3"/>
      <c r="F480" s="3"/>
      <c r="G480" s="3"/>
      <c r="H480" s="10"/>
      <c r="I480" s="10"/>
      <c r="J480" s="3"/>
      <c r="K480" s="3"/>
      <c r="L480" s="3"/>
      <c r="M480" s="3"/>
      <c r="N480" s="3"/>
    </row>
    <row r="481" spans="5:14" ht="14.25">
      <c r="E481" s="3"/>
      <c r="F481" s="3"/>
      <c r="G481" s="3"/>
      <c r="H481" s="10"/>
      <c r="I481" s="10"/>
      <c r="J481" s="3"/>
      <c r="K481" s="3"/>
      <c r="L481" s="3"/>
      <c r="M481" s="3"/>
      <c r="N481" s="3"/>
    </row>
    <row r="482" spans="5:14" ht="14.25">
      <c r="E482" s="3"/>
      <c r="F482" s="3"/>
      <c r="G482" s="3"/>
      <c r="H482" s="10"/>
      <c r="I482" s="10"/>
      <c r="J482" s="3"/>
      <c r="K482" s="3"/>
      <c r="L482" s="3"/>
      <c r="M482" s="3"/>
      <c r="N482" s="3"/>
    </row>
    <row r="483" spans="5:14" ht="14.25">
      <c r="E483" s="3"/>
      <c r="F483" s="3"/>
      <c r="G483" s="3"/>
      <c r="H483" s="10"/>
      <c r="I483" s="10"/>
      <c r="J483" s="3"/>
      <c r="K483" s="3"/>
      <c r="L483" s="3"/>
      <c r="M483" s="3"/>
      <c r="N483" s="3"/>
    </row>
    <row r="484" spans="5:14" ht="14.25">
      <c r="E484" s="3"/>
      <c r="F484" s="3"/>
      <c r="G484" s="3"/>
      <c r="H484" s="10"/>
      <c r="I484" s="10"/>
      <c r="J484" s="3"/>
      <c r="K484" s="3"/>
      <c r="L484" s="3"/>
      <c r="M484" s="3"/>
      <c r="N484" s="3"/>
    </row>
    <row r="485" spans="5:14" ht="14.25">
      <c r="E485" s="3"/>
      <c r="F485" s="3"/>
      <c r="G485" s="3"/>
      <c r="H485" s="10"/>
      <c r="I485" s="10"/>
      <c r="J485" s="3"/>
      <c r="K485" s="3"/>
      <c r="L485" s="3"/>
      <c r="M485" s="3"/>
      <c r="N485" s="3"/>
    </row>
    <row r="486" spans="5:14" ht="14.25">
      <c r="E486" s="3"/>
      <c r="F486" s="3"/>
      <c r="G486" s="3"/>
      <c r="H486" s="10"/>
      <c r="I486" s="10"/>
      <c r="J486" s="3"/>
      <c r="K486" s="3"/>
      <c r="L486" s="3"/>
      <c r="M486" s="3"/>
      <c r="N486" s="3"/>
    </row>
    <row r="487" spans="5:14" ht="14.25">
      <c r="E487" s="3"/>
      <c r="F487" s="3"/>
      <c r="G487" s="3"/>
      <c r="H487" s="10"/>
      <c r="I487" s="10"/>
      <c r="J487" s="3"/>
      <c r="K487" s="3"/>
      <c r="L487" s="3"/>
      <c r="M487" s="3"/>
      <c r="N487" s="3"/>
    </row>
    <row r="488" spans="5:14" ht="14.25">
      <c r="E488" s="3"/>
      <c r="F488" s="3"/>
      <c r="G488" s="3"/>
      <c r="H488" s="10"/>
      <c r="I488" s="10"/>
      <c r="J488" s="3"/>
      <c r="K488" s="3"/>
      <c r="L488" s="3"/>
      <c r="M488" s="3"/>
      <c r="N488" s="3"/>
    </row>
    <row r="489" spans="5:14" ht="14.25">
      <c r="E489" s="3"/>
      <c r="F489" s="3"/>
      <c r="G489" s="3"/>
      <c r="H489" s="10"/>
      <c r="I489" s="10"/>
      <c r="J489" s="3"/>
      <c r="K489" s="3"/>
      <c r="L489" s="3"/>
      <c r="M489" s="3"/>
      <c r="N489" s="3"/>
    </row>
    <row r="490" spans="5:14" ht="14.25">
      <c r="E490" s="3"/>
      <c r="F490" s="3"/>
      <c r="G490" s="3"/>
      <c r="H490" s="10"/>
      <c r="I490" s="10"/>
      <c r="J490" s="3"/>
      <c r="K490" s="3"/>
      <c r="L490" s="3"/>
      <c r="M490" s="3"/>
      <c r="N490" s="3"/>
    </row>
    <row r="491" spans="5:14" ht="14.25">
      <c r="E491" s="3"/>
      <c r="F491" s="3"/>
      <c r="G491" s="3"/>
      <c r="H491" s="10"/>
      <c r="I491" s="10"/>
      <c r="J491" s="3"/>
      <c r="K491" s="3"/>
      <c r="L491" s="3"/>
      <c r="M491" s="3"/>
      <c r="N491" s="3"/>
    </row>
    <row r="492" spans="5:14" ht="14.25">
      <c r="E492" s="3"/>
      <c r="F492" s="3"/>
      <c r="G492" s="3"/>
      <c r="H492" s="10"/>
      <c r="I492" s="10"/>
      <c r="J492" s="3"/>
      <c r="K492" s="3"/>
      <c r="L492" s="3"/>
      <c r="M492" s="3"/>
      <c r="N492" s="3"/>
    </row>
    <row r="493" spans="5:14" ht="14.25">
      <c r="E493" s="3"/>
      <c r="F493" s="3"/>
      <c r="G493" s="3"/>
      <c r="H493" s="10"/>
      <c r="I493" s="10"/>
      <c r="J493" s="3"/>
      <c r="K493" s="3"/>
      <c r="L493" s="3"/>
      <c r="M493" s="3"/>
      <c r="N493" s="3"/>
    </row>
    <row r="494" spans="5:14" ht="14.25">
      <c r="E494" s="3"/>
      <c r="F494" s="3"/>
      <c r="G494" s="3"/>
      <c r="H494" s="10"/>
      <c r="I494" s="10"/>
      <c r="J494" s="3"/>
      <c r="K494" s="3"/>
      <c r="L494" s="3"/>
      <c r="M494" s="3"/>
      <c r="N494" s="3"/>
    </row>
    <row r="495" spans="5:14" ht="14.25">
      <c r="E495" s="3"/>
      <c r="F495" s="3"/>
      <c r="G495" s="3"/>
      <c r="H495" s="10"/>
      <c r="I495" s="10"/>
      <c r="J495" s="3"/>
      <c r="K495" s="3"/>
      <c r="L495" s="3"/>
      <c r="M495" s="3"/>
      <c r="N495" s="3"/>
    </row>
    <row r="496" spans="5:14" ht="14.25">
      <c r="E496" s="3"/>
      <c r="F496" s="3"/>
      <c r="G496" s="3"/>
      <c r="H496" s="10"/>
      <c r="I496" s="10"/>
      <c r="J496" s="3"/>
      <c r="K496" s="3"/>
      <c r="L496" s="3"/>
      <c r="M496" s="3"/>
      <c r="N496" s="3"/>
    </row>
    <row r="497" spans="5:14" ht="14.25">
      <c r="E497" s="3"/>
      <c r="F497" s="3"/>
      <c r="G497" s="3"/>
      <c r="H497" s="10"/>
      <c r="I497" s="10"/>
      <c r="J497" s="3"/>
      <c r="K497" s="3"/>
      <c r="L497" s="3"/>
      <c r="M497" s="3"/>
      <c r="N497" s="3"/>
    </row>
    <row r="498" spans="5:14" ht="14.25">
      <c r="E498" s="3"/>
      <c r="F498" s="3"/>
      <c r="G498" s="3"/>
      <c r="H498" s="10"/>
      <c r="I498" s="10"/>
      <c r="J498" s="3"/>
      <c r="K498" s="3"/>
      <c r="L498" s="3"/>
      <c r="M498" s="3"/>
      <c r="N498" s="3"/>
    </row>
    <row r="499" spans="5:14" ht="14.25">
      <c r="E499" s="3"/>
      <c r="F499" s="3"/>
      <c r="G499" s="3"/>
      <c r="H499" s="10"/>
      <c r="I499" s="10"/>
      <c r="J499" s="3"/>
      <c r="K499" s="3"/>
      <c r="L499" s="3"/>
      <c r="M499" s="3"/>
      <c r="N499" s="3"/>
    </row>
    <row r="500" spans="5:14" ht="14.25">
      <c r="E500" s="3"/>
      <c r="F500" s="3"/>
      <c r="G500" s="3"/>
      <c r="H500" s="10"/>
      <c r="I500" s="10"/>
      <c r="J500" s="3"/>
      <c r="K500" s="3"/>
      <c r="L500" s="3"/>
      <c r="M500" s="3"/>
      <c r="N500" s="3"/>
    </row>
    <row r="501" spans="5:14" ht="14.25">
      <c r="E501" s="3"/>
      <c r="F501" s="3"/>
      <c r="G501" s="3"/>
      <c r="H501" s="10"/>
      <c r="I501" s="10"/>
      <c r="J501" s="3"/>
      <c r="K501" s="3"/>
      <c r="L501" s="3"/>
      <c r="M501" s="3"/>
      <c r="N501" s="3"/>
    </row>
    <row r="502" spans="5:14" ht="14.25">
      <c r="E502" s="3"/>
      <c r="F502" s="3"/>
      <c r="G502" s="3"/>
      <c r="H502" s="10"/>
      <c r="I502" s="10"/>
      <c r="J502" s="3"/>
      <c r="K502" s="3"/>
      <c r="L502" s="3"/>
      <c r="M502" s="3"/>
      <c r="N502" s="3"/>
    </row>
    <row r="503" spans="5:14" ht="14.25">
      <c r="E503" s="3"/>
      <c r="F503" s="3"/>
      <c r="G503" s="3"/>
      <c r="H503" s="10"/>
      <c r="I503" s="10"/>
      <c r="J503" s="3"/>
      <c r="K503" s="3"/>
      <c r="L503" s="3"/>
      <c r="M503" s="3"/>
      <c r="N503" s="3"/>
    </row>
    <row r="504" spans="5:14" ht="14.25">
      <c r="E504" s="3"/>
      <c r="F504" s="3"/>
      <c r="G504" s="3"/>
      <c r="H504" s="10"/>
      <c r="I504" s="10"/>
      <c r="J504" s="3"/>
      <c r="K504" s="3"/>
      <c r="L504" s="3"/>
      <c r="M504" s="3"/>
      <c r="N504" s="3"/>
    </row>
    <row r="505" spans="5:14" ht="14.25">
      <c r="E505" s="3"/>
      <c r="F505" s="3"/>
      <c r="G505" s="3"/>
      <c r="H505" s="10"/>
      <c r="I505" s="10"/>
      <c r="J505" s="3"/>
      <c r="K505" s="3"/>
      <c r="L505" s="3"/>
      <c r="M505" s="3"/>
      <c r="N505" s="3"/>
    </row>
    <row r="506" spans="5:14" ht="14.25">
      <c r="E506" s="3"/>
      <c r="F506" s="3"/>
      <c r="G506" s="3"/>
      <c r="H506" s="10"/>
      <c r="I506" s="10"/>
      <c r="J506" s="3"/>
      <c r="K506" s="3"/>
      <c r="L506" s="3"/>
      <c r="M506" s="3"/>
      <c r="N506" s="3"/>
    </row>
    <row r="507" spans="5:14" ht="14.25">
      <c r="E507" s="3"/>
      <c r="F507" s="3"/>
      <c r="G507" s="3"/>
      <c r="H507" s="10"/>
      <c r="I507" s="10"/>
      <c r="J507" s="3"/>
      <c r="K507" s="3"/>
      <c r="L507" s="3"/>
      <c r="M507" s="3"/>
      <c r="N507" s="3"/>
    </row>
    <row r="508" spans="5:14" ht="14.25">
      <c r="E508" s="3"/>
      <c r="F508" s="3"/>
      <c r="G508" s="3"/>
      <c r="H508" s="10"/>
      <c r="I508" s="10"/>
      <c r="J508" s="3"/>
      <c r="K508" s="3"/>
      <c r="L508" s="3"/>
      <c r="M508" s="3"/>
      <c r="N508" s="3"/>
    </row>
    <row r="509" spans="5:14" ht="14.25">
      <c r="E509" s="3"/>
      <c r="F509" s="3"/>
      <c r="G509" s="3"/>
      <c r="H509" s="10"/>
      <c r="I509" s="10"/>
      <c r="J509" s="3"/>
      <c r="K509" s="3"/>
      <c r="L509" s="3"/>
      <c r="M509" s="3"/>
      <c r="N509" s="3"/>
    </row>
    <row r="510" spans="5:14" ht="14.25">
      <c r="E510" s="3"/>
      <c r="F510" s="3"/>
      <c r="G510" s="3"/>
      <c r="H510" s="10"/>
      <c r="I510" s="10"/>
      <c r="J510" s="3"/>
      <c r="K510" s="3"/>
      <c r="L510" s="3"/>
      <c r="M510" s="3"/>
      <c r="N510" s="3"/>
    </row>
    <row r="511" spans="5:14" ht="14.25">
      <c r="E511" s="3"/>
      <c r="F511" s="3"/>
      <c r="G511" s="3"/>
      <c r="H511" s="10"/>
      <c r="I511" s="10"/>
      <c r="J511" s="3"/>
      <c r="K511" s="3"/>
      <c r="L511" s="3"/>
      <c r="M511" s="3"/>
      <c r="N511" s="3"/>
    </row>
    <row r="512" spans="5:14" ht="14.25">
      <c r="E512" s="3"/>
      <c r="F512" s="3"/>
      <c r="G512" s="3"/>
      <c r="H512" s="10"/>
      <c r="I512" s="10"/>
      <c r="J512" s="3"/>
      <c r="K512" s="3"/>
      <c r="L512" s="3"/>
      <c r="M512" s="3"/>
      <c r="N512" s="3"/>
    </row>
    <row r="513" spans="5:14" ht="14.25">
      <c r="E513" s="3"/>
      <c r="F513" s="3"/>
      <c r="G513" s="3"/>
      <c r="H513" s="10"/>
      <c r="I513" s="10"/>
      <c r="J513" s="3"/>
      <c r="K513" s="3"/>
      <c r="L513" s="3"/>
      <c r="M513" s="3"/>
      <c r="N513" s="3"/>
    </row>
    <row r="514" spans="5:14" ht="14.25">
      <c r="E514" s="3"/>
      <c r="F514" s="3"/>
      <c r="G514" s="3"/>
      <c r="H514" s="10"/>
      <c r="I514" s="10"/>
      <c r="J514" s="3"/>
      <c r="K514" s="3"/>
      <c r="L514" s="3"/>
      <c r="M514" s="3"/>
      <c r="N514" s="3"/>
    </row>
    <row r="515" spans="5:14" ht="14.25">
      <c r="E515" s="3"/>
      <c r="F515" s="3"/>
      <c r="G515" s="3"/>
      <c r="H515" s="10"/>
      <c r="I515" s="10"/>
      <c r="J515" s="3"/>
      <c r="K515" s="3"/>
      <c r="L515" s="3"/>
      <c r="M515" s="3"/>
      <c r="N515" s="3"/>
    </row>
    <row r="516" spans="5:14" ht="14.25">
      <c r="E516" s="3"/>
      <c r="F516" s="3"/>
      <c r="G516" s="3"/>
      <c r="H516" s="10"/>
      <c r="I516" s="10"/>
      <c r="J516" s="3"/>
      <c r="K516" s="3"/>
      <c r="L516" s="3"/>
      <c r="M516" s="3"/>
      <c r="N516" s="3"/>
    </row>
    <row r="517" spans="5:14" ht="14.25">
      <c r="E517" s="3"/>
      <c r="F517" s="3"/>
      <c r="G517" s="3"/>
      <c r="H517" s="10"/>
      <c r="I517" s="10"/>
      <c r="J517" s="3"/>
      <c r="K517" s="3"/>
      <c r="L517" s="3"/>
      <c r="M517" s="3"/>
      <c r="N517" s="3"/>
    </row>
    <row r="518" spans="5:14" ht="14.25">
      <c r="E518" s="3"/>
      <c r="F518" s="3"/>
      <c r="G518" s="3"/>
      <c r="H518" s="10"/>
      <c r="I518" s="10"/>
      <c r="J518" s="3"/>
      <c r="K518" s="3"/>
      <c r="L518" s="3"/>
      <c r="M518" s="3"/>
      <c r="N518" s="3"/>
    </row>
    <row r="519" spans="5:14" ht="14.25">
      <c r="E519" s="3"/>
      <c r="F519" s="3"/>
      <c r="G519" s="3"/>
      <c r="H519" s="10"/>
      <c r="I519" s="10"/>
      <c r="J519" s="3"/>
      <c r="K519" s="3"/>
      <c r="L519" s="3"/>
      <c r="M519" s="3"/>
      <c r="N519" s="3"/>
    </row>
    <row r="520" spans="5:14" ht="14.25">
      <c r="E520" s="3"/>
      <c r="F520" s="3"/>
      <c r="G520" s="3"/>
      <c r="H520" s="10"/>
      <c r="I520" s="10"/>
      <c r="J520" s="3"/>
      <c r="K520" s="3"/>
      <c r="L520" s="3"/>
      <c r="M520" s="3"/>
      <c r="N520" s="3"/>
    </row>
    <row r="521" spans="5:14" ht="14.25">
      <c r="E521" s="3"/>
      <c r="F521" s="3"/>
      <c r="G521" s="3"/>
      <c r="H521" s="10"/>
      <c r="I521" s="10"/>
      <c r="J521" s="3"/>
      <c r="K521" s="3"/>
      <c r="L521" s="3"/>
      <c r="M521" s="3"/>
      <c r="N521" s="3"/>
    </row>
    <row r="522" spans="5:14" ht="14.25">
      <c r="E522" s="3"/>
      <c r="F522" s="3"/>
      <c r="G522" s="3"/>
      <c r="H522" s="10"/>
      <c r="I522" s="10"/>
      <c r="J522" s="3"/>
      <c r="K522" s="3"/>
      <c r="L522" s="3"/>
      <c r="M522" s="3"/>
      <c r="N522" s="3"/>
    </row>
  </sheetData>
  <mergeCells count="22">
    <mergeCell ref="A152:D152"/>
    <mergeCell ref="A154:D154"/>
    <mergeCell ref="A112:D112"/>
    <mergeCell ref="A130:D130"/>
    <mergeCell ref="A141:D141"/>
    <mergeCell ref="A151:D151"/>
    <mergeCell ref="E9:G9"/>
    <mergeCell ref="J9:L9"/>
    <mergeCell ref="O9:AC9"/>
    <mergeCell ref="E10:G10"/>
    <mergeCell ref="J10:L10"/>
    <mergeCell ref="O10:Q10"/>
    <mergeCell ref="R10:T10"/>
    <mergeCell ref="U10:W10"/>
    <mergeCell ref="A5:AC5"/>
    <mergeCell ref="E8:G8"/>
    <mergeCell ref="J8:L8"/>
    <mergeCell ref="O8:AC8"/>
    <mergeCell ref="A1:N1"/>
    <mergeCell ref="A2:N2"/>
    <mergeCell ref="A3:AC3"/>
    <mergeCell ref="A4:AC4"/>
  </mergeCells>
  <printOptions/>
  <pageMargins left="0.75" right="0.75" top="1" bottom="1" header="0.5" footer="0.5"/>
  <pageSetup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3"/>
  <sheetViews>
    <sheetView view="pageBreakPreview" zoomScale="60" workbookViewId="0" topLeftCell="A5">
      <selection activeCell="G19" sqref="G19"/>
    </sheetView>
  </sheetViews>
  <sheetFormatPr defaultColWidth="9.140625" defaultRowHeight="12.75"/>
  <cols>
    <col min="1" max="1" width="14.140625" style="11" bestFit="1" customWidth="1"/>
    <col min="2" max="2" width="9.140625" style="11" customWidth="1"/>
    <col min="3" max="3" width="12.57421875" style="11" customWidth="1"/>
    <col min="4" max="4" width="29.8515625" style="11" customWidth="1"/>
    <col min="5" max="5" width="17.140625" style="0" customWidth="1"/>
    <col min="6" max="6" width="17.00390625" style="0" customWidth="1"/>
    <col min="7" max="7" width="18.00390625" style="0" customWidth="1"/>
  </cols>
  <sheetData>
    <row r="1" spans="1:4" ht="12.75">
      <c r="A1"/>
      <c r="B1"/>
      <c r="C1"/>
      <c r="D1"/>
    </row>
    <row r="2" spans="1:4" ht="12.75">
      <c r="A2"/>
      <c r="B2"/>
      <c r="C2"/>
      <c r="D2"/>
    </row>
    <row r="3" spans="1:7" ht="12.75">
      <c r="A3" s="242" t="s">
        <v>57</v>
      </c>
      <c r="B3" s="242"/>
      <c r="C3" s="242"/>
      <c r="D3" s="242"/>
      <c r="E3" s="242"/>
      <c r="F3" s="242"/>
      <c r="G3" s="242"/>
    </row>
    <row r="4" spans="1:7" ht="12.75">
      <c r="A4" s="242" t="s">
        <v>221</v>
      </c>
      <c r="B4" s="242"/>
      <c r="C4" s="242"/>
      <c r="D4" s="242"/>
      <c r="E4" s="242"/>
      <c r="F4" s="242"/>
      <c r="G4" s="242"/>
    </row>
    <row r="5" spans="1:7" ht="12.75">
      <c r="A5" s="242"/>
      <c r="B5" s="242"/>
      <c r="C5" s="242"/>
      <c r="D5" s="242"/>
      <c r="E5" s="242"/>
      <c r="F5" s="242"/>
      <c r="G5" s="242"/>
    </row>
    <row r="6" spans="1:4" ht="10.5" customHeight="1">
      <c r="A6"/>
      <c r="B6"/>
      <c r="C6"/>
      <c r="D6"/>
    </row>
    <row r="7" spans="1:4" ht="9" customHeight="1" hidden="1">
      <c r="A7" s="4"/>
      <c r="B7" s="4"/>
      <c r="C7" s="5"/>
      <c r="D7" s="5"/>
    </row>
    <row r="8" spans="1:7" ht="46.5" customHeight="1">
      <c r="A8" s="8"/>
      <c r="B8" s="9"/>
      <c r="C8" s="10"/>
      <c r="D8" s="5"/>
      <c r="E8" s="243" t="s">
        <v>222</v>
      </c>
      <c r="F8" s="244" t="s">
        <v>223</v>
      </c>
      <c r="G8" s="241" t="s">
        <v>220</v>
      </c>
    </row>
    <row r="9" spans="1:4" ht="14.25" hidden="1">
      <c r="A9" s="8"/>
      <c r="C9" s="10"/>
      <c r="D9" s="10"/>
    </row>
    <row r="10" spans="1:4" ht="14.25" hidden="1">
      <c r="A10" s="8"/>
      <c r="C10" s="10"/>
      <c r="D10" s="3"/>
    </row>
    <row r="11" spans="3:4" ht="14.25" hidden="1">
      <c r="C11" s="10"/>
      <c r="D11" s="3"/>
    </row>
    <row r="12" spans="1:7" ht="15">
      <c r="A12" s="230" t="s">
        <v>1</v>
      </c>
      <c r="B12" s="2"/>
      <c r="C12" s="2"/>
      <c r="D12" s="100"/>
      <c r="E12" s="26" t="s">
        <v>4</v>
      </c>
      <c r="F12" s="37" t="s">
        <v>4</v>
      </c>
      <c r="G12" s="37" t="s">
        <v>4</v>
      </c>
    </row>
    <row r="13" spans="1:7" ht="14.25">
      <c r="A13" s="50" t="s">
        <v>38</v>
      </c>
      <c r="B13" s="50"/>
      <c r="C13" s="50"/>
      <c r="D13" s="231"/>
      <c r="E13" s="48">
        <f>SUM(E14:E15)</f>
        <v>104780</v>
      </c>
      <c r="F13" s="48" t="e">
        <f>SUM(F14:F15)</f>
        <v>#REF!</v>
      </c>
      <c r="G13" s="48" t="e">
        <f>SUM(G14:G15)</f>
        <v>#REF!</v>
      </c>
    </row>
    <row r="14" spans="1:7" ht="14.25">
      <c r="A14" s="76" t="s">
        <v>9</v>
      </c>
      <c r="B14" s="2"/>
      <c r="C14" s="2"/>
      <c r="D14" s="100"/>
      <c r="E14" s="68">
        <f>+'FY 07 PB '!AC13</f>
        <v>104780</v>
      </c>
      <c r="F14" s="62" t="e">
        <f>+#REF!</f>
        <v>#REF!</v>
      </c>
      <c r="G14" s="240" t="e">
        <f aca="true" t="shared" si="0" ref="G14:G20">+F14-E14</f>
        <v>#REF!</v>
      </c>
    </row>
    <row r="15" spans="1:7" ht="14.25">
      <c r="A15" s="64" t="s">
        <v>168</v>
      </c>
      <c r="B15" s="2"/>
      <c r="C15" s="2"/>
      <c r="D15" s="100"/>
      <c r="E15" s="68">
        <f>+'FY 07 PB '!AC14</f>
        <v>0</v>
      </c>
      <c r="F15" s="62" t="e">
        <f>+#REF!</f>
        <v>#REF!</v>
      </c>
      <c r="G15" s="240" t="e">
        <f t="shared" si="0"/>
        <v>#REF!</v>
      </c>
    </row>
    <row r="16" spans="1:7" ht="14.25">
      <c r="A16" s="2" t="s">
        <v>105</v>
      </c>
      <c r="B16" s="2"/>
      <c r="C16" s="2"/>
      <c r="D16" s="100"/>
      <c r="E16" s="68">
        <f>+'FY 07 PB '!AC15</f>
        <v>0</v>
      </c>
      <c r="F16" s="62" t="e">
        <f>+#REF!</f>
        <v>#REF!</v>
      </c>
      <c r="G16" s="240" t="e">
        <f t="shared" si="0"/>
        <v>#REF!</v>
      </c>
    </row>
    <row r="17" spans="1:7" ht="14.25">
      <c r="A17" s="2" t="s">
        <v>180</v>
      </c>
      <c r="B17" s="2"/>
      <c r="C17" s="2"/>
      <c r="D17" s="100"/>
      <c r="E17" s="68">
        <f>+'FY 07 PB '!AC16</f>
        <v>129131</v>
      </c>
      <c r="F17" s="62" t="e">
        <f>+#REF!</f>
        <v>#REF!</v>
      </c>
      <c r="G17" s="240" t="e">
        <f t="shared" si="0"/>
        <v>#REF!</v>
      </c>
    </row>
    <row r="18" spans="1:7" ht="14.25">
      <c r="A18" s="2" t="s">
        <v>74</v>
      </c>
      <c r="B18" s="2"/>
      <c r="C18" s="2"/>
      <c r="D18" s="100"/>
      <c r="E18" s="68">
        <f>+'FY 07 PB '!AC17</f>
        <v>1334508</v>
      </c>
      <c r="F18" s="62" t="e">
        <f>+#REF!</f>
        <v>#REF!</v>
      </c>
      <c r="G18" s="240" t="e">
        <f t="shared" si="0"/>
        <v>#REF!</v>
      </c>
    </row>
    <row r="19" spans="1:7" ht="14.25">
      <c r="A19" s="76" t="s">
        <v>104</v>
      </c>
      <c r="B19" s="2"/>
      <c r="C19" s="2"/>
      <c r="D19" s="100"/>
      <c r="E19" s="68">
        <f>+'FY 07 PB '!AC18</f>
        <v>0</v>
      </c>
      <c r="F19" s="62" t="e">
        <f>+#REF!</f>
        <v>#REF!</v>
      </c>
      <c r="G19" s="240" t="e">
        <f t="shared" si="0"/>
        <v>#REF!</v>
      </c>
    </row>
    <row r="20" spans="1:7" ht="14.25">
      <c r="A20" s="2" t="s">
        <v>184</v>
      </c>
      <c r="B20" s="2"/>
      <c r="C20" s="2"/>
      <c r="D20" s="100"/>
      <c r="E20" s="68">
        <f>+'FY 07 PB '!AC19</f>
        <v>89387</v>
      </c>
      <c r="F20" s="62" t="e">
        <f>+#REF!</f>
        <v>#REF!</v>
      </c>
      <c r="G20" s="240" t="e">
        <f t="shared" si="0"/>
        <v>#REF!</v>
      </c>
    </row>
    <row r="21" spans="1:7" ht="14.25">
      <c r="A21" s="50" t="s">
        <v>22</v>
      </c>
      <c r="B21" s="50"/>
      <c r="C21" s="50"/>
      <c r="D21" s="231"/>
      <c r="E21" s="72">
        <f>SUM(E22:E23)</f>
        <v>0</v>
      </c>
      <c r="F21" s="72" t="e">
        <f>SUM(F22:F23)</f>
        <v>#REF!</v>
      </c>
      <c r="G21" s="72" t="e">
        <f>SUM(G22:G23)</f>
        <v>#REF!</v>
      </c>
    </row>
    <row r="22" spans="1:7" ht="14.25">
      <c r="A22" s="232" t="s">
        <v>206</v>
      </c>
      <c r="B22" s="232"/>
      <c r="C22" s="232"/>
      <c r="D22" s="233"/>
      <c r="E22" s="68">
        <f>+'FY 07 PB '!AC21</f>
        <v>0</v>
      </c>
      <c r="F22" s="62" t="e">
        <f>+#REF!</f>
        <v>#REF!</v>
      </c>
      <c r="G22" s="240" t="e">
        <f aca="true" t="shared" si="1" ref="G22:G33">+F22-E22</f>
        <v>#REF!</v>
      </c>
    </row>
    <row r="23" spans="1:7" ht="14.25">
      <c r="A23" s="76" t="s">
        <v>106</v>
      </c>
      <c r="B23" s="76"/>
      <c r="C23" s="76"/>
      <c r="D23" s="234"/>
      <c r="E23" s="68">
        <f>+'FY 07 PB '!AC22</f>
        <v>0</v>
      </c>
      <c r="F23" s="62" t="e">
        <f>+#REF!</f>
        <v>#REF!</v>
      </c>
      <c r="G23" s="240" t="e">
        <f t="shared" si="1"/>
        <v>#REF!</v>
      </c>
    </row>
    <row r="24" spans="1:7" ht="14.25">
      <c r="A24" s="50" t="s">
        <v>35</v>
      </c>
      <c r="B24" s="50"/>
      <c r="C24" s="50"/>
      <c r="D24" s="231"/>
      <c r="E24" s="68">
        <f>+'FY 07 PB '!AC23</f>
        <v>248683</v>
      </c>
      <c r="F24" s="62" t="e">
        <f>+#REF!</f>
        <v>#REF!</v>
      </c>
      <c r="G24" s="240" t="e">
        <f t="shared" si="1"/>
        <v>#REF!</v>
      </c>
    </row>
    <row r="25" spans="1:7" ht="14.25">
      <c r="A25" s="76" t="s">
        <v>130</v>
      </c>
      <c r="B25" s="2"/>
      <c r="C25" s="2"/>
      <c r="D25" s="100"/>
      <c r="E25" s="68">
        <f>+'FY 07 PB '!AC24</f>
        <v>0</v>
      </c>
      <c r="F25" s="62" t="e">
        <f>+#REF!</f>
        <v>#REF!</v>
      </c>
      <c r="G25" s="240" t="e">
        <f t="shared" si="1"/>
        <v>#REF!</v>
      </c>
    </row>
    <row r="26" spans="1:7" ht="14.25">
      <c r="A26" s="76" t="s">
        <v>131</v>
      </c>
      <c r="B26" s="2"/>
      <c r="C26" s="2"/>
      <c r="D26" s="100"/>
      <c r="E26" s="68">
        <f>+'FY 07 PB '!AC25</f>
        <v>0</v>
      </c>
      <c r="F26" s="62" t="e">
        <f>+#REF!</f>
        <v>#REF!</v>
      </c>
      <c r="G26" s="240" t="e">
        <f t="shared" si="1"/>
        <v>#REF!</v>
      </c>
    </row>
    <row r="27" spans="1:7" ht="14.25">
      <c r="A27" s="2" t="s">
        <v>132</v>
      </c>
      <c r="B27" s="2"/>
      <c r="C27" s="2"/>
      <c r="D27" s="100"/>
      <c r="E27" s="68">
        <f>+'FY 07 PB '!AC26</f>
        <v>73870</v>
      </c>
      <c r="F27" s="62" t="e">
        <f>+#REF!</f>
        <v>#REF!</v>
      </c>
      <c r="G27" s="240" t="e">
        <f t="shared" si="1"/>
        <v>#REF!</v>
      </c>
    </row>
    <row r="28" spans="1:7" ht="14.25">
      <c r="A28" s="50" t="s">
        <v>73</v>
      </c>
      <c r="B28" s="50"/>
      <c r="C28" s="50"/>
      <c r="D28" s="231"/>
      <c r="E28" s="68">
        <f>+'FY 07 PB '!AC27</f>
        <v>0</v>
      </c>
      <c r="F28" s="62" t="e">
        <f>+#REF!</f>
        <v>#REF!</v>
      </c>
      <c r="G28" s="240" t="e">
        <f t="shared" si="1"/>
        <v>#REF!</v>
      </c>
    </row>
    <row r="29" spans="1:7" ht="14.25">
      <c r="A29" s="76" t="s">
        <v>133</v>
      </c>
      <c r="B29" s="2"/>
      <c r="C29" s="2"/>
      <c r="D29" s="100"/>
      <c r="E29" s="68">
        <f>+'FY 07 PB '!AC28</f>
        <v>0</v>
      </c>
      <c r="F29" s="62" t="e">
        <f>+#REF!</f>
        <v>#REF!</v>
      </c>
      <c r="G29" s="240" t="e">
        <f t="shared" si="1"/>
        <v>#REF!</v>
      </c>
    </row>
    <row r="30" spans="1:7" ht="14.25">
      <c r="A30" s="76" t="s">
        <v>107</v>
      </c>
      <c r="B30" s="76"/>
      <c r="C30" s="76"/>
      <c r="D30" s="234"/>
      <c r="E30" s="68">
        <f>+'FY 07 PB '!AC29</f>
        <v>0</v>
      </c>
      <c r="F30" s="62" t="e">
        <f>+#REF!</f>
        <v>#REF!</v>
      </c>
      <c r="G30" s="240" t="e">
        <f t="shared" si="1"/>
        <v>#REF!</v>
      </c>
    </row>
    <row r="31" spans="1:7" ht="14.25">
      <c r="A31" s="76" t="s">
        <v>108</v>
      </c>
      <c r="B31" s="76"/>
      <c r="C31" s="76"/>
      <c r="D31" s="234"/>
      <c r="E31" s="68">
        <f>+'FY 07 PB '!AC30</f>
        <v>0</v>
      </c>
      <c r="F31" s="62" t="e">
        <f>+#REF!</f>
        <v>#REF!</v>
      </c>
      <c r="G31" s="240" t="e">
        <f t="shared" si="1"/>
        <v>#REF!</v>
      </c>
    </row>
    <row r="32" spans="1:7" ht="14.25">
      <c r="A32" s="2" t="s">
        <v>39</v>
      </c>
      <c r="B32" s="2"/>
      <c r="C32" s="2"/>
      <c r="D32" s="100"/>
      <c r="E32" s="68">
        <f>+'FY 07 PB '!AC31</f>
        <v>12711</v>
      </c>
      <c r="F32" s="62" t="e">
        <f>+#REF!</f>
        <v>#REF!</v>
      </c>
      <c r="G32" s="240" t="e">
        <f t="shared" si="1"/>
        <v>#REF!</v>
      </c>
    </row>
    <row r="33" spans="1:7" ht="14.25">
      <c r="A33" s="88" t="s">
        <v>148</v>
      </c>
      <c r="B33" s="2"/>
      <c r="C33" s="2"/>
      <c r="D33" s="100"/>
      <c r="E33" s="68">
        <f>+'FY 07 PB '!AC32</f>
        <v>78287</v>
      </c>
      <c r="F33" s="62" t="e">
        <f>+#REF!</f>
        <v>#REF!</v>
      </c>
      <c r="G33" s="240" t="e">
        <f t="shared" si="1"/>
        <v>#REF!</v>
      </c>
    </row>
    <row r="34" spans="1:7" ht="14.25">
      <c r="A34" s="50" t="s">
        <v>40</v>
      </c>
      <c r="B34" s="50"/>
      <c r="C34" s="50"/>
      <c r="D34" s="231"/>
      <c r="E34" s="79">
        <f>SUM(E35:E43)</f>
        <v>736280</v>
      </c>
      <c r="F34" s="79" t="e">
        <f>SUM(F35:F43)</f>
        <v>#REF!</v>
      </c>
      <c r="G34" s="79" t="e">
        <f>SUM(G35:G43)</f>
        <v>#REF!</v>
      </c>
    </row>
    <row r="35" spans="1:7" ht="14.25">
      <c r="A35" s="76" t="s">
        <v>41</v>
      </c>
      <c r="B35" s="2"/>
      <c r="C35" s="2"/>
      <c r="D35" s="100"/>
      <c r="E35" s="68">
        <f>+'FY 07 PB '!AC34</f>
        <v>10578</v>
      </c>
      <c r="F35" s="62" t="e">
        <f>+#REF!</f>
        <v>#REF!</v>
      </c>
      <c r="G35" s="240" t="e">
        <f aca="true" t="shared" si="2" ref="G35:G43">+F35-E35</f>
        <v>#REF!</v>
      </c>
    </row>
    <row r="36" spans="1:7" ht="14.25">
      <c r="A36" s="76" t="s">
        <v>23</v>
      </c>
      <c r="B36" s="2"/>
      <c r="C36" s="2"/>
      <c r="D36" s="100"/>
      <c r="E36" s="68">
        <f>+'FY 07 PB '!AC35</f>
        <v>94061</v>
      </c>
      <c r="F36" s="62" t="e">
        <f>+#REF!</f>
        <v>#REF!</v>
      </c>
      <c r="G36" s="240" t="e">
        <f t="shared" si="2"/>
        <v>#REF!</v>
      </c>
    </row>
    <row r="37" spans="1:7" ht="14.25">
      <c r="A37" s="232" t="s">
        <v>24</v>
      </c>
      <c r="B37" s="2"/>
      <c r="C37" s="2"/>
      <c r="D37" s="100"/>
      <c r="E37" s="68">
        <f>+'FY 07 PB '!AC36</f>
        <v>147625</v>
      </c>
      <c r="F37" s="62" t="e">
        <f>+#REF!</f>
        <v>#REF!</v>
      </c>
      <c r="G37" s="240" t="e">
        <f t="shared" si="2"/>
        <v>#REF!</v>
      </c>
    </row>
    <row r="38" spans="1:7" ht="14.25">
      <c r="A38" s="76" t="s">
        <v>42</v>
      </c>
      <c r="B38" s="2"/>
      <c r="C38" s="2"/>
      <c r="D38" s="100"/>
      <c r="E38" s="68">
        <f>+'FY 07 PB '!AC37</f>
        <v>237873</v>
      </c>
      <c r="F38" s="62" t="e">
        <f>+#REF!</f>
        <v>#REF!</v>
      </c>
      <c r="G38" s="240" t="e">
        <f t="shared" si="2"/>
        <v>#REF!</v>
      </c>
    </row>
    <row r="39" spans="1:7" ht="14.25">
      <c r="A39" s="76" t="s">
        <v>25</v>
      </c>
      <c r="B39" s="2"/>
      <c r="C39" s="2"/>
      <c r="D39" s="100"/>
      <c r="E39" s="68">
        <f>+'FY 07 PB '!AC38</f>
        <v>98555</v>
      </c>
      <c r="F39" s="62" t="e">
        <f>+#REF!</f>
        <v>#REF!</v>
      </c>
      <c r="G39" s="240" t="e">
        <f t="shared" si="2"/>
        <v>#REF!</v>
      </c>
    </row>
    <row r="40" spans="1:7" ht="14.25">
      <c r="A40" s="76" t="s">
        <v>43</v>
      </c>
      <c r="B40" s="2"/>
      <c r="C40" s="2"/>
      <c r="D40" s="100"/>
      <c r="E40" s="68">
        <f>+'FY 07 PB '!AC39</f>
        <v>6516</v>
      </c>
      <c r="F40" s="62" t="e">
        <f>+#REF!</f>
        <v>#REF!</v>
      </c>
      <c r="G40" s="240" t="e">
        <f t="shared" si="2"/>
        <v>#REF!</v>
      </c>
    </row>
    <row r="41" spans="1:7" ht="14.25">
      <c r="A41" s="76" t="s">
        <v>44</v>
      </c>
      <c r="B41" s="2"/>
      <c r="C41" s="2"/>
      <c r="D41" s="100"/>
      <c r="E41" s="68">
        <f>+'FY 07 PB '!AC40</f>
        <v>117328</v>
      </c>
      <c r="F41" s="62" t="e">
        <f>+#REF!</f>
        <v>#REF!</v>
      </c>
      <c r="G41" s="240" t="e">
        <f t="shared" si="2"/>
        <v>#REF!</v>
      </c>
    </row>
    <row r="42" spans="1:7" ht="14.25">
      <c r="A42" s="76" t="s">
        <v>6</v>
      </c>
      <c r="B42" s="2"/>
      <c r="C42" s="2"/>
      <c r="D42" s="100"/>
      <c r="E42" s="68">
        <f>+'FY 07 PB '!AC41</f>
        <v>23139</v>
      </c>
      <c r="F42" s="62" t="e">
        <f>+#REF!</f>
        <v>#REF!</v>
      </c>
      <c r="G42" s="240" t="e">
        <f t="shared" si="2"/>
        <v>#REF!</v>
      </c>
    </row>
    <row r="43" spans="1:7" ht="14.25">
      <c r="A43" s="76" t="s">
        <v>109</v>
      </c>
      <c r="B43" s="2"/>
      <c r="C43" s="2"/>
      <c r="D43" s="100"/>
      <c r="E43" s="68">
        <f>+'FY 07 PB '!AC42</f>
        <v>605</v>
      </c>
      <c r="F43" s="62" t="e">
        <f>+#REF!</f>
        <v>#REF!</v>
      </c>
      <c r="G43" s="240" t="e">
        <f t="shared" si="2"/>
        <v>#REF!</v>
      </c>
    </row>
    <row r="44" spans="1:7" ht="14.25">
      <c r="A44" s="2" t="s">
        <v>110</v>
      </c>
      <c r="B44" s="2"/>
      <c r="C44" s="2"/>
      <c r="D44" s="100"/>
      <c r="E44" s="219" t="s">
        <v>200</v>
      </c>
      <c r="F44" s="97" t="s">
        <v>200</v>
      </c>
      <c r="G44" s="240">
        <v>0</v>
      </c>
    </row>
    <row r="45" spans="1:7" ht="14.25">
      <c r="A45" s="2" t="s">
        <v>111</v>
      </c>
      <c r="B45" s="2"/>
      <c r="C45" s="2"/>
      <c r="D45" s="100"/>
      <c r="E45" s="68">
        <f>+'FY 07 PB '!AC44</f>
        <v>0</v>
      </c>
      <c r="F45" s="62" t="e">
        <f>+#REF!</f>
        <v>#REF!</v>
      </c>
      <c r="G45" s="240" t="e">
        <f aca="true" t="shared" si="3" ref="G45:G52">+F45-E45</f>
        <v>#REF!</v>
      </c>
    </row>
    <row r="46" spans="1:7" ht="14.25">
      <c r="A46" s="2" t="s">
        <v>45</v>
      </c>
      <c r="B46" s="2"/>
      <c r="C46" s="2"/>
      <c r="D46" s="100"/>
      <c r="E46" s="68">
        <f>+'FY 07 PB '!AC45</f>
        <v>155749</v>
      </c>
      <c r="F46" s="62" t="e">
        <f>+#REF!</f>
        <v>#REF!</v>
      </c>
      <c r="G46" s="240" t="e">
        <f t="shared" si="3"/>
        <v>#REF!</v>
      </c>
    </row>
    <row r="47" spans="1:7" ht="14.25">
      <c r="A47" s="2" t="s">
        <v>134</v>
      </c>
      <c r="B47" s="2"/>
      <c r="C47" s="2"/>
      <c r="D47" s="100"/>
      <c r="E47" s="68">
        <f>+'FY 07 PB '!AC46</f>
        <v>-136290</v>
      </c>
      <c r="F47" s="62" t="e">
        <f>+#REF!</f>
        <v>#REF!</v>
      </c>
      <c r="G47" s="240" t="e">
        <f t="shared" si="3"/>
        <v>#REF!</v>
      </c>
    </row>
    <row r="48" spans="1:7" ht="14.25">
      <c r="A48" s="2" t="s">
        <v>7</v>
      </c>
      <c r="B48" s="2"/>
      <c r="C48" s="2"/>
      <c r="D48" s="100"/>
      <c r="E48" s="68">
        <f>+'FY 07 PB '!AC47</f>
        <v>1751907</v>
      </c>
      <c r="F48" s="62" t="e">
        <f>+#REF!</f>
        <v>#REF!</v>
      </c>
      <c r="G48" s="240" t="e">
        <f t="shared" si="3"/>
        <v>#REF!</v>
      </c>
    </row>
    <row r="49" spans="1:7" ht="14.25">
      <c r="A49" s="2" t="s">
        <v>153</v>
      </c>
      <c r="B49" s="2"/>
      <c r="C49" s="2"/>
      <c r="D49" s="100"/>
      <c r="E49" s="68">
        <f>+'FY 07 PB '!AC48</f>
        <v>0</v>
      </c>
      <c r="F49" s="62" t="e">
        <f>+#REF!</f>
        <v>#REF!</v>
      </c>
      <c r="G49" s="240" t="e">
        <f t="shared" si="3"/>
        <v>#REF!</v>
      </c>
    </row>
    <row r="50" spans="1:7" ht="14.25">
      <c r="A50" s="2" t="s">
        <v>77</v>
      </c>
      <c r="B50" s="2"/>
      <c r="C50" s="2"/>
      <c r="D50" s="100"/>
      <c r="E50" s="68">
        <f>+'FY 07 PB '!AC49</f>
        <v>241819</v>
      </c>
      <c r="F50" s="62" t="e">
        <f>+#REF!</f>
        <v>#REF!</v>
      </c>
      <c r="G50" s="240" t="e">
        <f t="shared" si="3"/>
        <v>#REF!</v>
      </c>
    </row>
    <row r="51" spans="1:7" ht="14.25">
      <c r="A51" s="2" t="s">
        <v>112</v>
      </c>
      <c r="B51" s="2"/>
      <c r="C51" s="2"/>
      <c r="D51" s="100"/>
      <c r="E51" s="68">
        <f>+'FY 07 PB '!AC50</f>
        <v>-252189</v>
      </c>
      <c r="F51" s="62" t="e">
        <f>+#REF!</f>
        <v>#REF!</v>
      </c>
      <c r="G51" s="240" t="e">
        <f t="shared" si="3"/>
        <v>#REF!</v>
      </c>
    </row>
    <row r="52" spans="1:7" ht="14.25">
      <c r="A52" s="2" t="s">
        <v>8</v>
      </c>
      <c r="B52" s="2"/>
      <c r="C52" s="2"/>
      <c r="D52" s="100"/>
      <c r="E52" s="68">
        <f>+'FY 07 PB '!AC51</f>
        <v>1826</v>
      </c>
      <c r="F52" s="62" t="e">
        <f>+#REF!</f>
        <v>#REF!</v>
      </c>
      <c r="G52" s="240" t="e">
        <f t="shared" si="3"/>
        <v>#REF!</v>
      </c>
    </row>
    <row r="53" spans="1:7" ht="14.25">
      <c r="A53" s="50" t="s">
        <v>36</v>
      </c>
      <c r="B53" s="50"/>
      <c r="C53" s="50"/>
      <c r="D53" s="231"/>
      <c r="E53" s="72">
        <f>+E54+E55</f>
        <v>878804</v>
      </c>
      <c r="F53" s="72" t="e">
        <f>+F54+F55</f>
        <v>#REF!</v>
      </c>
      <c r="G53" s="72" t="e">
        <f>+G54+G55</f>
        <v>#REF!</v>
      </c>
    </row>
    <row r="54" spans="1:7" ht="14.25">
      <c r="A54" s="76" t="s">
        <v>9</v>
      </c>
      <c r="B54" s="2"/>
      <c r="C54" s="2"/>
      <c r="D54" s="100"/>
      <c r="E54" s="68">
        <f>+'FY 07 PB '!AC53</f>
        <v>877522</v>
      </c>
      <c r="F54" s="62" t="e">
        <f>+#REF!</f>
        <v>#REF!</v>
      </c>
      <c r="G54" s="240" t="e">
        <f>+F54-E54</f>
        <v>#REF!</v>
      </c>
    </row>
    <row r="55" spans="1:7" ht="14.25">
      <c r="A55" s="76" t="s">
        <v>113</v>
      </c>
      <c r="B55" s="2"/>
      <c r="C55" s="2"/>
      <c r="D55" s="100"/>
      <c r="E55" s="68">
        <f>+'FY 07 PB '!AC54</f>
        <v>1282</v>
      </c>
      <c r="F55" s="62" t="e">
        <f>+#REF!</f>
        <v>#REF!</v>
      </c>
      <c r="G55" s="240" t="e">
        <f>+F55-E55</f>
        <v>#REF!</v>
      </c>
    </row>
    <row r="56" spans="1:7" ht="14.25">
      <c r="A56" s="2" t="s">
        <v>10</v>
      </c>
      <c r="B56" s="2"/>
      <c r="C56" s="2"/>
      <c r="D56" s="100"/>
      <c r="E56" s="68">
        <f>+'FY 07 PB '!AC55</f>
        <v>10170</v>
      </c>
      <c r="F56" s="62" t="e">
        <f>+#REF!</f>
        <v>#REF!</v>
      </c>
      <c r="G56" s="240" t="e">
        <f>+F56-E56</f>
        <v>#REF!</v>
      </c>
    </row>
    <row r="57" spans="1:7" ht="14.25">
      <c r="A57" s="50" t="s">
        <v>37</v>
      </c>
      <c r="B57" s="50"/>
      <c r="C57" s="50"/>
      <c r="D57" s="231"/>
      <c r="E57" s="72">
        <f>SUM(E58:E58)</f>
        <v>21211</v>
      </c>
      <c r="F57" s="72" t="e">
        <f>SUM(F58:F58)</f>
        <v>#REF!</v>
      </c>
      <c r="G57" s="72" t="e">
        <f>SUM(G58:G58)</f>
        <v>#REF!</v>
      </c>
    </row>
    <row r="58" spans="1:7" ht="14.25">
      <c r="A58" s="76" t="s">
        <v>135</v>
      </c>
      <c r="B58" s="2"/>
      <c r="C58" s="2"/>
      <c r="D58" s="100"/>
      <c r="E58" s="68">
        <f>+'FY 07 PB '!AC57</f>
        <v>21211</v>
      </c>
      <c r="F58" s="62" t="e">
        <f>+#REF!</f>
        <v>#REF!</v>
      </c>
      <c r="G58" s="240" t="e">
        <f>+F58-E58</f>
        <v>#REF!</v>
      </c>
    </row>
    <row r="59" spans="1:7" ht="14.25">
      <c r="A59" s="2" t="s">
        <v>11</v>
      </c>
      <c r="B59" s="2"/>
      <c r="C59" s="2"/>
      <c r="D59" s="100"/>
      <c r="E59" s="68">
        <f>+'FY 07 PB '!AC58</f>
        <v>656284</v>
      </c>
      <c r="F59" s="62" t="e">
        <f>+#REF!</f>
        <v>#REF!</v>
      </c>
      <c r="G59" s="240" t="e">
        <f>+F59-E59</f>
        <v>#REF!</v>
      </c>
    </row>
    <row r="60" spans="1:7" ht="14.25">
      <c r="A60" s="2" t="s">
        <v>56</v>
      </c>
      <c r="B60" s="2"/>
      <c r="C60" s="2"/>
      <c r="D60" s="100"/>
      <c r="E60" s="68">
        <f>+'FY 07 PB '!AC59</f>
        <v>0</v>
      </c>
      <c r="F60" s="62" t="e">
        <f>+#REF!</f>
        <v>#REF!</v>
      </c>
      <c r="G60" s="240" t="e">
        <f>+F60-E60</f>
        <v>#REF!</v>
      </c>
    </row>
    <row r="61" spans="1:7" ht="14.25">
      <c r="A61" s="50" t="s">
        <v>12</v>
      </c>
      <c r="B61" s="50"/>
      <c r="C61" s="50"/>
      <c r="D61" s="231"/>
      <c r="E61" s="78">
        <f>SUM(E62:E65)</f>
        <v>6442242</v>
      </c>
      <c r="F61" s="77" t="e">
        <f>SUM(F62:F65)</f>
        <v>#REF!</v>
      </c>
      <c r="G61" s="77" t="e">
        <f>SUM(G62:G65)</f>
        <v>#REF!</v>
      </c>
    </row>
    <row r="62" spans="1:7" ht="14.25">
      <c r="A62" s="76" t="s">
        <v>114</v>
      </c>
      <c r="B62" s="2"/>
      <c r="C62" s="2"/>
      <c r="D62" s="100"/>
      <c r="E62" s="68">
        <f>+'FY 07 PB '!AC61</f>
        <v>6409051</v>
      </c>
      <c r="F62" s="62" t="e">
        <f>+#REF!</f>
        <v>#REF!</v>
      </c>
      <c r="G62" s="240" t="e">
        <f aca="true" t="shared" si="4" ref="G62:G67">+F62-E62</f>
        <v>#REF!</v>
      </c>
    </row>
    <row r="63" spans="1:7" ht="14.25">
      <c r="A63" s="2" t="s">
        <v>138</v>
      </c>
      <c r="B63" s="2"/>
      <c r="C63" s="2"/>
      <c r="D63" s="100"/>
      <c r="E63" s="68">
        <f>+'FY 07 PB '!AC62</f>
        <v>0</v>
      </c>
      <c r="F63" s="62" t="e">
        <f>+#REF!</f>
        <v>#REF!</v>
      </c>
      <c r="G63" s="240" t="e">
        <f t="shared" si="4"/>
        <v>#REF!</v>
      </c>
    </row>
    <row r="64" spans="1:7" ht="14.25">
      <c r="A64" s="76" t="s">
        <v>156</v>
      </c>
      <c r="B64" s="2"/>
      <c r="C64" s="2"/>
      <c r="D64" s="100"/>
      <c r="E64" s="68">
        <f>+'FY 07 PB '!AC63</f>
        <v>0</v>
      </c>
      <c r="F64" s="62" t="e">
        <f>+#REF!</f>
        <v>#REF!</v>
      </c>
      <c r="G64" s="240" t="e">
        <f t="shared" si="4"/>
        <v>#REF!</v>
      </c>
    </row>
    <row r="65" spans="1:7" ht="14.25">
      <c r="A65" s="76" t="s">
        <v>115</v>
      </c>
      <c r="B65" s="2"/>
      <c r="C65" s="2"/>
      <c r="D65" s="100"/>
      <c r="E65" s="68">
        <f>+'FY 07 PB '!AC64</f>
        <v>33191</v>
      </c>
      <c r="F65" s="62" t="e">
        <f>+#REF!</f>
        <v>#REF!</v>
      </c>
      <c r="G65" s="240" t="e">
        <f t="shared" si="4"/>
        <v>#REF!</v>
      </c>
    </row>
    <row r="66" spans="1:7" ht="14.25">
      <c r="A66" s="88" t="s">
        <v>205</v>
      </c>
      <c r="B66" s="88"/>
      <c r="C66" s="88"/>
      <c r="D66" s="233"/>
      <c r="E66" s="68">
        <f>+'FY 07 PB '!AC65</f>
        <v>0</v>
      </c>
      <c r="F66" s="62" t="e">
        <f>+#REF!</f>
        <v>#REF!</v>
      </c>
      <c r="G66" s="240" t="e">
        <f t="shared" si="4"/>
        <v>#REF!</v>
      </c>
    </row>
    <row r="67" spans="1:7" ht="14.25">
      <c r="A67" s="88" t="s">
        <v>207</v>
      </c>
      <c r="B67" s="88"/>
      <c r="C67" s="88"/>
      <c r="D67" s="233"/>
      <c r="E67" s="68">
        <f>+'FY 07 PB '!AC66</f>
        <v>0</v>
      </c>
      <c r="F67" s="62" t="e">
        <f>+#REF!</f>
        <v>#REF!</v>
      </c>
      <c r="G67" s="240" t="e">
        <f t="shared" si="4"/>
        <v>#REF!</v>
      </c>
    </row>
    <row r="68" spans="1:7" ht="14.25">
      <c r="A68" s="50" t="s">
        <v>13</v>
      </c>
      <c r="B68" s="50"/>
      <c r="C68" s="50"/>
      <c r="D68" s="231"/>
      <c r="E68" s="72">
        <f>SUM(E69:E69)</f>
        <v>1779290</v>
      </c>
      <c r="F68" s="72" t="e">
        <f>SUM(F69:F69)</f>
        <v>#REF!</v>
      </c>
      <c r="G68" s="72" t="e">
        <f>SUM(G69:G69)</f>
        <v>#REF!</v>
      </c>
    </row>
    <row r="69" spans="1:7" ht="14.25">
      <c r="A69" s="76" t="s">
        <v>116</v>
      </c>
      <c r="B69" s="2"/>
      <c r="C69" s="2"/>
      <c r="D69" s="100"/>
      <c r="E69" s="68">
        <f>+'FY 07 PB '!AC68</f>
        <v>1779290</v>
      </c>
      <c r="F69" s="62" t="e">
        <f>+#REF!</f>
        <v>#REF!</v>
      </c>
      <c r="G69" s="240" t="e">
        <f>+F69-E69</f>
        <v>#REF!</v>
      </c>
    </row>
    <row r="70" spans="1:7" ht="14.25">
      <c r="A70" s="50" t="s">
        <v>34</v>
      </c>
      <c r="B70" s="50"/>
      <c r="C70" s="50"/>
      <c r="D70" s="231"/>
      <c r="E70" s="72">
        <f>SUM(E71:E72)</f>
        <v>871854</v>
      </c>
      <c r="F70" s="72" t="e">
        <f>SUM(F71:F72)</f>
        <v>#REF!</v>
      </c>
      <c r="G70" s="72" t="e">
        <f>SUM(G71:G72)</f>
        <v>#REF!</v>
      </c>
    </row>
    <row r="71" spans="1:7" ht="14.25">
      <c r="A71" s="76" t="s">
        <v>14</v>
      </c>
      <c r="B71" s="2"/>
      <c r="C71" s="2"/>
      <c r="D71" s="100"/>
      <c r="E71" s="68">
        <f>+'FY 07 PB '!AC70</f>
        <v>871854</v>
      </c>
      <c r="F71" s="62" t="e">
        <f>+#REF!</f>
        <v>#REF!</v>
      </c>
      <c r="G71" s="240" t="e">
        <f>+F71-E71</f>
        <v>#REF!</v>
      </c>
    </row>
    <row r="72" spans="1:7" ht="14.25">
      <c r="A72" s="2" t="s">
        <v>68</v>
      </c>
      <c r="B72" s="2"/>
      <c r="C72" s="2"/>
      <c r="D72" s="100"/>
      <c r="E72" s="68">
        <f>+'FY 07 PB '!AC71</f>
        <v>0</v>
      </c>
      <c r="F72" s="62" t="e">
        <f>+#REF!</f>
        <v>#REF!</v>
      </c>
      <c r="G72" s="240" t="e">
        <f>+F72-E72</f>
        <v>#REF!</v>
      </c>
    </row>
    <row r="73" spans="1:7" ht="14.25">
      <c r="A73" s="50" t="s">
        <v>15</v>
      </c>
      <c r="B73" s="50"/>
      <c r="C73" s="50"/>
      <c r="D73" s="231"/>
      <c r="E73" s="72">
        <f>SUM(E74:E76)</f>
        <v>5167418</v>
      </c>
      <c r="F73" s="72" t="e">
        <f>SUM(F74:F75)</f>
        <v>#REF!</v>
      </c>
      <c r="G73" s="72" t="e">
        <f>SUM(G74:G75)</f>
        <v>#REF!</v>
      </c>
    </row>
    <row r="74" spans="1:7" ht="14.25">
      <c r="A74" s="76" t="s">
        <v>16</v>
      </c>
      <c r="B74" s="2"/>
      <c r="C74" s="2"/>
      <c r="D74" s="100"/>
      <c r="E74" s="68">
        <f>+'FY 07 PB '!AC73</f>
        <v>5126353</v>
      </c>
      <c r="F74" s="62" t="e">
        <f>+#REF!</f>
        <v>#REF!</v>
      </c>
      <c r="G74" s="240" t="e">
        <f>+F74-E74</f>
        <v>#REF!</v>
      </c>
    </row>
    <row r="75" spans="1:7" ht="14.25">
      <c r="A75" s="76" t="s">
        <v>72</v>
      </c>
      <c r="B75" s="2"/>
      <c r="C75" s="2"/>
      <c r="D75" s="100"/>
      <c r="E75" s="68">
        <f>+'FY 07 PB '!AC74</f>
        <v>41065</v>
      </c>
      <c r="F75" s="62" t="e">
        <f>+#REF!</f>
        <v>#REF!</v>
      </c>
      <c r="G75" s="240" t="e">
        <f>+F75-E75</f>
        <v>#REF!</v>
      </c>
    </row>
    <row r="76" spans="1:7" ht="14.25">
      <c r="A76" s="76" t="s">
        <v>136</v>
      </c>
      <c r="B76" s="76"/>
      <c r="C76" s="76"/>
      <c r="D76" s="234"/>
      <c r="E76" s="68">
        <f>+'FY 07 PB '!AC75</f>
        <v>0</v>
      </c>
      <c r="F76" s="62" t="e">
        <f>+#REF!</f>
        <v>#REF!</v>
      </c>
      <c r="G76" s="240" t="e">
        <f>+F76-E76</f>
        <v>#REF!</v>
      </c>
    </row>
    <row r="77" spans="1:7" ht="14.25">
      <c r="A77" s="2" t="s">
        <v>76</v>
      </c>
      <c r="B77" s="76"/>
      <c r="C77" s="76"/>
      <c r="D77" s="234"/>
      <c r="E77" s="68">
        <f>+'FY 07 PB '!AC76</f>
        <v>2477</v>
      </c>
      <c r="F77" s="62" t="e">
        <f>+#REF!</f>
        <v>#REF!</v>
      </c>
      <c r="G77" s="240" t="e">
        <f>+F77-E77</f>
        <v>#REF!</v>
      </c>
    </row>
    <row r="78" spans="1:7" ht="15" thickBot="1">
      <c r="A78" s="2" t="s">
        <v>61</v>
      </c>
      <c r="B78" s="2"/>
      <c r="C78" s="2"/>
      <c r="D78" s="100"/>
      <c r="E78" s="68">
        <f>+'FY 07 PB '!AC77</f>
        <v>0</v>
      </c>
      <c r="F78" s="62" t="e">
        <f>+#REF!</f>
        <v>#REF!</v>
      </c>
      <c r="G78" s="240" t="e">
        <f>+F78-E78</f>
        <v>#REF!</v>
      </c>
    </row>
    <row r="79" spans="1:7" ht="16.5" thickBot="1" thickTop="1">
      <c r="A79" s="111" t="s">
        <v>58</v>
      </c>
      <c r="B79" s="112"/>
      <c r="C79" s="112"/>
      <c r="D79" s="235"/>
      <c r="E79" s="226">
        <f>SUM(E13,E16:E17,E18:E19,E20:E21,E24,E27:E28,E32:E34,E44:E53,E56:E57,E59:E60,E61,E66,E67,E68,E70,E73,E77,E78)</f>
        <v>20400209</v>
      </c>
      <c r="F79" s="113" t="e">
        <f>SUM(F13,F16:F17,F18:F19,F20:F21,F24,F27:F28,F32:F34,F44:F53,F56:F57,F59:F60,F61,F66,F67,F68,F70,F73,F77,F78)</f>
        <v>#REF!</v>
      </c>
      <c r="G79" s="113" t="e">
        <f>SUM(G13,G16:G17,G18:G19,G20:G21,G24,G27:G28,G32:G34,G44:G53,G56:G57,G59:G60,G61,G66,G67,G68,G70,G73,G77,G78)</f>
        <v>#REF!</v>
      </c>
    </row>
    <row r="80" spans="1:7" ht="15.75" thickBot="1" thickTop="1">
      <c r="A80" s="50" t="s">
        <v>53</v>
      </c>
      <c r="B80" s="50"/>
      <c r="C80" s="50"/>
      <c r="D80" s="231"/>
      <c r="E80" s="227">
        <f>+E81+E93+E96</f>
        <v>172059</v>
      </c>
      <c r="F80" s="118" t="e">
        <f>+F81+F93+F96</f>
        <v>#REF!</v>
      </c>
      <c r="G80" s="118" t="e">
        <f>+G81+G93+G96</f>
        <v>#REF!</v>
      </c>
    </row>
    <row r="81" spans="1:7" ht="15" thickTop="1">
      <c r="A81" s="50" t="s">
        <v>195</v>
      </c>
      <c r="B81" s="50"/>
      <c r="C81" s="50"/>
      <c r="D81" s="231"/>
      <c r="E81" s="227">
        <f>+E82+E85+E88+E91+E92</f>
        <v>110468</v>
      </c>
      <c r="F81" s="118" t="e">
        <f>+F82+F85+F88+F91+F92</f>
        <v>#REF!</v>
      </c>
      <c r="G81" s="118" t="e">
        <f>+G82+G85+G88+G91+G92</f>
        <v>#REF!</v>
      </c>
    </row>
    <row r="82" spans="1:7" ht="14.25">
      <c r="A82" s="50" t="s">
        <v>17</v>
      </c>
      <c r="B82" s="50"/>
      <c r="C82" s="50"/>
      <c r="D82" s="231"/>
      <c r="E82" s="228">
        <f>+E83+E84</f>
        <v>110468</v>
      </c>
      <c r="F82" s="124" t="e">
        <f>+F83+F84</f>
        <v>#REF!</v>
      </c>
      <c r="G82" s="124" t="e">
        <f>+G83+G84</f>
        <v>#REF!</v>
      </c>
    </row>
    <row r="83" spans="1:7" ht="14.25">
      <c r="A83" s="76" t="s">
        <v>137</v>
      </c>
      <c r="B83" s="2"/>
      <c r="C83" s="2"/>
      <c r="D83" s="100"/>
      <c r="E83" s="68">
        <f>+'FY 07 PB '!AC82</f>
        <v>197968</v>
      </c>
      <c r="F83" s="62" t="e">
        <f>+#REF!</f>
        <v>#REF!</v>
      </c>
      <c r="G83" s="240" t="e">
        <f>+F83-E83</f>
        <v>#REF!</v>
      </c>
    </row>
    <row r="84" spans="1:7" ht="14.25">
      <c r="A84" s="2" t="s">
        <v>208</v>
      </c>
      <c r="B84" s="2"/>
      <c r="C84" s="2"/>
      <c r="D84" s="100"/>
      <c r="E84" s="68">
        <f>+'FY 07 PB '!AC83</f>
        <v>-87500</v>
      </c>
      <c r="F84" s="62" t="e">
        <f>+#REF!</f>
        <v>#REF!</v>
      </c>
      <c r="G84" s="240" t="e">
        <f>+F84-E84</f>
        <v>#REF!</v>
      </c>
    </row>
    <row r="85" spans="1:7" ht="14.25">
      <c r="A85" s="236" t="s">
        <v>18</v>
      </c>
      <c r="B85" s="50"/>
      <c r="C85" s="50"/>
      <c r="D85" s="231"/>
      <c r="E85" s="80">
        <f>+E86+E87</f>
        <v>0</v>
      </c>
      <c r="F85" s="86" t="e">
        <f>+F86+F87</f>
        <v>#REF!</v>
      </c>
      <c r="G85" s="86" t="e">
        <f>+G86+G87</f>
        <v>#REF!</v>
      </c>
    </row>
    <row r="86" spans="1:7" ht="14.25">
      <c r="A86" s="76" t="s">
        <v>117</v>
      </c>
      <c r="B86" s="2"/>
      <c r="C86" s="2"/>
      <c r="D86" s="100"/>
      <c r="E86" s="68">
        <f>+'FY 07 PB '!AC85</f>
        <v>0</v>
      </c>
      <c r="F86" s="62" t="e">
        <f>+#REF!</f>
        <v>#REF!</v>
      </c>
      <c r="G86" s="240" t="e">
        <f>+F86-E86</f>
        <v>#REF!</v>
      </c>
    </row>
    <row r="87" spans="1:7" ht="14.25">
      <c r="A87" s="2" t="s">
        <v>138</v>
      </c>
      <c r="B87" s="2"/>
      <c r="C87" s="2"/>
      <c r="D87" s="100"/>
      <c r="E87" s="68">
        <f>+'FY 07 PB '!AC86</f>
        <v>0</v>
      </c>
      <c r="F87" s="62" t="e">
        <f>+#REF!</f>
        <v>#REF!</v>
      </c>
      <c r="G87" s="240" t="e">
        <f>+F87-E87</f>
        <v>#REF!</v>
      </c>
    </row>
    <row r="88" spans="1:7" ht="14.25">
      <c r="A88" s="236" t="s">
        <v>26</v>
      </c>
      <c r="B88" s="50"/>
      <c r="C88" s="50"/>
      <c r="D88" s="231"/>
      <c r="E88" s="228">
        <f>+E89+E90</f>
        <v>0</v>
      </c>
      <c r="F88" s="124" t="e">
        <f>+F89+F90</f>
        <v>#REF!</v>
      </c>
      <c r="G88" s="124" t="e">
        <f>+G89+G90</f>
        <v>#REF!</v>
      </c>
    </row>
    <row r="89" spans="1:7" ht="14.25">
      <c r="A89" s="76" t="s">
        <v>118</v>
      </c>
      <c r="B89" s="2"/>
      <c r="C89" s="2"/>
      <c r="D89" s="100"/>
      <c r="E89" s="68">
        <f>+'FY 07 PB '!AC88</f>
        <v>0</v>
      </c>
      <c r="F89" s="62" t="e">
        <f>+#REF!</f>
        <v>#REF!</v>
      </c>
      <c r="G89" s="240" t="e">
        <f>+F89-E89</f>
        <v>#REF!</v>
      </c>
    </row>
    <row r="90" spans="1:7" ht="14.25">
      <c r="A90" s="2" t="s">
        <v>138</v>
      </c>
      <c r="B90" s="2"/>
      <c r="C90" s="2"/>
      <c r="D90" s="100"/>
      <c r="E90" s="68">
        <f>+'FY 07 PB '!AC89</f>
        <v>0</v>
      </c>
      <c r="F90" s="62" t="e">
        <f>+#REF!</f>
        <v>#REF!</v>
      </c>
      <c r="G90" s="240" t="e">
        <f>+F90-E90</f>
        <v>#REF!</v>
      </c>
    </row>
    <row r="91" spans="1:7" ht="14.25">
      <c r="A91" s="76" t="s">
        <v>119</v>
      </c>
      <c r="B91" s="2"/>
      <c r="C91" s="2"/>
      <c r="D91" s="100"/>
      <c r="E91" s="68">
        <f>+'FY 07 PB '!AC90</f>
        <v>0</v>
      </c>
      <c r="F91" s="62" t="e">
        <f>+#REF!</f>
        <v>#REF!</v>
      </c>
      <c r="G91" s="240" t="e">
        <f>+F91-E91</f>
        <v>#REF!</v>
      </c>
    </row>
    <row r="92" spans="1:7" ht="14.25">
      <c r="A92" s="2" t="s">
        <v>139</v>
      </c>
      <c r="B92" s="2"/>
      <c r="C92" s="2"/>
      <c r="D92" s="100"/>
      <c r="E92" s="68">
        <f>+'FY 07 PB '!AC91</f>
        <v>0</v>
      </c>
      <c r="F92" s="62" t="e">
        <f>+#REF!</f>
        <v>#REF!</v>
      </c>
      <c r="G92" s="240" t="e">
        <f>+F92-E92</f>
        <v>#REF!</v>
      </c>
    </row>
    <row r="93" spans="1:7" ht="14.25">
      <c r="A93" s="236" t="s">
        <v>196</v>
      </c>
      <c r="B93" s="50"/>
      <c r="C93" s="50"/>
      <c r="D93" s="231"/>
      <c r="E93" s="80">
        <f>+E94+E95</f>
        <v>-511800</v>
      </c>
      <c r="F93" s="86" t="e">
        <f>+F94+F95</f>
        <v>#REF!</v>
      </c>
      <c r="G93" s="86" t="e">
        <f>+G94+G95</f>
        <v>#REF!</v>
      </c>
    </row>
    <row r="94" spans="1:7" ht="14.25">
      <c r="A94" s="76" t="s">
        <v>120</v>
      </c>
      <c r="B94" s="2"/>
      <c r="C94" s="2"/>
      <c r="D94" s="100"/>
      <c r="E94" s="68">
        <f>+'FY 07 PB '!AC93</f>
        <v>-424300</v>
      </c>
      <c r="F94" s="62" t="e">
        <f>+#REF!</f>
        <v>#REF!</v>
      </c>
      <c r="G94" s="240" t="e">
        <f>+F94-E94</f>
        <v>#REF!</v>
      </c>
    </row>
    <row r="95" spans="1:7" ht="14.25">
      <c r="A95" s="2" t="s">
        <v>121</v>
      </c>
      <c r="B95" s="2"/>
      <c r="C95" s="2"/>
      <c r="D95" s="100"/>
      <c r="E95" s="68">
        <f>+'FY 07 PB '!AC94</f>
        <v>-87500</v>
      </c>
      <c r="F95" s="62" t="e">
        <f>+#REF!</f>
        <v>#REF!</v>
      </c>
      <c r="G95" s="240" t="e">
        <f>+F95-E95</f>
        <v>#REF!</v>
      </c>
    </row>
    <row r="96" spans="1:7" ht="14.25">
      <c r="A96" s="2" t="s">
        <v>197</v>
      </c>
      <c r="B96" s="2"/>
      <c r="C96" s="2"/>
      <c r="D96" s="100"/>
      <c r="E96" s="68">
        <f>+'FY 07 PB '!AC95</f>
        <v>573391</v>
      </c>
      <c r="F96" s="62" t="e">
        <f>+#REF!</f>
        <v>#REF!</v>
      </c>
      <c r="G96" s="240" t="e">
        <f>+F96-E96</f>
        <v>#REF!</v>
      </c>
    </row>
    <row r="97" spans="1:7" ht="15" thickBot="1">
      <c r="A97" s="2" t="s">
        <v>164</v>
      </c>
      <c r="B97" s="2"/>
      <c r="C97" s="2"/>
      <c r="D97" s="100"/>
      <c r="E97" s="68">
        <f>+'FY 07 PB '!AC96</f>
        <v>0</v>
      </c>
      <c r="F97" s="62" t="e">
        <f>+#REF!</f>
        <v>#REF!</v>
      </c>
      <c r="G97" s="240" t="e">
        <f>+F97-E97</f>
        <v>#REF!</v>
      </c>
    </row>
    <row r="98" spans="1:7" ht="16.5" thickBot="1" thickTop="1">
      <c r="A98" s="111" t="s">
        <v>78</v>
      </c>
      <c r="B98" s="112"/>
      <c r="C98" s="112"/>
      <c r="D98" s="235"/>
      <c r="E98" s="135">
        <f>+E79+E80</f>
        <v>20572268</v>
      </c>
      <c r="F98" s="137" t="e">
        <f>+F79+F80</f>
        <v>#REF!</v>
      </c>
      <c r="G98" s="137" t="e">
        <f>+G79+G80</f>
        <v>#REF!</v>
      </c>
    </row>
    <row r="99" spans="1:7" ht="15" thickTop="1">
      <c r="A99" s="138" t="s">
        <v>54</v>
      </c>
      <c r="B99" s="138"/>
      <c r="C99" s="138"/>
      <c r="D99" s="237"/>
      <c r="E99" s="68">
        <f>+'FY 07 PB '!AC98</f>
        <v>0</v>
      </c>
      <c r="F99" s="62" t="e">
        <f>+#REF!</f>
        <v>#REF!</v>
      </c>
      <c r="G99" s="240" t="e">
        <f aca="true" t="shared" si="5" ref="G99:G107">+F99-E99</f>
        <v>#REF!</v>
      </c>
    </row>
    <row r="100" spans="1:7" ht="14.25">
      <c r="A100" s="2" t="s">
        <v>140</v>
      </c>
      <c r="B100" s="2"/>
      <c r="C100" s="2"/>
      <c r="D100" s="100"/>
      <c r="E100" s="68">
        <f>+'FY 07 PB '!AC99</f>
        <v>0</v>
      </c>
      <c r="F100" s="62" t="e">
        <f>+#REF!</f>
        <v>#REF!</v>
      </c>
      <c r="G100" s="240" t="e">
        <f t="shared" si="5"/>
        <v>#REF!</v>
      </c>
    </row>
    <row r="101" spans="1:7" ht="14.25">
      <c r="A101" s="2" t="s">
        <v>71</v>
      </c>
      <c r="B101" s="2"/>
      <c r="C101" s="88"/>
      <c r="D101" s="100"/>
      <c r="E101" s="68">
        <f>+'FY 07 PB '!AC100</f>
        <v>0</v>
      </c>
      <c r="F101" s="62" t="e">
        <f>+#REF!</f>
        <v>#REF!</v>
      </c>
      <c r="G101" s="240" t="e">
        <f t="shared" si="5"/>
        <v>#REF!</v>
      </c>
    </row>
    <row r="102" spans="1:7" ht="14.25">
      <c r="A102" s="2" t="s">
        <v>69</v>
      </c>
      <c r="B102" s="2"/>
      <c r="C102" s="2"/>
      <c r="D102" s="100"/>
      <c r="E102" s="68">
        <f>+'FY 07 PB '!AC101</f>
        <v>0</v>
      </c>
      <c r="F102" s="62" t="e">
        <f>+#REF!</f>
        <v>#REF!</v>
      </c>
      <c r="G102" s="240" t="e">
        <f t="shared" si="5"/>
        <v>#REF!</v>
      </c>
    </row>
    <row r="103" spans="1:7" ht="14.25">
      <c r="A103" s="88" t="s">
        <v>70</v>
      </c>
      <c r="B103" s="2"/>
      <c r="C103" s="2"/>
      <c r="D103" s="100"/>
      <c r="E103" s="68">
        <f>+'FY 07 PB '!AC102</f>
        <v>0</v>
      </c>
      <c r="F103" s="62" t="e">
        <f>+#REF!</f>
        <v>#REF!</v>
      </c>
      <c r="G103" s="240" t="e">
        <f t="shared" si="5"/>
        <v>#REF!</v>
      </c>
    </row>
    <row r="104" spans="1:7" ht="14.25">
      <c r="A104" s="2" t="s">
        <v>122</v>
      </c>
      <c r="B104" s="2"/>
      <c r="C104" s="2"/>
      <c r="D104" s="100"/>
      <c r="E104" s="68">
        <f>+'FY 07 PB '!AC103</f>
        <v>-1321000</v>
      </c>
      <c r="F104" s="62" t="e">
        <f>+#REF!</f>
        <v>#REF!</v>
      </c>
      <c r="G104" s="240" t="e">
        <f t="shared" si="5"/>
        <v>#REF!</v>
      </c>
    </row>
    <row r="105" spans="1:7" ht="14.25">
      <c r="A105" s="2" t="s">
        <v>141</v>
      </c>
      <c r="B105" s="2"/>
      <c r="C105" s="2"/>
      <c r="D105" s="100"/>
      <c r="E105" s="68">
        <f>+'FY 07 PB '!AC104</f>
        <v>0</v>
      </c>
      <c r="F105" s="62" t="e">
        <f>+#REF!</f>
        <v>#REF!</v>
      </c>
      <c r="G105" s="240" t="e">
        <f t="shared" si="5"/>
        <v>#REF!</v>
      </c>
    </row>
    <row r="106" spans="1:7" ht="14.25">
      <c r="A106" s="2" t="s">
        <v>157</v>
      </c>
      <c r="B106" s="2"/>
      <c r="C106" s="2"/>
      <c r="D106" s="100"/>
      <c r="E106" s="68">
        <f>+'FY 07 PB '!AC105</f>
        <v>0</v>
      </c>
      <c r="F106" s="62" t="e">
        <f>+#REF!</f>
        <v>#REF!</v>
      </c>
      <c r="G106" s="240" t="e">
        <f t="shared" si="5"/>
        <v>#REF!</v>
      </c>
    </row>
    <row r="107" spans="1:7" ht="15" thickBot="1">
      <c r="A107" s="2" t="s">
        <v>216</v>
      </c>
      <c r="B107" s="2"/>
      <c r="C107" s="2"/>
      <c r="D107" s="100"/>
      <c r="E107" s="68">
        <f>+'FY 07 PB '!AC106</f>
        <v>-345000</v>
      </c>
      <c r="F107" s="62" t="e">
        <f>+#REF!</f>
        <v>#REF!</v>
      </c>
      <c r="G107" s="240" t="e">
        <f t="shared" si="5"/>
        <v>#REF!</v>
      </c>
    </row>
    <row r="108" spans="1:7" ht="16.5" thickBot="1" thickTop="1">
      <c r="A108" s="111" t="s">
        <v>79</v>
      </c>
      <c r="B108" s="140"/>
      <c r="C108" s="140"/>
      <c r="D108" s="185"/>
      <c r="E108" s="143">
        <f>SUM(E100:E107)</f>
        <v>-1666000</v>
      </c>
      <c r="F108" s="145" t="e">
        <f>SUM(F100:F107)</f>
        <v>#REF!</v>
      </c>
      <c r="G108" s="145" t="e">
        <f>SUM(G100:G107)</f>
        <v>#REF!</v>
      </c>
    </row>
    <row r="109" spans="1:7" ht="16.5" thickBot="1" thickTop="1">
      <c r="A109" s="148"/>
      <c r="B109" s="149"/>
      <c r="C109" s="149"/>
      <c r="D109" s="238"/>
      <c r="E109" s="57"/>
      <c r="F109" s="54"/>
      <c r="G109" s="54"/>
    </row>
    <row r="110" spans="1:7" ht="16.5" thickBot="1" thickTop="1">
      <c r="A110" s="111" t="s">
        <v>80</v>
      </c>
      <c r="B110" s="151"/>
      <c r="C110" s="151"/>
      <c r="D110" s="239"/>
      <c r="E110" s="156">
        <f>+E98+E108</f>
        <v>18906268</v>
      </c>
      <c r="F110" s="156" t="e">
        <f>+F98+F108</f>
        <v>#REF!</v>
      </c>
      <c r="G110" s="156" t="e">
        <f>+G98+G108</f>
        <v>#REF!</v>
      </c>
    </row>
    <row r="111" spans="1:7" ht="15" thickTop="1">
      <c r="A111" s="138" t="s">
        <v>81</v>
      </c>
      <c r="B111" s="138"/>
      <c r="C111" s="138"/>
      <c r="D111" s="237"/>
      <c r="E111" s="57"/>
      <c r="F111" s="54"/>
      <c r="G111" s="240">
        <f>+F111-E111</f>
        <v>0</v>
      </c>
    </row>
    <row r="112" spans="1:7" ht="15" thickBot="1">
      <c r="A112" s="158" t="s">
        <v>142</v>
      </c>
      <c r="B112" s="2"/>
      <c r="C112" s="2"/>
      <c r="D112" s="100"/>
      <c r="E112" s="68">
        <f>+'FY 07 PB '!AC111</f>
        <v>16000</v>
      </c>
      <c r="F112" s="62" t="e">
        <f>+#REF!</f>
        <v>#REF!</v>
      </c>
      <c r="G112" s="240" t="e">
        <f>+F112-E112</f>
        <v>#REF!</v>
      </c>
    </row>
    <row r="113" spans="1:7" ht="16.5" thickBot="1" thickTop="1">
      <c r="A113" s="854" t="s">
        <v>102</v>
      </c>
      <c r="B113" s="855"/>
      <c r="C113" s="855"/>
      <c r="D113" s="855"/>
      <c r="E113" s="229">
        <f>E112</f>
        <v>16000</v>
      </c>
      <c r="F113" s="161" t="e">
        <f>F112</f>
        <v>#REF!</v>
      </c>
      <c r="G113" s="240" t="e">
        <f>+F113-E113</f>
        <v>#REF!</v>
      </c>
    </row>
    <row r="114" spans="1:7" ht="16.5" thickBot="1" thickTop="1">
      <c r="A114" s="111" t="s">
        <v>88</v>
      </c>
      <c r="B114" s="112"/>
      <c r="C114" s="112"/>
      <c r="D114" s="235"/>
      <c r="E114" s="135">
        <f>E110+E113</f>
        <v>18922268</v>
      </c>
      <c r="F114" s="166" t="e">
        <f>F110+F113</f>
        <v>#REF!</v>
      </c>
      <c r="G114" s="166" t="e">
        <f>G110+G113</f>
        <v>#REF!</v>
      </c>
    </row>
    <row r="115" spans="1:7" ht="15" thickTop="1">
      <c r="A115" s="2" t="s">
        <v>31</v>
      </c>
      <c r="B115" s="2"/>
      <c r="C115" s="2"/>
      <c r="D115" s="100"/>
      <c r="E115" s="57"/>
      <c r="F115" s="54"/>
      <c r="G115" s="240">
        <f aca="true" t="shared" si="6" ref="G115:G125">+F115-E115</f>
        <v>0</v>
      </c>
    </row>
    <row r="116" spans="1:7" ht="14.25">
      <c r="A116" s="2" t="s">
        <v>89</v>
      </c>
      <c r="B116" s="2"/>
      <c r="C116" s="2"/>
      <c r="D116" s="100"/>
      <c r="E116" s="68">
        <f>+'FY 07 PB '!AC115</f>
        <v>168300</v>
      </c>
      <c r="F116" s="62" t="e">
        <f>+#REF!</f>
        <v>#REF!</v>
      </c>
      <c r="G116" s="240" t="e">
        <f t="shared" si="6"/>
        <v>#REF!</v>
      </c>
    </row>
    <row r="117" spans="1:7" ht="14.25">
      <c r="A117" s="2" t="s">
        <v>123</v>
      </c>
      <c r="B117" s="2"/>
      <c r="C117" s="2"/>
      <c r="D117" s="100"/>
      <c r="E117" s="68">
        <f>+'FY 07 PB '!AC116</f>
        <v>9500</v>
      </c>
      <c r="F117" s="62" t="e">
        <f>+#REF!</f>
        <v>#REF!</v>
      </c>
      <c r="G117" s="240" t="e">
        <f t="shared" si="6"/>
        <v>#REF!</v>
      </c>
    </row>
    <row r="118" spans="1:7" ht="14.25">
      <c r="A118" s="2" t="s">
        <v>126</v>
      </c>
      <c r="B118" s="2"/>
      <c r="C118" s="2"/>
      <c r="D118" s="100"/>
      <c r="E118" s="68">
        <f>+'FY 07 PB '!AC117</f>
        <v>43950</v>
      </c>
      <c r="F118" s="62" t="e">
        <f>+#REF!</f>
        <v>#REF!</v>
      </c>
      <c r="G118" s="240" t="e">
        <f t="shared" si="6"/>
        <v>#REF!</v>
      </c>
    </row>
    <row r="119" spans="1:7" ht="14.25">
      <c r="A119" s="2" t="s">
        <v>124</v>
      </c>
      <c r="B119" s="2"/>
      <c r="C119" s="2"/>
      <c r="D119" s="100"/>
      <c r="E119" s="68">
        <f>+'FY 07 PB '!AC118</f>
        <v>49734</v>
      </c>
      <c r="F119" s="62" t="e">
        <f>+#REF!</f>
        <v>#REF!</v>
      </c>
      <c r="G119" s="240" t="e">
        <f t="shared" si="6"/>
        <v>#REF!</v>
      </c>
    </row>
    <row r="120" spans="1:7" ht="14.25">
      <c r="A120" s="2" t="s">
        <v>143</v>
      </c>
      <c r="B120" s="2"/>
      <c r="C120" s="2"/>
      <c r="D120" s="100"/>
      <c r="E120" s="68">
        <f>+'FY 07 PB '!AC119</f>
        <v>531063</v>
      </c>
      <c r="F120" s="62" t="e">
        <f>+#REF!</f>
        <v>#REF!</v>
      </c>
      <c r="G120" s="240" t="e">
        <f t="shared" si="6"/>
        <v>#REF!</v>
      </c>
    </row>
    <row r="121" spans="1:7" ht="14.25">
      <c r="A121" s="2" t="s">
        <v>144</v>
      </c>
      <c r="B121" s="2"/>
      <c r="C121" s="2"/>
      <c r="D121" s="100"/>
      <c r="E121" s="68">
        <f>+'FY 07 PB '!AC120</f>
        <v>120000</v>
      </c>
      <c r="F121" s="62" t="e">
        <f>+#REF!</f>
        <v>#REF!</v>
      </c>
      <c r="G121" s="240" t="e">
        <f t="shared" si="6"/>
        <v>#REF!</v>
      </c>
    </row>
    <row r="122" spans="1:7" ht="14.25">
      <c r="A122" s="2" t="s">
        <v>125</v>
      </c>
      <c r="B122" s="2"/>
      <c r="C122" s="2"/>
      <c r="D122" s="100"/>
      <c r="E122" s="68">
        <f>+'FY 07 PB '!AC121</f>
        <v>239313</v>
      </c>
      <c r="F122" s="62" t="e">
        <f>+#REF!</f>
        <v>#REF!</v>
      </c>
      <c r="G122" s="240" t="e">
        <f t="shared" si="6"/>
        <v>#REF!</v>
      </c>
    </row>
    <row r="123" spans="1:7" ht="14.25">
      <c r="A123" s="2" t="s">
        <v>68</v>
      </c>
      <c r="B123" s="2"/>
      <c r="C123" s="2"/>
      <c r="D123" s="100"/>
      <c r="E123" s="68">
        <f>+'FY 07 PB '!AC122</f>
        <v>0</v>
      </c>
      <c r="F123" s="62" t="e">
        <f>+#REF!</f>
        <v>#REF!</v>
      </c>
      <c r="G123" s="240" t="e">
        <f t="shared" si="6"/>
        <v>#REF!</v>
      </c>
    </row>
    <row r="124" spans="1:7" ht="14.25">
      <c r="A124" s="2" t="s">
        <v>19</v>
      </c>
      <c r="B124" s="2"/>
      <c r="C124" s="2"/>
      <c r="D124" s="100"/>
      <c r="E124" s="68">
        <f>+'FY 07 PB '!AC123</f>
        <v>239829</v>
      </c>
      <c r="F124" s="62" t="e">
        <f>+#REF!</f>
        <v>#REF!</v>
      </c>
      <c r="G124" s="240" t="e">
        <f t="shared" si="6"/>
        <v>#REF!</v>
      </c>
    </row>
    <row r="125" spans="1:7" ht="15" thickBot="1">
      <c r="A125" s="2" t="s">
        <v>145</v>
      </c>
      <c r="B125" s="2"/>
      <c r="C125" s="2"/>
      <c r="D125" s="100"/>
      <c r="E125" s="68">
        <f>+'FY 07 PB '!AC124</f>
        <v>675000</v>
      </c>
      <c r="F125" s="62" t="e">
        <f>+#REF!</f>
        <v>#REF!</v>
      </c>
      <c r="G125" s="240" t="e">
        <f t="shared" si="6"/>
        <v>#REF!</v>
      </c>
    </row>
    <row r="126" spans="1:7" ht="16.5" thickBot="1" thickTop="1">
      <c r="A126" s="111" t="s">
        <v>33</v>
      </c>
      <c r="B126" s="140"/>
      <c r="C126" s="140"/>
      <c r="D126" s="185"/>
      <c r="E126" s="143">
        <f>SUM(E116:E125)</f>
        <v>2076689</v>
      </c>
      <c r="F126" s="145" t="e">
        <f>SUM(F116:F125)</f>
        <v>#REF!</v>
      </c>
      <c r="G126" s="145" t="e">
        <f>SUM(G116:G125)</f>
        <v>#REF!</v>
      </c>
    </row>
    <row r="127" spans="1:7" ht="15" thickTop="1">
      <c r="A127" s="138" t="s">
        <v>172</v>
      </c>
      <c r="B127" s="2"/>
      <c r="C127" s="2"/>
      <c r="D127" s="100"/>
      <c r="E127" s="55"/>
      <c r="F127" s="67"/>
      <c r="G127" s="240">
        <f>+F127-E127</f>
        <v>0</v>
      </c>
    </row>
    <row r="128" spans="1:7" ht="14.25">
      <c r="A128" s="2" t="s">
        <v>173</v>
      </c>
      <c r="B128" s="2"/>
      <c r="C128" s="2"/>
      <c r="D128" s="100"/>
      <c r="E128" s="68">
        <f>+'FY 07 PB '!AC127</f>
        <v>139650</v>
      </c>
      <c r="F128" s="62" t="e">
        <f>+#REF!</f>
        <v>#REF!</v>
      </c>
      <c r="G128" s="240" t="e">
        <f>+F128-E128</f>
        <v>#REF!</v>
      </c>
    </row>
    <row r="129" spans="1:7" ht="14.25">
      <c r="A129" s="2" t="s">
        <v>174</v>
      </c>
      <c r="B129" s="2"/>
      <c r="C129" s="2"/>
      <c r="D129" s="100"/>
      <c r="E129" s="68">
        <f>+'FY 07 PB '!AC128</f>
        <v>75000</v>
      </c>
      <c r="F129" s="62" t="e">
        <f>+#REF!</f>
        <v>#REF!</v>
      </c>
      <c r="G129" s="240" t="e">
        <f>+F129-E129</f>
        <v>#REF!</v>
      </c>
    </row>
    <row r="130" spans="1:7" ht="15" thickBot="1">
      <c r="A130" s="149" t="s">
        <v>175</v>
      </c>
      <c r="B130" s="2"/>
      <c r="C130" s="2"/>
      <c r="D130" s="100"/>
      <c r="E130" s="68">
        <f>+'FY 07 PB '!AC129</f>
        <v>48171</v>
      </c>
      <c r="F130" s="62" t="e">
        <f>+#REF!</f>
        <v>#REF!</v>
      </c>
      <c r="G130" s="240" t="e">
        <f>+F130-E130</f>
        <v>#REF!</v>
      </c>
    </row>
    <row r="131" spans="1:7" ht="16.5" thickBot="1" thickTop="1">
      <c r="A131" s="854" t="s">
        <v>102</v>
      </c>
      <c r="B131" s="855"/>
      <c r="C131" s="855"/>
      <c r="D131" s="855"/>
      <c r="E131" s="180">
        <f>SUM(E128:E130)</f>
        <v>262821</v>
      </c>
      <c r="F131" s="182" t="e">
        <f>SUM(F128:F130)</f>
        <v>#REF!</v>
      </c>
      <c r="G131" s="240" t="e">
        <f>+F131-E131</f>
        <v>#REF!</v>
      </c>
    </row>
    <row r="132" spans="1:7" ht="16.5" thickBot="1" thickTop="1">
      <c r="A132" s="183" t="s">
        <v>21</v>
      </c>
      <c r="B132" s="151"/>
      <c r="C132" s="151"/>
      <c r="D132" s="239"/>
      <c r="E132" s="135">
        <f>SUM(E114,E126,E131)</f>
        <v>21261778</v>
      </c>
      <c r="F132" s="137" t="e">
        <f>SUM(F114,F126,F131)</f>
        <v>#REF!</v>
      </c>
      <c r="G132" s="137" t="e">
        <f>SUM(G114,G126,G131)</f>
        <v>#REF!</v>
      </c>
    </row>
    <row r="133" spans="1:7" ht="15" thickTop="1">
      <c r="A133" s="2" t="s">
        <v>46</v>
      </c>
      <c r="B133" s="2"/>
      <c r="C133" s="2"/>
      <c r="D133" s="100"/>
      <c r="E133" s="57"/>
      <c r="F133" s="54"/>
      <c r="G133" s="240">
        <f>+F133-E133</f>
        <v>0</v>
      </c>
    </row>
    <row r="134" spans="1:7" ht="14.25">
      <c r="A134" s="2" t="s">
        <v>62</v>
      </c>
      <c r="B134" s="2"/>
      <c r="C134" s="2"/>
      <c r="D134" s="100"/>
      <c r="E134" s="68">
        <f>+'FY 07 PB '!AC133</f>
        <v>49415</v>
      </c>
      <c r="F134" s="62" t="e">
        <f>+#REF!</f>
        <v>#REF!</v>
      </c>
      <c r="G134" s="240" t="e">
        <f>+F134-E134</f>
        <v>#REF!</v>
      </c>
    </row>
    <row r="135" spans="1:7" ht="14.25">
      <c r="A135" s="2" t="s">
        <v>47</v>
      </c>
      <c r="B135" s="2"/>
      <c r="C135" s="2"/>
      <c r="D135" s="100"/>
      <c r="E135" s="68">
        <f>+'FY 07 PB '!AC134</f>
        <v>114000</v>
      </c>
      <c r="F135" s="62" t="e">
        <f>+#REF!</f>
        <v>#REF!</v>
      </c>
      <c r="G135" s="240" t="e">
        <f>+F135-E135</f>
        <v>#REF!</v>
      </c>
    </row>
    <row r="136" spans="1:7" ht="15" thickBot="1">
      <c r="A136" s="2" t="s">
        <v>158</v>
      </c>
      <c r="B136" s="2"/>
      <c r="C136" s="2"/>
      <c r="D136" s="100"/>
      <c r="E136" s="68">
        <f>+'FY 07 PB '!AC135</f>
        <v>11450</v>
      </c>
      <c r="F136" s="62" t="e">
        <f>+#REF!</f>
        <v>#REF!</v>
      </c>
      <c r="G136" s="240" t="e">
        <f>+F136-E136</f>
        <v>#REF!</v>
      </c>
    </row>
    <row r="137" spans="1:7" ht="16.5" thickBot="1" thickTop="1">
      <c r="A137" s="111" t="s">
        <v>90</v>
      </c>
      <c r="B137" s="140"/>
      <c r="C137" s="140"/>
      <c r="D137" s="185"/>
      <c r="E137" s="189">
        <f>SUM(E134:E136)</f>
        <v>174865</v>
      </c>
      <c r="F137" s="192" t="e">
        <f>SUM(F134:F136)</f>
        <v>#REF!</v>
      </c>
      <c r="G137" s="192" t="e">
        <f>SUM(G134:G136)</f>
        <v>#REF!</v>
      </c>
    </row>
    <row r="138" spans="1:7" ht="16.5" thickBot="1" thickTop="1">
      <c r="A138" s="194" t="s">
        <v>32</v>
      </c>
      <c r="B138" s="195"/>
      <c r="C138" s="195"/>
      <c r="D138" s="195"/>
      <c r="E138" s="135">
        <f>SUM(E132,E137)</f>
        <v>21436643</v>
      </c>
      <c r="F138" s="166" t="e">
        <f>SUM(F132,F137)</f>
        <v>#REF!</v>
      </c>
      <c r="G138" s="166" t="e">
        <f>SUM(G132,G137)</f>
        <v>#REF!</v>
      </c>
    </row>
    <row r="139" ht="15.75" hidden="1" thickBot="1" thickTop="1">
      <c r="A139" s="11" t="s">
        <v>86</v>
      </c>
    </row>
    <row r="140" ht="15.75" hidden="1" thickBot="1" thickTop="1">
      <c r="A140" s="11" t="s">
        <v>127</v>
      </c>
    </row>
    <row r="141" ht="15.75" hidden="1" thickBot="1" thickTop="1">
      <c r="A141" s="2" t="s">
        <v>83</v>
      </c>
    </row>
    <row r="142" spans="1:4" ht="15.75" hidden="1" thickBot="1" thickTop="1">
      <c r="A142" s="856" t="s">
        <v>94</v>
      </c>
      <c r="B142" s="857"/>
      <c r="C142" s="857"/>
      <c r="D142" s="858"/>
    </row>
    <row r="143" ht="15.75" hidden="1" thickBot="1" thickTop="1">
      <c r="A143" s="2" t="s">
        <v>84</v>
      </c>
    </row>
    <row r="144" ht="15.75" hidden="1" thickBot="1" thickTop="1">
      <c r="A144" s="2" t="s">
        <v>85</v>
      </c>
    </row>
    <row r="145" ht="15.75" hidden="1" thickBot="1" thickTop="1">
      <c r="A145" s="2" t="s">
        <v>96</v>
      </c>
    </row>
    <row r="146" ht="15.75" hidden="1" thickBot="1" thickTop="1">
      <c r="A146" s="11" t="s">
        <v>101</v>
      </c>
    </row>
    <row r="147" ht="15.75" hidden="1" thickBot="1" thickTop="1">
      <c r="A147" s="11" t="s">
        <v>128</v>
      </c>
    </row>
    <row r="148" ht="15.75" hidden="1" thickBot="1" thickTop="1">
      <c r="A148" s="11" t="s">
        <v>129</v>
      </c>
    </row>
    <row r="149" ht="15.75" hidden="1" thickBot="1" thickTop="1">
      <c r="A149" s="11" t="s">
        <v>147</v>
      </c>
    </row>
    <row r="150" ht="15.75" hidden="1" thickBot="1" thickTop="1">
      <c r="A150" s="11" t="s">
        <v>146</v>
      </c>
    </row>
    <row r="151" spans="1:4" ht="15.75" hidden="1" thickBot="1" thickTop="1">
      <c r="A151" s="199" t="s">
        <v>87</v>
      </c>
      <c r="B151" s="200"/>
      <c r="C151" s="200"/>
      <c r="D151" s="200"/>
    </row>
    <row r="152" spans="1:4" ht="15.75" thickTop="1">
      <c r="A152" s="850"/>
      <c r="B152" s="851"/>
      <c r="C152" s="851"/>
      <c r="D152" s="851"/>
    </row>
    <row r="153" spans="1:4" ht="14.25">
      <c r="A153" s="882"/>
      <c r="B153" s="883"/>
      <c r="C153" s="883"/>
      <c r="D153" s="883"/>
    </row>
    <row r="154" spans="1:4" ht="14.25">
      <c r="A154" s="203"/>
      <c r="B154" s="204"/>
      <c r="C154" s="204"/>
      <c r="D154" s="204"/>
    </row>
    <row r="155" spans="1:4" ht="14.25">
      <c r="A155" s="884"/>
      <c r="B155" s="885"/>
      <c r="C155" s="885"/>
      <c r="D155" s="885"/>
    </row>
    <row r="156" spans="1:4" ht="14.25">
      <c r="A156" s="205"/>
      <c r="B156" s="206"/>
      <c r="C156" s="206"/>
      <c r="D156" s="206"/>
    </row>
    <row r="157" spans="1:4" ht="14.25">
      <c r="A157" s="207"/>
      <c r="B157" s="206"/>
      <c r="C157" s="206"/>
      <c r="D157" s="206"/>
    </row>
    <row r="158" spans="1:4" ht="14.25">
      <c r="A158" s="207"/>
      <c r="B158" s="206"/>
      <c r="C158" s="206"/>
      <c r="D158" s="206"/>
    </row>
    <row r="159" spans="1:2" ht="14.25">
      <c r="A159" s="208"/>
      <c r="B159" s="209"/>
    </row>
    <row r="160" spans="1:2" ht="14.25">
      <c r="A160" s="210"/>
      <c r="B160" s="209"/>
    </row>
    <row r="161" spans="1:2" ht="14.25">
      <c r="A161" s="210"/>
      <c r="B161" s="209"/>
    </row>
    <row r="162" spans="1:2" ht="14.25">
      <c r="A162" s="210"/>
      <c r="B162" s="209"/>
    </row>
    <row r="163" spans="1:2" ht="14.25">
      <c r="A163" s="210"/>
      <c r="B163" s="209"/>
    </row>
    <row r="164" spans="1:2" ht="14.25">
      <c r="A164" s="210"/>
      <c r="B164" s="209"/>
    </row>
    <row r="165" spans="1:2" ht="14.25">
      <c r="A165" s="210"/>
      <c r="B165" s="209"/>
    </row>
    <row r="166" spans="1:2" ht="14.25">
      <c r="A166" s="210"/>
      <c r="B166" s="209"/>
    </row>
    <row r="167" spans="1:2" ht="14.25">
      <c r="A167" s="210"/>
      <c r="B167" s="209"/>
    </row>
    <row r="168" spans="1:2" ht="14.25">
      <c r="A168" s="210"/>
      <c r="B168" s="209"/>
    </row>
    <row r="169" spans="1:2" ht="14.25">
      <c r="A169" s="210"/>
      <c r="B169" s="209"/>
    </row>
    <row r="170" spans="1:2" ht="14.25">
      <c r="A170" s="210"/>
      <c r="B170" s="209"/>
    </row>
    <row r="171" spans="1:2" ht="14.25">
      <c r="A171" s="210"/>
      <c r="B171" s="209"/>
    </row>
    <row r="172" spans="1:2" ht="14.25">
      <c r="A172" s="210"/>
      <c r="B172" s="209"/>
    </row>
    <row r="173" spans="1:2" ht="14.25">
      <c r="A173" s="210"/>
      <c r="B173" s="209"/>
    </row>
    <row r="174" spans="1:2" ht="14.25">
      <c r="A174" s="210"/>
      <c r="B174" s="209"/>
    </row>
    <row r="175" spans="1:2" ht="14.25">
      <c r="A175" s="211"/>
      <c r="B175" s="209"/>
    </row>
    <row r="176" spans="1:2" ht="14.25">
      <c r="A176" s="211"/>
      <c r="B176" s="209"/>
    </row>
    <row r="177" spans="1:2" ht="14.25">
      <c r="A177" s="211"/>
      <c r="B177" s="209"/>
    </row>
    <row r="178" spans="1:2" ht="14.25">
      <c r="A178" s="211"/>
      <c r="B178" s="209"/>
    </row>
    <row r="179" spans="1:2" ht="14.25">
      <c r="A179" s="211"/>
      <c r="B179" s="209"/>
    </row>
    <row r="180" spans="1:2" ht="14.25">
      <c r="A180" s="211"/>
      <c r="B180" s="209"/>
    </row>
    <row r="181" spans="1:2" ht="14.25">
      <c r="A181" s="211"/>
      <c r="B181" s="209"/>
    </row>
    <row r="182" spans="1:2" ht="14.25">
      <c r="A182" s="211"/>
      <c r="B182" s="209"/>
    </row>
    <row r="183" spans="1:2" ht="14.25">
      <c r="A183" s="211"/>
      <c r="B183" s="209"/>
    </row>
    <row r="184" spans="1:2" ht="14.25">
      <c r="A184" s="211"/>
      <c r="B184" s="209"/>
    </row>
    <row r="185" spans="1:2" ht="14.25">
      <c r="A185" s="211"/>
      <c r="B185" s="209"/>
    </row>
    <row r="186" spans="1:2" ht="14.25">
      <c r="A186" s="211"/>
      <c r="B186" s="209"/>
    </row>
    <row r="187" spans="1:2" ht="14.25">
      <c r="A187" s="211"/>
      <c r="B187" s="209"/>
    </row>
    <row r="188" spans="1:2" ht="14.25">
      <c r="A188" s="211"/>
      <c r="B188" s="209"/>
    </row>
    <row r="189" spans="1:2" ht="14.25">
      <c r="A189" s="211"/>
      <c r="B189" s="209"/>
    </row>
    <row r="190" spans="1:2" ht="14.25">
      <c r="A190" s="211"/>
      <c r="B190" s="209"/>
    </row>
    <row r="191" spans="1:2" ht="14.25">
      <c r="A191" s="211"/>
      <c r="B191" s="209"/>
    </row>
    <row r="192" spans="1:2" ht="14.25">
      <c r="A192" s="211"/>
      <c r="B192" s="209"/>
    </row>
    <row r="193" spans="1:2" ht="14.25">
      <c r="A193" s="211"/>
      <c r="B193" s="209"/>
    </row>
    <row r="194" spans="1:2" ht="14.25">
      <c r="A194" s="211"/>
      <c r="B194" s="209"/>
    </row>
    <row r="195" spans="1:2" ht="14.25">
      <c r="A195" s="211"/>
      <c r="B195" s="209"/>
    </row>
    <row r="196" spans="1:2" ht="14.25">
      <c r="A196" s="211"/>
      <c r="B196" s="209"/>
    </row>
    <row r="197" spans="1:2" ht="14.25">
      <c r="A197" s="211"/>
      <c r="B197" s="209"/>
    </row>
    <row r="198" spans="1:2" ht="14.25">
      <c r="A198" s="211"/>
      <c r="B198" s="209"/>
    </row>
    <row r="199" spans="1:2" ht="14.25">
      <c r="A199" s="211"/>
      <c r="B199" s="209"/>
    </row>
    <row r="200" spans="1:2" ht="14.25">
      <c r="A200" s="211"/>
      <c r="B200" s="209"/>
    </row>
    <row r="201" spans="1:2" ht="14.25">
      <c r="A201" s="211"/>
      <c r="B201" s="209"/>
    </row>
    <row r="202" spans="1:2" ht="14.25">
      <c r="A202" s="211"/>
      <c r="B202" s="209"/>
    </row>
    <row r="203" spans="1:2" ht="14.25">
      <c r="A203" s="211"/>
      <c r="B203" s="209"/>
    </row>
    <row r="204" spans="1:2" ht="14.25">
      <c r="A204" s="211"/>
      <c r="B204" s="209"/>
    </row>
    <row r="205" ht="14.25">
      <c r="A205" s="211"/>
    </row>
    <row r="206" ht="14.25">
      <c r="A206" s="211"/>
    </row>
    <row r="207" ht="14.25">
      <c r="A207" s="211"/>
    </row>
    <row r="208" ht="14.25">
      <c r="A208" s="211"/>
    </row>
    <row r="209" ht="14.25">
      <c r="A209" s="211"/>
    </row>
    <row r="210" ht="14.25">
      <c r="A210" s="211"/>
    </row>
    <row r="211" ht="14.25">
      <c r="A211" s="211"/>
    </row>
    <row r="212" ht="14.25">
      <c r="A212" s="211"/>
    </row>
    <row r="213" ht="14.25">
      <c r="A213" s="211"/>
    </row>
    <row r="214" ht="14.25">
      <c r="A214" s="211"/>
    </row>
    <row r="215" ht="14.25">
      <c r="A215" s="211"/>
    </row>
    <row r="226" ht="14.25">
      <c r="A226" s="212"/>
    </row>
    <row r="229" ht="14.25">
      <c r="A229" s="213"/>
    </row>
    <row r="242" ht="14.25">
      <c r="A242" s="214"/>
    </row>
    <row r="243" ht="14.25">
      <c r="A243" s="214"/>
    </row>
  </sheetData>
  <mergeCells count="6">
    <mergeCell ref="A153:D153"/>
    <mergeCell ref="A155:D155"/>
    <mergeCell ref="A113:D113"/>
    <mergeCell ref="A131:D131"/>
    <mergeCell ref="A142:D142"/>
    <mergeCell ref="A152:D152"/>
  </mergeCells>
  <printOptions/>
  <pageMargins left="1.25" right="0.75" top="1" bottom="1" header="0.5" footer="0.5"/>
  <pageSetup horizontalDpi="600" verticalDpi="600" orientation="portrait" scale="60" r:id="rId1"/>
  <rowBreaks count="1" manualBreakCount="1"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K522"/>
  <sheetViews>
    <sheetView workbookViewId="0" topLeftCell="A1">
      <pane xSplit="9" ySplit="11" topLeftCell="T49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U70" sqref="U70:Z70"/>
    </sheetView>
  </sheetViews>
  <sheetFormatPr defaultColWidth="9.140625" defaultRowHeight="12.75"/>
  <cols>
    <col min="1" max="1" width="14.140625" style="256" bestFit="1" customWidth="1"/>
    <col min="2" max="2" width="9.140625" style="256" customWidth="1"/>
    <col min="3" max="3" width="12.57421875" style="256" customWidth="1"/>
    <col min="4" max="4" width="27.140625" style="256" customWidth="1"/>
    <col min="5" max="5" width="6.421875" style="247" hidden="1" customWidth="1"/>
    <col min="6" max="6" width="9.57421875" style="247" hidden="1" customWidth="1"/>
    <col min="7" max="7" width="13.28125" style="247" hidden="1" customWidth="1"/>
    <col min="8" max="8" width="15.140625" style="256" hidden="1" customWidth="1"/>
    <col min="9" max="9" width="12.7109375" style="256" hidden="1" customWidth="1"/>
    <col min="10" max="11" width="9.8515625" style="247" bestFit="1" customWidth="1"/>
    <col min="12" max="12" width="13.28125" style="247" customWidth="1"/>
    <col min="13" max="13" width="9.8515625" style="247" hidden="1" customWidth="1"/>
    <col min="14" max="14" width="12.7109375" style="247" customWidth="1"/>
    <col min="15" max="15" width="8.57421875" style="247" customWidth="1"/>
    <col min="16" max="16" width="7.57421875" style="247" customWidth="1"/>
    <col min="17" max="17" width="11.421875" style="247" customWidth="1"/>
    <col min="18" max="18" width="10.140625" style="247" bestFit="1" customWidth="1"/>
    <col min="19" max="19" width="9.8515625" style="247" bestFit="1" customWidth="1"/>
    <col min="20" max="20" width="13.421875" style="247" customWidth="1"/>
    <col min="21" max="21" width="9.00390625" style="247" customWidth="1"/>
    <col min="22" max="22" width="7.57421875" style="247" customWidth="1"/>
    <col min="23" max="23" width="12.57421875" style="247" bestFit="1" customWidth="1"/>
    <col min="24" max="24" width="9.140625" style="247" customWidth="1"/>
    <col min="25" max="25" width="9.57421875" style="247" customWidth="1"/>
    <col min="26" max="26" width="12.8515625" style="247" customWidth="1"/>
    <col min="27" max="27" width="10.28125" style="247" customWidth="1"/>
    <col min="28" max="28" width="9.57421875" style="247" customWidth="1"/>
    <col min="29" max="29" width="13.28125" style="247" customWidth="1"/>
    <col min="30" max="30" width="17.28125" style="247" hidden="1" customWidth="1"/>
    <col min="31" max="31" width="17.7109375" style="247" hidden="1" customWidth="1"/>
    <col min="32" max="32" width="13.140625" style="247" hidden="1" customWidth="1"/>
    <col min="33" max="33" width="0" style="247" hidden="1" customWidth="1"/>
    <col min="34" max="16384" width="9.140625" style="247" customWidth="1"/>
  </cols>
  <sheetData>
    <row r="1" spans="1:14" ht="11.25">
      <c r="A1" s="918"/>
      <c r="B1" s="908"/>
      <c r="C1" s="908"/>
      <c r="D1" s="908"/>
      <c r="E1" s="908"/>
      <c r="F1" s="908"/>
      <c r="G1" s="908"/>
      <c r="H1" s="908"/>
      <c r="I1" s="908"/>
      <c r="J1" s="908"/>
      <c r="K1" s="908"/>
      <c r="L1" s="908"/>
      <c r="M1" s="908"/>
      <c r="N1" s="908"/>
    </row>
    <row r="2" spans="1:14" ht="11.25">
      <c r="A2" s="918"/>
      <c r="B2" s="908"/>
      <c r="C2" s="908"/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</row>
    <row r="3" spans="1:31" ht="11.25">
      <c r="A3" s="907" t="s">
        <v>57</v>
      </c>
      <c r="B3" s="908"/>
      <c r="C3" s="908"/>
      <c r="D3" s="908"/>
      <c r="E3" s="908"/>
      <c r="F3" s="908"/>
      <c r="G3" s="908"/>
      <c r="H3" s="908"/>
      <c r="I3" s="908"/>
      <c r="J3" s="908"/>
      <c r="K3" s="908"/>
      <c r="L3" s="908"/>
      <c r="M3" s="908"/>
      <c r="N3" s="908"/>
      <c r="O3" s="908"/>
      <c r="P3" s="908"/>
      <c r="Q3" s="908"/>
      <c r="R3" s="908"/>
      <c r="S3" s="908"/>
      <c r="T3" s="908"/>
      <c r="U3" s="908"/>
      <c r="V3" s="908"/>
      <c r="W3" s="908"/>
      <c r="X3" s="908"/>
      <c r="Y3" s="908"/>
      <c r="Z3" s="908"/>
      <c r="AA3" s="908"/>
      <c r="AB3" s="908"/>
      <c r="AC3" s="908"/>
      <c r="AD3" s="246"/>
      <c r="AE3" s="246"/>
    </row>
    <row r="4" spans="1:31" ht="11.25">
      <c r="A4" s="907" t="s">
        <v>235</v>
      </c>
      <c r="B4" s="908"/>
      <c r="C4" s="908"/>
      <c r="D4" s="908"/>
      <c r="E4" s="908"/>
      <c r="F4" s="908"/>
      <c r="G4" s="908"/>
      <c r="H4" s="908"/>
      <c r="I4" s="908"/>
      <c r="J4" s="908"/>
      <c r="K4" s="908"/>
      <c r="L4" s="908"/>
      <c r="M4" s="908"/>
      <c r="N4" s="908"/>
      <c r="O4" s="908"/>
      <c r="P4" s="908"/>
      <c r="Q4" s="908"/>
      <c r="R4" s="908"/>
      <c r="S4" s="908"/>
      <c r="T4" s="908"/>
      <c r="U4" s="908"/>
      <c r="V4" s="908"/>
      <c r="W4" s="908"/>
      <c r="X4" s="908"/>
      <c r="Y4" s="908"/>
      <c r="Z4" s="908"/>
      <c r="AA4" s="908"/>
      <c r="AB4" s="908"/>
      <c r="AC4" s="908"/>
      <c r="AD4" s="246"/>
      <c r="AE4" s="246"/>
    </row>
    <row r="5" spans="1:31" ht="11.25">
      <c r="A5" s="907" t="s">
        <v>0</v>
      </c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908"/>
      <c r="N5" s="908"/>
      <c r="O5" s="908"/>
      <c r="P5" s="908"/>
      <c r="Q5" s="908"/>
      <c r="R5" s="908"/>
      <c r="S5" s="908"/>
      <c r="T5" s="908"/>
      <c r="U5" s="908"/>
      <c r="V5" s="908"/>
      <c r="W5" s="908"/>
      <c r="X5" s="908"/>
      <c r="Y5" s="908"/>
      <c r="Z5" s="908"/>
      <c r="AA5" s="908"/>
      <c r="AB5" s="908"/>
      <c r="AC5" s="908"/>
      <c r="AD5" s="246"/>
      <c r="AE5" s="246"/>
    </row>
    <row r="6" spans="1:29" ht="11.25">
      <c r="A6" s="248"/>
      <c r="B6" s="248"/>
      <c r="C6" s="249"/>
      <c r="D6" s="249"/>
      <c r="G6" s="250"/>
      <c r="H6" s="251"/>
      <c r="I6" s="252"/>
      <c r="N6" s="250"/>
      <c r="O6" s="250"/>
      <c r="W6" s="250"/>
      <c r="AC6" s="250"/>
    </row>
    <row r="7" spans="1:28" ht="12" thickBot="1">
      <c r="A7" s="253"/>
      <c r="B7" s="254"/>
      <c r="C7" s="255"/>
      <c r="D7" s="249"/>
      <c r="G7" s="250"/>
      <c r="S7" s="250"/>
      <c r="AB7" s="257"/>
    </row>
    <row r="8" spans="1:31" ht="12" thickTop="1">
      <c r="A8" s="253"/>
      <c r="C8" s="255"/>
      <c r="D8" s="255"/>
      <c r="E8" s="909" t="s">
        <v>65</v>
      </c>
      <c r="F8" s="910"/>
      <c r="G8" s="911"/>
      <c r="H8" s="258" t="s">
        <v>65</v>
      </c>
      <c r="I8" s="259" t="s">
        <v>52</v>
      </c>
      <c r="J8" s="912" t="s">
        <v>224</v>
      </c>
      <c r="K8" s="913"/>
      <c r="L8" s="914"/>
      <c r="M8" s="258" t="s">
        <v>161</v>
      </c>
      <c r="N8" s="259" t="s">
        <v>202</v>
      </c>
      <c r="O8" s="915" t="s">
        <v>236</v>
      </c>
      <c r="P8" s="916"/>
      <c r="Q8" s="916"/>
      <c r="R8" s="917"/>
      <c r="S8" s="917"/>
      <c r="T8" s="917"/>
      <c r="U8" s="917"/>
      <c r="V8" s="917"/>
      <c r="W8" s="917"/>
      <c r="X8" s="917"/>
      <c r="Y8" s="917"/>
      <c r="Z8" s="917"/>
      <c r="AA8" s="917"/>
      <c r="AB8" s="917"/>
      <c r="AC8" s="917"/>
      <c r="AD8" s="260" t="s">
        <v>185</v>
      </c>
      <c r="AE8" s="260" t="s">
        <v>187</v>
      </c>
    </row>
    <row r="9" spans="1:31" ht="11.25">
      <c r="A9" s="253"/>
      <c r="C9" s="255"/>
      <c r="D9" s="250"/>
      <c r="E9" s="890" t="s">
        <v>160</v>
      </c>
      <c r="F9" s="891"/>
      <c r="G9" s="892"/>
      <c r="H9" s="261" t="s">
        <v>183</v>
      </c>
      <c r="I9" s="262" t="s">
        <v>51</v>
      </c>
      <c r="J9" s="893"/>
      <c r="K9" s="894"/>
      <c r="L9" s="895"/>
      <c r="M9" s="261" t="s">
        <v>162</v>
      </c>
      <c r="N9" s="262" t="s">
        <v>203</v>
      </c>
      <c r="O9" s="896" t="s">
        <v>225</v>
      </c>
      <c r="P9" s="897"/>
      <c r="Q9" s="897"/>
      <c r="R9" s="898"/>
      <c r="S9" s="898"/>
      <c r="T9" s="898"/>
      <c r="U9" s="898"/>
      <c r="V9" s="898"/>
      <c r="W9" s="898"/>
      <c r="X9" s="898"/>
      <c r="Y9" s="898"/>
      <c r="Z9" s="898"/>
      <c r="AA9" s="898"/>
      <c r="AB9" s="898"/>
      <c r="AC9" s="898"/>
      <c r="AD9" s="263" t="s">
        <v>186</v>
      </c>
      <c r="AE9" s="263" t="s">
        <v>188</v>
      </c>
    </row>
    <row r="10" spans="3:33" ht="11.25">
      <c r="C10" s="255"/>
      <c r="D10" s="250"/>
      <c r="E10" s="899"/>
      <c r="F10" s="900"/>
      <c r="G10" s="901"/>
      <c r="H10" s="261" t="s">
        <v>59</v>
      </c>
      <c r="I10" s="264" t="s">
        <v>50</v>
      </c>
      <c r="J10" s="899"/>
      <c r="K10" s="900"/>
      <c r="L10" s="901"/>
      <c r="M10" s="265" t="s">
        <v>163</v>
      </c>
      <c r="N10" s="264" t="s">
        <v>198</v>
      </c>
      <c r="O10" s="899" t="s">
        <v>27</v>
      </c>
      <c r="P10" s="902"/>
      <c r="Q10" s="903"/>
      <c r="R10" s="904" t="s">
        <v>5</v>
      </c>
      <c r="S10" s="905"/>
      <c r="T10" s="906"/>
      <c r="U10" s="899" t="s">
        <v>204</v>
      </c>
      <c r="V10" s="902"/>
      <c r="W10" s="903"/>
      <c r="X10" s="266" t="s">
        <v>29</v>
      </c>
      <c r="Y10" s="266"/>
      <c r="Z10" s="267"/>
      <c r="AA10" s="268"/>
      <c r="AB10" s="269" t="s">
        <v>28</v>
      </c>
      <c r="AC10" s="270"/>
      <c r="AD10" s="271"/>
      <c r="AE10" s="271"/>
      <c r="AF10" s="272" t="s">
        <v>213</v>
      </c>
      <c r="AG10" s="272" t="s">
        <v>214</v>
      </c>
    </row>
    <row r="11" spans="1:31" ht="11.25">
      <c r="A11" s="273" t="s">
        <v>1</v>
      </c>
      <c r="E11" s="274" t="s">
        <v>2</v>
      </c>
      <c r="F11" s="275" t="s">
        <v>3</v>
      </c>
      <c r="G11" s="276" t="s">
        <v>4</v>
      </c>
      <c r="H11" s="277" t="s">
        <v>4</v>
      </c>
      <c r="I11" s="278" t="s">
        <v>49</v>
      </c>
      <c r="J11" s="274" t="s">
        <v>2</v>
      </c>
      <c r="K11" s="275" t="s">
        <v>3</v>
      </c>
      <c r="L11" s="279" t="s">
        <v>4</v>
      </c>
      <c r="M11" s="276" t="s">
        <v>4</v>
      </c>
      <c r="N11" s="278" t="s">
        <v>198</v>
      </c>
      <c r="O11" s="280" t="s">
        <v>2</v>
      </c>
      <c r="P11" s="281" t="s">
        <v>3</v>
      </c>
      <c r="Q11" s="282" t="s">
        <v>4</v>
      </c>
      <c r="R11" s="280" t="s">
        <v>2</v>
      </c>
      <c r="S11" s="281" t="s">
        <v>3</v>
      </c>
      <c r="T11" s="282" t="s">
        <v>4</v>
      </c>
      <c r="U11" s="280" t="s">
        <v>2</v>
      </c>
      <c r="V11" s="281" t="s">
        <v>3</v>
      </c>
      <c r="W11" s="283" t="s">
        <v>4</v>
      </c>
      <c r="X11" s="284" t="s">
        <v>2</v>
      </c>
      <c r="Y11" s="281" t="s">
        <v>3</v>
      </c>
      <c r="Z11" s="283" t="s">
        <v>4</v>
      </c>
      <c r="AA11" s="285" t="s">
        <v>2</v>
      </c>
      <c r="AB11" s="286" t="s">
        <v>3</v>
      </c>
      <c r="AC11" s="283" t="s">
        <v>4</v>
      </c>
      <c r="AD11" s="287">
        <v>0.04</v>
      </c>
      <c r="AE11" s="287">
        <v>0.96</v>
      </c>
    </row>
    <row r="12" spans="1:33" s="297" customFormat="1" ht="11.25">
      <c r="A12" s="288" t="s">
        <v>38</v>
      </c>
      <c r="B12" s="288"/>
      <c r="C12" s="288"/>
      <c r="D12" s="288"/>
      <c r="E12" s="289">
        <f aca="true" t="shared" si="0" ref="E12:AE12">SUM(E13:E14)</f>
        <v>701</v>
      </c>
      <c r="F12" s="290">
        <f t="shared" si="0"/>
        <v>787</v>
      </c>
      <c r="G12" s="291">
        <f t="shared" si="0"/>
        <v>122867</v>
      </c>
      <c r="H12" s="289">
        <f t="shared" si="0"/>
        <v>0</v>
      </c>
      <c r="I12" s="289">
        <f t="shared" si="0"/>
        <v>0</v>
      </c>
      <c r="J12" s="289" t="e">
        <f t="shared" si="0"/>
        <v>#REF!</v>
      </c>
      <c r="K12" s="290" t="e">
        <f t="shared" si="0"/>
        <v>#REF!</v>
      </c>
      <c r="L12" s="292" t="e">
        <f t="shared" si="0"/>
        <v>#REF!</v>
      </c>
      <c r="M12" s="289">
        <f t="shared" si="0"/>
        <v>0</v>
      </c>
      <c r="N12" s="289">
        <f t="shared" si="0"/>
        <v>0</v>
      </c>
      <c r="O12" s="289">
        <f t="shared" si="0"/>
        <v>0</v>
      </c>
      <c r="P12" s="290">
        <f t="shared" si="0"/>
        <v>0</v>
      </c>
      <c r="Q12" s="291">
        <f t="shared" si="0"/>
        <v>542</v>
      </c>
      <c r="R12" s="289" t="e">
        <f t="shared" si="0"/>
        <v>#REF!</v>
      </c>
      <c r="S12" s="290" t="e">
        <f t="shared" si="0"/>
        <v>#REF!</v>
      </c>
      <c r="T12" s="291" t="e">
        <f t="shared" si="0"/>
        <v>#REF!</v>
      </c>
      <c r="U12" s="289">
        <f t="shared" si="0"/>
        <v>7</v>
      </c>
      <c r="V12" s="290">
        <f t="shared" si="0"/>
        <v>4</v>
      </c>
      <c r="W12" s="291">
        <f t="shared" si="0"/>
        <v>1826</v>
      </c>
      <c r="X12" s="289">
        <f t="shared" si="0"/>
        <v>0</v>
      </c>
      <c r="Y12" s="290">
        <f t="shared" si="0"/>
        <v>0</v>
      </c>
      <c r="Z12" s="291">
        <f t="shared" si="0"/>
        <v>0</v>
      </c>
      <c r="AA12" s="289" t="e">
        <f t="shared" si="0"/>
        <v>#REF!</v>
      </c>
      <c r="AB12" s="290" t="e">
        <f t="shared" si="0"/>
        <v>#REF!</v>
      </c>
      <c r="AC12" s="293" t="e">
        <f t="shared" si="0"/>
        <v>#REF!</v>
      </c>
      <c r="AD12" s="294" t="e">
        <f t="shared" si="0"/>
        <v>#REF!</v>
      </c>
      <c r="AE12" s="294" t="e">
        <f t="shared" si="0"/>
        <v>#REF!</v>
      </c>
      <c r="AF12" s="295" t="e">
        <f>+AC12-L12</f>
        <v>#REF!</v>
      </c>
      <c r="AG12" s="296" t="e">
        <f>+AF12/L12</f>
        <v>#REF!</v>
      </c>
    </row>
    <row r="13" spans="1:33" ht="11.25">
      <c r="A13" s="298" t="s">
        <v>9</v>
      </c>
      <c r="E13" s="299">
        <f>704-3</f>
        <v>701</v>
      </c>
      <c r="F13" s="300">
        <f>790-3</f>
        <v>787</v>
      </c>
      <c r="G13" s="301">
        <v>122867</v>
      </c>
      <c r="H13" s="302"/>
      <c r="I13" s="302"/>
      <c r="J13" s="303" t="e">
        <f>+#REF!</f>
        <v>#REF!</v>
      </c>
      <c r="K13" s="303" t="e">
        <f>+#REF!</f>
        <v>#REF!</v>
      </c>
      <c r="L13" s="303" t="e">
        <f>+#REF!</f>
        <v>#REF!</v>
      </c>
      <c r="M13" s="304"/>
      <c r="N13" s="302">
        <v>0</v>
      </c>
      <c r="O13" s="299">
        <v>0</v>
      </c>
      <c r="P13" s="300">
        <v>0</v>
      </c>
      <c r="Q13" s="301">
        <v>542</v>
      </c>
      <c r="R13" s="305" t="e">
        <f>+J13+O13</f>
        <v>#REF!</v>
      </c>
      <c r="S13" s="306" t="e">
        <f>+K13+P13</f>
        <v>#REF!</v>
      </c>
      <c r="T13" s="301" t="e">
        <f>+L13+Q13+N13</f>
        <v>#REF!</v>
      </c>
      <c r="U13" s="299">
        <v>7</v>
      </c>
      <c r="V13" s="307">
        <v>4</v>
      </c>
      <c r="W13" s="301">
        <v>1826</v>
      </c>
      <c r="X13" s="308">
        <v>0</v>
      </c>
      <c r="Y13" s="307">
        <v>0</v>
      </c>
      <c r="Z13" s="301">
        <v>0</v>
      </c>
      <c r="AA13" s="299" t="e">
        <f aca="true" t="shared" si="1" ref="AA13:AC19">+X13+U13+R13</f>
        <v>#REF!</v>
      </c>
      <c r="AB13" s="300" t="e">
        <f t="shared" si="1"/>
        <v>#REF!</v>
      </c>
      <c r="AC13" s="309" t="e">
        <f t="shared" si="1"/>
        <v>#REF!</v>
      </c>
      <c r="AD13" s="310" t="e">
        <f aca="true" t="shared" si="2" ref="AD13:AD19">+T13*(1+$AD$11)</f>
        <v>#REF!</v>
      </c>
      <c r="AE13" s="310" t="e">
        <f aca="true" t="shared" si="3" ref="AE13:AE19">+L13*$AE$11</f>
        <v>#REF!</v>
      </c>
      <c r="AF13" s="295" t="e">
        <f aca="true" t="shared" si="4" ref="AF13:AF76">+AC13-L13</f>
        <v>#REF!</v>
      </c>
      <c r="AG13" s="296" t="e">
        <f aca="true" t="shared" si="5" ref="AG13:AG76">+AF13/L13</f>
        <v>#REF!</v>
      </c>
    </row>
    <row r="14" spans="1:33" ht="11.25" hidden="1">
      <c r="A14" s="311" t="s">
        <v>168</v>
      </c>
      <c r="B14" s="247"/>
      <c r="C14" s="247"/>
      <c r="D14" s="247"/>
      <c r="E14" s="299"/>
      <c r="F14" s="300">
        <v>0</v>
      </c>
      <c r="G14" s="301">
        <v>0</v>
      </c>
      <c r="H14" s="302"/>
      <c r="I14" s="302"/>
      <c r="J14" s="303" t="e">
        <f>+#REF!</f>
        <v>#REF!</v>
      </c>
      <c r="K14" s="303" t="e">
        <f>+#REF!</f>
        <v>#REF!</v>
      </c>
      <c r="L14" s="303" t="e">
        <f>+#REF!</f>
        <v>#REF!</v>
      </c>
      <c r="M14" s="304"/>
      <c r="N14" s="312">
        <v>0</v>
      </c>
      <c r="O14" s="305">
        <v>0</v>
      </c>
      <c r="P14" s="300">
        <v>0</v>
      </c>
      <c r="Q14" s="301">
        <v>0</v>
      </c>
      <c r="R14" s="305" t="e">
        <f aca="true" t="shared" si="6" ref="R14:S19">+J14+O14</f>
        <v>#REF!</v>
      </c>
      <c r="S14" s="306" t="e">
        <f t="shared" si="6"/>
        <v>#REF!</v>
      </c>
      <c r="T14" s="301" t="e">
        <f aca="true" t="shared" si="7" ref="T14:T19">+L14+Q14+N14</f>
        <v>#REF!</v>
      </c>
      <c r="U14" s="313">
        <v>0</v>
      </c>
      <c r="V14" s="307">
        <v>0</v>
      </c>
      <c r="W14" s="301">
        <v>0</v>
      </c>
      <c r="X14" s="308">
        <v>0</v>
      </c>
      <c r="Y14" s="307">
        <v>0</v>
      </c>
      <c r="Z14" s="301">
        <v>0</v>
      </c>
      <c r="AA14" s="299" t="e">
        <f t="shared" si="1"/>
        <v>#REF!</v>
      </c>
      <c r="AB14" s="300" t="e">
        <f t="shared" si="1"/>
        <v>#REF!</v>
      </c>
      <c r="AC14" s="309" t="e">
        <f t="shared" si="1"/>
        <v>#REF!</v>
      </c>
      <c r="AD14" s="310" t="e">
        <f t="shared" si="2"/>
        <v>#REF!</v>
      </c>
      <c r="AE14" s="310" t="e">
        <f t="shared" si="3"/>
        <v>#REF!</v>
      </c>
      <c r="AF14" s="295" t="e">
        <f t="shared" si="4"/>
        <v>#REF!</v>
      </c>
      <c r="AG14" s="296" t="s">
        <v>198</v>
      </c>
    </row>
    <row r="15" spans="1:33" ht="11.25" hidden="1">
      <c r="A15" s="256" t="s">
        <v>105</v>
      </c>
      <c r="E15" s="299">
        <v>0</v>
      </c>
      <c r="F15" s="300">
        <v>0</v>
      </c>
      <c r="G15" s="301">
        <v>0</v>
      </c>
      <c r="H15" s="302"/>
      <c r="I15" s="302"/>
      <c r="J15" s="303" t="e">
        <f>+#REF!</f>
        <v>#REF!</v>
      </c>
      <c r="K15" s="303" t="e">
        <f>+#REF!</f>
        <v>#REF!</v>
      </c>
      <c r="L15" s="303" t="e">
        <f>+#REF!</f>
        <v>#REF!</v>
      </c>
      <c r="M15" s="304"/>
      <c r="N15" s="302">
        <v>0</v>
      </c>
      <c r="O15" s="299">
        <v>0</v>
      </c>
      <c r="P15" s="300">
        <v>0</v>
      </c>
      <c r="Q15" s="301">
        <v>0</v>
      </c>
      <c r="R15" s="305" t="e">
        <f t="shared" si="6"/>
        <v>#REF!</v>
      </c>
      <c r="S15" s="306" t="e">
        <f t="shared" si="6"/>
        <v>#REF!</v>
      </c>
      <c r="T15" s="301" t="e">
        <f t="shared" si="7"/>
        <v>#REF!</v>
      </c>
      <c r="U15" s="299">
        <v>0</v>
      </c>
      <c r="V15" s="307">
        <v>0</v>
      </c>
      <c r="W15" s="301">
        <v>0</v>
      </c>
      <c r="X15" s="308">
        <v>0</v>
      </c>
      <c r="Y15" s="307">
        <v>0</v>
      </c>
      <c r="Z15" s="301">
        <v>0</v>
      </c>
      <c r="AA15" s="299" t="e">
        <f t="shared" si="1"/>
        <v>#REF!</v>
      </c>
      <c r="AB15" s="300" t="e">
        <f t="shared" si="1"/>
        <v>#REF!</v>
      </c>
      <c r="AC15" s="314" t="e">
        <f t="shared" si="1"/>
        <v>#REF!</v>
      </c>
      <c r="AD15" s="310" t="e">
        <f t="shared" si="2"/>
        <v>#REF!</v>
      </c>
      <c r="AE15" s="310" t="e">
        <f t="shared" si="3"/>
        <v>#REF!</v>
      </c>
      <c r="AF15" s="295" t="e">
        <f t="shared" si="4"/>
        <v>#REF!</v>
      </c>
      <c r="AG15" s="296" t="e">
        <f t="shared" si="5"/>
        <v>#REF!</v>
      </c>
    </row>
    <row r="16" spans="1:33" ht="11.25">
      <c r="A16" s="256" t="s">
        <v>180</v>
      </c>
      <c r="E16" s="299">
        <f>54+3</f>
        <v>57</v>
      </c>
      <c r="F16" s="300">
        <f>50+3</f>
        <v>53</v>
      </c>
      <c r="G16" s="301">
        <v>123403</v>
      </c>
      <c r="H16" s="302"/>
      <c r="I16" s="315">
        <v>0</v>
      </c>
      <c r="J16" s="303" t="e">
        <f>+#REF!</f>
        <v>#REF!</v>
      </c>
      <c r="K16" s="303" t="e">
        <f>+#REF!</f>
        <v>#REF!</v>
      </c>
      <c r="L16" s="303" t="e">
        <f>+#REF!</f>
        <v>#REF!</v>
      </c>
      <c r="M16" s="315"/>
      <c r="N16" s="315">
        <v>0</v>
      </c>
      <c r="O16" s="305">
        <v>0</v>
      </c>
      <c r="P16" s="306">
        <v>0</v>
      </c>
      <c r="Q16" s="315">
        <v>101</v>
      </c>
      <c r="R16" s="305" t="e">
        <f t="shared" si="6"/>
        <v>#REF!</v>
      </c>
      <c r="S16" s="306" t="e">
        <f t="shared" si="6"/>
        <v>#REF!</v>
      </c>
      <c r="T16" s="301" t="e">
        <f t="shared" si="7"/>
        <v>#REF!</v>
      </c>
      <c r="U16" s="305">
        <v>18</v>
      </c>
      <c r="V16" s="306">
        <v>10</v>
      </c>
      <c r="W16" s="315">
        <v>39284</v>
      </c>
      <c r="X16" s="305">
        <v>0</v>
      </c>
      <c r="Y16" s="306">
        <v>0</v>
      </c>
      <c r="Z16" s="315">
        <v>34253</v>
      </c>
      <c r="AA16" s="299" t="e">
        <f t="shared" si="1"/>
        <v>#REF!</v>
      </c>
      <c r="AB16" s="300" t="e">
        <f t="shared" si="1"/>
        <v>#REF!</v>
      </c>
      <c r="AC16" s="316" t="e">
        <f t="shared" si="1"/>
        <v>#REF!</v>
      </c>
      <c r="AD16" s="310" t="e">
        <f t="shared" si="2"/>
        <v>#REF!</v>
      </c>
      <c r="AE16" s="310" t="e">
        <f t="shared" si="3"/>
        <v>#REF!</v>
      </c>
      <c r="AF16" s="295" t="e">
        <f t="shared" si="4"/>
        <v>#REF!</v>
      </c>
      <c r="AG16" s="296" t="e">
        <f t="shared" si="5"/>
        <v>#REF!</v>
      </c>
    </row>
    <row r="17" spans="1:33" ht="11.25">
      <c r="A17" s="256" t="s">
        <v>74</v>
      </c>
      <c r="E17" s="299">
        <v>21</v>
      </c>
      <c r="F17" s="300">
        <v>21</v>
      </c>
      <c r="G17" s="301">
        <v>1161967</v>
      </c>
      <c r="H17" s="302"/>
      <c r="I17" s="302"/>
      <c r="J17" s="303" t="e">
        <f>+#REF!</f>
        <v>#REF!</v>
      </c>
      <c r="K17" s="303" t="e">
        <f>+#REF!</f>
        <v>#REF!</v>
      </c>
      <c r="L17" s="303" t="e">
        <f>+#REF!</f>
        <v>#REF!</v>
      </c>
      <c r="M17" s="304"/>
      <c r="N17" s="302">
        <v>0</v>
      </c>
      <c r="O17" s="299">
        <v>0</v>
      </c>
      <c r="P17" s="300">
        <v>0</v>
      </c>
      <c r="Q17" s="301">
        <v>29619</v>
      </c>
      <c r="R17" s="305" t="e">
        <f t="shared" si="6"/>
        <v>#REF!</v>
      </c>
      <c r="S17" s="306" t="e">
        <f t="shared" si="6"/>
        <v>#REF!</v>
      </c>
      <c r="T17" s="301" t="e">
        <f t="shared" si="7"/>
        <v>#REF!</v>
      </c>
      <c r="U17" s="299">
        <v>0</v>
      </c>
      <c r="V17" s="307">
        <v>0</v>
      </c>
      <c r="W17" s="301">
        <v>27500</v>
      </c>
      <c r="X17" s="308">
        <v>0</v>
      </c>
      <c r="Y17" s="307">
        <v>0</v>
      </c>
      <c r="Z17" s="301">
        <v>0</v>
      </c>
      <c r="AA17" s="299" t="e">
        <f t="shared" si="1"/>
        <v>#REF!</v>
      </c>
      <c r="AB17" s="300" t="e">
        <f t="shared" si="1"/>
        <v>#REF!</v>
      </c>
      <c r="AC17" s="316" t="e">
        <f t="shared" si="1"/>
        <v>#REF!</v>
      </c>
      <c r="AD17" s="310" t="e">
        <f t="shared" si="2"/>
        <v>#REF!</v>
      </c>
      <c r="AE17" s="310" t="e">
        <f t="shared" si="3"/>
        <v>#REF!</v>
      </c>
      <c r="AF17" s="295" t="e">
        <f t="shared" si="4"/>
        <v>#REF!</v>
      </c>
      <c r="AG17" s="296" t="e">
        <f t="shared" si="5"/>
        <v>#REF!</v>
      </c>
    </row>
    <row r="18" spans="1:33" ht="11.25">
      <c r="A18" s="298" t="s">
        <v>104</v>
      </c>
      <c r="E18" s="299">
        <v>0</v>
      </c>
      <c r="F18" s="300">
        <v>0</v>
      </c>
      <c r="G18" s="301">
        <v>0</v>
      </c>
      <c r="H18" s="302"/>
      <c r="I18" s="302"/>
      <c r="J18" s="303" t="e">
        <f>+#REF!</f>
        <v>#REF!</v>
      </c>
      <c r="K18" s="303" t="e">
        <f>+#REF!</f>
        <v>#REF!</v>
      </c>
      <c r="L18" s="303" t="e">
        <f>+#REF!</f>
        <v>#REF!</v>
      </c>
      <c r="M18" s="304"/>
      <c r="N18" s="302">
        <v>0</v>
      </c>
      <c r="O18" s="299">
        <v>0</v>
      </c>
      <c r="P18" s="300">
        <v>0</v>
      </c>
      <c r="Q18" s="301">
        <v>0</v>
      </c>
      <c r="R18" s="305" t="e">
        <f t="shared" si="6"/>
        <v>#REF!</v>
      </c>
      <c r="S18" s="306" t="e">
        <f t="shared" si="6"/>
        <v>#REF!</v>
      </c>
      <c r="T18" s="301" t="e">
        <f t="shared" si="7"/>
        <v>#REF!</v>
      </c>
      <c r="U18" s="299">
        <v>0</v>
      </c>
      <c r="V18" s="307">
        <v>0</v>
      </c>
      <c r="W18" s="301">
        <v>0</v>
      </c>
      <c r="X18" s="308">
        <v>0</v>
      </c>
      <c r="Y18" s="307">
        <v>0</v>
      </c>
      <c r="Z18" s="301">
        <v>0</v>
      </c>
      <c r="AA18" s="299" t="e">
        <f t="shared" si="1"/>
        <v>#REF!</v>
      </c>
      <c r="AB18" s="300" t="e">
        <f t="shared" si="1"/>
        <v>#REF!</v>
      </c>
      <c r="AC18" s="316" t="e">
        <f t="shared" si="1"/>
        <v>#REF!</v>
      </c>
      <c r="AD18" s="310" t="e">
        <f t="shared" si="2"/>
        <v>#REF!</v>
      </c>
      <c r="AE18" s="310" t="e">
        <f t="shared" si="3"/>
        <v>#REF!</v>
      </c>
      <c r="AF18" s="295" t="e">
        <f t="shared" si="4"/>
        <v>#REF!</v>
      </c>
      <c r="AG18" s="296" t="e">
        <f t="shared" si="5"/>
        <v>#REF!</v>
      </c>
    </row>
    <row r="19" spans="1:33" ht="11.25">
      <c r="A19" s="256" t="s">
        <v>184</v>
      </c>
      <c r="E19" s="299">
        <v>19</v>
      </c>
      <c r="F19" s="300">
        <v>16</v>
      </c>
      <c r="G19" s="301">
        <v>88851</v>
      </c>
      <c r="H19" s="302"/>
      <c r="I19" s="302"/>
      <c r="J19" s="303" t="e">
        <f>+#REF!</f>
        <v>#REF!</v>
      </c>
      <c r="K19" s="303" t="e">
        <f>+#REF!</f>
        <v>#REF!</v>
      </c>
      <c r="L19" s="303" t="e">
        <f>+#REF!</f>
        <v>#REF!</v>
      </c>
      <c r="M19" s="304"/>
      <c r="N19" s="302">
        <v>0</v>
      </c>
      <c r="O19" s="299">
        <v>0</v>
      </c>
      <c r="P19" s="300">
        <v>0</v>
      </c>
      <c r="Q19" s="301">
        <v>139</v>
      </c>
      <c r="R19" s="305" t="e">
        <f t="shared" si="6"/>
        <v>#REF!</v>
      </c>
      <c r="S19" s="306" t="e">
        <f t="shared" si="6"/>
        <v>#REF!</v>
      </c>
      <c r="T19" s="301" t="e">
        <f t="shared" si="7"/>
        <v>#REF!</v>
      </c>
      <c r="U19" s="299">
        <v>11</v>
      </c>
      <c r="V19" s="307">
        <v>6</v>
      </c>
      <c r="W19" s="301">
        <v>50000</v>
      </c>
      <c r="X19" s="308">
        <v>0</v>
      </c>
      <c r="Y19" s="307">
        <v>0</v>
      </c>
      <c r="Z19" s="301">
        <v>0</v>
      </c>
      <c r="AA19" s="299" t="e">
        <f t="shared" si="1"/>
        <v>#REF!</v>
      </c>
      <c r="AB19" s="300" t="e">
        <f t="shared" si="1"/>
        <v>#REF!</v>
      </c>
      <c r="AC19" s="316" t="e">
        <f t="shared" si="1"/>
        <v>#REF!</v>
      </c>
      <c r="AD19" s="310" t="e">
        <f t="shared" si="2"/>
        <v>#REF!</v>
      </c>
      <c r="AE19" s="310" t="e">
        <f t="shared" si="3"/>
        <v>#REF!</v>
      </c>
      <c r="AF19" s="295" t="e">
        <f t="shared" si="4"/>
        <v>#REF!</v>
      </c>
      <c r="AG19" s="296" t="e">
        <f t="shared" si="5"/>
        <v>#REF!</v>
      </c>
    </row>
    <row r="20" spans="1:33" ht="11.25" hidden="1">
      <c r="A20" s="288" t="s">
        <v>22</v>
      </c>
      <c r="B20" s="288"/>
      <c r="C20" s="288"/>
      <c r="D20" s="297"/>
      <c r="E20" s="317">
        <f>SUM(E21:E22)</f>
        <v>0</v>
      </c>
      <c r="F20" s="318">
        <f>SUM(F21:F22)</f>
        <v>0</v>
      </c>
      <c r="G20" s="319">
        <f>SUM(G21:G22)</f>
        <v>0</v>
      </c>
      <c r="H20" s="320"/>
      <c r="I20" s="320">
        <f>SUM(I21:I22)</f>
        <v>0</v>
      </c>
      <c r="J20" s="317" t="e">
        <f>SUM(J21:J22)</f>
        <v>#REF!</v>
      </c>
      <c r="K20" s="318" t="e">
        <f>SUM(K21:K22)</f>
        <v>#REF!</v>
      </c>
      <c r="L20" s="321" t="e">
        <f>+L21+L22</f>
        <v>#REF!</v>
      </c>
      <c r="M20" s="320"/>
      <c r="N20" s="320">
        <f>SUM(N21:N22)</f>
        <v>0</v>
      </c>
      <c r="O20" s="317">
        <v>0</v>
      </c>
      <c r="P20" s="318">
        <v>0</v>
      </c>
      <c r="Q20" s="319">
        <v>0</v>
      </c>
      <c r="R20" s="317"/>
      <c r="S20" s="318"/>
      <c r="T20" s="319" t="e">
        <f>+T21+T22</f>
        <v>#REF!</v>
      </c>
      <c r="U20" s="322">
        <f aca="true" t="shared" si="8" ref="U20:AC20">SUM(U21:U22)</f>
        <v>0</v>
      </c>
      <c r="V20" s="318">
        <f t="shared" si="8"/>
        <v>0</v>
      </c>
      <c r="W20" s="319">
        <f t="shared" si="8"/>
        <v>0</v>
      </c>
      <c r="X20" s="317">
        <f t="shared" si="8"/>
        <v>0</v>
      </c>
      <c r="Y20" s="318">
        <f t="shared" si="8"/>
        <v>0</v>
      </c>
      <c r="Z20" s="319">
        <f t="shared" si="8"/>
        <v>0</v>
      </c>
      <c r="AA20" s="317">
        <f t="shared" si="8"/>
        <v>0</v>
      </c>
      <c r="AB20" s="318">
        <f t="shared" si="8"/>
        <v>0</v>
      </c>
      <c r="AC20" s="320" t="e">
        <f t="shared" si="8"/>
        <v>#REF!</v>
      </c>
      <c r="AD20" s="323"/>
      <c r="AE20" s="323"/>
      <c r="AF20" s="295" t="e">
        <f t="shared" si="4"/>
        <v>#REF!</v>
      </c>
      <c r="AG20" s="296" t="e">
        <f t="shared" si="5"/>
        <v>#REF!</v>
      </c>
    </row>
    <row r="21" spans="1:33" ht="11.25" hidden="1">
      <c r="A21" s="324" t="s">
        <v>206</v>
      </c>
      <c r="B21" s="324"/>
      <c r="C21" s="324"/>
      <c r="D21" s="325"/>
      <c r="E21" s="326">
        <v>0</v>
      </c>
      <c r="F21" s="327">
        <v>0</v>
      </c>
      <c r="G21" s="309">
        <v>0</v>
      </c>
      <c r="H21" s="312"/>
      <c r="I21" s="312"/>
      <c r="J21" s="303" t="e">
        <f>+#REF!</f>
        <v>#REF!</v>
      </c>
      <c r="K21" s="303" t="e">
        <f>+#REF!</f>
        <v>#REF!</v>
      </c>
      <c r="L21" s="303" t="e">
        <f>+#REF!</f>
        <v>#REF!</v>
      </c>
      <c r="M21" s="316"/>
      <c r="N21" s="312">
        <v>0</v>
      </c>
      <c r="O21" s="299">
        <v>0</v>
      </c>
      <c r="P21" s="300">
        <v>0</v>
      </c>
      <c r="Q21" s="301">
        <v>0</v>
      </c>
      <c r="R21" s="305"/>
      <c r="S21" s="306"/>
      <c r="T21" s="301" t="e">
        <f>+L21+Q21+N21</f>
        <v>#REF!</v>
      </c>
      <c r="U21" s="313"/>
      <c r="V21" s="307"/>
      <c r="W21" s="301"/>
      <c r="X21" s="308"/>
      <c r="Y21" s="307"/>
      <c r="Z21" s="301"/>
      <c r="AA21" s="299">
        <f aca="true" t="shared" si="9" ref="AA21:AC22">+X21+U21+R21</f>
        <v>0</v>
      </c>
      <c r="AB21" s="300">
        <f t="shared" si="9"/>
        <v>0</v>
      </c>
      <c r="AC21" s="304" t="e">
        <f t="shared" si="9"/>
        <v>#REF!</v>
      </c>
      <c r="AD21" s="328"/>
      <c r="AE21" s="328"/>
      <c r="AF21" s="295" t="e">
        <f t="shared" si="4"/>
        <v>#REF!</v>
      </c>
      <c r="AG21" s="296" t="e">
        <f t="shared" si="5"/>
        <v>#REF!</v>
      </c>
    </row>
    <row r="22" spans="1:33" ht="11.25" hidden="1">
      <c r="A22" s="329" t="s">
        <v>106</v>
      </c>
      <c r="B22" s="329"/>
      <c r="C22" s="329"/>
      <c r="D22" s="329"/>
      <c r="E22" s="299">
        <v>0</v>
      </c>
      <c r="F22" s="300">
        <v>0</v>
      </c>
      <c r="G22" s="301">
        <v>0</v>
      </c>
      <c r="H22" s="302"/>
      <c r="I22" s="302"/>
      <c r="J22" s="303" t="e">
        <f>+#REF!</f>
        <v>#REF!</v>
      </c>
      <c r="K22" s="303" t="e">
        <f>+#REF!</f>
        <v>#REF!</v>
      </c>
      <c r="L22" s="303" t="e">
        <f>+#REF!</f>
        <v>#REF!</v>
      </c>
      <c r="M22" s="304"/>
      <c r="N22" s="302"/>
      <c r="O22" s="299">
        <v>0</v>
      </c>
      <c r="P22" s="300">
        <v>0</v>
      </c>
      <c r="Q22" s="301">
        <v>0</v>
      </c>
      <c r="R22" s="305"/>
      <c r="S22" s="306"/>
      <c r="T22" s="301"/>
      <c r="U22" s="313"/>
      <c r="V22" s="307"/>
      <c r="W22" s="301"/>
      <c r="X22" s="308"/>
      <c r="Y22" s="307"/>
      <c r="Z22" s="301"/>
      <c r="AA22" s="299">
        <f t="shared" si="9"/>
        <v>0</v>
      </c>
      <c r="AB22" s="300">
        <f t="shared" si="9"/>
        <v>0</v>
      </c>
      <c r="AC22" s="304">
        <f t="shared" si="9"/>
        <v>0</v>
      </c>
      <c r="AD22" s="328"/>
      <c r="AE22" s="328"/>
      <c r="AF22" s="295" t="e">
        <f t="shared" si="4"/>
        <v>#REF!</v>
      </c>
      <c r="AG22" s="296" t="s">
        <v>198</v>
      </c>
    </row>
    <row r="23" spans="1:33" ht="11.25">
      <c r="A23" s="288" t="s">
        <v>35</v>
      </c>
      <c r="B23" s="288"/>
      <c r="C23" s="288"/>
      <c r="D23" s="288"/>
      <c r="E23" s="330">
        <f>SUM(E24:E25)</f>
        <v>1306</v>
      </c>
      <c r="F23" s="331">
        <f>SUM(F24:F25)</f>
        <v>1344</v>
      </c>
      <c r="G23" s="332">
        <f>SUM(G24:G25)</f>
        <v>212930</v>
      </c>
      <c r="H23" s="320"/>
      <c r="I23" s="320">
        <f>SUM(I24:I25)</f>
        <v>0</v>
      </c>
      <c r="J23" s="330">
        <f>+J24+J25</f>
        <v>1521</v>
      </c>
      <c r="K23" s="330">
        <f aca="true" t="shared" si="10" ref="K23:AC23">+K24+K25</f>
        <v>1559</v>
      </c>
      <c r="L23" s="330">
        <f t="shared" si="10"/>
        <v>246361</v>
      </c>
      <c r="M23" s="330">
        <f t="shared" si="10"/>
        <v>0</v>
      </c>
      <c r="N23" s="330">
        <f t="shared" si="10"/>
        <v>0</v>
      </c>
      <c r="O23" s="330">
        <f t="shared" si="10"/>
        <v>0</v>
      </c>
      <c r="P23" s="330">
        <f t="shared" si="10"/>
        <v>0</v>
      </c>
      <c r="Q23" s="330">
        <f t="shared" si="10"/>
        <v>1472</v>
      </c>
      <c r="R23" s="330">
        <f t="shared" si="10"/>
        <v>1521</v>
      </c>
      <c r="S23" s="330">
        <f t="shared" si="10"/>
        <v>1559</v>
      </c>
      <c r="T23" s="330">
        <f t="shared" si="10"/>
        <v>247833</v>
      </c>
      <c r="U23" s="330">
        <f t="shared" si="10"/>
        <v>0</v>
      </c>
      <c r="V23" s="330">
        <f t="shared" si="10"/>
        <v>0</v>
      </c>
      <c r="W23" s="330">
        <f t="shared" si="10"/>
        <v>0</v>
      </c>
      <c r="X23" s="330">
        <f t="shared" si="10"/>
        <v>0</v>
      </c>
      <c r="Y23" s="330">
        <f t="shared" si="10"/>
        <v>0</v>
      </c>
      <c r="Z23" s="330">
        <f t="shared" si="10"/>
        <v>0</v>
      </c>
      <c r="AA23" s="330">
        <f t="shared" si="10"/>
        <v>1521</v>
      </c>
      <c r="AB23" s="330">
        <f t="shared" si="10"/>
        <v>1559</v>
      </c>
      <c r="AC23" s="330">
        <f t="shared" si="10"/>
        <v>247833</v>
      </c>
      <c r="AD23" s="337">
        <f>SUM(AD24:AD25)</f>
        <v>0</v>
      </c>
      <c r="AE23" s="337">
        <f>SUM(AE24:AE25)</f>
        <v>0</v>
      </c>
      <c r="AF23" s="295">
        <f t="shared" si="4"/>
        <v>1472</v>
      </c>
      <c r="AG23" s="296">
        <f t="shared" si="5"/>
        <v>0.005974971687888911</v>
      </c>
    </row>
    <row r="24" spans="1:33" ht="11.25">
      <c r="A24" s="298" t="s">
        <v>130</v>
      </c>
      <c r="E24" s="299">
        <v>1291</v>
      </c>
      <c r="F24" s="300">
        <v>1329</v>
      </c>
      <c r="G24" s="301">
        <v>210721</v>
      </c>
      <c r="H24" s="302"/>
      <c r="I24" s="302"/>
      <c r="J24" s="299">
        <v>1506</v>
      </c>
      <c r="K24" s="300">
        <v>1544</v>
      </c>
      <c r="L24" s="303">
        <f>244011+2000</f>
        <v>246011</v>
      </c>
      <c r="M24" s="304"/>
      <c r="N24" s="302"/>
      <c r="O24" s="299"/>
      <c r="P24" s="300"/>
      <c r="Q24" s="301">
        <v>1465</v>
      </c>
      <c r="R24" s="305">
        <f aca="true" t="shared" si="11" ref="R24:S26">+J24+O24</f>
        <v>1506</v>
      </c>
      <c r="S24" s="306">
        <f t="shared" si="11"/>
        <v>1544</v>
      </c>
      <c r="T24" s="301">
        <f>+L24+Q24+N24</f>
        <v>247476</v>
      </c>
      <c r="U24" s="313"/>
      <c r="V24" s="307"/>
      <c r="W24" s="301"/>
      <c r="X24" s="308"/>
      <c r="Y24" s="307"/>
      <c r="Z24" s="301"/>
      <c r="AA24" s="299">
        <f aca="true" t="shared" si="12" ref="AA24:AC26">+X24+U24+R24</f>
        <v>1506</v>
      </c>
      <c r="AB24" s="300">
        <f t="shared" si="12"/>
        <v>1544</v>
      </c>
      <c r="AC24" s="316">
        <f t="shared" si="12"/>
        <v>247476</v>
      </c>
      <c r="AD24" s="310"/>
      <c r="AE24" s="310"/>
      <c r="AF24" s="295">
        <f t="shared" si="4"/>
        <v>1465</v>
      </c>
      <c r="AG24" s="296">
        <f t="shared" si="5"/>
        <v>0.005955018271540703</v>
      </c>
    </row>
    <row r="25" spans="1:33" ht="11.25">
      <c r="A25" s="298" t="s">
        <v>131</v>
      </c>
      <c r="E25" s="299">
        <v>15</v>
      </c>
      <c r="F25" s="300">
        <v>15</v>
      </c>
      <c r="G25" s="301">
        <v>2209</v>
      </c>
      <c r="H25" s="302"/>
      <c r="I25" s="302"/>
      <c r="J25" s="299">
        <v>15</v>
      </c>
      <c r="K25" s="300">
        <v>15</v>
      </c>
      <c r="L25" s="303">
        <f>2350-2000</f>
        <v>350</v>
      </c>
      <c r="M25" s="304"/>
      <c r="N25" s="302"/>
      <c r="O25" s="299"/>
      <c r="P25" s="300"/>
      <c r="Q25" s="301">
        <v>7</v>
      </c>
      <c r="R25" s="305">
        <f t="shared" si="11"/>
        <v>15</v>
      </c>
      <c r="S25" s="306">
        <f t="shared" si="11"/>
        <v>15</v>
      </c>
      <c r="T25" s="301">
        <f>+L25+Q25+N25</f>
        <v>357</v>
      </c>
      <c r="U25" s="313"/>
      <c r="V25" s="307"/>
      <c r="W25" s="301"/>
      <c r="X25" s="308"/>
      <c r="Y25" s="307"/>
      <c r="Z25" s="301"/>
      <c r="AA25" s="299">
        <f t="shared" si="12"/>
        <v>15</v>
      </c>
      <c r="AB25" s="300">
        <f t="shared" si="12"/>
        <v>15</v>
      </c>
      <c r="AC25" s="316">
        <f t="shared" si="12"/>
        <v>357</v>
      </c>
      <c r="AD25" s="310"/>
      <c r="AE25" s="310"/>
      <c r="AF25" s="295">
        <f t="shared" si="4"/>
        <v>7</v>
      </c>
      <c r="AG25" s="296">
        <f t="shared" si="5"/>
        <v>0.02</v>
      </c>
    </row>
    <row r="26" spans="1:33" ht="11.25">
      <c r="A26" s="256" t="s">
        <v>132</v>
      </c>
      <c r="E26" s="299">
        <v>453</v>
      </c>
      <c r="F26" s="300">
        <v>453</v>
      </c>
      <c r="G26" s="301">
        <v>67922</v>
      </c>
      <c r="H26" s="302"/>
      <c r="I26" s="302"/>
      <c r="J26" s="303" t="e">
        <f>+#REF!</f>
        <v>#REF!</v>
      </c>
      <c r="K26" s="303" t="e">
        <f>+#REF!</f>
        <v>#REF!</v>
      </c>
      <c r="L26" s="303" t="e">
        <f>+#REF!</f>
        <v>#REF!</v>
      </c>
      <c r="M26" s="304"/>
      <c r="N26" s="302">
        <v>0</v>
      </c>
      <c r="O26" s="299">
        <v>0</v>
      </c>
      <c r="P26" s="300">
        <v>0</v>
      </c>
      <c r="Q26" s="301">
        <v>272</v>
      </c>
      <c r="R26" s="305" t="e">
        <f t="shared" si="11"/>
        <v>#REF!</v>
      </c>
      <c r="S26" s="306" t="e">
        <f t="shared" si="11"/>
        <v>#REF!</v>
      </c>
      <c r="T26" s="301" t="e">
        <f>+L26+Q26+N26</f>
        <v>#REF!</v>
      </c>
      <c r="U26" s="313">
        <v>0</v>
      </c>
      <c r="V26" s="307">
        <v>0</v>
      </c>
      <c r="W26" s="301">
        <v>0</v>
      </c>
      <c r="X26" s="308">
        <v>0</v>
      </c>
      <c r="Y26" s="307">
        <v>0</v>
      </c>
      <c r="Z26" s="301">
        <v>0</v>
      </c>
      <c r="AA26" s="299" t="e">
        <f t="shared" si="12"/>
        <v>#REF!</v>
      </c>
      <c r="AB26" s="300" t="e">
        <f t="shared" si="12"/>
        <v>#REF!</v>
      </c>
      <c r="AC26" s="316" t="e">
        <f t="shared" si="12"/>
        <v>#REF!</v>
      </c>
      <c r="AD26" s="310" t="e">
        <f>+T26*(1+$AD$11)</f>
        <v>#REF!</v>
      </c>
      <c r="AE26" s="310" t="e">
        <f>+L26*$AE$11</f>
        <v>#REF!</v>
      </c>
      <c r="AF26" s="295" t="e">
        <f t="shared" si="4"/>
        <v>#REF!</v>
      </c>
      <c r="AG26" s="296" t="e">
        <f t="shared" si="5"/>
        <v>#REF!</v>
      </c>
    </row>
    <row r="27" spans="1:33" ht="11.25">
      <c r="A27" s="288" t="s">
        <v>73</v>
      </c>
      <c r="B27" s="288"/>
      <c r="C27" s="288"/>
      <c r="D27" s="288"/>
      <c r="E27" s="317" t="s">
        <v>30</v>
      </c>
      <c r="F27" s="333">
        <f>SUM(F28)</f>
        <v>723</v>
      </c>
      <c r="G27" s="334">
        <f>SUM(G28)</f>
        <v>0</v>
      </c>
      <c r="H27" s="320"/>
      <c r="I27" s="320">
        <f>SUM(I28:I30)</f>
        <v>0</v>
      </c>
      <c r="J27" s="317" t="s">
        <v>30</v>
      </c>
      <c r="K27" s="333" t="e">
        <f>SUM(K28)</f>
        <v>#REF!</v>
      </c>
      <c r="L27" s="338" t="e">
        <f>SUM(L28)</f>
        <v>#REF!</v>
      </c>
      <c r="M27" s="320">
        <f aca="true" t="shared" si="13" ref="M27:Z27">SUM(M28:M30)</f>
        <v>0</v>
      </c>
      <c r="N27" s="320">
        <f t="shared" si="13"/>
        <v>0</v>
      </c>
      <c r="O27" s="330">
        <f t="shared" si="13"/>
        <v>0</v>
      </c>
      <c r="P27" s="333">
        <f t="shared" si="13"/>
        <v>0</v>
      </c>
      <c r="Q27" s="334">
        <f t="shared" si="13"/>
        <v>0</v>
      </c>
      <c r="R27" s="317" t="s">
        <v>30</v>
      </c>
      <c r="S27" s="333" t="e">
        <f t="shared" si="13"/>
        <v>#REF!</v>
      </c>
      <c r="T27" s="334" t="e">
        <f t="shared" si="13"/>
        <v>#REF!</v>
      </c>
      <c r="U27" s="331">
        <f t="shared" si="13"/>
        <v>0</v>
      </c>
      <c r="V27" s="335">
        <f t="shared" si="13"/>
        <v>0</v>
      </c>
      <c r="W27" s="334">
        <f t="shared" si="13"/>
        <v>0</v>
      </c>
      <c r="X27" s="336">
        <f t="shared" si="13"/>
        <v>0</v>
      </c>
      <c r="Y27" s="335">
        <f t="shared" si="13"/>
        <v>0</v>
      </c>
      <c r="Z27" s="334">
        <f t="shared" si="13"/>
        <v>0</v>
      </c>
      <c r="AA27" s="317" t="s">
        <v>30</v>
      </c>
      <c r="AB27" s="333" t="e">
        <f>SUM(AB28:AB30)</f>
        <v>#REF!</v>
      </c>
      <c r="AC27" s="332" t="e">
        <f>SUM(AC28:AC30)</f>
        <v>#REF!</v>
      </c>
      <c r="AD27" s="337" t="e">
        <f>SUM(AD28:AD30)</f>
        <v>#REF!</v>
      </c>
      <c r="AE27" s="337" t="e">
        <f>SUM(AE28:AE30)</f>
        <v>#REF!</v>
      </c>
      <c r="AF27" s="295" t="e">
        <f t="shared" si="4"/>
        <v>#REF!</v>
      </c>
      <c r="AG27" s="296" t="s">
        <v>198</v>
      </c>
    </row>
    <row r="28" spans="1:33" ht="11.25">
      <c r="A28" s="298" t="s">
        <v>133</v>
      </c>
      <c r="E28" s="305" t="s">
        <v>30</v>
      </c>
      <c r="F28" s="300">
        <v>723</v>
      </c>
      <c r="G28" s="301">
        <v>0</v>
      </c>
      <c r="H28" s="302"/>
      <c r="I28" s="302"/>
      <c r="J28" s="305" t="e">
        <f>+#REF!</f>
        <v>#REF!</v>
      </c>
      <c r="K28" s="300" t="e">
        <f>+#REF!</f>
        <v>#REF!</v>
      </c>
      <c r="L28" s="303" t="e">
        <f>+#REF!</f>
        <v>#REF!</v>
      </c>
      <c r="M28" s="304"/>
      <c r="N28" s="302">
        <v>0</v>
      </c>
      <c r="O28" s="299">
        <v>0</v>
      </c>
      <c r="P28" s="300">
        <v>0</v>
      </c>
      <c r="Q28" s="301">
        <v>0</v>
      </c>
      <c r="R28" s="305" t="e">
        <f>+J28</f>
        <v>#REF!</v>
      </c>
      <c r="S28" s="306" t="e">
        <f>+K28+P28</f>
        <v>#REF!</v>
      </c>
      <c r="T28" s="301" t="e">
        <f>+L28+Q28+N28</f>
        <v>#REF!</v>
      </c>
      <c r="U28" s="313">
        <v>0</v>
      </c>
      <c r="V28" s="307">
        <v>0</v>
      </c>
      <c r="W28" s="301">
        <v>0</v>
      </c>
      <c r="X28" s="308">
        <v>0</v>
      </c>
      <c r="Y28" s="307">
        <v>0</v>
      </c>
      <c r="Z28" s="301">
        <v>0</v>
      </c>
      <c r="AA28" s="305" t="s">
        <v>30</v>
      </c>
      <c r="AB28" s="300" t="e">
        <f aca="true" t="shared" si="14" ref="AB28:AC32">+Y28+V28+S28</f>
        <v>#REF!</v>
      </c>
      <c r="AC28" s="316" t="e">
        <f t="shared" si="14"/>
        <v>#REF!</v>
      </c>
      <c r="AD28" s="310" t="e">
        <f>+T28*(1+$AD$11)</f>
        <v>#REF!</v>
      </c>
      <c r="AE28" s="310" t="e">
        <f>+L28*$AE$11</f>
        <v>#REF!</v>
      </c>
      <c r="AF28" s="295" t="e">
        <f t="shared" si="4"/>
        <v>#REF!</v>
      </c>
      <c r="AG28" s="296" t="s">
        <v>198</v>
      </c>
    </row>
    <row r="29" spans="1:33" ht="11.25" hidden="1">
      <c r="A29" s="329" t="s">
        <v>107</v>
      </c>
      <c r="B29" s="329"/>
      <c r="C29" s="329"/>
      <c r="D29" s="329"/>
      <c r="E29" s="299"/>
      <c r="F29" s="300"/>
      <c r="G29" s="301">
        <v>0</v>
      </c>
      <c r="H29" s="302"/>
      <c r="I29" s="302"/>
      <c r="J29" s="299" t="e">
        <f>+#REF!</f>
        <v>#REF!</v>
      </c>
      <c r="K29" s="313" t="e">
        <f>+#REF!</f>
        <v>#REF!</v>
      </c>
      <c r="L29" s="303" t="e">
        <f>+#REF!</f>
        <v>#REF!</v>
      </c>
      <c r="M29" s="304"/>
      <c r="N29" s="302">
        <v>0</v>
      </c>
      <c r="O29" s="299">
        <v>0</v>
      </c>
      <c r="P29" s="300">
        <v>0</v>
      </c>
      <c r="Q29" s="301">
        <v>0</v>
      </c>
      <c r="R29" s="305" t="e">
        <f>+J29+O29</f>
        <v>#REF!</v>
      </c>
      <c r="S29" s="306" t="e">
        <f>+K29+P29</f>
        <v>#REF!</v>
      </c>
      <c r="T29" s="301" t="e">
        <f>+L29+Q29+N29</f>
        <v>#REF!</v>
      </c>
      <c r="U29" s="313">
        <v>0</v>
      </c>
      <c r="V29" s="307">
        <v>0</v>
      </c>
      <c r="W29" s="301">
        <v>0</v>
      </c>
      <c r="X29" s="308">
        <v>0</v>
      </c>
      <c r="Y29" s="307">
        <v>0</v>
      </c>
      <c r="Z29" s="301">
        <v>0</v>
      </c>
      <c r="AA29" s="299" t="e">
        <f>+X29+U29+R29</f>
        <v>#REF!</v>
      </c>
      <c r="AB29" s="300" t="e">
        <f t="shared" si="14"/>
        <v>#REF!</v>
      </c>
      <c r="AC29" s="316" t="e">
        <f t="shared" si="14"/>
        <v>#REF!</v>
      </c>
      <c r="AD29" s="310" t="e">
        <f>+T29*(1+$AD$11)</f>
        <v>#REF!</v>
      </c>
      <c r="AE29" s="310" t="e">
        <f>+L29*$AE$11</f>
        <v>#REF!</v>
      </c>
      <c r="AF29" s="295" t="e">
        <f t="shared" si="4"/>
        <v>#REF!</v>
      </c>
      <c r="AG29" s="296" t="s">
        <v>198</v>
      </c>
    </row>
    <row r="30" spans="1:33" ht="11.25" hidden="1">
      <c r="A30" s="329" t="s">
        <v>108</v>
      </c>
      <c r="B30" s="329"/>
      <c r="C30" s="329"/>
      <c r="D30" s="329"/>
      <c r="E30" s="299"/>
      <c r="F30" s="300"/>
      <c r="G30" s="301">
        <v>0</v>
      </c>
      <c r="H30" s="302"/>
      <c r="I30" s="302"/>
      <c r="J30" s="299" t="e">
        <f>+#REF!</f>
        <v>#REF!</v>
      </c>
      <c r="K30" s="300" t="e">
        <f>+#REF!</f>
        <v>#REF!</v>
      </c>
      <c r="L30" s="303" t="e">
        <f>+#REF!</f>
        <v>#REF!</v>
      </c>
      <c r="M30" s="304"/>
      <c r="N30" s="302">
        <v>0</v>
      </c>
      <c r="O30" s="299">
        <v>0</v>
      </c>
      <c r="P30" s="300">
        <v>0</v>
      </c>
      <c r="Q30" s="301">
        <v>0</v>
      </c>
      <c r="R30" s="305" t="e">
        <f>+J30+O30</f>
        <v>#REF!</v>
      </c>
      <c r="S30" s="306" t="e">
        <f>+K30+P30</f>
        <v>#REF!</v>
      </c>
      <c r="T30" s="301" t="e">
        <f>+L30+Q30+N30</f>
        <v>#REF!</v>
      </c>
      <c r="U30" s="313">
        <v>0</v>
      </c>
      <c r="V30" s="307">
        <v>0</v>
      </c>
      <c r="W30" s="301">
        <v>0</v>
      </c>
      <c r="X30" s="308">
        <v>0</v>
      </c>
      <c r="Y30" s="307">
        <v>0</v>
      </c>
      <c r="Z30" s="301">
        <v>0</v>
      </c>
      <c r="AA30" s="299" t="e">
        <f>+X30+U30+R30</f>
        <v>#REF!</v>
      </c>
      <c r="AB30" s="300" t="e">
        <f t="shared" si="14"/>
        <v>#REF!</v>
      </c>
      <c r="AC30" s="316" t="e">
        <f t="shared" si="14"/>
        <v>#REF!</v>
      </c>
      <c r="AD30" s="310" t="e">
        <f>+T30*(1+$AD$11)</f>
        <v>#REF!</v>
      </c>
      <c r="AE30" s="310" t="e">
        <f>+L30*$AE$11</f>
        <v>#REF!</v>
      </c>
      <c r="AF30" s="295" t="e">
        <f t="shared" si="4"/>
        <v>#REF!</v>
      </c>
      <c r="AG30" s="296" t="s">
        <v>198</v>
      </c>
    </row>
    <row r="31" spans="1:33" ht="11.25">
      <c r="A31" s="256" t="s">
        <v>39</v>
      </c>
      <c r="E31" s="299">
        <v>93</v>
      </c>
      <c r="F31" s="300">
        <v>96</v>
      </c>
      <c r="G31" s="301">
        <v>10859</v>
      </c>
      <c r="H31" s="302"/>
      <c r="I31" s="302"/>
      <c r="J31" s="299" t="e">
        <f>+#REF!</f>
        <v>#REF!</v>
      </c>
      <c r="K31" s="300" t="e">
        <f>+#REF!</f>
        <v>#REF!</v>
      </c>
      <c r="L31" s="303" t="e">
        <f>+#REF!</f>
        <v>#REF!</v>
      </c>
      <c r="M31" s="304"/>
      <c r="N31" s="302">
        <v>0</v>
      </c>
      <c r="O31" s="299">
        <v>0</v>
      </c>
      <c r="P31" s="300">
        <v>-2</v>
      </c>
      <c r="Q31" s="301">
        <v>115</v>
      </c>
      <c r="R31" s="305" t="e">
        <f>+J31+O31</f>
        <v>#REF!</v>
      </c>
      <c r="S31" s="306" t="e">
        <f>+K31+P31</f>
        <v>#REF!</v>
      </c>
      <c r="T31" s="301" t="e">
        <f>+L31+Q31+N31</f>
        <v>#REF!</v>
      </c>
      <c r="U31" s="313">
        <v>0</v>
      </c>
      <c r="V31" s="307">
        <v>0</v>
      </c>
      <c r="W31" s="301">
        <v>0</v>
      </c>
      <c r="X31" s="339">
        <v>0</v>
      </c>
      <c r="Y31" s="307">
        <v>0</v>
      </c>
      <c r="Z31" s="301">
        <v>0</v>
      </c>
      <c r="AA31" s="299" t="e">
        <f>+X31+U31+R31</f>
        <v>#REF!</v>
      </c>
      <c r="AB31" s="300" t="e">
        <f t="shared" si="14"/>
        <v>#REF!</v>
      </c>
      <c r="AC31" s="316" t="e">
        <f t="shared" si="14"/>
        <v>#REF!</v>
      </c>
      <c r="AD31" s="310" t="e">
        <f>+T31*(1+$AD$11)</f>
        <v>#REF!</v>
      </c>
      <c r="AE31" s="310" t="e">
        <f>+L31*$AE$11</f>
        <v>#REF!</v>
      </c>
      <c r="AF31" s="295" t="e">
        <f t="shared" si="4"/>
        <v>#REF!</v>
      </c>
      <c r="AG31" s="296" t="e">
        <f t="shared" si="5"/>
        <v>#REF!</v>
      </c>
    </row>
    <row r="32" spans="1:33" ht="11.25">
      <c r="A32" s="340" t="s">
        <v>148</v>
      </c>
      <c r="E32" s="305" t="s">
        <v>169</v>
      </c>
      <c r="F32" s="306" t="s">
        <v>170</v>
      </c>
      <c r="G32" s="315" t="s">
        <v>171</v>
      </c>
      <c r="H32" s="302"/>
      <c r="I32" s="302"/>
      <c r="J32" s="305" t="e">
        <f>+#REF!</f>
        <v>#REF!</v>
      </c>
      <c r="K32" s="306" t="e">
        <f>+#REF!</f>
        <v>#REF!</v>
      </c>
      <c r="L32" s="341" t="e">
        <f>+#REF!</f>
        <v>#REF!</v>
      </c>
      <c r="M32" s="304"/>
      <c r="N32" s="302">
        <v>0</v>
      </c>
      <c r="O32" s="299">
        <v>0</v>
      </c>
      <c r="P32" s="300">
        <v>0</v>
      </c>
      <c r="Q32" s="309">
        <v>197</v>
      </c>
      <c r="R32" s="342" t="e">
        <f>+J32+O32</f>
        <v>#REF!</v>
      </c>
      <c r="S32" s="343" t="e">
        <f>+K32+P32</f>
        <v>#REF!</v>
      </c>
      <c r="T32" s="301" t="e">
        <f>+L32+Q32+N32</f>
        <v>#REF!</v>
      </c>
      <c r="U32" s="344">
        <v>4</v>
      </c>
      <c r="V32" s="345">
        <v>3</v>
      </c>
      <c r="W32" s="309">
        <v>5097</v>
      </c>
      <c r="X32" s="339">
        <v>0</v>
      </c>
      <c r="Y32" s="345">
        <v>0</v>
      </c>
      <c r="Z32" s="309">
        <v>0</v>
      </c>
      <c r="AA32" s="299" t="e">
        <f>+X32+U32+R32</f>
        <v>#REF!</v>
      </c>
      <c r="AB32" s="300" t="e">
        <f t="shared" si="14"/>
        <v>#REF!</v>
      </c>
      <c r="AC32" s="316" t="e">
        <f t="shared" si="14"/>
        <v>#REF!</v>
      </c>
      <c r="AD32" s="310" t="e">
        <f>+T32*(1+$AD$11)</f>
        <v>#REF!</v>
      </c>
      <c r="AE32" s="310" t="e">
        <f>+L32*$AE$11</f>
        <v>#REF!</v>
      </c>
      <c r="AF32" s="295" t="e">
        <f t="shared" si="4"/>
        <v>#REF!</v>
      </c>
      <c r="AG32" s="296" t="e">
        <f t="shared" si="5"/>
        <v>#REF!</v>
      </c>
    </row>
    <row r="33" spans="1:33" ht="11.25">
      <c r="A33" s="288" t="s">
        <v>40</v>
      </c>
      <c r="B33" s="288"/>
      <c r="C33" s="288"/>
      <c r="D33" s="288"/>
      <c r="E33" s="330">
        <f>SUM(E34:E42)</f>
        <v>3810</v>
      </c>
      <c r="F33" s="333">
        <f>SUM(F34:F42)</f>
        <v>4167</v>
      </c>
      <c r="G33" s="334">
        <f>SUM(G34:G42)</f>
        <v>653506</v>
      </c>
      <c r="H33" s="320"/>
      <c r="I33" s="320">
        <f>SUM(I34:I42)</f>
        <v>0</v>
      </c>
      <c r="J33" s="338" t="e">
        <f>SUM(J34:J42)</f>
        <v>#REF!</v>
      </c>
      <c r="K33" s="338" t="e">
        <f>SUM(K34:K42)</f>
        <v>#REF!</v>
      </c>
      <c r="L33" s="338" t="e">
        <f>SUM(L34:L42)</f>
        <v>#REF!</v>
      </c>
      <c r="M33" s="320">
        <v>0</v>
      </c>
      <c r="N33" s="320">
        <f aca="true" t="shared" si="15" ref="N33:AC33">SUM(N34:N42)</f>
        <v>0</v>
      </c>
      <c r="O33" s="330">
        <f t="shared" si="15"/>
        <v>0</v>
      </c>
      <c r="P33" s="330">
        <f t="shared" si="15"/>
        <v>2</v>
      </c>
      <c r="Q33" s="330">
        <f t="shared" si="15"/>
        <v>21472</v>
      </c>
      <c r="R33" s="330" t="e">
        <f t="shared" si="15"/>
        <v>#REF!</v>
      </c>
      <c r="S33" s="333" t="e">
        <f t="shared" si="15"/>
        <v>#REF!</v>
      </c>
      <c r="T33" s="334" t="e">
        <f t="shared" si="15"/>
        <v>#REF!</v>
      </c>
      <c r="U33" s="331">
        <f t="shared" si="15"/>
        <v>220</v>
      </c>
      <c r="V33" s="335">
        <f t="shared" si="15"/>
        <v>113</v>
      </c>
      <c r="W33" s="334">
        <f t="shared" si="15"/>
        <v>24111</v>
      </c>
      <c r="X33" s="336">
        <f t="shared" si="15"/>
        <v>0</v>
      </c>
      <c r="Y33" s="335">
        <f t="shared" si="15"/>
        <v>0</v>
      </c>
      <c r="Z33" s="334">
        <f t="shared" si="15"/>
        <v>0</v>
      </c>
      <c r="AA33" s="330" t="e">
        <f t="shared" si="15"/>
        <v>#REF!</v>
      </c>
      <c r="AB33" s="333" t="e">
        <f t="shared" si="15"/>
        <v>#REF!</v>
      </c>
      <c r="AC33" s="332" t="e">
        <f t="shared" si="15"/>
        <v>#REF!</v>
      </c>
      <c r="AD33" s="346">
        <f>SUM(AD34:AD42)+1</f>
        <v>1</v>
      </c>
      <c r="AE33" s="346">
        <f>SUM(AE34:AE42)+1</f>
        <v>1</v>
      </c>
      <c r="AF33" s="295" t="e">
        <f t="shared" si="4"/>
        <v>#REF!</v>
      </c>
      <c r="AG33" s="296" t="e">
        <f t="shared" si="5"/>
        <v>#REF!</v>
      </c>
    </row>
    <row r="34" spans="1:33" ht="11.25">
      <c r="A34" s="298" t="s">
        <v>41</v>
      </c>
      <c r="E34" s="299">
        <v>48</v>
      </c>
      <c r="F34" s="300">
        <v>49</v>
      </c>
      <c r="G34" s="301">
        <v>8291</v>
      </c>
      <c r="H34" s="302"/>
      <c r="I34" s="302"/>
      <c r="J34" s="303" t="e">
        <f>+#REF!</f>
        <v>#REF!</v>
      </c>
      <c r="K34" s="303" t="e">
        <f>+#REF!</f>
        <v>#REF!</v>
      </c>
      <c r="L34" s="303" t="e">
        <f>+#REF!</f>
        <v>#REF!</v>
      </c>
      <c r="M34" s="304"/>
      <c r="N34" s="302"/>
      <c r="O34" s="299"/>
      <c r="P34" s="300">
        <v>0</v>
      </c>
      <c r="Q34" s="301">
        <f>83+350</f>
        <v>433</v>
      </c>
      <c r="R34" s="342" t="e">
        <f aca="true" t="shared" si="16" ref="R34:S42">+J34+O34</f>
        <v>#REF!</v>
      </c>
      <c r="S34" s="343" t="e">
        <f t="shared" si="16"/>
        <v>#REF!</v>
      </c>
      <c r="T34" s="301" t="e">
        <f aca="true" t="shared" si="17" ref="T34:T58">+L34+Q34+N34</f>
        <v>#REF!</v>
      </c>
      <c r="U34" s="313">
        <v>0</v>
      </c>
      <c r="V34" s="307">
        <v>0</v>
      </c>
      <c r="W34" s="301">
        <v>0</v>
      </c>
      <c r="X34" s="308">
        <v>0</v>
      </c>
      <c r="Y34" s="307">
        <v>0</v>
      </c>
      <c r="Z34" s="301">
        <v>0</v>
      </c>
      <c r="AA34" s="309" t="e">
        <f aca="true" t="shared" si="18" ref="AA34:AC49">+X34+U34+R34</f>
        <v>#REF!</v>
      </c>
      <c r="AB34" s="309" t="e">
        <f>+Y34+V34+S34</f>
        <v>#REF!</v>
      </c>
      <c r="AC34" s="309" t="e">
        <f aca="true" t="shared" si="19" ref="AC34:AC42">+Z34+W34+T34</f>
        <v>#REF!</v>
      </c>
      <c r="AD34" s="310"/>
      <c r="AE34" s="310"/>
      <c r="AF34" s="295" t="e">
        <f t="shared" si="4"/>
        <v>#REF!</v>
      </c>
      <c r="AG34" s="296" t="e">
        <f t="shared" si="5"/>
        <v>#REF!</v>
      </c>
    </row>
    <row r="35" spans="1:33" ht="11.25">
      <c r="A35" s="298" t="s">
        <v>23</v>
      </c>
      <c r="E35" s="299">
        <v>566</v>
      </c>
      <c r="F35" s="300">
        <v>526</v>
      </c>
      <c r="G35" s="301">
        <v>80507</v>
      </c>
      <c r="H35" s="302"/>
      <c r="I35" s="302"/>
      <c r="J35" s="303" t="e">
        <f>+#REF!</f>
        <v>#REF!</v>
      </c>
      <c r="K35" s="303" t="e">
        <f>+#REF!</f>
        <v>#REF!</v>
      </c>
      <c r="L35" s="303" t="e">
        <f>+#REF!</f>
        <v>#REF!</v>
      </c>
      <c r="M35" s="304"/>
      <c r="N35" s="302"/>
      <c r="O35" s="299"/>
      <c r="P35" s="300">
        <v>0</v>
      </c>
      <c r="Q35" s="301">
        <v>273</v>
      </c>
      <c r="R35" s="342" t="e">
        <f t="shared" si="16"/>
        <v>#REF!</v>
      </c>
      <c r="S35" s="343" t="e">
        <f t="shared" si="16"/>
        <v>#REF!</v>
      </c>
      <c r="T35" s="301" t="e">
        <f t="shared" si="17"/>
        <v>#REF!</v>
      </c>
      <c r="U35" s="313">
        <v>71</v>
      </c>
      <c r="V35" s="307">
        <v>36</v>
      </c>
      <c r="W35" s="301">
        <v>5188</v>
      </c>
      <c r="X35" s="308"/>
      <c r="Y35" s="307"/>
      <c r="Z35" s="301">
        <v>0</v>
      </c>
      <c r="AA35" s="309" t="e">
        <f t="shared" si="18"/>
        <v>#REF!</v>
      </c>
      <c r="AB35" s="309" t="e">
        <f t="shared" si="18"/>
        <v>#REF!</v>
      </c>
      <c r="AC35" s="309" t="e">
        <f t="shared" si="19"/>
        <v>#REF!</v>
      </c>
      <c r="AD35" s="310"/>
      <c r="AE35" s="310"/>
      <c r="AF35" s="295" t="e">
        <f t="shared" si="4"/>
        <v>#REF!</v>
      </c>
      <c r="AG35" s="296" t="e">
        <f t="shared" si="5"/>
        <v>#REF!</v>
      </c>
    </row>
    <row r="36" spans="1:33" ht="11.25">
      <c r="A36" s="324" t="s">
        <v>24</v>
      </c>
      <c r="E36" s="299">
        <v>818</v>
      </c>
      <c r="F36" s="300">
        <v>919</v>
      </c>
      <c r="G36" s="301">
        <v>143106</v>
      </c>
      <c r="H36" s="302"/>
      <c r="I36" s="302"/>
      <c r="J36" s="303" t="e">
        <f>+#REF!</f>
        <v>#REF!</v>
      </c>
      <c r="K36" s="303" t="e">
        <f>+#REF!</f>
        <v>#REF!</v>
      </c>
      <c r="L36" s="303" t="e">
        <f>+#REF!</f>
        <v>#REF!</v>
      </c>
      <c r="M36" s="304"/>
      <c r="N36" s="302"/>
      <c r="O36" s="299"/>
      <c r="P36" s="300">
        <v>2</v>
      </c>
      <c r="Q36" s="309">
        <v>14020</v>
      </c>
      <c r="R36" s="342" t="e">
        <f t="shared" si="16"/>
        <v>#REF!</v>
      </c>
      <c r="S36" s="343" t="e">
        <f t="shared" si="16"/>
        <v>#REF!</v>
      </c>
      <c r="T36" s="301" t="e">
        <f t="shared" si="17"/>
        <v>#REF!</v>
      </c>
      <c r="U36" s="345">
        <v>7</v>
      </c>
      <c r="V36" s="345">
        <v>4</v>
      </c>
      <c r="W36" s="309">
        <v>1326</v>
      </c>
      <c r="X36" s="339"/>
      <c r="Y36" s="345"/>
      <c r="Z36" s="309"/>
      <c r="AA36" s="309" t="e">
        <f t="shared" si="18"/>
        <v>#REF!</v>
      </c>
      <c r="AB36" s="309" t="e">
        <f t="shared" si="18"/>
        <v>#REF!</v>
      </c>
      <c r="AC36" s="309" t="e">
        <f t="shared" si="19"/>
        <v>#REF!</v>
      </c>
      <c r="AD36" s="310"/>
      <c r="AE36" s="310"/>
      <c r="AF36" s="295" t="e">
        <f t="shared" si="4"/>
        <v>#REF!</v>
      </c>
      <c r="AG36" s="296" t="e">
        <f t="shared" si="5"/>
        <v>#REF!</v>
      </c>
    </row>
    <row r="37" spans="1:33" ht="11.25">
      <c r="A37" s="298" t="s">
        <v>42</v>
      </c>
      <c r="E37" s="299">
        <v>1100</v>
      </c>
      <c r="F37" s="300">
        <v>1137</v>
      </c>
      <c r="G37" s="301">
        <v>192864</v>
      </c>
      <c r="H37" s="302"/>
      <c r="I37" s="302"/>
      <c r="J37" s="303" t="e">
        <f>+#REF!</f>
        <v>#REF!</v>
      </c>
      <c r="K37" s="303" t="e">
        <f>+#REF!</f>
        <v>#REF!</v>
      </c>
      <c r="L37" s="303" t="e">
        <f>+#REF!</f>
        <v>#REF!</v>
      </c>
      <c r="M37" s="304"/>
      <c r="N37" s="302"/>
      <c r="O37" s="299"/>
      <c r="P37" s="300">
        <v>0</v>
      </c>
      <c r="Q37" s="301">
        <v>5692</v>
      </c>
      <c r="R37" s="342" t="e">
        <f t="shared" si="16"/>
        <v>#REF!</v>
      </c>
      <c r="S37" s="343" t="e">
        <f t="shared" si="16"/>
        <v>#REF!</v>
      </c>
      <c r="T37" s="301" t="e">
        <f t="shared" si="17"/>
        <v>#REF!</v>
      </c>
      <c r="U37" s="313">
        <v>111</v>
      </c>
      <c r="V37" s="307">
        <v>56</v>
      </c>
      <c r="W37" s="301">
        <v>11285</v>
      </c>
      <c r="X37" s="308"/>
      <c r="Y37" s="307"/>
      <c r="Z37" s="301"/>
      <c r="AA37" s="309" t="e">
        <f t="shared" si="18"/>
        <v>#REF!</v>
      </c>
      <c r="AB37" s="309" t="e">
        <f t="shared" si="18"/>
        <v>#REF!</v>
      </c>
      <c r="AC37" s="309" t="e">
        <f t="shared" si="19"/>
        <v>#REF!</v>
      </c>
      <c r="AD37" s="310"/>
      <c r="AE37" s="310"/>
      <c r="AF37" s="295" t="e">
        <f t="shared" si="4"/>
        <v>#REF!</v>
      </c>
      <c r="AG37" s="296" t="e">
        <f t="shared" si="5"/>
        <v>#REF!</v>
      </c>
    </row>
    <row r="38" spans="1:33" ht="11.25">
      <c r="A38" s="298" t="s">
        <v>25</v>
      </c>
      <c r="E38" s="299">
        <v>439</v>
      </c>
      <c r="F38" s="300">
        <v>677</v>
      </c>
      <c r="G38" s="301">
        <v>92774</v>
      </c>
      <c r="H38" s="302"/>
      <c r="I38" s="302"/>
      <c r="J38" s="303" t="e">
        <f>+#REF!</f>
        <v>#REF!</v>
      </c>
      <c r="K38" s="303" t="e">
        <f>+#REF!</f>
        <v>#REF!</v>
      </c>
      <c r="L38" s="303" t="e">
        <f>+#REF!</f>
        <v>#REF!</v>
      </c>
      <c r="M38" s="304"/>
      <c r="N38" s="302"/>
      <c r="O38" s="299"/>
      <c r="P38" s="300">
        <v>0</v>
      </c>
      <c r="Q38" s="301">
        <v>505</v>
      </c>
      <c r="R38" s="342" t="e">
        <f t="shared" si="16"/>
        <v>#REF!</v>
      </c>
      <c r="S38" s="343" t="e">
        <f t="shared" si="16"/>
        <v>#REF!</v>
      </c>
      <c r="T38" s="301" t="e">
        <f t="shared" si="17"/>
        <v>#REF!</v>
      </c>
      <c r="U38" s="313">
        <v>17</v>
      </c>
      <c r="V38" s="307">
        <v>9</v>
      </c>
      <c r="W38" s="301">
        <v>4016</v>
      </c>
      <c r="X38" s="308"/>
      <c r="Y38" s="307"/>
      <c r="Z38" s="301"/>
      <c r="AA38" s="309" t="e">
        <f t="shared" si="18"/>
        <v>#REF!</v>
      </c>
      <c r="AB38" s="309" t="e">
        <f t="shared" si="18"/>
        <v>#REF!</v>
      </c>
      <c r="AC38" s="309" t="e">
        <f t="shared" si="19"/>
        <v>#REF!</v>
      </c>
      <c r="AD38" s="310"/>
      <c r="AE38" s="310"/>
      <c r="AF38" s="295" t="e">
        <f t="shared" si="4"/>
        <v>#REF!</v>
      </c>
      <c r="AG38" s="296" t="e">
        <f t="shared" si="5"/>
        <v>#REF!</v>
      </c>
    </row>
    <row r="39" spans="1:33" ht="11.25">
      <c r="A39" s="298" t="s">
        <v>43</v>
      </c>
      <c r="E39" s="299">
        <v>37</v>
      </c>
      <c r="F39" s="300">
        <v>37</v>
      </c>
      <c r="G39" s="301">
        <v>5861</v>
      </c>
      <c r="H39" s="302"/>
      <c r="I39" s="302"/>
      <c r="J39" s="303" t="e">
        <f>+#REF!</f>
        <v>#REF!</v>
      </c>
      <c r="K39" s="303" t="e">
        <f>+#REF!</f>
        <v>#REF!</v>
      </c>
      <c r="L39" s="303" t="e">
        <f>+#REF!</f>
        <v>#REF!</v>
      </c>
      <c r="M39" s="304"/>
      <c r="N39" s="302"/>
      <c r="O39" s="299"/>
      <c r="P39" s="300">
        <v>0</v>
      </c>
      <c r="Q39" s="301">
        <v>46</v>
      </c>
      <c r="R39" s="342" t="e">
        <f t="shared" si="16"/>
        <v>#REF!</v>
      </c>
      <c r="S39" s="343" t="e">
        <f t="shared" si="16"/>
        <v>#REF!</v>
      </c>
      <c r="T39" s="301" t="e">
        <f t="shared" si="17"/>
        <v>#REF!</v>
      </c>
      <c r="U39" s="313">
        <v>0</v>
      </c>
      <c r="V39" s="307">
        <v>0</v>
      </c>
      <c r="W39" s="301">
        <v>0</v>
      </c>
      <c r="X39" s="308"/>
      <c r="Y39" s="307"/>
      <c r="Z39" s="301"/>
      <c r="AA39" s="309" t="e">
        <f t="shared" si="18"/>
        <v>#REF!</v>
      </c>
      <c r="AB39" s="309" t="e">
        <f t="shared" si="18"/>
        <v>#REF!</v>
      </c>
      <c r="AC39" s="309" t="e">
        <f t="shared" si="19"/>
        <v>#REF!</v>
      </c>
      <c r="AD39" s="310"/>
      <c r="AE39" s="310"/>
      <c r="AF39" s="295" t="e">
        <f t="shared" si="4"/>
        <v>#REF!</v>
      </c>
      <c r="AG39" s="296" t="e">
        <f t="shared" si="5"/>
        <v>#REF!</v>
      </c>
    </row>
    <row r="40" spans="1:33" ht="11.25">
      <c r="A40" s="298" t="s">
        <v>44</v>
      </c>
      <c r="E40" s="299">
        <v>737</v>
      </c>
      <c r="F40" s="300">
        <v>755</v>
      </c>
      <c r="G40" s="301">
        <v>109037</v>
      </c>
      <c r="H40" s="302"/>
      <c r="I40" s="302"/>
      <c r="J40" s="303" t="e">
        <f>+#REF!</f>
        <v>#REF!</v>
      </c>
      <c r="K40" s="303" t="e">
        <f>+#REF!</f>
        <v>#REF!</v>
      </c>
      <c r="L40" s="303" t="e">
        <f>+#REF!</f>
        <v>#REF!</v>
      </c>
      <c r="M40" s="304"/>
      <c r="N40" s="302"/>
      <c r="O40" s="299"/>
      <c r="P40" s="300">
        <v>0</v>
      </c>
      <c r="Q40" s="301">
        <v>413</v>
      </c>
      <c r="R40" s="342" t="e">
        <f t="shared" si="16"/>
        <v>#REF!</v>
      </c>
      <c r="S40" s="343" t="e">
        <f t="shared" si="16"/>
        <v>#REF!</v>
      </c>
      <c r="T40" s="301" t="e">
        <f t="shared" si="17"/>
        <v>#REF!</v>
      </c>
      <c r="U40" s="313">
        <v>13</v>
      </c>
      <c r="V40" s="307">
        <v>7</v>
      </c>
      <c r="W40" s="301">
        <v>1713</v>
      </c>
      <c r="X40" s="308"/>
      <c r="Y40" s="307"/>
      <c r="Z40" s="301"/>
      <c r="AA40" s="309" t="e">
        <f t="shared" si="18"/>
        <v>#REF!</v>
      </c>
      <c r="AB40" s="309" t="e">
        <f t="shared" si="18"/>
        <v>#REF!</v>
      </c>
      <c r="AC40" s="309" t="e">
        <f t="shared" si="19"/>
        <v>#REF!</v>
      </c>
      <c r="AD40" s="310"/>
      <c r="AE40" s="310"/>
      <c r="AF40" s="295" t="e">
        <f t="shared" si="4"/>
        <v>#REF!</v>
      </c>
      <c r="AG40" s="296" t="e">
        <f t="shared" si="5"/>
        <v>#REF!</v>
      </c>
    </row>
    <row r="41" spans="1:33" ht="11.25">
      <c r="A41" s="298" t="s">
        <v>6</v>
      </c>
      <c r="E41" s="299">
        <v>62</v>
      </c>
      <c r="F41" s="300">
        <v>64</v>
      </c>
      <c r="G41" s="301">
        <v>20586</v>
      </c>
      <c r="H41" s="302"/>
      <c r="I41" s="302"/>
      <c r="J41" s="303" t="e">
        <f>+#REF!</f>
        <v>#REF!</v>
      </c>
      <c r="K41" s="303" t="e">
        <f>+#REF!</f>
        <v>#REF!</v>
      </c>
      <c r="L41" s="303" t="e">
        <f>+#REF!</f>
        <v>#REF!</v>
      </c>
      <c r="M41" s="304"/>
      <c r="N41" s="302"/>
      <c r="O41" s="299"/>
      <c r="P41" s="300">
        <v>0</v>
      </c>
      <c r="Q41" s="301">
        <v>90</v>
      </c>
      <c r="R41" s="342" t="e">
        <f t="shared" si="16"/>
        <v>#REF!</v>
      </c>
      <c r="S41" s="343" t="e">
        <f t="shared" si="16"/>
        <v>#REF!</v>
      </c>
      <c r="T41" s="301" t="e">
        <f t="shared" si="17"/>
        <v>#REF!</v>
      </c>
      <c r="U41" s="313">
        <v>1</v>
      </c>
      <c r="V41" s="307">
        <v>1</v>
      </c>
      <c r="W41" s="301">
        <v>583</v>
      </c>
      <c r="X41" s="308"/>
      <c r="Y41" s="307"/>
      <c r="Z41" s="301"/>
      <c r="AA41" s="309" t="e">
        <f t="shared" si="18"/>
        <v>#REF!</v>
      </c>
      <c r="AB41" s="309" t="e">
        <f t="shared" si="18"/>
        <v>#REF!</v>
      </c>
      <c r="AC41" s="309" t="e">
        <f t="shared" si="19"/>
        <v>#REF!</v>
      </c>
      <c r="AD41" s="310"/>
      <c r="AE41" s="310"/>
      <c r="AF41" s="295" t="e">
        <f t="shared" si="4"/>
        <v>#REF!</v>
      </c>
      <c r="AG41" s="296" t="e">
        <f t="shared" si="5"/>
        <v>#REF!</v>
      </c>
    </row>
    <row r="42" spans="1:33" ht="11.25">
      <c r="A42" s="298" t="s">
        <v>109</v>
      </c>
      <c r="E42" s="299">
        <v>3</v>
      </c>
      <c r="F42" s="300">
        <v>3</v>
      </c>
      <c r="G42" s="301">
        <v>480</v>
      </c>
      <c r="H42" s="302"/>
      <c r="I42" s="302"/>
      <c r="J42" s="303" t="e">
        <f>+#REF!</f>
        <v>#REF!</v>
      </c>
      <c r="K42" s="303" t="e">
        <f>+#REF!</f>
        <v>#REF!</v>
      </c>
      <c r="L42" s="303" t="e">
        <f>+#REF!</f>
        <v>#REF!</v>
      </c>
      <c r="M42" s="304"/>
      <c r="N42" s="302"/>
      <c r="O42" s="299"/>
      <c r="P42" s="300">
        <v>0</v>
      </c>
      <c r="Q42" s="301">
        <v>0</v>
      </c>
      <c r="R42" s="342" t="e">
        <f t="shared" si="16"/>
        <v>#REF!</v>
      </c>
      <c r="S42" s="343" t="e">
        <f t="shared" si="16"/>
        <v>#REF!</v>
      </c>
      <c r="T42" s="301" t="e">
        <f t="shared" si="17"/>
        <v>#REF!</v>
      </c>
      <c r="U42" s="313">
        <v>0</v>
      </c>
      <c r="V42" s="307">
        <v>0</v>
      </c>
      <c r="W42" s="301">
        <v>0</v>
      </c>
      <c r="X42" s="308"/>
      <c r="Y42" s="307"/>
      <c r="Z42" s="301">
        <v>0</v>
      </c>
      <c r="AA42" s="309" t="e">
        <f t="shared" si="18"/>
        <v>#REF!</v>
      </c>
      <c r="AB42" s="309" t="e">
        <f t="shared" si="18"/>
        <v>#REF!</v>
      </c>
      <c r="AC42" s="309" t="e">
        <f t="shared" si="19"/>
        <v>#REF!</v>
      </c>
      <c r="AD42" s="310"/>
      <c r="AE42" s="310"/>
      <c r="AF42" s="295" t="e">
        <f t="shared" si="4"/>
        <v>#REF!</v>
      </c>
      <c r="AG42" s="296">
        <v>0</v>
      </c>
    </row>
    <row r="43" spans="1:33" ht="11.25">
      <c r="A43" s="256" t="s">
        <v>110</v>
      </c>
      <c r="E43" s="299">
        <v>0</v>
      </c>
      <c r="F43" s="306" t="s">
        <v>165</v>
      </c>
      <c r="G43" s="315" t="s">
        <v>167</v>
      </c>
      <c r="H43" s="302"/>
      <c r="I43" s="302"/>
      <c r="J43" s="303" t="e">
        <f>+#REF!</f>
        <v>#REF!</v>
      </c>
      <c r="K43" s="341" t="e">
        <f>+#REF!</f>
        <v>#REF!</v>
      </c>
      <c r="L43" s="341" t="e">
        <f>+#REF!</f>
        <v>#REF!</v>
      </c>
      <c r="M43" s="304"/>
      <c r="N43" s="302">
        <v>0</v>
      </c>
      <c r="O43" s="299">
        <v>0</v>
      </c>
      <c r="P43" s="300">
        <v>0</v>
      </c>
      <c r="Q43" s="315">
        <v>0</v>
      </c>
      <c r="R43" s="305" t="e">
        <f>+J43+O43</f>
        <v>#REF!</v>
      </c>
      <c r="S43" s="306" t="e">
        <f>+K43</f>
        <v>#REF!</v>
      </c>
      <c r="T43" s="315" t="s">
        <v>166</v>
      </c>
      <c r="U43" s="313">
        <v>0</v>
      </c>
      <c r="V43" s="307">
        <v>0</v>
      </c>
      <c r="W43" s="315">
        <v>0</v>
      </c>
      <c r="X43" s="308">
        <v>0</v>
      </c>
      <c r="Y43" s="307">
        <v>0</v>
      </c>
      <c r="Z43" s="301">
        <v>0</v>
      </c>
      <c r="AA43" s="299" t="e">
        <f t="shared" si="18"/>
        <v>#REF!</v>
      </c>
      <c r="AB43" s="306" t="s">
        <v>165</v>
      </c>
      <c r="AC43" s="347" t="s">
        <v>200</v>
      </c>
      <c r="AD43" s="310">
        <v>0</v>
      </c>
      <c r="AE43" s="310">
        <v>0</v>
      </c>
      <c r="AF43" s="295">
        <v>0</v>
      </c>
      <c r="AG43" s="296" t="s">
        <v>198</v>
      </c>
    </row>
    <row r="44" spans="1:33" ht="11.25" hidden="1">
      <c r="A44" s="256" t="s">
        <v>111</v>
      </c>
      <c r="E44" s="299">
        <v>0</v>
      </c>
      <c r="F44" s="300">
        <v>0</v>
      </c>
      <c r="G44" s="301">
        <v>0</v>
      </c>
      <c r="H44" s="302"/>
      <c r="I44" s="302"/>
      <c r="J44" s="303" t="e">
        <f>+#REF!</f>
        <v>#REF!</v>
      </c>
      <c r="K44" s="303" t="e">
        <f>+#REF!</f>
        <v>#REF!</v>
      </c>
      <c r="L44" s="303" t="e">
        <f>+#REF!</f>
        <v>#REF!</v>
      </c>
      <c r="M44" s="304"/>
      <c r="N44" s="302">
        <v>0</v>
      </c>
      <c r="O44" s="299">
        <v>0</v>
      </c>
      <c r="P44" s="300">
        <v>0</v>
      </c>
      <c r="Q44" s="301">
        <v>0</v>
      </c>
      <c r="R44" s="305" t="e">
        <f>+J44+O44</f>
        <v>#REF!</v>
      </c>
      <c r="S44" s="306" t="e">
        <f aca="true" t="shared" si="20" ref="S44:S51">+K44+P44</f>
        <v>#REF!</v>
      </c>
      <c r="T44" s="301" t="e">
        <f t="shared" si="17"/>
        <v>#REF!</v>
      </c>
      <c r="U44" s="313">
        <v>0</v>
      </c>
      <c r="V44" s="307">
        <v>0</v>
      </c>
      <c r="W44" s="301">
        <v>0</v>
      </c>
      <c r="X44" s="308">
        <v>0</v>
      </c>
      <c r="Y44" s="307">
        <v>0</v>
      </c>
      <c r="Z44" s="301">
        <v>0</v>
      </c>
      <c r="AA44" s="299" t="e">
        <f t="shared" si="18"/>
        <v>#REF!</v>
      </c>
      <c r="AB44" s="300" t="e">
        <f t="shared" si="18"/>
        <v>#REF!</v>
      </c>
      <c r="AC44" s="309" t="e">
        <f t="shared" si="18"/>
        <v>#REF!</v>
      </c>
      <c r="AD44" s="310" t="e">
        <f aca="true" t="shared" si="21" ref="AD44:AD51">+T44*(1+$AD$11)</f>
        <v>#REF!</v>
      </c>
      <c r="AE44" s="310" t="e">
        <f>+L44*$AE$11</f>
        <v>#REF!</v>
      </c>
      <c r="AF44" s="295" t="e">
        <f t="shared" si="4"/>
        <v>#REF!</v>
      </c>
      <c r="AG44" s="296" t="s">
        <v>198</v>
      </c>
    </row>
    <row r="45" spans="1:33" ht="11.25">
      <c r="A45" s="256" t="s">
        <v>45</v>
      </c>
      <c r="E45" s="305" t="s">
        <v>20</v>
      </c>
      <c r="F45" s="300">
        <v>851</v>
      </c>
      <c r="G45" s="301">
        <v>144088</v>
      </c>
      <c r="H45" s="302"/>
      <c r="I45" s="302"/>
      <c r="J45" s="341" t="e">
        <f>+#REF!</f>
        <v>#REF!</v>
      </c>
      <c r="K45" s="303" t="e">
        <f>+#REF!</f>
        <v>#REF!</v>
      </c>
      <c r="L45" s="303" t="e">
        <f>+#REF!</f>
        <v>#REF!</v>
      </c>
      <c r="M45" s="304"/>
      <c r="N45" s="302">
        <v>0</v>
      </c>
      <c r="O45" s="299">
        <v>0</v>
      </c>
      <c r="P45" s="300">
        <v>0</v>
      </c>
      <c r="Q45" s="301">
        <f>2464-350</f>
        <v>2114</v>
      </c>
      <c r="R45" s="305" t="e">
        <f>+J45</f>
        <v>#REF!</v>
      </c>
      <c r="S45" s="306" t="e">
        <f t="shared" si="20"/>
        <v>#REF!</v>
      </c>
      <c r="T45" s="301" t="e">
        <f t="shared" si="17"/>
        <v>#REF!</v>
      </c>
      <c r="U45" s="313">
        <v>0</v>
      </c>
      <c r="V45" s="307">
        <v>0</v>
      </c>
      <c r="W45" s="301">
        <v>0</v>
      </c>
      <c r="X45" s="308">
        <v>0</v>
      </c>
      <c r="Y45" s="307">
        <v>0</v>
      </c>
      <c r="Z45" s="301">
        <v>0</v>
      </c>
      <c r="AA45" s="305" t="s">
        <v>20</v>
      </c>
      <c r="AB45" s="300" t="e">
        <f t="shared" si="18"/>
        <v>#REF!</v>
      </c>
      <c r="AC45" s="309" t="e">
        <f t="shared" si="18"/>
        <v>#REF!</v>
      </c>
      <c r="AD45" s="310" t="e">
        <f t="shared" si="21"/>
        <v>#REF!</v>
      </c>
      <c r="AE45" s="310" t="e">
        <f>+L45*$AE$11</f>
        <v>#REF!</v>
      </c>
      <c r="AF45" s="295" t="e">
        <f t="shared" si="4"/>
        <v>#REF!</v>
      </c>
      <c r="AG45" s="296" t="e">
        <f t="shared" si="5"/>
        <v>#REF!</v>
      </c>
    </row>
    <row r="46" spans="1:33" ht="11.25">
      <c r="A46" s="256" t="s">
        <v>134</v>
      </c>
      <c r="E46" s="299">
        <v>0</v>
      </c>
      <c r="F46" s="300">
        <v>0</v>
      </c>
      <c r="G46" s="301">
        <v>-116000</v>
      </c>
      <c r="H46" s="302"/>
      <c r="I46" s="302"/>
      <c r="J46" s="303" t="e">
        <f>+#REF!</f>
        <v>#REF!</v>
      </c>
      <c r="K46" s="303" t="e">
        <f>+#REF!</f>
        <v>#REF!</v>
      </c>
      <c r="L46" s="303" t="e">
        <f>+#REF!</f>
        <v>#REF!</v>
      </c>
      <c r="M46" s="304"/>
      <c r="N46" s="302">
        <v>0</v>
      </c>
      <c r="O46" s="299">
        <v>0</v>
      </c>
      <c r="P46" s="300">
        <v>0</v>
      </c>
      <c r="Q46" s="301">
        <v>0</v>
      </c>
      <c r="R46" s="305" t="e">
        <f>+J46+O46</f>
        <v>#REF!</v>
      </c>
      <c r="S46" s="306" t="e">
        <f t="shared" si="20"/>
        <v>#REF!</v>
      </c>
      <c r="T46" s="301" t="e">
        <f t="shared" si="17"/>
        <v>#REF!</v>
      </c>
      <c r="U46" s="313">
        <v>0</v>
      </c>
      <c r="V46" s="307">
        <v>0</v>
      </c>
      <c r="W46" s="301">
        <v>0</v>
      </c>
      <c r="X46" s="308">
        <v>0</v>
      </c>
      <c r="Y46" s="307">
        <v>0</v>
      </c>
      <c r="Z46" s="301">
        <v>0</v>
      </c>
      <c r="AA46" s="299" t="e">
        <f t="shared" si="18"/>
        <v>#REF!</v>
      </c>
      <c r="AB46" s="300" t="e">
        <f t="shared" si="18"/>
        <v>#REF!</v>
      </c>
      <c r="AC46" s="309" t="e">
        <f t="shared" si="18"/>
        <v>#REF!</v>
      </c>
      <c r="AD46" s="310" t="e">
        <f t="shared" si="21"/>
        <v>#REF!</v>
      </c>
      <c r="AE46" s="310" t="e">
        <f>+L46*$AE$11</f>
        <v>#REF!</v>
      </c>
      <c r="AF46" s="295" t="e">
        <f t="shared" si="4"/>
        <v>#REF!</v>
      </c>
      <c r="AG46" s="296" t="e">
        <f t="shared" si="5"/>
        <v>#REF!</v>
      </c>
    </row>
    <row r="47" spans="1:33" ht="11.25">
      <c r="A47" s="256" t="s">
        <v>7</v>
      </c>
      <c r="E47" s="299">
        <v>10097</v>
      </c>
      <c r="F47" s="300">
        <v>11631</v>
      </c>
      <c r="G47" s="301">
        <v>1588565</v>
      </c>
      <c r="H47" s="302"/>
      <c r="I47" s="302"/>
      <c r="J47" s="303" t="e">
        <f>+#REF!</f>
        <v>#REF!</v>
      </c>
      <c r="K47" s="303" t="e">
        <f>+#REF!</f>
        <v>#REF!</v>
      </c>
      <c r="L47" s="303" t="e">
        <f>+#REF!</f>
        <v>#REF!</v>
      </c>
      <c r="M47" s="302">
        <v>0</v>
      </c>
      <c r="N47" s="247">
        <v>0</v>
      </c>
      <c r="O47" s="299">
        <v>0</v>
      </c>
      <c r="P47" s="300">
        <v>0</v>
      </c>
      <c r="Q47" s="309">
        <v>19695</v>
      </c>
      <c r="R47" s="342" t="e">
        <f>+J47+O47</f>
        <v>#REF!</v>
      </c>
      <c r="S47" s="343" t="e">
        <f t="shared" si="20"/>
        <v>#REF!</v>
      </c>
      <c r="T47" s="301" t="e">
        <f t="shared" si="17"/>
        <v>#REF!</v>
      </c>
      <c r="U47" s="344">
        <v>0</v>
      </c>
      <c r="V47" s="345">
        <f>-101</f>
        <v>-101</v>
      </c>
      <c r="W47" s="309">
        <v>-5327</v>
      </c>
      <c r="X47" s="339">
        <v>0</v>
      </c>
      <c r="Y47" s="345">
        <v>203</v>
      </c>
      <c r="Z47" s="309">
        <v>0</v>
      </c>
      <c r="AA47" s="299" t="e">
        <f t="shared" si="18"/>
        <v>#REF!</v>
      </c>
      <c r="AB47" s="300" t="e">
        <f t="shared" si="18"/>
        <v>#REF!</v>
      </c>
      <c r="AC47" s="309" t="e">
        <f t="shared" si="18"/>
        <v>#REF!</v>
      </c>
      <c r="AD47" s="310" t="e">
        <f t="shared" si="21"/>
        <v>#REF!</v>
      </c>
      <c r="AE47" s="310" t="e">
        <f>+L47*$AE$11</f>
        <v>#REF!</v>
      </c>
      <c r="AF47" s="295" t="e">
        <f t="shared" si="4"/>
        <v>#REF!</v>
      </c>
      <c r="AG47" s="296" t="e">
        <f t="shared" si="5"/>
        <v>#REF!</v>
      </c>
    </row>
    <row r="48" spans="1:33" ht="11.25">
      <c r="A48" s="256" t="s">
        <v>153</v>
      </c>
      <c r="E48" s="299"/>
      <c r="F48" s="300"/>
      <c r="G48" s="301">
        <v>0</v>
      </c>
      <c r="H48" s="302"/>
      <c r="I48" s="302"/>
      <c r="J48" s="303" t="e">
        <f>+#REF!</f>
        <v>#REF!</v>
      </c>
      <c r="K48" s="303" t="e">
        <f>+#REF!</f>
        <v>#REF!</v>
      </c>
      <c r="L48" s="303" t="e">
        <f>+#REF!</f>
        <v>#REF!</v>
      </c>
      <c r="M48" s="304"/>
      <c r="N48" s="302">
        <v>0</v>
      </c>
      <c r="O48" s="299">
        <v>0</v>
      </c>
      <c r="P48" s="300">
        <v>0</v>
      </c>
      <c r="Q48" s="301">
        <v>0</v>
      </c>
      <c r="R48" s="305" t="e">
        <f>+J48+O48</f>
        <v>#REF!</v>
      </c>
      <c r="S48" s="306" t="e">
        <f t="shared" si="20"/>
        <v>#REF!</v>
      </c>
      <c r="T48" s="301" t="e">
        <f t="shared" si="17"/>
        <v>#REF!</v>
      </c>
      <c r="U48" s="313">
        <v>0</v>
      </c>
      <c r="V48" s="307">
        <v>0</v>
      </c>
      <c r="W48" s="301">
        <v>0</v>
      </c>
      <c r="X48" s="308">
        <v>0</v>
      </c>
      <c r="Y48" s="307">
        <v>0</v>
      </c>
      <c r="Z48" s="301">
        <v>0</v>
      </c>
      <c r="AA48" s="299" t="e">
        <f t="shared" si="18"/>
        <v>#REF!</v>
      </c>
      <c r="AB48" s="300" t="e">
        <f t="shared" si="18"/>
        <v>#REF!</v>
      </c>
      <c r="AC48" s="309" t="e">
        <f t="shared" si="18"/>
        <v>#REF!</v>
      </c>
      <c r="AD48" s="310" t="e">
        <f t="shared" si="21"/>
        <v>#REF!</v>
      </c>
      <c r="AE48" s="310">
        <v>0</v>
      </c>
      <c r="AF48" s="295" t="e">
        <f t="shared" si="4"/>
        <v>#REF!</v>
      </c>
      <c r="AG48" s="296" t="e">
        <f t="shared" si="5"/>
        <v>#REF!</v>
      </c>
    </row>
    <row r="49" spans="1:33" ht="11.25">
      <c r="A49" s="256" t="s">
        <v>77</v>
      </c>
      <c r="E49" s="305" t="s">
        <v>150</v>
      </c>
      <c r="F49" s="300">
        <v>1325</v>
      </c>
      <c r="G49" s="301">
        <v>211664</v>
      </c>
      <c r="H49" s="302"/>
      <c r="I49" s="302"/>
      <c r="J49" s="341" t="e">
        <f>+#REF!</f>
        <v>#REF!</v>
      </c>
      <c r="K49" s="303" t="e">
        <f>+#REF!</f>
        <v>#REF!</v>
      </c>
      <c r="L49" s="303" t="e">
        <f>+#REF!</f>
        <v>#REF!</v>
      </c>
      <c r="M49" s="304"/>
      <c r="N49" s="302">
        <v>0</v>
      </c>
      <c r="O49" s="299">
        <v>0</v>
      </c>
      <c r="P49" s="300">
        <v>0</v>
      </c>
      <c r="Q49" s="301">
        <v>-240</v>
      </c>
      <c r="R49" s="305" t="e">
        <f>+J49</f>
        <v>#REF!</v>
      </c>
      <c r="S49" s="306" t="e">
        <f t="shared" si="20"/>
        <v>#REF!</v>
      </c>
      <c r="T49" s="301" t="e">
        <f t="shared" si="17"/>
        <v>#REF!</v>
      </c>
      <c r="U49" s="348">
        <v>0</v>
      </c>
      <c r="V49" s="307">
        <v>0</v>
      </c>
      <c r="W49" s="301">
        <v>0</v>
      </c>
      <c r="X49" s="308">
        <v>0</v>
      </c>
      <c r="Y49" s="307">
        <v>0</v>
      </c>
      <c r="Z49" s="301">
        <v>0</v>
      </c>
      <c r="AA49" s="305" t="s">
        <v>66</v>
      </c>
      <c r="AB49" s="300" t="e">
        <f t="shared" si="18"/>
        <v>#REF!</v>
      </c>
      <c r="AC49" s="309" t="e">
        <f t="shared" si="18"/>
        <v>#REF!</v>
      </c>
      <c r="AD49" s="310" t="e">
        <f t="shared" si="21"/>
        <v>#REF!</v>
      </c>
      <c r="AE49" s="310" t="e">
        <f>+L49*$AE$11</f>
        <v>#REF!</v>
      </c>
      <c r="AF49" s="295" t="e">
        <f t="shared" si="4"/>
        <v>#REF!</v>
      </c>
      <c r="AG49" s="296" t="e">
        <f t="shared" si="5"/>
        <v>#REF!</v>
      </c>
    </row>
    <row r="50" spans="1:33" ht="11.25">
      <c r="A50" s="256" t="s">
        <v>112</v>
      </c>
      <c r="E50" s="299">
        <v>0</v>
      </c>
      <c r="F50" s="300">
        <v>0</v>
      </c>
      <c r="G50" s="301">
        <v>-214402</v>
      </c>
      <c r="H50" s="302"/>
      <c r="I50" s="302"/>
      <c r="J50" s="303" t="e">
        <f>+#REF!</f>
        <v>#REF!</v>
      </c>
      <c r="K50" s="303" t="e">
        <f>+#REF!</f>
        <v>#REF!</v>
      </c>
      <c r="L50" s="303" t="e">
        <f>+#REF!</f>
        <v>#REF!</v>
      </c>
      <c r="M50" s="304"/>
      <c r="N50" s="302">
        <v>0</v>
      </c>
      <c r="O50" s="299">
        <v>0</v>
      </c>
      <c r="P50" s="300">
        <v>0</v>
      </c>
      <c r="Q50" s="301">
        <v>0</v>
      </c>
      <c r="R50" s="305" t="e">
        <f>+J50+O50</f>
        <v>#REF!</v>
      </c>
      <c r="S50" s="306" t="e">
        <f t="shared" si="20"/>
        <v>#REF!</v>
      </c>
      <c r="T50" s="301" t="e">
        <f t="shared" si="17"/>
        <v>#REF!</v>
      </c>
      <c r="U50" s="313">
        <v>0</v>
      </c>
      <c r="V50" s="307">
        <v>0</v>
      </c>
      <c r="W50" s="301">
        <v>0</v>
      </c>
      <c r="X50" s="308">
        <v>0</v>
      </c>
      <c r="Y50" s="307">
        <v>0</v>
      </c>
      <c r="Z50" s="301">
        <v>0</v>
      </c>
      <c r="AA50" s="299" t="e">
        <f aca="true" t="shared" si="22" ref="AA50:AC51">+X50+U50+R50</f>
        <v>#REF!</v>
      </c>
      <c r="AB50" s="300" t="e">
        <f t="shared" si="22"/>
        <v>#REF!</v>
      </c>
      <c r="AC50" s="309" t="e">
        <f t="shared" si="22"/>
        <v>#REF!</v>
      </c>
      <c r="AD50" s="310" t="e">
        <f t="shared" si="21"/>
        <v>#REF!</v>
      </c>
      <c r="AE50" s="310" t="e">
        <f>+L50*$AE$11</f>
        <v>#REF!</v>
      </c>
      <c r="AF50" s="295" t="e">
        <f t="shared" si="4"/>
        <v>#REF!</v>
      </c>
      <c r="AG50" s="296" t="e">
        <f t="shared" si="5"/>
        <v>#REF!</v>
      </c>
    </row>
    <row r="51" spans="1:33" ht="12" thickBot="1">
      <c r="A51" s="247" t="s">
        <v>8</v>
      </c>
      <c r="B51" s="247"/>
      <c r="C51" s="247"/>
      <c r="D51" s="349"/>
      <c r="E51" s="299">
        <v>11</v>
      </c>
      <c r="F51" s="300">
        <v>11</v>
      </c>
      <c r="G51" s="301">
        <v>1303</v>
      </c>
      <c r="H51" s="350"/>
      <c r="I51" s="350"/>
      <c r="J51" s="303" t="e">
        <f>+#REF!</f>
        <v>#REF!</v>
      </c>
      <c r="K51" s="303" t="e">
        <f>+#REF!</f>
        <v>#REF!</v>
      </c>
      <c r="L51" s="303" t="e">
        <f>+#REF!</f>
        <v>#REF!</v>
      </c>
      <c r="M51" s="304"/>
      <c r="N51" s="302">
        <v>0</v>
      </c>
      <c r="O51" s="299">
        <v>0</v>
      </c>
      <c r="P51" s="300">
        <v>0</v>
      </c>
      <c r="Q51" s="309">
        <v>37</v>
      </c>
      <c r="R51" s="342" t="e">
        <f>+J51+O51</f>
        <v>#REF!</v>
      </c>
      <c r="S51" s="343" t="e">
        <f t="shared" si="20"/>
        <v>#REF!</v>
      </c>
      <c r="T51" s="301" t="e">
        <f t="shared" si="17"/>
        <v>#REF!</v>
      </c>
      <c r="U51" s="344">
        <v>0</v>
      </c>
      <c r="V51" s="345">
        <v>0</v>
      </c>
      <c r="W51" s="309">
        <v>0</v>
      </c>
      <c r="X51" s="339">
        <v>0</v>
      </c>
      <c r="Y51" s="345">
        <v>0</v>
      </c>
      <c r="Z51" s="309">
        <v>0</v>
      </c>
      <c r="AA51" s="299" t="e">
        <f t="shared" si="22"/>
        <v>#REF!</v>
      </c>
      <c r="AB51" s="300" t="e">
        <f t="shared" si="22"/>
        <v>#REF!</v>
      </c>
      <c r="AC51" s="309" t="e">
        <f t="shared" si="22"/>
        <v>#REF!</v>
      </c>
      <c r="AD51" s="310" t="e">
        <f t="shared" si="21"/>
        <v>#REF!</v>
      </c>
      <c r="AE51" s="310" t="e">
        <f>+L51*$AE$11</f>
        <v>#REF!</v>
      </c>
      <c r="AF51" s="295" t="e">
        <f t="shared" si="4"/>
        <v>#REF!</v>
      </c>
      <c r="AG51" s="296" t="e">
        <f t="shared" si="5"/>
        <v>#REF!</v>
      </c>
    </row>
    <row r="52" spans="1:33" ht="11.25">
      <c r="A52" s="288" t="s">
        <v>36</v>
      </c>
      <c r="B52" s="288"/>
      <c r="C52" s="288"/>
      <c r="D52" s="288"/>
      <c r="E52" s="330">
        <f>SUM(E53:E54)</f>
        <v>4625</v>
      </c>
      <c r="F52" s="333">
        <f>SUM(F53:F54)</f>
        <v>4773</v>
      </c>
      <c r="G52" s="334">
        <f>SUM(G53:G54)</f>
        <v>800672</v>
      </c>
      <c r="H52" s="320">
        <f>SUM(H53:H54)</f>
        <v>0</v>
      </c>
      <c r="I52" s="320">
        <f>SUM(I53:I54)</f>
        <v>0</v>
      </c>
      <c r="J52" s="338" t="e">
        <f>+J53+J54</f>
        <v>#REF!</v>
      </c>
      <c r="K52" s="338" t="e">
        <f>+K53+K54</f>
        <v>#REF!</v>
      </c>
      <c r="L52" s="338" t="e">
        <f>+L53+L54</f>
        <v>#REF!</v>
      </c>
      <c r="M52" s="323">
        <v>0</v>
      </c>
      <c r="N52" s="323">
        <f aca="true" t="shared" si="23" ref="N52:Z52">+N53+N54</f>
        <v>0</v>
      </c>
      <c r="O52" s="351">
        <f t="shared" si="23"/>
        <v>0</v>
      </c>
      <c r="P52" s="322">
        <f t="shared" si="23"/>
        <v>0</v>
      </c>
      <c r="Q52" s="319">
        <f t="shared" si="23"/>
        <v>6972</v>
      </c>
      <c r="R52" s="317" t="e">
        <f t="shared" si="23"/>
        <v>#REF!</v>
      </c>
      <c r="S52" s="318" t="e">
        <f t="shared" si="23"/>
        <v>#REF!</v>
      </c>
      <c r="T52" s="319" t="e">
        <f t="shared" si="23"/>
        <v>#REF!</v>
      </c>
      <c r="U52" s="322">
        <f t="shared" si="23"/>
        <v>33</v>
      </c>
      <c r="V52" s="318">
        <f t="shared" si="23"/>
        <v>17</v>
      </c>
      <c r="W52" s="319">
        <f t="shared" si="23"/>
        <v>10410</v>
      </c>
      <c r="X52" s="317">
        <f t="shared" si="23"/>
        <v>0</v>
      </c>
      <c r="Y52" s="318">
        <f t="shared" si="23"/>
        <v>-6</v>
      </c>
      <c r="Z52" s="319">
        <f t="shared" si="23"/>
        <v>0</v>
      </c>
      <c r="AA52" s="317" t="e">
        <f>+AA53+AA54</f>
        <v>#REF!</v>
      </c>
      <c r="AB52" s="318" t="e">
        <f>+AB53+AB54</f>
        <v>#REF!</v>
      </c>
      <c r="AC52" s="320" t="e">
        <f>+AC53+AC54</f>
        <v>#REF!</v>
      </c>
      <c r="AD52" s="323">
        <f>SUM(AD53:AD54)</f>
        <v>0</v>
      </c>
      <c r="AE52" s="323">
        <f>SUM(AE53:AE54)</f>
        <v>0</v>
      </c>
      <c r="AF52" s="295" t="e">
        <f t="shared" si="4"/>
        <v>#REF!</v>
      </c>
      <c r="AG52" s="296" t="e">
        <f t="shared" si="5"/>
        <v>#REF!</v>
      </c>
    </row>
    <row r="53" spans="1:33" ht="11.25">
      <c r="A53" s="298" t="s">
        <v>9</v>
      </c>
      <c r="E53" s="299">
        <v>4625</v>
      </c>
      <c r="F53" s="300">
        <v>4773</v>
      </c>
      <c r="G53" s="301">
        <v>791903</v>
      </c>
      <c r="H53" s="302"/>
      <c r="I53" s="302"/>
      <c r="J53" s="303" t="e">
        <f>+#REF!</f>
        <v>#REF!</v>
      </c>
      <c r="K53" s="303" t="e">
        <f>+#REF!</f>
        <v>#REF!</v>
      </c>
      <c r="L53" s="303" t="e">
        <f>+#REF!</f>
        <v>#REF!</v>
      </c>
      <c r="M53" s="302"/>
      <c r="N53" s="302"/>
      <c r="O53" s="299">
        <v>0</v>
      </c>
      <c r="P53" s="300">
        <v>0</v>
      </c>
      <c r="Q53" s="301">
        <v>6972</v>
      </c>
      <c r="R53" s="305" t="e">
        <f aca="true" t="shared" si="24" ref="R53:S55">+J53+O53</f>
        <v>#REF!</v>
      </c>
      <c r="S53" s="306" t="e">
        <f t="shared" si="24"/>
        <v>#REF!</v>
      </c>
      <c r="T53" s="301" t="e">
        <f t="shared" si="17"/>
        <v>#REF!</v>
      </c>
      <c r="U53" s="313">
        <f>-2+35</f>
        <v>33</v>
      </c>
      <c r="V53" s="307">
        <v>17</v>
      </c>
      <c r="W53" s="301">
        <f>2948+7462</f>
        <v>10410</v>
      </c>
      <c r="X53" s="308"/>
      <c r="Y53" s="307">
        <v>-6</v>
      </c>
      <c r="Z53" s="301"/>
      <c r="AA53" s="299" t="e">
        <f aca="true" t="shared" si="25" ref="AA53:AC55">+X53+U53+R53</f>
        <v>#REF!</v>
      </c>
      <c r="AB53" s="300" t="e">
        <f t="shared" si="25"/>
        <v>#REF!</v>
      </c>
      <c r="AC53" s="309" t="e">
        <f t="shared" si="25"/>
        <v>#REF!</v>
      </c>
      <c r="AD53" s="310"/>
      <c r="AE53" s="310"/>
      <c r="AF53" s="295" t="e">
        <f t="shared" si="4"/>
        <v>#REF!</v>
      </c>
      <c r="AG53" s="296" t="e">
        <f t="shared" si="5"/>
        <v>#REF!</v>
      </c>
    </row>
    <row r="54" spans="1:33" ht="11.25">
      <c r="A54" s="298" t="s">
        <v>113</v>
      </c>
      <c r="E54" s="299">
        <v>0</v>
      </c>
      <c r="F54" s="300">
        <v>0</v>
      </c>
      <c r="G54" s="301">
        <v>8769</v>
      </c>
      <c r="H54" s="302"/>
      <c r="I54" s="302"/>
      <c r="J54" s="303" t="e">
        <f>+#REF!</f>
        <v>#REF!</v>
      </c>
      <c r="K54" s="303" t="e">
        <f>+#REF!</f>
        <v>#REF!</v>
      </c>
      <c r="L54" s="303" t="e">
        <f>+#REF!</f>
        <v>#REF!</v>
      </c>
      <c r="M54" s="304"/>
      <c r="N54" s="302"/>
      <c r="O54" s="299"/>
      <c r="P54" s="300"/>
      <c r="Q54" s="301"/>
      <c r="R54" s="305" t="e">
        <f t="shared" si="24"/>
        <v>#REF!</v>
      </c>
      <c r="S54" s="306" t="e">
        <f t="shared" si="24"/>
        <v>#REF!</v>
      </c>
      <c r="T54" s="301" t="e">
        <f t="shared" si="17"/>
        <v>#REF!</v>
      </c>
      <c r="U54" s="313"/>
      <c r="V54" s="307"/>
      <c r="W54" s="301">
        <v>0</v>
      </c>
      <c r="X54" s="308"/>
      <c r="Y54" s="307"/>
      <c r="Z54" s="301"/>
      <c r="AA54" s="299" t="e">
        <f t="shared" si="25"/>
        <v>#REF!</v>
      </c>
      <c r="AB54" s="300" t="e">
        <f t="shared" si="25"/>
        <v>#REF!</v>
      </c>
      <c r="AC54" s="309" t="e">
        <f t="shared" si="25"/>
        <v>#REF!</v>
      </c>
      <c r="AD54" s="310"/>
      <c r="AE54" s="310"/>
      <c r="AF54" s="295" t="e">
        <f t="shared" si="4"/>
        <v>#REF!</v>
      </c>
      <c r="AG54" s="296" t="e">
        <f t="shared" si="5"/>
        <v>#REF!</v>
      </c>
    </row>
    <row r="55" spans="1:33" ht="11.25">
      <c r="A55" s="256" t="s">
        <v>10</v>
      </c>
      <c r="E55" s="299">
        <v>56</v>
      </c>
      <c r="F55" s="300">
        <v>56</v>
      </c>
      <c r="G55" s="301">
        <v>9536</v>
      </c>
      <c r="H55" s="302"/>
      <c r="I55" s="302"/>
      <c r="J55" s="303" t="e">
        <f>+#REF!</f>
        <v>#REF!</v>
      </c>
      <c r="K55" s="303" t="e">
        <f>+#REF!</f>
        <v>#REF!</v>
      </c>
      <c r="L55" s="303" t="e">
        <f>+#REF!</f>
        <v>#REF!</v>
      </c>
      <c r="M55" s="304"/>
      <c r="N55" s="302">
        <v>0</v>
      </c>
      <c r="O55" s="299">
        <v>0</v>
      </c>
      <c r="P55" s="300">
        <v>0</v>
      </c>
      <c r="Q55" s="301">
        <v>284</v>
      </c>
      <c r="R55" s="305" t="e">
        <f t="shared" si="24"/>
        <v>#REF!</v>
      </c>
      <c r="S55" s="306" t="e">
        <f t="shared" si="24"/>
        <v>#REF!</v>
      </c>
      <c r="T55" s="301" t="e">
        <f t="shared" si="17"/>
        <v>#REF!</v>
      </c>
      <c r="U55" s="313">
        <v>0</v>
      </c>
      <c r="V55" s="307">
        <v>0</v>
      </c>
      <c r="W55" s="301">
        <v>0</v>
      </c>
      <c r="X55" s="308">
        <v>0</v>
      </c>
      <c r="Y55" s="307">
        <v>0</v>
      </c>
      <c r="Z55" s="301">
        <v>0</v>
      </c>
      <c r="AA55" s="299" t="e">
        <f t="shared" si="25"/>
        <v>#REF!</v>
      </c>
      <c r="AB55" s="300" t="e">
        <f t="shared" si="25"/>
        <v>#REF!</v>
      </c>
      <c r="AC55" s="309" t="e">
        <f t="shared" si="25"/>
        <v>#REF!</v>
      </c>
      <c r="AD55" s="310" t="e">
        <f>+T55*(1+$AD$11)</f>
        <v>#REF!</v>
      </c>
      <c r="AE55" s="310" t="e">
        <f>+L55*$AE$11</f>
        <v>#REF!</v>
      </c>
      <c r="AF55" s="295" t="e">
        <f t="shared" si="4"/>
        <v>#REF!</v>
      </c>
      <c r="AG55" s="296" t="e">
        <f t="shared" si="5"/>
        <v>#REF!</v>
      </c>
    </row>
    <row r="56" spans="1:33" ht="11.25">
      <c r="A56" s="288" t="s">
        <v>37</v>
      </c>
      <c r="B56" s="288"/>
      <c r="C56" s="288"/>
      <c r="D56" s="288"/>
      <c r="E56" s="330">
        <f>SUM(E57)</f>
        <v>0</v>
      </c>
      <c r="F56" s="333">
        <f>SUM(F57)</f>
        <v>0</v>
      </c>
      <c r="G56" s="334">
        <f>SUM(G57)</f>
        <v>21194</v>
      </c>
      <c r="H56" s="320">
        <f>SUM(H57:H57)</f>
        <v>0</v>
      </c>
      <c r="I56" s="320">
        <f>SUM(I57:I57)</f>
        <v>0</v>
      </c>
      <c r="J56" s="330" t="e">
        <f>SUM(J57)</f>
        <v>#REF!</v>
      </c>
      <c r="K56" s="333" t="e">
        <f>SUM(K57)</f>
        <v>#REF!</v>
      </c>
      <c r="L56" s="338" t="e">
        <f>SUM(L57)</f>
        <v>#REF!</v>
      </c>
      <c r="M56" s="320">
        <f aca="true" t="shared" si="26" ref="M56:AE56">SUM(M57:M57)</f>
        <v>0</v>
      </c>
      <c r="N56" s="320">
        <f t="shared" si="26"/>
        <v>0</v>
      </c>
      <c r="O56" s="317">
        <f t="shared" si="26"/>
        <v>0</v>
      </c>
      <c r="P56" s="318">
        <f t="shared" si="26"/>
        <v>0</v>
      </c>
      <c r="Q56" s="319">
        <f t="shared" si="26"/>
        <v>0</v>
      </c>
      <c r="R56" s="317" t="e">
        <f t="shared" si="26"/>
        <v>#REF!</v>
      </c>
      <c r="S56" s="318" t="e">
        <f t="shared" si="26"/>
        <v>#REF!</v>
      </c>
      <c r="T56" s="319" t="e">
        <f t="shared" si="26"/>
        <v>#REF!</v>
      </c>
      <c r="U56" s="322">
        <f t="shared" si="26"/>
        <v>0</v>
      </c>
      <c r="V56" s="318">
        <f t="shared" si="26"/>
        <v>0</v>
      </c>
      <c r="W56" s="319">
        <f t="shared" si="26"/>
        <v>0</v>
      </c>
      <c r="X56" s="317">
        <f t="shared" si="26"/>
        <v>0</v>
      </c>
      <c r="Y56" s="318">
        <f t="shared" si="26"/>
        <v>0</v>
      </c>
      <c r="Z56" s="319">
        <f t="shared" si="26"/>
        <v>0</v>
      </c>
      <c r="AA56" s="317" t="e">
        <f t="shared" si="26"/>
        <v>#REF!</v>
      </c>
      <c r="AB56" s="318" t="e">
        <f t="shared" si="26"/>
        <v>#REF!</v>
      </c>
      <c r="AC56" s="320" t="e">
        <f t="shared" si="26"/>
        <v>#REF!</v>
      </c>
      <c r="AD56" s="323" t="e">
        <f t="shared" si="26"/>
        <v>#REF!</v>
      </c>
      <c r="AE56" s="323" t="e">
        <f t="shared" si="26"/>
        <v>#REF!</v>
      </c>
      <c r="AF56" s="295" t="e">
        <f t="shared" si="4"/>
        <v>#REF!</v>
      </c>
      <c r="AG56" s="296" t="e">
        <f t="shared" si="5"/>
        <v>#REF!</v>
      </c>
    </row>
    <row r="57" spans="1:33" ht="11.25">
      <c r="A57" s="298" t="s">
        <v>135</v>
      </c>
      <c r="E57" s="299">
        <v>0</v>
      </c>
      <c r="F57" s="300">
        <v>0</v>
      </c>
      <c r="G57" s="301">
        <v>21194</v>
      </c>
      <c r="H57" s="302"/>
      <c r="I57" s="302"/>
      <c r="J57" s="303" t="e">
        <f>+#REF!</f>
        <v>#REF!</v>
      </c>
      <c r="K57" s="303" t="e">
        <f>+#REF!</f>
        <v>#REF!</v>
      </c>
      <c r="L57" s="303" t="e">
        <f>+#REF!</f>
        <v>#REF!</v>
      </c>
      <c r="M57" s="304"/>
      <c r="N57" s="302">
        <v>0</v>
      </c>
      <c r="O57" s="299">
        <v>0</v>
      </c>
      <c r="P57" s="300">
        <v>0</v>
      </c>
      <c r="Q57" s="301">
        <v>0</v>
      </c>
      <c r="R57" s="305" t="e">
        <f>+J57+O57</f>
        <v>#REF!</v>
      </c>
      <c r="S57" s="306" t="e">
        <f>+K57+P57</f>
        <v>#REF!</v>
      </c>
      <c r="T57" s="301" t="e">
        <f t="shared" si="17"/>
        <v>#REF!</v>
      </c>
      <c r="U57" s="313">
        <v>0</v>
      </c>
      <c r="V57" s="307">
        <v>0</v>
      </c>
      <c r="W57" s="301">
        <v>0</v>
      </c>
      <c r="X57" s="308">
        <v>0</v>
      </c>
      <c r="Y57" s="307">
        <v>0</v>
      </c>
      <c r="Z57" s="301">
        <v>0</v>
      </c>
      <c r="AA57" s="299" t="e">
        <f aca="true" t="shared" si="27" ref="AA57:AC59">+X57+U57+R57</f>
        <v>#REF!</v>
      </c>
      <c r="AB57" s="300" t="e">
        <f t="shared" si="27"/>
        <v>#REF!</v>
      </c>
      <c r="AC57" s="309" t="e">
        <f t="shared" si="27"/>
        <v>#REF!</v>
      </c>
      <c r="AD57" s="310" t="e">
        <f>+T57*(1+$AD$11)</f>
        <v>#REF!</v>
      </c>
      <c r="AE57" s="310" t="e">
        <f>+L57*$AE$11</f>
        <v>#REF!</v>
      </c>
      <c r="AF57" s="295" t="e">
        <f t="shared" si="4"/>
        <v>#REF!</v>
      </c>
      <c r="AG57" s="296" t="e">
        <f t="shared" si="5"/>
        <v>#REF!</v>
      </c>
    </row>
    <row r="58" spans="1:33" ht="11.25">
      <c r="A58" s="256" t="s">
        <v>11</v>
      </c>
      <c r="E58" s="305" t="s">
        <v>176</v>
      </c>
      <c r="F58" s="306" t="s">
        <v>177</v>
      </c>
      <c r="G58" s="301">
        <v>483189</v>
      </c>
      <c r="H58" s="302"/>
      <c r="I58" s="302"/>
      <c r="J58" s="341" t="e">
        <f>+#REF!</f>
        <v>#REF!</v>
      </c>
      <c r="K58" s="341" t="e">
        <f>+#REF!</f>
        <v>#REF!</v>
      </c>
      <c r="L58" s="303" t="e">
        <f>+#REF!</f>
        <v>#REF!</v>
      </c>
      <c r="M58" s="304"/>
      <c r="N58" s="302">
        <v>0</v>
      </c>
      <c r="O58" s="305">
        <v>0</v>
      </c>
      <c r="P58" s="306">
        <v>0</v>
      </c>
      <c r="Q58" s="301">
        <f>1693-1693</f>
        <v>0</v>
      </c>
      <c r="R58" s="305" t="s">
        <v>178</v>
      </c>
      <c r="S58" s="306" t="s">
        <v>179</v>
      </c>
      <c r="T58" s="301" t="e">
        <f t="shared" si="17"/>
        <v>#REF!</v>
      </c>
      <c r="U58" s="348" t="s">
        <v>227</v>
      </c>
      <c r="V58" s="352" t="s">
        <v>227</v>
      </c>
      <c r="W58" s="301">
        <v>11625</v>
      </c>
      <c r="X58" s="305" t="s">
        <v>228</v>
      </c>
      <c r="Y58" s="306" t="s">
        <v>228</v>
      </c>
      <c r="Z58" s="301">
        <f>65341-17700</f>
        <v>47641</v>
      </c>
      <c r="AA58" s="305" t="s">
        <v>229</v>
      </c>
      <c r="AB58" s="306" t="s">
        <v>230</v>
      </c>
      <c r="AC58" s="309" t="e">
        <f t="shared" si="27"/>
        <v>#REF!</v>
      </c>
      <c r="AD58" s="310" t="e">
        <f>+T58*(1+$AD$11)</f>
        <v>#REF!</v>
      </c>
      <c r="AE58" s="310" t="e">
        <f>+L58*$AE$11</f>
        <v>#REF!</v>
      </c>
      <c r="AF58" s="295" t="e">
        <f t="shared" si="4"/>
        <v>#REF!</v>
      </c>
      <c r="AG58" s="296" t="e">
        <f t="shared" si="5"/>
        <v>#REF!</v>
      </c>
    </row>
    <row r="59" spans="1:33" ht="11.25" hidden="1">
      <c r="A59" s="256" t="s">
        <v>56</v>
      </c>
      <c r="D59" s="247"/>
      <c r="E59" s="299">
        <v>0</v>
      </c>
      <c r="F59" s="300">
        <v>0</v>
      </c>
      <c r="G59" s="301">
        <v>0</v>
      </c>
      <c r="H59" s="302"/>
      <c r="I59" s="302"/>
      <c r="J59" s="299">
        <v>0</v>
      </c>
      <c r="K59" s="300">
        <v>0</v>
      </c>
      <c r="L59" s="303">
        <f>SUM(G59+H59)</f>
        <v>0</v>
      </c>
      <c r="M59" s="304"/>
      <c r="N59" s="302"/>
      <c r="O59" s="299"/>
      <c r="P59" s="300"/>
      <c r="Q59" s="301"/>
      <c r="R59" s="305"/>
      <c r="S59" s="306"/>
      <c r="T59" s="301"/>
      <c r="U59" s="313"/>
      <c r="V59" s="307"/>
      <c r="W59" s="301"/>
      <c r="X59" s="308"/>
      <c r="Y59" s="307"/>
      <c r="Z59" s="301"/>
      <c r="AA59" s="299">
        <f t="shared" si="27"/>
        <v>0</v>
      </c>
      <c r="AB59" s="300">
        <f t="shared" si="27"/>
        <v>0</v>
      </c>
      <c r="AC59" s="301">
        <f t="shared" si="27"/>
        <v>0</v>
      </c>
      <c r="AD59" s="310">
        <f>+T59*(1+$AD$11)</f>
        <v>0</v>
      </c>
      <c r="AE59" s="310">
        <f>+L59*$AE$11</f>
        <v>0</v>
      </c>
      <c r="AF59" s="295">
        <f t="shared" si="4"/>
        <v>0</v>
      </c>
      <c r="AG59" s="296" t="e">
        <f t="shared" si="5"/>
        <v>#DIV/0!</v>
      </c>
    </row>
    <row r="60" spans="1:33" ht="11.25">
      <c r="A60" s="288" t="s">
        <v>12</v>
      </c>
      <c r="B60" s="288"/>
      <c r="C60" s="288"/>
      <c r="D60" s="288"/>
      <c r="E60" s="330">
        <f>SUM(E61:E65)</f>
        <v>31356</v>
      </c>
      <c r="F60" s="333">
        <f>SUM(F61:F65)</f>
        <v>32382</v>
      </c>
      <c r="G60" s="334">
        <f>SUM(G61:G65)</f>
        <v>5712698</v>
      </c>
      <c r="H60" s="320">
        <f>SUM(H61:H65)</f>
        <v>0</v>
      </c>
      <c r="I60" s="320">
        <f>SUM(I61:I65)</f>
        <v>0</v>
      </c>
      <c r="J60" s="330" t="e">
        <f>SUM(J61:J64)</f>
        <v>#REF!</v>
      </c>
      <c r="K60" s="330" t="e">
        <f aca="true" t="shared" si="28" ref="K60:AC60">SUM(K61:K64)</f>
        <v>#REF!</v>
      </c>
      <c r="L60" s="330" t="e">
        <f t="shared" si="28"/>
        <v>#REF!</v>
      </c>
      <c r="M60" s="330">
        <f t="shared" si="28"/>
        <v>0</v>
      </c>
      <c r="N60" s="330">
        <f t="shared" si="28"/>
        <v>0</v>
      </c>
      <c r="O60" s="330">
        <f t="shared" si="28"/>
        <v>0</v>
      </c>
      <c r="P60" s="330">
        <f t="shared" si="28"/>
        <v>0</v>
      </c>
      <c r="Q60" s="330">
        <f t="shared" si="28"/>
        <v>38281</v>
      </c>
      <c r="R60" s="330" t="e">
        <f t="shared" si="28"/>
        <v>#REF!</v>
      </c>
      <c r="S60" s="330" t="e">
        <f t="shared" si="28"/>
        <v>#REF!</v>
      </c>
      <c r="T60" s="330" t="e">
        <f t="shared" si="28"/>
        <v>#REF!</v>
      </c>
      <c r="U60" s="330">
        <f t="shared" si="28"/>
        <v>70</v>
      </c>
      <c r="V60" s="330">
        <f t="shared" si="28"/>
        <v>-46</v>
      </c>
      <c r="W60" s="330">
        <f t="shared" si="28"/>
        <v>42073</v>
      </c>
      <c r="X60" s="330">
        <f t="shared" si="28"/>
        <v>800</v>
      </c>
      <c r="Y60" s="330">
        <f t="shared" si="28"/>
        <v>960</v>
      </c>
      <c r="Z60" s="330">
        <f t="shared" si="28"/>
        <v>0</v>
      </c>
      <c r="AA60" s="330" t="e">
        <f t="shared" si="28"/>
        <v>#REF!</v>
      </c>
      <c r="AB60" s="330" t="e">
        <f t="shared" si="28"/>
        <v>#REF!</v>
      </c>
      <c r="AC60" s="330" t="e">
        <f t="shared" si="28"/>
        <v>#REF!</v>
      </c>
      <c r="AD60" s="323" t="e">
        <f>SUM(AD61:AD65)</f>
        <v>#REF!</v>
      </c>
      <c r="AE60" s="323" t="e">
        <f>SUM(AE61:AE65)</f>
        <v>#REF!</v>
      </c>
      <c r="AF60" s="295" t="e">
        <f t="shared" si="4"/>
        <v>#REF!</v>
      </c>
      <c r="AG60" s="296" t="e">
        <f t="shared" si="5"/>
        <v>#REF!</v>
      </c>
    </row>
    <row r="61" spans="1:33" ht="11.25">
      <c r="A61" s="298" t="s">
        <v>114</v>
      </c>
      <c r="E61" s="299">
        <v>31356</v>
      </c>
      <c r="F61" s="300">
        <v>32382</v>
      </c>
      <c r="G61" s="301">
        <v>5675570</v>
      </c>
      <c r="H61" s="302"/>
      <c r="I61" s="302"/>
      <c r="J61" s="303" t="e">
        <f>+#REF!</f>
        <v>#REF!</v>
      </c>
      <c r="K61" s="303" t="e">
        <f>+#REF!</f>
        <v>#REF!</v>
      </c>
      <c r="L61" s="303" t="e">
        <f>+#REF!</f>
        <v>#REF!</v>
      </c>
      <c r="M61" s="304">
        <v>0</v>
      </c>
      <c r="N61" s="302">
        <v>0</v>
      </c>
      <c r="O61" s="299">
        <v>0</v>
      </c>
      <c r="P61" s="300">
        <v>0</v>
      </c>
      <c r="Q61" s="309">
        <v>38281</v>
      </c>
      <c r="R61" s="342" t="e">
        <f>+J61+O61</f>
        <v>#REF!</v>
      </c>
      <c r="S61" s="343" t="e">
        <f>+K61+P61</f>
        <v>#REF!</v>
      </c>
      <c r="T61" s="301" t="e">
        <f>+L61+Q61+N61</f>
        <v>#REF!</v>
      </c>
      <c r="U61" s="344">
        <f>1091-800-221</f>
        <v>70</v>
      </c>
      <c r="V61" s="345">
        <f>865-800-111</f>
        <v>-46</v>
      </c>
      <c r="W61" s="309">
        <f>140836-98763</f>
        <v>42073</v>
      </c>
      <c r="X61" s="353">
        <v>800</v>
      </c>
      <c r="Y61" s="354">
        <f>800+160</f>
        <v>960</v>
      </c>
      <c r="Z61" s="347">
        <v>0</v>
      </c>
      <c r="AA61" s="299" t="e">
        <f aca="true" t="shared" si="29" ref="AA61:AC66">+X61+U61+R61</f>
        <v>#REF!</v>
      </c>
      <c r="AB61" s="300" t="e">
        <f t="shared" si="29"/>
        <v>#REF!</v>
      </c>
      <c r="AC61" s="309" t="e">
        <f t="shared" si="29"/>
        <v>#REF!</v>
      </c>
      <c r="AD61" s="310" t="e">
        <f>+T61*(1+$AD$11)</f>
        <v>#REF!</v>
      </c>
      <c r="AE61" s="310" t="e">
        <f>+L61*$AE$11</f>
        <v>#REF!</v>
      </c>
      <c r="AF61" s="295" t="e">
        <f t="shared" si="4"/>
        <v>#REF!</v>
      </c>
      <c r="AG61" s="296" t="e">
        <f t="shared" si="5"/>
        <v>#REF!</v>
      </c>
    </row>
    <row r="62" spans="1:33" ht="11.25">
      <c r="A62" s="256" t="s">
        <v>138</v>
      </c>
      <c r="E62" s="299"/>
      <c r="F62" s="300"/>
      <c r="G62" s="301"/>
      <c r="H62" s="302"/>
      <c r="I62" s="302"/>
      <c r="J62" s="303" t="e">
        <f>+#REF!</f>
        <v>#REF!</v>
      </c>
      <c r="K62" s="303" t="e">
        <f>+#REF!</f>
        <v>#REF!</v>
      </c>
      <c r="L62" s="303" t="e">
        <f>+#REF!</f>
        <v>#REF!</v>
      </c>
      <c r="M62" s="304"/>
      <c r="N62" s="302">
        <v>0</v>
      </c>
      <c r="O62" s="299">
        <v>0</v>
      </c>
      <c r="P62" s="300">
        <v>0</v>
      </c>
      <c r="Q62" s="301">
        <v>0</v>
      </c>
      <c r="R62" s="305" t="e">
        <f>+J62+O62</f>
        <v>#REF!</v>
      </c>
      <c r="S62" s="306" t="e">
        <f>+K62+P62</f>
        <v>#REF!</v>
      </c>
      <c r="T62" s="301" t="e">
        <f>+L62+Q62+N62</f>
        <v>#REF!</v>
      </c>
      <c r="U62" s="313">
        <v>0</v>
      </c>
      <c r="V62" s="307">
        <v>0</v>
      </c>
      <c r="W62" s="301">
        <v>0</v>
      </c>
      <c r="X62" s="355">
        <v>0</v>
      </c>
      <c r="Y62" s="352">
        <v>0</v>
      </c>
      <c r="Z62" s="315">
        <v>0</v>
      </c>
      <c r="AA62" s="299" t="e">
        <f t="shared" si="29"/>
        <v>#REF!</v>
      </c>
      <c r="AB62" s="300" t="e">
        <f t="shared" si="29"/>
        <v>#REF!</v>
      </c>
      <c r="AC62" s="309" t="e">
        <f t="shared" si="29"/>
        <v>#REF!</v>
      </c>
      <c r="AD62" s="310" t="e">
        <f>+T62*(1+$AD$11)</f>
        <v>#REF!</v>
      </c>
      <c r="AE62" s="310" t="e">
        <f>+L62*$AE$11</f>
        <v>#REF!</v>
      </c>
      <c r="AF62" s="295" t="e">
        <f t="shared" si="4"/>
        <v>#REF!</v>
      </c>
      <c r="AG62" s="296" t="s">
        <v>198</v>
      </c>
    </row>
    <row r="63" spans="1:33" ht="11.25">
      <c r="A63" s="298" t="s">
        <v>156</v>
      </c>
      <c r="E63" s="299"/>
      <c r="F63" s="300"/>
      <c r="G63" s="301">
        <v>0</v>
      </c>
      <c r="H63" s="302"/>
      <c r="I63" s="302"/>
      <c r="J63" s="303" t="e">
        <f>+#REF!</f>
        <v>#REF!</v>
      </c>
      <c r="K63" s="303" t="e">
        <f>+#REF!</f>
        <v>#REF!</v>
      </c>
      <c r="L63" s="303" t="e">
        <f>+#REF!</f>
        <v>#REF!</v>
      </c>
      <c r="M63" s="304"/>
      <c r="N63" s="302">
        <v>0</v>
      </c>
      <c r="O63" s="299">
        <v>0</v>
      </c>
      <c r="P63" s="300">
        <v>0</v>
      </c>
      <c r="Q63" s="301">
        <v>0</v>
      </c>
      <c r="R63" s="356">
        <v>0</v>
      </c>
      <c r="S63" s="357">
        <v>0</v>
      </c>
      <c r="T63" s="358">
        <v>0</v>
      </c>
      <c r="U63" s="313">
        <v>0</v>
      </c>
      <c r="V63" s="307">
        <v>0</v>
      </c>
      <c r="W63" s="301">
        <v>0</v>
      </c>
      <c r="X63" s="355">
        <v>0</v>
      </c>
      <c r="Y63" s="352">
        <v>0</v>
      </c>
      <c r="Z63" s="315">
        <v>0</v>
      </c>
      <c r="AA63" s="356">
        <v>0</v>
      </c>
      <c r="AB63" s="357">
        <v>0</v>
      </c>
      <c r="AC63" s="359">
        <v>0</v>
      </c>
      <c r="AD63" s="360">
        <v>0</v>
      </c>
      <c r="AE63" s="310">
        <v>0</v>
      </c>
      <c r="AF63" s="295">
        <v>0</v>
      </c>
      <c r="AG63" s="296" t="s">
        <v>198</v>
      </c>
    </row>
    <row r="64" spans="1:33" ht="11.25">
      <c r="A64" s="298" t="s">
        <v>115</v>
      </c>
      <c r="E64" s="299">
        <v>0</v>
      </c>
      <c r="F64" s="300">
        <v>0</v>
      </c>
      <c r="G64" s="301">
        <v>37128</v>
      </c>
      <c r="H64" s="302"/>
      <c r="I64" s="302"/>
      <c r="J64" s="303" t="e">
        <f>+#REF!</f>
        <v>#REF!</v>
      </c>
      <c r="K64" s="303" t="e">
        <f>+#REF!</f>
        <v>#REF!</v>
      </c>
      <c r="L64" s="303" t="e">
        <f>+#REF!</f>
        <v>#REF!</v>
      </c>
      <c r="M64" s="304"/>
      <c r="N64" s="302">
        <v>0</v>
      </c>
      <c r="O64" s="299">
        <v>0</v>
      </c>
      <c r="P64" s="300">
        <v>0</v>
      </c>
      <c r="Q64" s="301">
        <v>0</v>
      </c>
      <c r="R64" s="305" t="e">
        <f aca="true" t="shared" si="30" ref="R64:S66">+J64+O64</f>
        <v>#REF!</v>
      </c>
      <c r="S64" s="306" t="e">
        <f t="shared" si="30"/>
        <v>#REF!</v>
      </c>
      <c r="T64" s="301" t="e">
        <f>+L64+Q64+N64</f>
        <v>#REF!</v>
      </c>
      <c r="U64" s="313">
        <v>0</v>
      </c>
      <c r="V64" s="307">
        <v>0</v>
      </c>
      <c r="W64" s="301">
        <v>0</v>
      </c>
      <c r="X64" s="308">
        <v>0</v>
      </c>
      <c r="Y64" s="307">
        <v>0</v>
      </c>
      <c r="Z64" s="301">
        <v>0</v>
      </c>
      <c r="AA64" s="299" t="e">
        <f>+X64+U64+R64</f>
        <v>#REF!</v>
      </c>
      <c r="AB64" s="300" t="e">
        <f>+Y64+V64+S64</f>
        <v>#REF!</v>
      </c>
      <c r="AC64" s="309" t="e">
        <f>+Z64+W64+T64</f>
        <v>#REF!</v>
      </c>
      <c r="AD64" s="360"/>
      <c r="AE64" s="310"/>
      <c r="AF64" s="295" t="e">
        <f t="shared" si="4"/>
        <v>#REF!</v>
      </c>
      <c r="AG64" s="296" t="e">
        <f t="shared" si="5"/>
        <v>#REF!</v>
      </c>
    </row>
    <row r="65" spans="1:33" ht="11.25" hidden="1">
      <c r="A65" s="325" t="s">
        <v>226</v>
      </c>
      <c r="B65" s="325"/>
      <c r="C65" s="325"/>
      <c r="D65" s="325"/>
      <c r="E65" s="326"/>
      <c r="F65" s="327"/>
      <c r="G65" s="309">
        <v>0</v>
      </c>
      <c r="H65" s="312"/>
      <c r="I65" s="312"/>
      <c r="J65" s="303" t="e">
        <f>+#REF!</f>
        <v>#REF!</v>
      </c>
      <c r="K65" s="303" t="e">
        <f>+#REF!</f>
        <v>#REF!</v>
      </c>
      <c r="L65" s="303" t="e">
        <f>+#REF!</f>
        <v>#REF!</v>
      </c>
      <c r="M65" s="316"/>
      <c r="N65" s="312">
        <v>0</v>
      </c>
      <c r="O65" s="299">
        <v>0</v>
      </c>
      <c r="P65" s="300">
        <v>0</v>
      </c>
      <c r="Q65" s="301">
        <v>0</v>
      </c>
      <c r="R65" s="305" t="e">
        <f t="shared" si="30"/>
        <v>#REF!</v>
      </c>
      <c r="S65" s="306" t="e">
        <f t="shared" si="30"/>
        <v>#REF!</v>
      </c>
      <c r="T65" s="301" t="e">
        <f>+L65+Q65+N65</f>
        <v>#REF!</v>
      </c>
      <c r="U65" s="313">
        <v>0</v>
      </c>
      <c r="V65" s="307">
        <v>0</v>
      </c>
      <c r="W65" s="301">
        <v>0</v>
      </c>
      <c r="X65" s="308">
        <v>0</v>
      </c>
      <c r="Y65" s="307">
        <v>0</v>
      </c>
      <c r="Z65" s="301">
        <v>0</v>
      </c>
      <c r="AA65" s="299" t="e">
        <f t="shared" si="29"/>
        <v>#REF!</v>
      </c>
      <c r="AB65" s="300" t="e">
        <f t="shared" si="29"/>
        <v>#REF!</v>
      </c>
      <c r="AC65" s="309" t="e">
        <f t="shared" si="29"/>
        <v>#REF!</v>
      </c>
      <c r="AD65" s="310" t="e">
        <f>+T65*(1+$AD$11)</f>
        <v>#REF!</v>
      </c>
      <c r="AE65" s="310" t="e">
        <f>+L65*$AE$11</f>
        <v>#REF!</v>
      </c>
      <c r="AF65" s="295" t="e">
        <f t="shared" si="4"/>
        <v>#REF!</v>
      </c>
      <c r="AG65" s="296" t="e">
        <f t="shared" si="5"/>
        <v>#REF!</v>
      </c>
    </row>
    <row r="66" spans="1:33" ht="11.25" hidden="1">
      <c r="A66" s="325" t="s">
        <v>207</v>
      </c>
      <c r="B66" s="325"/>
      <c r="C66" s="325"/>
      <c r="D66" s="325"/>
      <c r="E66" s="326">
        <v>0</v>
      </c>
      <c r="F66" s="327">
        <v>0</v>
      </c>
      <c r="G66" s="309">
        <v>0</v>
      </c>
      <c r="H66" s="312"/>
      <c r="I66" s="312"/>
      <c r="J66" s="303" t="e">
        <f>+#REF!</f>
        <v>#REF!</v>
      </c>
      <c r="K66" s="303" t="e">
        <f>+#REF!</f>
        <v>#REF!</v>
      </c>
      <c r="L66" s="303" t="e">
        <f>+#REF!</f>
        <v>#REF!</v>
      </c>
      <c r="M66" s="316"/>
      <c r="N66" s="312">
        <v>0</v>
      </c>
      <c r="O66" s="299">
        <v>0</v>
      </c>
      <c r="P66" s="300">
        <v>0</v>
      </c>
      <c r="Q66" s="301">
        <v>0</v>
      </c>
      <c r="R66" s="305" t="e">
        <f t="shared" si="30"/>
        <v>#REF!</v>
      </c>
      <c r="S66" s="306" t="e">
        <f t="shared" si="30"/>
        <v>#REF!</v>
      </c>
      <c r="T66" s="301" t="e">
        <f>+L66+Q66+N66</f>
        <v>#REF!</v>
      </c>
      <c r="U66" s="313">
        <v>0</v>
      </c>
      <c r="V66" s="307">
        <v>0</v>
      </c>
      <c r="W66" s="301">
        <v>0</v>
      </c>
      <c r="X66" s="308">
        <v>0</v>
      </c>
      <c r="Y66" s="307">
        <v>0</v>
      </c>
      <c r="Z66" s="301">
        <v>0</v>
      </c>
      <c r="AA66" s="299" t="e">
        <f t="shared" si="29"/>
        <v>#REF!</v>
      </c>
      <c r="AB66" s="300" t="e">
        <f t="shared" si="29"/>
        <v>#REF!</v>
      </c>
      <c r="AC66" s="309" t="e">
        <f t="shared" si="29"/>
        <v>#REF!</v>
      </c>
      <c r="AD66" s="310"/>
      <c r="AE66" s="310"/>
      <c r="AF66" s="295" t="e">
        <f t="shared" si="4"/>
        <v>#REF!</v>
      </c>
      <c r="AG66" s="296" t="e">
        <f t="shared" si="5"/>
        <v>#REF!</v>
      </c>
    </row>
    <row r="67" spans="1:33" ht="11.25">
      <c r="A67" s="288" t="s">
        <v>13</v>
      </c>
      <c r="B67" s="288"/>
      <c r="C67" s="288"/>
      <c r="D67" s="288"/>
      <c r="E67" s="330">
        <f>SUM(E68)</f>
        <v>8251</v>
      </c>
      <c r="F67" s="333">
        <f>SUM(F68)</f>
        <v>9655</v>
      </c>
      <c r="G67" s="334">
        <f>SUM(G68)</f>
        <v>1674918</v>
      </c>
      <c r="H67" s="320">
        <f>SUM(H68:H68)</f>
        <v>0</v>
      </c>
      <c r="I67" s="320">
        <f>SUM(I68:I68)</f>
        <v>0</v>
      </c>
      <c r="J67" s="330" t="e">
        <f>SUM(J68)</f>
        <v>#REF!</v>
      </c>
      <c r="K67" s="333" t="e">
        <f>SUM(K68)</f>
        <v>#REF!</v>
      </c>
      <c r="L67" s="338" t="e">
        <f>SUM(L68)</f>
        <v>#REF!</v>
      </c>
      <c r="M67" s="320">
        <f aca="true" t="shared" si="31" ref="M67:AE67">SUM(M68:M68)</f>
        <v>0</v>
      </c>
      <c r="N67" s="320">
        <f t="shared" si="31"/>
        <v>0</v>
      </c>
      <c r="O67" s="317">
        <f t="shared" si="31"/>
        <v>0</v>
      </c>
      <c r="P67" s="318">
        <f t="shared" si="31"/>
        <v>0</v>
      </c>
      <c r="Q67" s="319">
        <f t="shared" si="31"/>
        <v>3202</v>
      </c>
      <c r="R67" s="317" t="e">
        <f t="shared" si="31"/>
        <v>#REF!</v>
      </c>
      <c r="S67" s="318" t="e">
        <f t="shared" si="31"/>
        <v>#REF!</v>
      </c>
      <c r="T67" s="319" t="e">
        <f t="shared" si="31"/>
        <v>#REF!</v>
      </c>
      <c r="U67" s="322">
        <f t="shared" si="31"/>
        <v>9</v>
      </c>
      <c r="V67" s="318">
        <f t="shared" si="31"/>
        <v>1</v>
      </c>
      <c r="W67" s="319">
        <f t="shared" si="31"/>
        <v>25204</v>
      </c>
      <c r="X67" s="317">
        <f t="shared" si="31"/>
        <v>91</v>
      </c>
      <c r="Y67" s="318">
        <f t="shared" si="31"/>
        <v>98</v>
      </c>
      <c r="Z67" s="319">
        <f t="shared" si="31"/>
        <v>17169</v>
      </c>
      <c r="AA67" s="317" t="e">
        <f t="shared" si="31"/>
        <v>#REF!</v>
      </c>
      <c r="AB67" s="318" t="e">
        <f t="shared" si="31"/>
        <v>#REF!</v>
      </c>
      <c r="AC67" s="320" t="e">
        <f t="shared" si="31"/>
        <v>#REF!</v>
      </c>
      <c r="AD67" s="323" t="e">
        <f t="shared" si="31"/>
        <v>#REF!</v>
      </c>
      <c r="AE67" s="323" t="e">
        <f t="shared" si="31"/>
        <v>#REF!</v>
      </c>
      <c r="AF67" s="295" t="e">
        <f t="shared" si="4"/>
        <v>#REF!</v>
      </c>
      <c r="AG67" s="296" t="e">
        <f t="shared" si="5"/>
        <v>#REF!</v>
      </c>
    </row>
    <row r="68" spans="1:33" ht="11.25">
      <c r="A68" s="298" t="s">
        <v>116</v>
      </c>
      <c r="E68" s="299">
        <v>8251</v>
      </c>
      <c r="F68" s="300">
        <v>9655</v>
      </c>
      <c r="G68" s="301">
        <v>1674918</v>
      </c>
      <c r="H68" s="302"/>
      <c r="I68" s="302"/>
      <c r="J68" s="303" t="e">
        <f>+#REF!</f>
        <v>#REF!</v>
      </c>
      <c r="K68" s="303" t="e">
        <f>+#REF!</f>
        <v>#REF!</v>
      </c>
      <c r="L68" s="303" t="e">
        <f>+#REF!</f>
        <v>#REF!</v>
      </c>
      <c r="M68" s="302">
        <v>0</v>
      </c>
      <c r="N68" s="302">
        <v>0</v>
      </c>
      <c r="O68" s="299">
        <v>0</v>
      </c>
      <c r="P68" s="300">
        <v>0</v>
      </c>
      <c r="Q68" s="301">
        <v>3202</v>
      </c>
      <c r="R68" s="305" t="e">
        <f>+J68+O68</f>
        <v>#REF!</v>
      </c>
      <c r="S68" s="306" t="e">
        <f>+K68+P68</f>
        <v>#REF!</v>
      </c>
      <c r="T68" s="301" t="e">
        <f>+L68+Q68+N68</f>
        <v>#REF!</v>
      </c>
      <c r="U68" s="313">
        <v>9</v>
      </c>
      <c r="V68" s="307">
        <v>1</v>
      </c>
      <c r="W68" s="301">
        <v>25204</v>
      </c>
      <c r="X68" s="308">
        <f>174-83</f>
        <v>91</v>
      </c>
      <c r="Y68" s="307">
        <f>171+7-80</f>
        <v>98</v>
      </c>
      <c r="Z68" s="301">
        <f>37747-20578</f>
        <v>17169</v>
      </c>
      <c r="AA68" s="299" t="e">
        <f>+X68+U68+R68</f>
        <v>#REF!</v>
      </c>
      <c r="AB68" s="300" t="e">
        <f>+Y68+V68+S68</f>
        <v>#REF!</v>
      </c>
      <c r="AC68" s="309" t="e">
        <f>+Z68+W68+T68</f>
        <v>#REF!</v>
      </c>
      <c r="AD68" s="310" t="e">
        <f>+T68*(1+$AD$11)</f>
        <v>#REF!</v>
      </c>
      <c r="AE68" s="310" t="e">
        <f>+L68*$AE$11</f>
        <v>#REF!</v>
      </c>
      <c r="AF68" s="295" t="e">
        <f t="shared" si="4"/>
        <v>#REF!</v>
      </c>
      <c r="AG68" s="296" t="e">
        <f t="shared" si="5"/>
        <v>#REF!</v>
      </c>
    </row>
    <row r="69" spans="1:33" ht="11.25">
      <c r="A69" s="288" t="s">
        <v>34</v>
      </c>
      <c r="B69" s="288"/>
      <c r="C69" s="288"/>
      <c r="D69" s="288"/>
      <c r="E69" s="330">
        <f aca="true" t="shared" si="32" ref="E69:AE69">SUM(E70:E71)</f>
        <v>5128</v>
      </c>
      <c r="F69" s="333">
        <f t="shared" si="32"/>
        <v>5095</v>
      </c>
      <c r="G69" s="334">
        <f t="shared" si="32"/>
        <v>931817</v>
      </c>
      <c r="H69" s="320">
        <f t="shared" si="32"/>
        <v>0</v>
      </c>
      <c r="I69" s="320">
        <f t="shared" si="32"/>
        <v>0</v>
      </c>
      <c r="J69" s="330" t="e">
        <f t="shared" si="32"/>
        <v>#REF!</v>
      </c>
      <c r="K69" s="333" t="e">
        <f t="shared" si="32"/>
        <v>#REF!</v>
      </c>
      <c r="L69" s="338" t="e">
        <f t="shared" si="32"/>
        <v>#REF!</v>
      </c>
      <c r="M69" s="320">
        <f t="shared" si="32"/>
        <v>0</v>
      </c>
      <c r="N69" s="320">
        <f t="shared" si="32"/>
        <v>0</v>
      </c>
      <c r="O69" s="317">
        <f t="shared" si="32"/>
        <v>55</v>
      </c>
      <c r="P69" s="318">
        <f t="shared" si="32"/>
        <v>55</v>
      </c>
      <c r="Q69" s="319">
        <f t="shared" si="32"/>
        <v>9192</v>
      </c>
      <c r="R69" s="317" t="e">
        <f t="shared" si="32"/>
        <v>#REF!</v>
      </c>
      <c r="S69" s="318" t="e">
        <f t="shared" si="32"/>
        <v>#REF!</v>
      </c>
      <c r="T69" s="319" t="e">
        <f t="shared" si="32"/>
        <v>#REF!</v>
      </c>
      <c r="U69" s="322">
        <f t="shared" si="32"/>
        <v>0</v>
      </c>
      <c r="V69" s="318">
        <f t="shared" si="32"/>
        <v>0</v>
      </c>
      <c r="W69" s="319">
        <f t="shared" si="32"/>
        <v>20373</v>
      </c>
      <c r="X69" s="317">
        <f t="shared" si="32"/>
        <v>134</v>
      </c>
      <c r="Y69" s="318">
        <f t="shared" si="32"/>
        <v>134</v>
      </c>
      <c r="Z69" s="319">
        <f t="shared" si="32"/>
        <v>28441</v>
      </c>
      <c r="AA69" s="317" t="e">
        <f t="shared" si="32"/>
        <v>#REF!</v>
      </c>
      <c r="AB69" s="318" t="e">
        <f t="shared" si="32"/>
        <v>#REF!</v>
      </c>
      <c r="AC69" s="320" t="e">
        <f t="shared" si="32"/>
        <v>#REF!</v>
      </c>
      <c r="AD69" s="323" t="e">
        <f t="shared" si="32"/>
        <v>#REF!</v>
      </c>
      <c r="AE69" s="323" t="e">
        <f t="shared" si="32"/>
        <v>#REF!</v>
      </c>
      <c r="AF69" s="295" t="e">
        <f t="shared" si="4"/>
        <v>#REF!</v>
      </c>
      <c r="AG69" s="296" t="e">
        <f t="shared" si="5"/>
        <v>#REF!</v>
      </c>
    </row>
    <row r="70" spans="1:33" ht="11.25">
      <c r="A70" s="298" t="s">
        <v>14</v>
      </c>
      <c r="E70" s="299">
        <v>5128</v>
      </c>
      <c r="F70" s="300">
        <v>5095</v>
      </c>
      <c r="G70" s="301">
        <v>931817</v>
      </c>
      <c r="H70" s="302"/>
      <c r="I70" s="302"/>
      <c r="J70" s="303">
        <v>5148</v>
      </c>
      <c r="K70" s="303">
        <v>5085</v>
      </c>
      <c r="L70" s="303" t="e">
        <f>+#REF!</f>
        <v>#REF!</v>
      </c>
      <c r="M70" s="302">
        <v>0</v>
      </c>
      <c r="N70" s="302">
        <v>0</v>
      </c>
      <c r="O70" s="299">
        <v>55</v>
      </c>
      <c r="P70" s="300">
        <v>55</v>
      </c>
      <c r="Q70" s="301">
        <v>9192</v>
      </c>
      <c r="R70" s="305">
        <f>+J70+O70</f>
        <v>5203</v>
      </c>
      <c r="S70" s="306">
        <f>+K70+P70</f>
        <v>5140</v>
      </c>
      <c r="T70" s="301" t="e">
        <f>+L70+Q70+N70</f>
        <v>#REF!</v>
      </c>
      <c r="U70" s="313">
        <v>0</v>
      </c>
      <c r="V70" s="307">
        <v>0</v>
      </c>
      <c r="W70" s="301">
        <v>20373</v>
      </c>
      <c r="X70" s="308">
        <f>179+9-55+1</f>
        <v>134</v>
      </c>
      <c r="Y70" s="307">
        <f>179+9-55+1</f>
        <v>134</v>
      </c>
      <c r="Z70" s="301">
        <v>28441</v>
      </c>
      <c r="AA70" s="299">
        <f aca="true" t="shared" si="33" ref="AA70:AC71">+X70+U70+R70</f>
        <v>5337</v>
      </c>
      <c r="AB70" s="300">
        <f t="shared" si="33"/>
        <v>5274</v>
      </c>
      <c r="AC70" s="309" t="e">
        <f t="shared" si="33"/>
        <v>#REF!</v>
      </c>
      <c r="AD70" s="310" t="e">
        <f>+T70*(1+$AD$11)</f>
        <v>#REF!</v>
      </c>
      <c r="AE70" s="310" t="e">
        <f>+L70*$AE$11</f>
        <v>#REF!</v>
      </c>
      <c r="AF70" s="295" t="e">
        <f t="shared" si="4"/>
        <v>#REF!</v>
      </c>
      <c r="AG70" s="296" t="e">
        <f t="shared" si="5"/>
        <v>#REF!</v>
      </c>
    </row>
    <row r="71" spans="1:33" ht="11.25">
      <c r="A71" s="247" t="s">
        <v>68</v>
      </c>
      <c r="B71" s="247"/>
      <c r="C71" s="247"/>
      <c r="D71" s="247"/>
      <c r="E71" s="299"/>
      <c r="F71" s="300"/>
      <c r="G71" s="301">
        <v>0</v>
      </c>
      <c r="H71" s="302"/>
      <c r="I71" s="302"/>
      <c r="J71" s="303" t="e">
        <f>+#REF!</f>
        <v>#REF!</v>
      </c>
      <c r="K71" s="303" t="e">
        <f>+#REF!</f>
        <v>#REF!</v>
      </c>
      <c r="L71" s="303" t="e">
        <f>+#REF!</f>
        <v>#REF!</v>
      </c>
      <c r="M71" s="304"/>
      <c r="N71" s="302">
        <v>0</v>
      </c>
      <c r="O71" s="299">
        <v>0</v>
      </c>
      <c r="P71" s="300">
        <v>0</v>
      </c>
      <c r="Q71" s="301">
        <v>0</v>
      </c>
      <c r="R71" s="305" t="e">
        <f>+J71+O71</f>
        <v>#REF!</v>
      </c>
      <c r="S71" s="306" t="e">
        <f>+K71+P71</f>
        <v>#REF!</v>
      </c>
      <c r="T71" s="301" t="e">
        <f>+L71+Q71+N71</f>
        <v>#REF!</v>
      </c>
      <c r="U71" s="313">
        <v>0</v>
      </c>
      <c r="V71" s="307">
        <v>0</v>
      </c>
      <c r="W71" s="301">
        <v>0</v>
      </c>
      <c r="X71" s="308">
        <v>0</v>
      </c>
      <c r="Y71" s="307">
        <v>0</v>
      </c>
      <c r="Z71" s="301">
        <v>0</v>
      </c>
      <c r="AA71" s="299" t="e">
        <f t="shared" si="33"/>
        <v>#REF!</v>
      </c>
      <c r="AB71" s="300" t="e">
        <f t="shared" si="33"/>
        <v>#REF!</v>
      </c>
      <c r="AC71" s="309" t="e">
        <f t="shared" si="33"/>
        <v>#REF!</v>
      </c>
      <c r="AD71" s="310" t="e">
        <f>+T71*(1+$AD$11)</f>
        <v>#REF!</v>
      </c>
      <c r="AE71" s="310" t="e">
        <f>+L71*$AE$11</f>
        <v>#REF!</v>
      </c>
      <c r="AF71" s="295" t="e">
        <f t="shared" si="4"/>
        <v>#REF!</v>
      </c>
      <c r="AG71" s="296" t="s">
        <v>198</v>
      </c>
    </row>
    <row r="72" spans="1:33" ht="11.25">
      <c r="A72" s="288" t="s">
        <v>15</v>
      </c>
      <c r="B72" s="288"/>
      <c r="C72" s="288"/>
      <c r="D72" s="288"/>
      <c r="E72" s="330">
        <f aca="true" t="shared" si="34" ref="E72:AE72">SUM(E73:E75)</f>
        <v>41952</v>
      </c>
      <c r="F72" s="333">
        <f t="shared" si="34"/>
        <v>38845</v>
      </c>
      <c r="G72" s="334">
        <f t="shared" si="34"/>
        <v>4930121</v>
      </c>
      <c r="H72" s="320">
        <f t="shared" si="34"/>
        <v>0</v>
      </c>
      <c r="I72" s="320">
        <f t="shared" si="34"/>
        <v>0</v>
      </c>
      <c r="J72" s="330" t="e">
        <f t="shared" si="34"/>
        <v>#REF!</v>
      </c>
      <c r="K72" s="333" t="e">
        <f t="shared" si="34"/>
        <v>#REF!</v>
      </c>
      <c r="L72" s="338" t="e">
        <f t="shared" si="34"/>
        <v>#REF!</v>
      </c>
      <c r="M72" s="320">
        <f t="shared" si="34"/>
        <v>0</v>
      </c>
      <c r="N72" s="320">
        <f t="shared" si="34"/>
        <v>0</v>
      </c>
      <c r="O72" s="317">
        <f t="shared" si="34"/>
        <v>0</v>
      </c>
      <c r="P72" s="318">
        <f t="shared" si="34"/>
        <v>0</v>
      </c>
      <c r="Q72" s="319">
        <f t="shared" si="34"/>
        <v>140786</v>
      </c>
      <c r="R72" s="317" t="e">
        <f t="shared" si="34"/>
        <v>#REF!</v>
      </c>
      <c r="S72" s="318" t="e">
        <f t="shared" si="34"/>
        <v>#REF!</v>
      </c>
      <c r="T72" s="319" t="e">
        <f t="shared" si="34"/>
        <v>#REF!</v>
      </c>
      <c r="U72" s="322">
        <f t="shared" si="34"/>
        <v>473</v>
      </c>
      <c r="V72" s="318">
        <f t="shared" si="34"/>
        <v>240</v>
      </c>
      <c r="W72" s="319">
        <f t="shared" si="34"/>
        <v>148854</v>
      </c>
      <c r="X72" s="317">
        <f t="shared" si="34"/>
        <v>0</v>
      </c>
      <c r="Y72" s="318">
        <f t="shared" si="34"/>
        <v>0</v>
      </c>
      <c r="Z72" s="319">
        <f t="shared" si="34"/>
        <v>159935</v>
      </c>
      <c r="AA72" s="317" t="e">
        <f t="shared" si="34"/>
        <v>#REF!</v>
      </c>
      <c r="AB72" s="319" t="e">
        <f>SUM(AB73:AB75)</f>
        <v>#REF!</v>
      </c>
      <c r="AC72" s="319" t="e">
        <f t="shared" si="34"/>
        <v>#REF!</v>
      </c>
      <c r="AD72" s="323" t="e">
        <f t="shared" si="34"/>
        <v>#REF!</v>
      </c>
      <c r="AE72" s="323" t="e">
        <f t="shared" si="34"/>
        <v>#REF!</v>
      </c>
      <c r="AF72" s="295" t="e">
        <f t="shared" si="4"/>
        <v>#REF!</v>
      </c>
      <c r="AG72" s="296" t="e">
        <f t="shared" si="5"/>
        <v>#REF!</v>
      </c>
    </row>
    <row r="73" spans="1:33" ht="11.25">
      <c r="A73" s="298" t="s">
        <v>16</v>
      </c>
      <c r="E73" s="299">
        <v>41682</v>
      </c>
      <c r="F73" s="300">
        <v>38594</v>
      </c>
      <c r="G73" s="301">
        <v>4830160</v>
      </c>
      <c r="H73" s="302"/>
      <c r="I73" s="302"/>
      <c r="J73" s="303" t="e">
        <f>+#REF!</f>
        <v>#REF!</v>
      </c>
      <c r="K73" s="303" t="e">
        <f>+#REF!</f>
        <v>#REF!</v>
      </c>
      <c r="L73" s="303" t="e">
        <f>+#REF!</f>
        <v>#REF!</v>
      </c>
      <c r="M73" s="302"/>
      <c r="N73" s="302">
        <v>0</v>
      </c>
      <c r="O73" s="299">
        <v>0</v>
      </c>
      <c r="P73" s="300">
        <v>0</v>
      </c>
      <c r="Q73" s="301">
        <f>78025</f>
        <v>78025</v>
      </c>
      <c r="R73" s="305" t="e">
        <f aca="true" t="shared" si="35" ref="R73:S75">+J73+O73</f>
        <v>#REF!</v>
      </c>
      <c r="S73" s="306" t="e">
        <f t="shared" si="35"/>
        <v>#REF!</v>
      </c>
      <c r="T73" s="301" t="e">
        <f>+L73+Q73+N73</f>
        <v>#REF!</v>
      </c>
      <c r="U73" s="313">
        <v>461</v>
      </c>
      <c r="V73" s="307">
        <v>231</v>
      </c>
      <c r="W73" s="301">
        <f>-27000+59254</f>
        <v>32254</v>
      </c>
      <c r="X73" s="308">
        <v>0</v>
      </c>
      <c r="Y73" s="307">
        <v>0</v>
      </c>
      <c r="Z73" s="301">
        <v>40000</v>
      </c>
      <c r="AA73" s="299" t="e">
        <f aca="true" t="shared" si="36" ref="AA73:AC75">+X73+U73+R73</f>
        <v>#REF!</v>
      </c>
      <c r="AB73" s="300" t="e">
        <f t="shared" si="36"/>
        <v>#REF!</v>
      </c>
      <c r="AC73" s="309" t="e">
        <f t="shared" si="36"/>
        <v>#REF!</v>
      </c>
      <c r="AD73" s="310" t="e">
        <f>+T73*(1+$AD$11)</f>
        <v>#REF!</v>
      </c>
      <c r="AE73" s="310" t="e">
        <f>+L73*$AE$11</f>
        <v>#REF!</v>
      </c>
      <c r="AF73" s="295" t="e">
        <f t="shared" si="4"/>
        <v>#REF!</v>
      </c>
      <c r="AG73" s="296" t="e">
        <f t="shared" si="5"/>
        <v>#REF!</v>
      </c>
    </row>
    <row r="74" spans="1:33" ht="11.25">
      <c r="A74" s="298" t="s">
        <v>72</v>
      </c>
      <c r="E74" s="299">
        <v>270</v>
      </c>
      <c r="F74" s="300">
        <v>251</v>
      </c>
      <c r="G74" s="301">
        <v>99961</v>
      </c>
      <c r="H74" s="302"/>
      <c r="I74" s="302"/>
      <c r="J74" s="303" t="e">
        <f>+#REF!</f>
        <v>#REF!</v>
      </c>
      <c r="K74" s="303" t="e">
        <f>+#REF!</f>
        <v>#REF!</v>
      </c>
      <c r="L74" s="303" t="e">
        <f>+#REF!</f>
        <v>#REF!</v>
      </c>
      <c r="M74" s="302">
        <v>0</v>
      </c>
      <c r="N74" s="302">
        <v>0</v>
      </c>
      <c r="O74" s="299">
        <v>0</v>
      </c>
      <c r="P74" s="300">
        <v>0</v>
      </c>
      <c r="Q74" s="301">
        <f>62711+50</f>
        <v>62761</v>
      </c>
      <c r="R74" s="305" t="e">
        <f t="shared" si="35"/>
        <v>#REF!</v>
      </c>
      <c r="S74" s="306" t="e">
        <f t="shared" si="35"/>
        <v>#REF!</v>
      </c>
      <c r="T74" s="301" t="e">
        <f>+L74+Q74+N74</f>
        <v>#REF!</v>
      </c>
      <c r="U74" s="313">
        <v>12</v>
      </c>
      <c r="V74" s="307">
        <v>9</v>
      </c>
      <c r="W74" s="301">
        <v>116600</v>
      </c>
      <c r="X74" s="308">
        <v>0</v>
      </c>
      <c r="Y74" s="307">
        <v>0</v>
      </c>
      <c r="Z74" s="301">
        <v>119935</v>
      </c>
      <c r="AA74" s="299" t="e">
        <f t="shared" si="36"/>
        <v>#REF!</v>
      </c>
      <c r="AB74" s="300" t="e">
        <f t="shared" si="36"/>
        <v>#REF!</v>
      </c>
      <c r="AC74" s="309" t="e">
        <f t="shared" si="36"/>
        <v>#REF!</v>
      </c>
      <c r="AD74" s="310" t="e">
        <f>+T74*(1+$AD$11)</f>
        <v>#REF!</v>
      </c>
      <c r="AE74" s="310" t="e">
        <f>+L74*$AE$11</f>
        <v>#REF!</v>
      </c>
      <c r="AF74" s="295" t="e">
        <f t="shared" si="4"/>
        <v>#REF!</v>
      </c>
      <c r="AG74" s="296" t="e">
        <f t="shared" si="5"/>
        <v>#REF!</v>
      </c>
    </row>
    <row r="75" spans="1:33" ht="11.25">
      <c r="A75" s="329" t="s">
        <v>136</v>
      </c>
      <c r="B75" s="329"/>
      <c r="C75" s="329"/>
      <c r="D75" s="329"/>
      <c r="E75" s="299">
        <v>0</v>
      </c>
      <c r="F75" s="300">
        <v>0</v>
      </c>
      <c r="G75" s="301">
        <v>0</v>
      </c>
      <c r="H75" s="302"/>
      <c r="I75" s="302"/>
      <c r="J75" s="303" t="e">
        <f>+#REF!</f>
        <v>#REF!</v>
      </c>
      <c r="K75" s="303" t="e">
        <f>+#REF!</f>
        <v>#REF!</v>
      </c>
      <c r="L75" s="303" t="e">
        <f>+#REF!</f>
        <v>#REF!</v>
      </c>
      <c r="M75" s="304"/>
      <c r="N75" s="302"/>
      <c r="O75" s="299">
        <v>0</v>
      </c>
      <c r="P75" s="300">
        <v>0</v>
      </c>
      <c r="Q75" s="301">
        <v>0</v>
      </c>
      <c r="R75" s="305" t="e">
        <f t="shared" si="35"/>
        <v>#REF!</v>
      </c>
      <c r="S75" s="306" t="e">
        <f t="shared" si="35"/>
        <v>#REF!</v>
      </c>
      <c r="T75" s="301" t="e">
        <f>+L75+Q75+N75</f>
        <v>#REF!</v>
      </c>
      <c r="U75" s="313">
        <v>0</v>
      </c>
      <c r="V75" s="307">
        <v>0</v>
      </c>
      <c r="W75" s="301">
        <v>0</v>
      </c>
      <c r="X75" s="308">
        <v>0</v>
      </c>
      <c r="Y75" s="307">
        <v>0</v>
      </c>
      <c r="Z75" s="301">
        <v>0</v>
      </c>
      <c r="AA75" s="299" t="e">
        <f t="shared" si="36"/>
        <v>#REF!</v>
      </c>
      <c r="AB75" s="300" t="e">
        <f t="shared" si="36"/>
        <v>#REF!</v>
      </c>
      <c r="AC75" s="309" t="e">
        <f t="shared" si="36"/>
        <v>#REF!</v>
      </c>
      <c r="AD75" s="310" t="e">
        <f>+T75*(1+$AD$11)</f>
        <v>#REF!</v>
      </c>
      <c r="AE75" s="360">
        <v>0</v>
      </c>
      <c r="AF75" s="295" t="e">
        <f t="shared" si="4"/>
        <v>#REF!</v>
      </c>
      <c r="AG75" s="296" t="s">
        <v>198</v>
      </c>
    </row>
    <row r="76" spans="1:33" ht="11.25">
      <c r="A76" s="256" t="s">
        <v>76</v>
      </c>
      <c r="B76" s="298"/>
      <c r="C76" s="298"/>
      <c r="D76" s="298"/>
      <c r="E76" s="305" t="s">
        <v>60</v>
      </c>
      <c r="F76" s="300">
        <v>2295</v>
      </c>
      <c r="G76" s="301">
        <v>3322</v>
      </c>
      <c r="H76" s="302"/>
      <c r="I76" s="302"/>
      <c r="J76" s="341" t="e">
        <f>+#REF!</f>
        <v>#REF!</v>
      </c>
      <c r="K76" s="303" t="e">
        <f>+#REF!</f>
        <v>#REF!</v>
      </c>
      <c r="L76" s="303" t="e">
        <f>+#REF!</f>
        <v>#REF!</v>
      </c>
      <c r="M76" s="304"/>
      <c r="N76" s="302">
        <v>0</v>
      </c>
      <c r="O76" s="305">
        <v>0</v>
      </c>
      <c r="P76" s="306">
        <v>0</v>
      </c>
      <c r="Q76" s="315">
        <v>0</v>
      </c>
      <c r="R76" s="305" t="s">
        <v>67</v>
      </c>
      <c r="S76" s="306" t="e">
        <f>+K76+P76</f>
        <v>#REF!</v>
      </c>
      <c r="T76" s="301" t="e">
        <f>+L76</f>
        <v>#REF!</v>
      </c>
      <c r="U76" s="348">
        <v>0</v>
      </c>
      <c r="V76" s="352">
        <v>0</v>
      </c>
      <c r="W76" s="315">
        <v>0</v>
      </c>
      <c r="X76" s="308">
        <v>0</v>
      </c>
      <c r="Y76" s="307">
        <v>0</v>
      </c>
      <c r="Z76" s="301">
        <v>0</v>
      </c>
      <c r="AA76" s="305" t="s">
        <v>192</v>
      </c>
      <c r="AB76" s="300" t="e">
        <f>+Y76+V76+S76</f>
        <v>#REF!</v>
      </c>
      <c r="AC76" s="309" t="e">
        <f>+T76</f>
        <v>#REF!</v>
      </c>
      <c r="AD76" s="310" t="e">
        <f>+T76*(1+$AD$11)</f>
        <v>#REF!</v>
      </c>
      <c r="AE76" s="310" t="e">
        <f>+L76*$AE$11</f>
        <v>#REF!</v>
      </c>
      <c r="AF76" s="295" t="e">
        <f t="shared" si="4"/>
        <v>#REF!</v>
      </c>
      <c r="AG76" s="296" t="e">
        <f t="shared" si="5"/>
        <v>#REF!</v>
      </c>
    </row>
    <row r="77" spans="1:33" ht="12" thickBot="1">
      <c r="A77" s="256" t="s">
        <v>61</v>
      </c>
      <c r="E77" s="305" t="s">
        <v>48</v>
      </c>
      <c r="F77" s="300">
        <v>724</v>
      </c>
      <c r="G77" s="301">
        <v>0</v>
      </c>
      <c r="H77" s="302"/>
      <c r="I77" s="302"/>
      <c r="J77" s="341" t="e">
        <f>+#REF!</f>
        <v>#REF!</v>
      </c>
      <c r="K77" s="303" t="e">
        <f>+#REF!</f>
        <v>#REF!</v>
      </c>
      <c r="L77" s="303" t="e">
        <f>+#REF!</f>
        <v>#REF!</v>
      </c>
      <c r="M77" s="304"/>
      <c r="N77" s="302">
        <v>0</v>
      </c>
      <c r="O77" s="305">
        <v>0</v>
      </c>
      <c r="P77" s="300">
        <v>0</v>
      </c>
      <c r="Q77" s="301">
        <v>0</v>
      </c>
      <c r="R77" s="305" t="s">
        <v>149</v>
      </c>
      <c r="S77" s="306" t="e">
        <f>+K77+P77</f>
        <v>#REF!</v>
      </c>
      <c r="T77" s="301" t="e">
        <f>+L77+Q77+N77</f>
        <v>#REF!</v>
      </c>
      <c r="U77" s="348">
        <v>0</v>
      </c>
      <c r="V77" s="307">
        <v>0</v>
      </c>
      <c r="W77" s="301">
        <v>0</v>
      </c>
      <c r="X77" s="308">
        <v>0</v>
      </c>
      <c r="Y77" s="307">
        <v>0</v>
      </c>
      <c r="Z77" s="301">
        <v>0</v>
      </c>
      <c r="AA77" s="305" t="s">
        <v>190</v>
      </c>
      <c r="AB77" s="300" t="e">
        <f>+Y77+V77+S77</f>
        <v>#REF!</v>
      </c>
      <c r="AC77" s="309" t="e">
        <f>+Z77+W77+T77</f>
        <v>#REF!</v>
      </c>
      <c r="AD77" s="310" t="e">
        <f>+T77*(1+$AD$11)</f>
        <v>#REF!</v>
      </c>
      <c r="AE77" s="310" t="e">
        <f>+L77*$AE$11</f>
        <v>#REF!</v>
      </c>
      <c r="AF77" s="295" t="e">
        <f aca="true" t="shared" si="37" ref="AF77:AF109">+AC77-L77</f>
        <v>#REF!</v>
      </c>
      <c r="AG77" s="296" t="s">
        <v>198</v>
      </c>
    </row>
    <row r="78" spans="1:115" ht="12.75" thickBot="1" thickTop="1">
      <c r="A78" s="361" t="s">
        <v>58</v>
      </c>
      <c r="B78" s="362"/>
      <c r="C78" s="362"/>
      <c r="D78" s="362"/>
      <c r="E78" s="363">
        <f>SUM(E12,E15:E16,E17:E18,E19:E20,E23,E26:E27,E31:E33,E43:E52,E55:E56,E58:E59,E60,E67:E67,E69,E72,E76,E77)</f>
        <v>107936</v>
      </c>
      <c r="F78" s="363">
        <f>SUM(F12,F15:F16,F17:F18,F19:F20,F23,F26:F27,F31:F33,F43:F52,F55:F56,F58:F59,F60,F67:F67,F69,F72,F76,F77)</f>
        <v>115303</v>
      </c>
      <c r="G78" s="363">
        <f>SUM(G12,G15:G16,G17:G18,G19:G20,G23,G26:G27,G31:G33,G43:G52,G55:G56,G58:G59,G60,G67:G67,G69,G72,G76,G77)</f>
        <v>18624990</v>
      </c>
      <c r="H78" s="363">
        <f>SUM(H12,H15:H16,H17:H18,H19:H20,H23,H26:H27,H31:H33,H43:H52,H55:H56,H58:H59,H60,H67:H67,H69,H72,H76,H77)</f>
        <v>0</v>
      </c>
      <c r="I78" s="363">
        <f>SUM(I12,I15:I16,I17:I18,I19:I20,I23,I26:I27,I31:I33,I43:I52,I55:I56,I58:I59,I60,I67:I67,I69,I72,I76,I77)</f>
        <v>0</v>
      </c>
      <c r="J78" s="363" t="e">
        <f aca="true" t="shared" si="38" ref="J78:AC78">SUM(J12,J15:J16,J17:J18,J19:J20,J23,J26:J27,J31:J33,J43:J52,J55:J56,J58:J59,J60,J65,J66,J67,J69,J72,J76,J77)</f>
        <v>#REF!</v>
      </c>
      <c r="K78" s="363" t="e">
        <f t="shared" si="38"/>
        <v>#REF!</v>
      </c>
      <c r="L78" s="363" t="e">
        <f t="shared" si="38"/>
        <v>#REF!</v>
      </c>
      <c r="M78" s="363">
        <f t="shared" si="38"/>
        <v>0</v>
      </c>
      <c r="N78" s="363">
        <f t="shared" si="38"/>
        <v>0</v>
      </c>
      <c r="O78" s="363">
        <f t="shared" si="38"/>
        <v>55</v>
      </c>
      <c r="P78" s="363">
        <f t="shared" si="38"/>
        <v>55</v>
      </c>
      <c r="Q78" s="363">
        <f t="shared" si="38"/>
        <v>274252</v>
      </c>
      <c r="R78" s="363" t="e">
        <f t="shared" si="38"/>
        <v>#REF!</v>
      </c>
      <c r="S78" s="363" t="e">
        <f t="shared" si="38"/>
        <v>#REF!</v>
      </c>
      <c r="T78" s="363" t="e">
        <f t="shared" si="38"/>
        <v>#REF!</v>
      </c>
      <c r="U78" s="363">
        <f t="shared" si="38"/>
        <v>845</v>
      </c>
      <c r="V78" s="363">
        <f t="shared" si="38"/>
        <v>247</v>
      </c>
      <c r="W78" s="363">
        <f t="shared" si="38"/>
        <v>401030</v>
      </c>
      <c r="X78" s="363">
        <f t="shared" si="38"/>
        <v>1025</v>
      </c>
      <c r="Y78" s="363">
        <f t="shared" si="38"/>
        <v>1389</v>
      </c>
      <c r="Z78" s="363">
        <f t="shared" si="38"/>
        <v>287439</v>
      </c>
      <c r="AA78" s="363" t="e">
        <f t="shared" si="38"/>
        <v>#REF!</v>
      </c>
      <c r="AB78" s="363" t="e">
        <f t="shared" si="38"/>
        <v>#REF!</v>
      </c>
      <c r="AC78" s="363" t="e">
        <f t="shared" si="38"/>
        <v>#REF!</v>
      </c>
      <c r="AD78" s="363" t="e">
        <f>SUM(AD12,AD15:AD16,AD17:AD18,AD19:AD20,AD23,AD26:AD27,AD31:AD33,AD43:AD52,AD55:AD56,AD58:AD59,AD60,AD67:AD67,AD69,AD72,AD76,AD77)</f>
        <v>#REF!</v>
      </c>
      <c r="AE78" s="363" t="e">
        <f>SUM(AE12,AE15:AE16,AE17:AE18,AE19:AE20,AE23,AE26:AE27,AE31:AE33,AE43:AE52,AE55:AE56,AE58:AE59,AE60,AE67:AE67,AE69,AE72,AE76,AE77)</f>
        <v>#REF!</v>
      </c>
      <c r="AF78" s="295" t="e">
        <f t="shared" si="37"/>
        <v>#REF!</v>
      </c>
      <c r="AG78" s="296" t="e">
        <f aca="true" t="shared" si="39" ref="AG78:AG109">+AF78/L78</f>
        <v>#REF!</v>
      </c>
      <c r="AH78" s="364"/>
      <c r="AI78" s="364"/>
      <c r="AJ78" s="364"/>
      <c r="AK78" s="364"/>
      <c r="AL78" s="364"/>
      <c r="AM78" s="364"/>
      <c r="AN78" s="364"/>
      <c r="AO78" s="364"/>
      <c r="AP78" s="364"/>
      <c r="AQ78" s="364"/>
      <c r="AR78" s="364"/>
      <c r="AS78" s="364"/>
      <c r="AT78" s="364"/>
      <c r="AU78" s="364"/>
      <c r="AV78" s="364"/>
      <c r="AW78" s="364"/>
      <c r="AX78" s="364"/>
      <c r="AY78" s="364"/>
      <c r="AZ78" s="364"/>
      <c r="BA78" s="364"/>
      <c r="BB78" s="364"/>
      <c r="BC78" s="364"/>
      <c r="BD78" s="364"/>
      <c r="BE78" s="364"/>
      <c r="BF78" s="364"/>
      <c r="BG78" s="364"/>
      <c r="BH78" s="364"/>
      <c r="BI78" s="364"/>
      <c r="BJ78" s="364"/>
      <c r="BK78" s="364"/>
      <c r="BL78" s="364"/>
      <c r="BM78" s="364"/>
      <c r="BN78" s="364"/>
      <c r="BO78" s="364"/>
      <c r="BP78" s="364"/>
      <c r="BQ78" s="364"/>
      <c r="BR78" s="364"/>
      <c r="BS78" s="364"/>
      <c r="BT78" s="364"/>
      <c r="BU78" s="364"/>
      <c r="BV78" s="364"/>
      <c r="BW78" s="364"/>
      <c r="BX78" s="364"/>
      <c r="BY78" s="364"/>
      <c r="BZ78" s="364"/>
      <c r="CA78" s="364"/>
      <c r="CB78" s="364"/>
      <c r="CC78" s="364"/>
      <c r="CD78" s="250"/>
      <c r="CE78" s="364"/>
      <c r="CF78" s="364"/>
      <c r="CG78" s="364"/>
      <c r="CH78" s="250"/>
      <c r="CI78" s="250"/>
      <c r="CJ78" s="250"/>
      <c r="CK78" s="250"/>
      <c r="CL78" s="250"/>
      <c r="CM78" s="250"/>
      <c r="CN78" s="250"/>
      <c r="CO78" s="250"/>
      <c r="CP78" s="250"/>
      <c r="CQ78" s="250"/>
      <c r="CR78" s="250"/>
      <c r="CS78" s="250"/>
      <c r="CT78" s="250"/>
      <c r="CU78" s="250"/>
      <c r="CV78" s="250"/>
      <c r="CW78" s="250"/>
      <c r="CX78" s="250"/>
      <c r="CY78" s="250"/>
      <c r="CZ78" s="250"/>
      <c r="DA78" s="250"/>
      <c r="DB78" s="250"/>
      <c r="DC78" s="250"/>
      <c r="DD78" s="250"/>
      <c r="DE78" s="250"/>
      <c r="DF78" s="250"/>
      <c r="DG78" s="250"/>
      <c r="DH78" s="250"/>
      <c r="DI78" s="250"/>
      <c r="DJ78" s="250"/>
      <c r="DK78" s="250"/>
    </row>
    <row r="79" spans="1:33" ht="12.75" thickBot="1" thickTop="1">
      <c r="A79" s="288" t="s">
        <v>53</v>
      </c>
      <c r="B79" s="288"/>
      <c r="C79" s="288"/>
      <c r="D79" s="288"/>
      <c r="E79" s="330">
        <f>+E80+E92+E95+E96</f>
        <v>901</v>
      </c>
      <c r="F79" s="330">
        <f>+F80+F92+F95+F96</f>
        <v>918</v>
      </c>
      <c r="G79" s="330">
        <f>+G80+G92+G95+G96</f>
        <v>2536680</v>
      </c>
      <c r="H79" s="330">
        <f>+H80+H92+H95+H96</f>
        <v>0</v>
      </c>
      <c r="I79" s="330">
        <f>+I80+I92+I95+I96</f>
        <v>0</v>
      </c>
      <c r="J79" s="365" t="e">
        <f>+J80+J92+J95</f>
        <v>#REF!</v>
      </c>
      <c r="K79" s="365" t="e">
        <f>+K80+K92+K95</f>
        <v>#REF!</v>
      </c>
      <c r="L79" s="365" t="e">
        <f>+L80+L92+L95</f>
        <v>#REF!</v>
      </c>
      <c r="M79" s="330">
        <v>0</v>
      </c>
      <c r="N79" s="330">
        <f aca="true" t="shared" si="40" ref="N79:AC79">+N80+N92+N95</f>
        <v>0</v>
      </c>
      <c r="O79" s="366">
        <f t="shared" si="40"/>
        <v>0</v>
      </c>
      <c r="P79" s="367">
        <f t="shared" si="40"/>
        <v>0</v>
      </c>
      <c r="Q79" s="368">
        <f t="shared" si="40"/>
        <v>2319</v>
      </c>
      <c r="R79" s="366" t="e">
        <f t="shared" si="40"/>
        <v>#REF!</v>
      </c>
      <c r="S79" s="367" t="e">
        <f t="shared" si="40"/>
        <v>#REF!</v>
      </c>
      <c r="T79" s="368" t="e">
        <f t="shared" si="40"/>
        <v>#REF!</v>
      </c>
      <c r="U79" s="366">
        <f t="shared" si="40"/>
        <v>-40</v>
      </c>
      <c r="V79" s="367">
        <f t="shared" si="40"/>
        <v>-42</v>
      </c>
      <c r="W79" s="368">
        <f t="shared" si="40"/>
        <v>-1528984</v>
      </c>
      <c r="X79" s="366">
        <f t="shared" si="40"/>
        <v>0</v>
      </c>
      <c r="Y79" s="367">
        <f t="shared" si="40"/>
        <v>0</v>
      </c>
      <c r="Z79" s="368">
        <f t="shared" si="40"/>
        <v>1862925</v>
      </c>
      <c r="AA79" s="366" t="e">
        <f t="shared" si="40"/>
        <v>#REF!</v>
      </c>
      <c r="AB79" s="367" t="e">
        <f t="shared" si="40"/>
        <v>#REF!</v>
      </c>
      <c r="AC79" s="368" t="e">
        <f t="shared" si="40"/>
        <v>#REF!</v>
      </c>
      <c r="AD79" s="369" t="e">
        <f>+AD80+AD92+AD95+AD96</f>
        <v>#REF!</v>
      </c>
      <c r="AE79" s="369" t="e">
        <f>+AE80+AE92+AE95+AE96</f>
        <v>#REF!</v>
      </c>
      <c r="AF79" s="295" t="e">
        <f t="shared" si="37"/>
        <v>#REF!</v>
      </c>
      <c r="AG79" s="296" t="e">
        <f t="shared" si="39"/>
        <v>#REF!</v>
      </c>
    </row>
    <row r="80" spans="1:33" ht="12" thickTop="1">
      <c r="A80" s="297" t="s">
        <v>195</v>
      </c>
      <c r="B80" s="297"/>
      <c r="C80" s="297"/>
      <c r="D80" s="297"/>
      <c r="E80" s="370">
        <f aca="true" t="shared" si="41" ref="E80:L80">+E81+E84+E87+E90+E91</f>
        <v>655</v>
      </c>
      <c r="F80" s="371">
        <f t="shared" si="41"/>
        <v>672</v>
      </c>
      <c r="G80" s="372">
        <f t="shared" si="41"/>
        <v>1788688</v>
      </c>
      <c r="H80" s="372">
        <f t="shared" si="41"/>
        <v>0</v>
      </c>
      <c r="I80" s="372">
        <f t="shared" si="41"/>
        <v>0</v>
      </c>
      <c r="J80" s="365" t="e">
        <f t="shared" si="41"/>
        <v>#REF!</v>
      </c>
      <c r="K80" s="365" t="e">
        <f t="shared" si="41"/>
        <v>#REF!</v>
      </c>
      <c r="L80" s="365" t="e">
        <f t="shared" si="41"/>
        <v>#REF!</v>
      </c>
      <c r="M80" s="330">
        <v>0</v>
      </c>
      <c r="N80" s="365">
        <f>+N81+N84+N87+N90+N91</f>
        <v>0</v>
      </c>
      <c r="O80" s="366">
        <f aca="true" t="shared" si="42" ref="O80:AC80">+O81+O84+O87+O90+O91</f>
        <v>0</v>
      </c>
      <c r="P80" s="367">
        <f t="shared" si="42"/>
        <v>0</v>
      </c>
      <c r="Q80" s="368">
        <f t="shared" si="42"/>
        <v>-314749</v>
      </c>
      <c r="R80" s="366" t="e">
        <f t="shared" si="42"/>
        <v>#REF!</v>
      </c>
      <c r="S80" s="367" t="e">
        <f t="shared" si="42"/>
        <v>#REF!</v>
      </c>
      <c r="T80" s="368" t="e">
        <f t="shared" si="42"/>
        <v>#REF!</v>
      </c>
      <c r="U80" s="366">
        <f t="shared" si="42"/>
        <v>0</v>
      </c>
      <c r="V80" s="367">
        <f t="shared" si="42"/>
        <v>0</v>
      </c>
      <c r="W80" s="368">
        <f t="shared" si="42"/>
        <v>-903984</v>
      </c>
      <c r="X80" s="366">
        <f t="shared" si="42"/>
        <v>0</v>
      </c>
      <c r="Y80" s="367">
        <f t="shared" si="42"/>
        <v>0</v>
      </c>
      <c r="Z80" s="368">
        <f t="shared" si="42"/>
        <v>1708826</v>
      </c>
      <c r="AA80" s="366" t="e">
        <f t="shared" si="42"/>
        <v>#REF!</v>
      </c>
      <c r="AB80" s="367" t="e">
        <f t="shared" si="42"/>
        <v>#REF!</v>
      </c>
      <c r="AC80" s="368" t="e">
        <f t="shared" si="42"/>
        <v>#REF!</v>
      </c>
      <c r="AD80" s="373" t="e">
        <f>+AD81+AD84+AD87+AD90+AD91</f>
        <v>#REF!</v>
      </c>
      <c r="AE80" s="373" t="e">
        <f>+AE81+AE84+AE87+AE90+AE91</f>
        <v>#REF!</v>
      </c>
      <c r="AF80" s="295" t="e">
        <f t="shared" si="37"/>
        <v>#REF!</v>
      </c>
      <c r="AG80" s="296" t="e">
        <f t="shared" si="39"/>
        <v>#REF!</v>
      </c>
    </row>
    <row r="81" spans="1:33" ht="11.25">
      <c r="A81" s="288" t="s">
        <v>17</v>
      </c>
      <c r="B81" s="288"/>
      <c r="C81" s="288"/>
      <c r="D81" s="288"/>
      <c r="E81" s="370">
        <f aca="true" t="shared" si="43" ref="E81:L81">+E82+E83</f>
        <v>655</v>
      </c>
      <c r="F81" s="374">
        <f t="shared" si="43"/>
        <v>672</v>
      </c>
      <c r="G81" s="375">
        <f t="shared" si="43"/>
        <v>1788688</v>
      </c>
      <c r="H81" s="376">
        <f t="shared" si="43"/>
        <v>0</v>
      </c>
      <c r="I81" s="376">
        <f t="shared" si="43"/>
        <v>0</v>
      </c>
      <c r="J81" s="338" t="e">
        <f t="shared" si="43"/>
        <v>#REF!</v>
      </c>
      <c r="K81" s="338" t="e">
        <f t="shared" si="43"/>
        <v>#REF!</v>
      </c>
      <c r="L81" s="338" t="e">
        <f t="shared" si="43"/>
        <v>#REF!</v>
      </c>
      <c r="M81" s="376"/>
      <c r="N81" s="377">
        <f>+N82+N83</f>
        <v>0</v>
      </c>
      <c r="O81" s="377">
        <f aca="true" t="shared" si="44" ref="O81:AC81">+O82+O83</f>
        <v>0</v>
      </c>
      <c r="P81" s="377">
        <f t="shared" si="44"/>
        <v>0</v>
      </c>
      <c r="Q81" s="377">
        <f t="shared" si="44"/>
        <v>-314749</v>
      </c>
      <c r="R81" s="377" t="e">
        <f t="shared" si="44"/>
        <v>#REF!</v>
      </c>
      <c r="S81" s="377" t="e">
        <f t="shared" si="44"/>
        <v>#REF!</v>
      </c>
      <c r="T81" s="377" t="e">
        <f t="shared" si="44"/>
        <v>#REF!</v>
      </c>
      <c r="U81" s="377">
        <f t="shared" si="44"/>
        <v>0</v>
      </c>
      <c r="V81" s="377">
        <f t="shared" si="44"/>
        <v>0</v>
      </c>
      <c r="W81" s="377">
        <f t="shared" si="44"/>
        <v>-903984</v>
      </c>
      <c r="X81" s="377">
        <f t="shared" si="44"/>
        <v>0</v>
      </c>
      <c r="Y81" s="377">
        <f t="shared" si="44"/>
        <v>0</v>
      </c>
      <c r="Z81" s="377">
        <f t="shared" si="44"/>
        <v>1708826</v>
      </c>
      <c r="AA81" s="377" t="e">
        <f t="shared" si="44"/>
        <v>#REF!</v>
      </c>
      <c r="AB81" s="377" t="e">
        <f t="shared" si="44"/>
        <v>#REF!</v>
      </c>
      <c r="AC81" s="377" t="e">
        <f t="shared" si="44"/>
        <v>#REF!</v>
      </c>
      <c r="AD81" s="378" t="e">
        <f>+AD82+AD83</f>
        <v>#REF!</v>
      </c>
      <c r="AE81" s="378" t="e">
        <f>+AE82+AE83</f>
        <v>#REF!</v>
      </c>
      <c r="AF81" s="295" t="e">
        <f t="shared" si="37"/>
        <v>#REF!</v>
      </c>
      <c r="AG81" s="296" t="e">
        <f t="shared" si="39"/>
        <v>#REF!</v>
      </c>
    </row>
    <row r="82" spans="1:33" ht="11.25">
      <c r="A82" s="298" t="s">
        <v>137</v>
      </c>
      <c r="E82" s="299">
        <v>655</v>
      </c>
      <c r="F82" s="300">
        <v>672</v>
      </c>
      <c r="G82" s="301">
        <v>1879923</v>
      </c>
      <c r="H82" s="302"/>
      <c r="I82" s="302"/>
      <c r="J82" s="303" t="e">
        <f>+#REF!</f>
        <v>#REF!</v>
      </c>
      <c r="K82" s="303" t="e">
        <f>+#REF!</f>
        <v>#REF!</v>
      </c>
      <c r="L82" s="303" t="e">
        <f>+#REF!</f>
        <v>#REF!</v>
      </c>
      <c r="M82" s="302"/>
      <c r="N82" s="302"/>
      <c r="O82" s="299"/>
      <c r="P82" s="300"/>
      <c r="Q82" s="309">
        <f>1593-29934-286408</f>
        <v>-314749</v>
      </c>
      <c r="R82" s="342" t="e">
        <f aca="true" t="shared" si="45" ref="R82:S96">+J82+O82</f>
        <v>#REF!</v>
      </c>
      <c r="S82" s="343" t="e">
        <f t="shared" si="45"/>
        <v>#REF!</v>
      </c>
      <c r="T82" s="309" t="e">
        <f>+L82+Q82+N82</f>
        <v>#REF!</v>
      </c>
      <c r="U82" s="344"/>
      <c r="V82" s="345"/>
      <c r="W82" s="309">
        <f>430000+44000-42000+29935-1365919</f>
        <v>-903984</v>
      </c>
      <c r="X82" s="339"/>
      <c r="Y82" s="345"/>
      <c r="Z82" s="309">
        <v>1652326</v>
      </c>
      <c r="AA82" s="299" t="e">
        <f aca="true" t="shared" si="46" ref="AA82:AC96">+X82+U82+R82</f>
        <v>#REF!</v>
      </c>
      <c r="AB82" s="300" t="e">
        <f t="shared" si="46"/>
        <v>#REF!</v>
      </c>
      <c r="AC82" s="309" t="e">
        <f t="shared" si="46"/>
        <v>#REF!</v>
      </c>
      <c r="AD82" s="310" t="e">
        <f>+T82*(1+$AD$11)</f>
        <v>#REF!</v>
      </c>
      <c r="AE82" s="310" t="e">
        <f>+L82*$AE$11</f>
        <v>#REF!</v>
      </c>
      <c r="AF82" s="295" t="e">
        <f t="shared" si="37"/>
        <v>#REF!</v>
      </c>
      <c r="AG82" s="296" t="e">
        <f t="shared" si="39"/>
        <v>#REF!</v>
      </c>
    </row>
    <row r="83" spans="1:33" ht="11.25">
      <c r="A83" s="256" t="s">
        <v>208</v>
      </c>
      <c r="E83" s="299"/>
      <c r="F83" s="300"/>
      <c r="G83" s="301">
        <v>-91235</v>
      </c>
      <c r="H83" s="302"/>
      <c r="I83" s="302"/>
      <c r="J83" s="303" t="e">
        <f>+#REF!</f>
        <v>#REF!</v>
      </c>
      <c r="K83" s="303" t="e">
        <f>+#REF!</f>
        <v>#REF!</v>
      </c>
      <c r="L83" s="303" t="e">
        <f>+#REF!</f>
        <v>#REF!</v>
      </c>
      <c r="M83" s="304"/>
      <c r="N83" s="302">
        <v>0</v>
      </c>
      <c r="O83" s="299"/>
      <c r="P83" s="300"/>
      <c r="Q83" s="301"/>
      <c r="R83" s="305" t="e">
        <f t="shared" si="45"/>
        <v>#REF!</v>
      </c>
      <c r="S83" s="306" t="e">
        <f t="shared" si="45"/>
        <v>#REF!</v>
      </c>
      <c r="T83" s="301" t="e">
        <f>+L83+Q83+N83</f>
        <v>#REF!</v>
      </c>
      <c r="U83" s="313"/>
      <c r="V83" s="307"/>
      <c r="W83" s="301"/>
      <c r="X83" s="308"/>
      <c r="Y83" s="307"/>
      <c r="Z83" s="301">
        <v>56500</v>
      </c>
      <c r="AA83" s="299" t="e">
        <f t="shared" si="46"/>
        <v>#REF!</v>
      </c>
      <c r="AB83" s="300" t="e">
        <f t="shared" si="46"/>
        <v>#REF!</v>
      </c>
      <c r="AC83" s="309" t="e">
        <f t="shared" si="46"/>
        <v>#REF!</v>
      </c>
      <c r="AD83" s="310" t="e">
        <f>+T83*(1+$AD$11)</f>
        <v>#REF!</v>
      </c>
      <c r="AE83" s="310">
        <v>0</v>
      </c>
      <c r="AF83" s="295" t="e">
        <f t="shared" si="37"/>
        <v>#REF!</v>
      </c>
      <c r="AG83" s="296" t="e">
        <f t="shared" si="39"/>
        <v>#REF!</v>
      </c>
    </row>
    <row r="84" spans="1:33" ht="11.25">
      <c r="A84" s="379" t="s">
        <v>18</v>
      </c>
      <c r="B84" s="288"/>
      <c r="C84" s="288"/>
      <c r="D84" s="288"/>
      <c r="E84" s="330">
        <f>SUM(E85)</f>
        <v>0</v>
      </c>
      <c r="F84" s="333">
        <f>SUM(F85)</f>
        <v>0</v>
      </c>
      <c r="G84" s="334">
        <f>SUM(G85)</f>
        <v>0</v>
      </c>
      <c r="H84" s="320">
        <f>+H85+H86</f>
        <v>0</v>
      </c>
      <c r="I84" s="320">
        <f>+I85+I86</f>
        <v>0</v>
      </c>
      <c r="J84" s="338" t="e">
        <f>+J85+J86</f>
        <v>#REF!</v>
      </c>
      <c r="K84" s="338" t="e">
        <f>+K85+K86</f>
        <v>#REF!</v>
      </c>
      <c r="L84" s="338" t="e">
        <f>+L85+L86</f>
        <v>#REF!</v>
      </c>
      <c r="M84" s="332"/>
      <c r="N84" s="338">
        <f aca="true" t="shared" si="47" ref="N84:AE84">+N85+N86</f>
        <v>0</v>
      </c>
      <c r="O84" s="338">
        <f t="shared" si="47"/>
        <v>0</v>
      </c>
      <c r="P84" s="338">
        <f t="shared" si="47"/>
        <v>0</v>
      </c>
      <c r="Q84" s="338">
        <f t="shared" si="47"/>
        <v>0</v>
      </c>
      <c r="R84" s="338" t="e">
        <f t="shared" si="47"/>
        <v>#REF!</v>
      </c>
      <c r="S84" s="338" t="e">
        <f t="shared" si="47"/>
        <v>#REF!</v>
      </c>
      <c r="T84" s="338" t="e">
        <f t="shared" si="47"/>
        <v>#REF!</v>
      </c>
      <c r="U84" s="338">
        <f t="shared" si="47"/>
        <v>0</v>
      </c>
      <c r="V84" s="338">
        <f t="shared" si="47"/>
        <v>0</v>
      </c>
      <c r="W84" s="338">
        <f t="shared" si="47"/>
        <v>0</v>
      </c>
      <c r="X84" s="338">
        <f t="shared" si="47"/>
        <v>0</v>
      </c>
      <c r="Y84" s="338">
        <f t="shared" si="47"/>
        <v>0</v>
      </c>
      <c r="Z84" s="338">
        <f t="shared" si="47"/>
        <v>0</v>
      </c>
      <c r="AA84" s="338" t="e">
        <f t="shared" si="47"/>
        <v>#REF!</v>
      </c>
      <c r="AB84" s="338" t="e">
        <f t="shared" si="47"/>
        <v>#REF!</v>
      </c>
      <c r="AC84" s="338" t="e">
        <f t="shared" si="47"/>
        <v>#REF!</v>
      </c>
      <c r="AD84" s="323" t="e">
        <f t="shared" si="47"/>
        <v>#REF!</v>
      </c>
      <c r="AE84" s="323" t="e">
        <f t="shared" si="47"/>
        <v>#REF!</v>
      </c>
      <c r="AF84" s="295" t="e">
        <f t="shared" si="37"/>
        <v>#REF!</v>
      </c>
      <c r="AG84" s="296" t="e">
        <f t="shared" si="39"/>
        <v>#REF!</v>
      </c>
    </row>
    <row r="85" spans="1:33" ht="11.25">
      <c r="A85" s="298" t="s">
        <v>117</v>
      </c>
      <c r="E85" s="299"/>
      <c r="F85" s="300"/>
      <c r="G85" s="301"/>
      <c r="H85" s="302"/>
      <c r="I85" s="302"/>
      <c r="J85" s="303" t="e">
        <f>+#REF!</f>
        <v>#REF!</v>
      </c>
      <c r="K85" s="303" t="e">
        <f>+#REF!</f>
        <v>#REF!</v>
      </c>
      <c r="L85" s="303" t="e">
        <f>+#REF!</f>
        <v>#REF!</v>
      </c>
      <c r="M85" s="304"/>
      <c r="N85" s="302"/>
      <c r="O85" s="299"/>
      <c r="P85" s="300"/>
      <c r="Q85" s="301"/>
      <c r="R85" s="305" t="e">
        <f t="shared" si="45"/>
        <v>#REF!</v>
      </c>
      <c r="S85" s="306" t="e">
        <f t="shared" si="45"/>
        <v>#REF!</v>
      </c>
      <c r="T85" s="301" t="e">
        <f>+L85+Q85+N85</f>
        <v>#REF!</v>
      </c>
      <c r="U85" s="313"/>
      <c r="V85" s="307"/>
      <c r="W85" s="301"/>
      <c r="X85" s="308"/>
      <c r="Y85" s="307"/>
      <c r="Z85" s="301">
        <v>0</v>
      </c>
      <c r="AA85" s="299" t="e">
        <f t="shared" si="46"/>
        <v>#REF!</v>
      </c>
      <c r="AB85" s="300" t="e">
        <f t="shared" si="46"/>
        <v>#REF!</v>
      </c>
      <c r="AC85" s="309" t="e">
        <f t="shared" si="46"/>
        <v>#REF!</v>
      </c>
      <c r="AD85" s="310" t="e">
        <f>+T85*(1+$AD$11)</f>
        <v>#REF!</v>
      </c>
      <c r="AE85" s="310" t="e">
        <f>+L85*$AE$11</f>
        <v>#REF!</v>
      </c>
      <c r="AF85" s="295" t="e">
        <f t="shared" si="37"/>
        <v>#REF!</v>
      </c>
      <c r="AG85" s="296" t="e">
        <f t="shared" si="39"/>
        <v>#REF!</v>
      </c>
    </row>
    <row r="86" spans="1:33" ht="11.25">
      <c r="A86" s="256" t="s">
        <v>138</v>
      </c>
      <c r="E86" s="299"/>
      <c r="F86" s="300"/>
      <c r="G86" s="301">
        <v>0</v>
      </c>
      <c r="H86" s="302"/>
      <c r="I86" s="302"/>
      <c r="J86" s="303" t="e">
        <f>+#REF!</f>
        <v>#REF!</v>
      </c>
      <c r="K86" s="303" t="e">
        <f>+#REF!</f>
        <v>#REF!</v>
      </c>
      <c r="L86" s="303" t="e">
        <f>+#REF!</f>
        <v>#REF!</v>
      </c>
      <c r="M86" s="304"/>
      <c r="N86" s="302"/>
      <c r="O86" s="299"/>
      <c r="P86" s="300"/>
      <c r="Q86" s="301"/>
      <c r="R86" s="305" t="e">
        <f t="shared" si="45"/>
        <v>#REF!</v>
      </c>
      <c r="S86" s="306" t="e">
        <f t="shared" si="45"/>
        <v>#REF!</v>
      </c>
      <c r="T86" s="301" t="e">
        <f>+L86+Q86+N86</f>
        <v>#REF!</v>
      </c>
      <c r="U86" s="313"/>
      <c r="V86" s="307"/>
      <c r="W86" s="301"/>
      <c r="X86" s="308"/>
      <c r="Y86" s="307"/>
      <c r="Z86" s="301"/>
      <c r="AA86" s="299" t="e">
        <f t="shared" si="46"/>
        <v>#REF!</v>
      </c>
      <c r="AB86" s="300" t="e">
        <f t="shared" si="46"/>
        <v>#REF!</v>
      </c>
      <c r="AC86" s="309" t="e">
        <f t="shared" si="46"/>
        <v>#REF!</v>
      </c>
      <c r="AD86" s="310" t="e">
        <f>+T86*(1+$AD$11)</f>
        <v>#REF!</v>
      </c>
      <c r="AE86" s="310" t="e">
        <f>+L86*$AE$11</f>
        <v>#REF!</v>
      </c>
      <c r="AF86" s="295" t="e">
        <f t="shared" si="37"/>
        <v>#REF!</v>
      </c>
      <c r="AG86" s="296" t="s">
        <v>198</v>
      </c>
    </row>
    <row r="87" spans="1:33" ht="11.25">
      <c r="A87" s="379" t="s">
        <v>26</v>
      </c>
      <c r="B87" s="288"/>
      <c r="C87" s="288"/>
      <c r="D87" s="288"/>
      <c r="E87" s="370">
        <f>SUM(E88+E89)</f>
        <v>0</v>
      </c>
      <c r="F87" s="374">
        <f>SUM(F88+F89)</f>
        <v>0</v>
      </c>
      <c r="G87" s="375">
        <f>SUM(G88+G89)</f>
        <v>0</v>
      </c>
      <c r="H87" s="376">
        <f>SUM(H88+H89)</f>
        <v>0</v>
      </c>
      <c r="I87" s="376">
        <f>SUM(I88+I89)</f>
        <v>0</v>
      </c>
      <c r="J87" s="377" t="e">
        <f>+J88+J89</f>
        <v>#REF!</v>
      </c>
      <c r="K87" s="377" t="e">
        <f>+K88+K89</f>
        <v>#REF!</v>
      </c>
      <c r="L87" s="377" t="e">
        <f>+L88+L89</f>
        <v>#REF!</v>
      </c>
      <c r="M87" s="380"/>
      <c r="N87" s="377">
        <f>+N88+N89</f>
        <v>0</v>
      </c>
      <c r="O87" s="377">
        <f aca="true" t="shared" si="48" ref="O87:AC87">+O88+O89</f>
        <v>0</v>
      </c>
      <c r="P87" s="377">
        <f t="shared" si="48"/>
        <v>0</v>
      </c>
      <c r="Q87" s="377">
        <f t="shared" si="48"/>
        <v>0</v>
      </c>
      <c r="R87" s="377" t="e">
        <f t="shared" si="48"/>
        <v>#REF!</v>
      </c>
      <c r="S87" s="377" t="e">
        <f t="shared" si="48"/>
        <v>#REF!</v>
      </c>
      <c r="T87" s="377" t="e">
        <f t="shared" si="48"/>
        <v>#REF!</v>
      </c>
      <c r="U87" s="377">
        <f t="shared" si="48"/>
        <v>0</v>
      </c>
      <c r="V87" s="377">
        <f t="shared" si="48"/>
        <v>0</v>
      </c>
      <c r="W87" s="377">
        <f t="shared" si="48"/>
        <v>0</v>
      </c>
      <c r="X87" s="377">
        <f t="shared" si="48"/>
        <v>0</v>
      </c>
      <c r="Y87" s="377">
        <f t="shared" si="48"/>
        <v>0</v>
      </c>
      <c r="Z87" s="377">
        <f t="shared" si="48"/>
        <v>0</v>
      </c>
      <c r="AA87" s="377" t="e">
        <f t="shared" si="48"/>
        <v>#REF!</v>
      </c>
      <c r="AB87" s="377" t="e">
        <f t="shared" si="48"/>
        <v>#REF!</v>
      </c>
      <c r="AC87" s="377" t="e">
        <f t="shared" si="48"/>
        <v>#REF!</v>
      </c>
      <c r="AD87" s="378" t="e">
        <f>SUM(AD88+AD89)</f>
        <v>#REF!</v>
      </c>
      <c r="AE87" s="378" t="e">
        <f>SUM(AE88+AE89)</f>
        <v>#REF!</v>
      </c>
      <c r="AF87" s="295" t="e">
        <f t="shared" si="37"/>
        <v>#REF!</v>
      </c>
      <c r="AG87" s="296" t="e">
        <f t="shared" si="39"/>
        <v>#REF!</v>
      </c>
    </row>
    <row r="88" spans="1:33" ht="11.25">
      <c r="A88" s="298" t="s">
        <v>118</v>
      </c>
      <c r="E88" s="299"/>
      <c r="F88" s="300"/>
      <c r="G88" s="301"/>
      <c r="H88" s="302"/>
      <c r="I88" s="302"/>
      <c r="J88" s="303" t="e">
        <f>+#REF!</f>
        <v>#REF!</v>
      </c>
      <c r="K88" s="303" t="e">
        <f>+#REF!</f>
        <v>#REF!</v>
      </c>
      <c r="L88" s="303" t="e">
        <f>+#REF!</f>
        <v>#REF!</v>
      </c>
      <c r="M88" s="304"/>
      <c r="N88" s="302"/>
      <c r="O88" s="299"/>
      <c r="P88" s="300"/>
      <c r="Q88" s="301"/>
      <c r="R88" s="305" t="e">
        <f t="shared" si="45"/>
        <v>#REF!</v>
      </c>
      <c r="S88" s="306" t="e">
        <f t="shared" si="45"/>
        <v>#REF!</v>
      </c>
      <c r="T88" s="301" t="e">
        <f>+L88+Q88+N88</f>
        <v>#REF!</v>
      </c>
      <c r="U88" s="313"/>
      <c r="V88" s="307"/>
      <c r="W88" s="301"/>
      <c r="X88" s="308"/>
      <c r="Y88" s="307"/>
      <c r="Z88" s="301"/>
      <c r="AA88" s="299" t="e">
        <f t="shared" si="46"/>
        <v>#REF!</v>
      </c>
      <c r="AB88" s="300" t="e">
        <f t="shared" si="46"/>
        <v>#REF!</v>
      </c>
      <c r="AC88" s="309" t="e">
        <f t="shared" si="46"/>
        <v>#REF!</v>
      </c>
      <c r="AD88" s="310" t="e">
        <f>+T88*(1+$AD$11)</f>
        <v>#REF!</v>
      </c>
      <c r="AE88" s="310" t="e">
        <f>+L88*$AE$11</f>
        <v>#REF!</v>
      </c>
      <c r="AF88" s="295" t="e">
        <f t="shared" si="37"/>
        <v>#REF!</v>
      </c>
      <c r="AG88" s="296" t="e">
        <f t="shared" si="39"/>
        <v>#REF!</v>
      </c>
    </row>
    <row r="89" spans="1:33" ht="11.25">
      <c r="A89" s="256" t="s">
        <v>138</v>
      </c>
      <c r="E89" s="299"/>
      <c r="F89" s="300"/>
      <c r="G89" s="301"/>
      <c r="H89" s="302"/>
      <c r="I89" s="302"/>
      <c r="J89" s="303" t="e">
        <f>+#REF!</f>
        <v>#REF!</v>
      </c>
      <c r="K89" s="303" t="e">
        <f>+#REF!</f>
        <v>#REF!</v>
      </c>
      <c r="L89" s="303" t="e">
        <f>+#REF!</f>
        <v>#REF!</v>
      </c>
      <c r="M89" s="304"/>
      <c r="N89" s="302">
        <v>0</v>
      </c>
      <c r="O89" s="299"/>
      <c r="P89" s="300"/>
      <c r="Q89" s="301"/>
      <c r="R89" s="305" t="e">
        <f t="shared" si="45"/>
        <v>#REF!</v>
      </c>
      <c r="S89" s="306" t="e">
        <f t="shared" si="45"/>
        <v>#REF!</v>
      </c>
      <c r="T89" s="301" t="e">
        <f>+L89+Q89+N89</f>
        <v>#REF!</v>
      </c>
      <c r="U89" s="313"/>
      <c r="V89" s="307"/>
      <c r="W89" s="301"/>
      <c r="X89" s="308"/>
      <c r="Y89" s="307"/>
      <c r="Z89" s="301"/>
      <c r="AA89" s="299" t="e">
        <f t="shared" si="46"/>
        <v>#REF!</v>
      </c>
      <c r="AB89" s="300" t="e">
        <f t="shared" si="46"/>
        <v>#REF!</v>
      </c>
      <c r="AC89" s="309" t="e">
        <f t="shared" si="46"/>
        <v>#REF!</v>
      </c>
      <c r="AD89" s="310" t="e">
        <f>+T89*(1+$AD$11)</f>
        <v>#REF!</v>
      </c>
      <c r="AE89" s="310" t="e">
        <f>+L89*$AE$11</f>
        <v>#REF!</v>
      </c>
      <c r="AF89" s="295" t="e">
        <f t="shared" si="37"/>
        <v>#REF!</v>
      </c>
      <c r="AG89" s="296" t="e">
        <f t="shared" si="39"/>
        <v>#REF!</v>
      </c>
    </row>
    <row r="90" spans="1:33" ht="11.25">
      <c r="A90" s="298" t="s">
        <v>119</v>
      </c>
      <c r="E90" s="299"/>
      <c r="F90" s="300"/>
      <c r="G90" s="301"/>
      <c r="H90" s="302"/>
      <c r="I90" s="302"/>
      <c r="J90" s="303" t="e">
        <f>+#REF!</f>
        <v>#REF!</v>
      </c>
      <c r="K90" s="303" t="e">
        <f>+#REF!</f>
        <v>#REF!</v>
      </c>
      <c r="L90" s="303" t="e">
        <f>+#REF!</f>
        <v>#REF!</v>
      </c>
      <c r="M90" s="304"/>
      <c r="N90" s="302"/>
      <c r="O90" s="299"/>
      <c r="P90" s="300"/>
      <c r="Q90" s="301"/>
      <c r="R90" s="305" t="e">
        <f t="shared" si="45"/>
        <v>#REF!</v>
      </c>
      <c r="S90" s="306" t="e">
        <f t="shared" si="45"/>
        <v>#REF!</v>
      </c>
      <c r="T90" s="301" t="e">
        <f>+L90+Q90+N90</f>
        <v>#REF!</v>
      </c>
      <c r="U90" s="313"/>
      <c r="V90" s="307"/>
      <c r="W90" s="301"/>
      <c r="X90" s="308"/>
      <c r="Y90" s="307"/>
      <c r="Z90" s="301"/>
      <c r="AA90" s="299" t="e">
        <f t="shared" si="46"/>
        <v>#REF!</v>
      </c>
      <c r="AB90" s="300" t="e">
        <f t="shared" si="46"/>
        <v>#REF!</v>
      </c>
      <c r="AC90" s="309" t="e">
        <f t="shared" si="46"/>
        <v>#REF!</v>
      </c>
      <c r="AD90" s="310" t="e">
        <f>+T90*(1+$AD$11)</f>
        <v>#REF!</v>
      </c>
      <c r="AE90" s="310" t="e">
        <f>+L90*$AE$11</f>
        <v>#REF!</v>
      </c>
      <c r="AF90" s="295" t="e">
        <f t="shared" si="37"/>
        <v>#REF!</v>
      </c>
      <c r="AG90" s="296" t="e">
        <f t="shared" si="39"/>
        <v>#REF!</v>
      </c>
    </row>
    <row r="91" spans="1:33" ht="11.25">
      <c r="A91" s="256" t="s">
        <v>139</v>
      </c>
      <c r="E91" s="299">
        <v>0</v>
      </c>
      <c r="F91" s="300">
        <v>0</v>
      </c>
      <c r="G91" s="301">
        <v>0</v>
      </c>
      <c r="H91" s="302"/>
      <c r="I91" s="302"/>
      <c r="J91" s="303" t="e">
        <f>+#REF!</f>
        <v>#REF!</v>
      </c>
      <c r="K91" s="303" t="e">
        <f>+#REF!</f>
        <v>#REF!</v>
      </c>
      <c r="L91" s="303" t="e">
        <f>+#REF!</f>
        <v>#REF!</v>
      </c>
      <c r="M91" s="304"/>
      <c r="N91" s="302"/>
      <c r="O91" s="299"/>
      <c r="P91" s="300"/>
      <c r="Q91" s="301"/>
      <c r="R91" s="305" t="e">
        <f t="shared" si="45"/>
        <v>#REF!</v>
      </c>
      <c r="S91" s="306" t="e">
        <f t="shared" si="45"/>
        <v>#REF!</v>
      </c>
      <c r="T91" s="301" t="e">
        <f>+L91+Q91+N91</f>
        <v>#REF!</v>
      </c>
      <c r="U91" s="313"/>
      <c r="V91" s="307"/>
      <c r="W91" s="301"/>
      <c r="X91" s="308"/>
      <c r="Y91" s="307"/>
      <c r="Z91" s="301"/>
      <c r="AA91" s="299" t="e">
        <f t="shared" si="46"/>
        <v>#REF!</v>
      </c>
      <c r="AB91" s="300" t="e">
        <f t="shared" si="46"/>
        <v>#REF!</v>
      </c>
      <c r="AC91" s="309" t="e">
        <f t="shared" si="46"/>
        <v>#REF!</v>
      </c>
      <c r="AD91" s="310" t="e">
        <f>+T91*(1+$AD$11)</f>
        <v>#REF!</v>
      </c>
      <c r="AE91" s="310" t="e">
        <f>+L91*$AE$11</f>
        <v>#REF!</v>
      </c>
      <c r="AF91" s="295" t="e">
        <f t="shared" si="37"/>
        <v>#REF!</v>
      </c>
      <c r="AG91" s="296" t="e">
        <f t="shared" si="39"/>
        <v>#REF!</v>
      </c>
    </row>
    <row r="92" spans="1:33" ht="11.25">
      <c r="A92" s="379" t="s">
        <v>196</v>
      </c>
      <c r="B92" s="288"/>
      <c r="C92" s="288"/>
      <c r="D92" s="288"/>
      <c r="E92" s="330">
        <f>SUM(E93)</f>
        <v>202</v>
      </c>
      <c r="F92" s="333">
        <f>SUM(F93)</f>
        <v>202</v>
      </c>
      <c r="G92" s="334">
        <f>SUM(G93+G94)</f>
        <v>385691</v>
      </c>
      <c r="H92" s="320">
        <f>SUM(H93:H94)</f>
        <v>0</v>
      </c>
      <c r="I92" s="320">
        <f>SUM(I93:I94)</f>
        <v>0</v>
      </c>
      <c r="J92" s="338" t="e">
        <f>+J93+J94</f>
        <v>#REF!</v>
      </c>
      <c r="K92" s="338" t="e">
        <f>+K93+K94</f>
        <v>#REF!</v>
      </c>
      <c r="L92" s="338" t="e">
        <f>+L93+L94</f>
        <v>#REF!</v>
      </c>
      <c r="M92" s="320"/>
      <c r="N92" s="338">
        <f>+N93+N94</f>
        <v>0</v>
      </c>
      <c r="O92" s="338">
        <f aca="true" t="shared" si="49" ref="O92:AC92">+O93+O94</f>
        <v>0</v>
      </c>
      <c r="P92" s="338">
        <f t="shared" si="49"/>
        <v>0</v>
      </c>
      <c r="Q92" s="338">
        <f t="shared" si="49"/>
        <v>287127</v>
      </c>
      <c r="R92" s="338" t="e">
        <f t="shared" si="49"/>
        <v>#REF!</v>
      </c>
      <c r="S92" s="338" t="e">
        <f t="shared" si="49"/>
        <v>#REF!</v>
      </c>
      <c r="T92" s="338" t="e">
        <f t="shared" si="49"/>
        <v>#REF!</v>
      </c>
      <c r="U92" s="338">
        <f t="shared" si="49"/>
        <v>0</v>
      </c>
      <c r="V92" s="338">
        <f t="shared" si="49"/>
        <v>0</v>
      </c>
      <c r="W92" s="338">
        <f t="shared" si="49"/>
        <v>0</v>
      </c>
      <c r="X92" s="338">
        <f t="shared" si="49"/>
        <v>0</v>
      </c>
      <c r="Y92" s="338">
        <f t="shared" si="49"/>
        <v>0</v>
      </c>
      <c r="Z92" s="338">
        <f t="shared" si="49"/>
        <v>-214908</v>
      </c>
      <c r="AA92" s="338" t="e">
        <f t="shared" si="49"/>
        <v>#REF!</v>
      </c>
      <c r="AB92" s="338" t="e">
        <f t="shared" si="49"/>
        <v>#REF!</v>
      </c>
      <c r="AC92" s="338" t="e">
        <f t="shared" si="49"/>
        <v>#REF!</v>
      </c>
      <c r="AD92" s="323" t="e">
        <f>SUM(AD93:AD94)</f>
        <v>#REF!</v>
      </c>
      <c r="AE92" s="323" t="e">
        <f>SUM(AE93:AE94)</f>
        <v>#REF!</v>
      </c>
      <c r="AF92" s="295" t="e">
        <f t="shared" si="37"/>
        <v>#REF!</v>
      </c>
      <c r="AG92" s="296" t="e">
        <f t="shared" si="39"/>
        <v>#REF!</v>
      </c>
    </row>
    <row r="93" spans="1:33" ht="11.25">
      <c r="A93" s="298" t="s">
        <v>120</v>
      </c>
      <c r="E93" s="299">
        <v>202</v>
      </c>
      <c r="F93" s="300">
        <v>202</v>
      </c>
      <c r="G93" s="301">
        <v>472191</v>
      </c>
      <c r="H93" s="302"/>
      <c r="I93" s="302"/>
      <c r="J93" s="303" t="e">
        <f>+#REF!</f>
        <v>#REF!</v>
      </c>
      <c r="K93" s="303" t="e">
        <f>+#REF!</f>
        <v>#REF!</v>
      </c>
      <c r="L93" s="303" t="e">
        <f>+#REF!</f>
        <v>#REF!</v>
      </c>
      <c r="M93" s="304"/>
      <c r="N93" s="302"/>
      <c r="O93" s="299"/>
      <c r="P93" s="300"/>
      <c r="Q93" s="301">
        <f>719+286408</f>
        <v>287127</v>
      </c>
      <c r="R93" s="305" t="e">
        <f t="shared" si="45"/>
        <v>#REF!</v>
      </c>
      <c r="S93" s="306" t="e">
        <f t="shared" si="45"/>
        <v>#REF!</v>
      </c>
      <c r="T93" s="301" t="e">
        <f>+L93+Q93+N93</f>
        <v>#REF!</v>
      </c>
      <c r="U93" s="313"/>
      <c r="V93" s="307">
        <v>0</v>
      </c>
      <c r="W93" s="301">
        <f>15000-15000</f>
        <v>0</v>
      </c>
      <c r="X93" s="308"/>
      <c r="Y93" s="307">
        <v>0</v>
      </c>
      <c r="Z93" s="301">
        <v>-271408</v>
      </c>
      <c r="AA93" s="299" t="e">
        <f t="shared" si="46"/>
        <v>#REF!</v>
      </c>
      <c r="AB93" s="300" t="e">
        <f t="shared" si="46"/>
        <v>#REF!</v>
      </c>
      <c r="AC93" s="309" t="e">
        <f t="shared" si="46"/>
        <v>#REF!</v>
      </c>
      <c r="AD93" s="310" t="e">
        <f>+T93*(1+$AD$11)</f>
        <v>#REF!</v>
      </c>
      <c r="AE93" s="310" t="e">
        <f>+L93*$AE$11</f>
        <v>#REF!</v>
      </c>
      <c r="AF93" s="295" t="e">
        <f t="shared" si="37"/>
        <v>#REF!</v>
      </c>
      <c r="AG93" s="296" t="e">
        <f t="shared" si="39"/>
        <v>#REF!</v>
      </c>
    </row>
    <row r="94" spans="1:33" ht="11.25">
      <c r="A94" s="256" t="s">
        <v>121</v>
      </c>
      <c r="E94" s="299"/>
      <c r="F94" s="300"/>
      <c r="G94" s="301">
        <v>-86500</v>
      </c>
      <c r="H94" s="302"/>
      <c r="I94" s="302"/>
      <c r="J94" s="303" t="e">
        <f>+#REF!</f>
        <v>#REF!</v>
      </c>
      <c r="K94" s="303" t="e">
        <f>+#REF!</f>
        <v>#REF!</v>
      </c>
      <c r="L94" s="303" t="e">
        <f>+#REF!</f>
        <v>#REF!</v>
      </c>
      <c r="M94" s="304"/>
      <c r="N94" s="302">
        <v>0</v>
      </c>
      <c r="O94" s="299"/>
      <c r="P94" s="300"/>
      <c r="Q94" s="301"/>
      <c r="R94" s="305" t="e">
        <f t="shared" si="45"/>
        <v>#REF!</v>
      </c>
      <c r="S94" s="306" t="e">
        <f t="shared" si="45"/>
        <v>#REF!</v>
      </c>
      <c r="T94" s="301" t="e">
        <f>+L94+Q94+N94</f>
        <v>#REF!</v>
      </c>
      <c r="U94" s="313"/>
      <c r="V94" s="307"/>
      <c r="W94" s="301"/>
      <c r="X94" s="308"/>
      <c r="Y94" s="307"/>
      <c r="Z94" s="301">
        <f>56500</f>
        <v>56500</v>
      </c>
      <c r="AA94" s="299" t="e">
        <f t="shared" si="46"/>
        <v>#REF!</v>
      </c>
      <c r="AB94" s="300" t="e">
        <f t="shared" si="46"/>
        <v>#REF!</v>
      </c>
      <c r="AC94" s="309" t="e">
        <f t="shared" si="46"/>
        <v>#REF!</v>
      </c>
      <c r="AD94" s="310" t="e">
        <f>+T94*(1+$AD$11)</f>
        <v>#REF!</v>
      </c>
      <c r="AE94" s="310">
        <v>0</v>
      </c>
      <c r="AF94" s="295" t="e">
        <f t="shared" si="37"/>
        <v>#REF!</v>
      </c>
      <c r="AG94" s="296" t="e">
        <f t="shared" si="39"/>
        <v>#REF!</v>
      </c>
    </row>
    <row r="95" spans="1:33" ht="11.25">
      <c r="A95" s="256" t="s">
        <v>197</v>
      </c>
      <c r="E95" s="299">
        <v>44</v>
      </c>
      <c r="F95" s="300">
        <v>44</v>
      </c>
      <c r="G95" s="301">
        <v>381566</v>
      </c>
      <c r="H95" s="302"/>
      <c r="I95" s="302"/>
      <c r="J95" s="303" t="e">
        <f>+#REF!</f>
        <v>#REF!</v>
      </c>
      <c r="K95" s="303" t="e">
        <f>+#REF!</f>
        <v>#REF!</v>
      </c>
      <c r="L95" s="303" t="e">
        <f>+#REF!</f>
        <v>#REF!</v>
      </c>
      <c r="M95" s="304"/>
      <c r="N95" s="302"/>
      <c r="O95" s="299"/>
      <c r="P95" s="300">
        <v>0</v>
      </c>
      <c r="Q95" s="301">
        <f>6+29935</f>
        <v>29941</v>
      </c>
      <c r="R95" s="305" t="e">
        <f t="shared" si="45"/>
        <v>#REF!</v>
      </c>
      <c r="S95" s="306" t="e">
        <f t="shared" si="45"/>
        <v>#REF!</v>
      </c>
      <c r="T95" s="301" t="e">
        <f>+L95+Q95+N95</f>
        <v>#REF!</v>
      </c>
      <c r="U95" s="313">
        <v>-40</v>
      </c>
      <c r="V95" s="307">
        <v>-42</v>
      </c>
      <c r="W95" s="301">
        <v>-625000</v>
      </c>
      <c r="X95" s="308"/>
      <c r="Y95" s="307"/>
      <c r="Z95" s="301">
        <v>369007</v>
      </c>
      <c r="AA95" s="299" t="e">
        <f t="shared" si="46"/>
        <v>#REF!</v>
      </c>
      <c r="AB95" s="300" t="e">
        <f t="shared" si="46"/>
        <v>#REF!</v>
      </c>
      <c r="AC95" s="309" t="e">
        <f t="shared" si="46"/>
        <v>#REF!</v>
      </c>
      <c r="AD95" s="310" t="e">
        <f>+T95*(1+$AD$11)</f>
        <v>#REF!</v>
      </c>
      <c r="AE95" s="310" t="e">
        <f>+L95*$AE$11</f>
        <v>#REF!</v>
      </c>
      <c r="AF95" s="295" t="e">
        <f t="shared" si="37"/>
        <v>#REF!</v>
      </c>
      <c r="AG95" s="296" t="e">
        <f t="shared" si="39"/>
        <v>#REF!</v>
      </c>
    </row>
    <row r="96" spans="1:33" ht="12" thickBot="1">
      <c r="A96" s="247" t="s">
        <v>164</v>
      </c>
      <c r="E96" s="381"/>
      <c r="F96" s="250"/>
      <c r="G96" s="304">
        <v>-19265</v>
      </c>
      <c r="H96" s="302"/>
      <c r="I96" s="302"/>
      <c r="J96" s="303" t="e">
        <f>+#REF!</f>
        <v>#REF!</v>
      </c>
      <c r="K96" s="303" t="e">
        <f>+#REF!</f>
        <v>#REF!</v>
      </c>
      <c r="L96" s="303" t="e">
        <f>+#REF!</f>
        <v>#REF!</v>
      </c>
      <c r="M96" s="304"/>
      <c r="N96" s="302">
        <v>0</v>
      </c>
      <c r="O96" s="381">
        <v>0</v>
      </c>
      <c r="P96" s="250">
        <v>0</v>
      </c>
      <c r="Q96" s="304">
        <v>0</v>
      </c>
      <c r="R96" s="382" t="e">
        <f t="shared" si="45"/>
        <v>#REF!</v>
      </c>
      <c r="S96" s="383" t="e">
        <f t="shared" si="45"/>
        <v>#REF!</v>
      </c>
      <c r="T96" s="301" t="e">
        <f>+L96+Q96+N96</f>
        <v>#REF!</v>
      </c>
      <c r="U96" s="250">
        <v>0</v>
      </c>
      <c r="V96" s="247">
        <v>0</v>
      </c>
      <c r="W96" s="304">
        <v>0</v>
      </c>
      <c r="X96" s="384">
        <v>0</v>
      </c>
      <c r="Y96" s="247">
        <v>0</v>
      </c>
      <c r="Z96" s="304">
        <v>0</v>
      </c>
      <c r="AA96" s="299" t="e">
        <f t="shared" si="46"/>
        <v>#REF!</v>
      </c>
      <c r="AB96" s="300" t="e">
        <f t="shared" si="46"/>
        <v>#REF!</v>
      </c>
      <c r="AC96" s="309" t="e">
        <f t="shared" si="46"/>
        <v>#REF!</v>
      </c>
      <c r="AD96" s="310" t="e">
        <f>+T96*(1+$AD$11)</f>
        <v>#REF!</v>
      </c>
      <c r="AE96" s="310" t="e">
        <f>+L96*$AE$11</f>
        <v>#REF!</v>
      </c>
      <c r="AF96" s="295" t="e">
        <f t="shared" si="37"/>
        <v>#REF!</v>
      </c>
      <c r="AG96" s="296" t="s">
        <v>198</v>
      </c>
    </row>
    <row r="97" spans="1:33" ht="12.75" thickBot="1" thickTop="1">
      <c r="A97" s="361" t="s">
        <v>78</v>
      </c>
      <c r="B97" s="362"/>
      <c r="C97" s="362"/>
      <c r="D97" s="362"/>
      <c r="E97" s="385">
        <f aca="true" t="shared" si="50" ref="E97:AE97">+E78+E79</f>
        <v>108837</v>
      </c>
      <c r="F97" s="385">
        <f t="shared" si="50"/>
        <v>116221</v>
      </c>
      <c r="G97" s="385">
        <f t="shared" si="50"/>
        <v>21161670</v>
      </c>
      <c r="H97" s="386">
        <f t="shared" si="50"/>
        <v>0</v>
      </c>
      <c r="I97" s="386">
        <f t="shared" si="50"/>
        <v>0</v>
      </c>
      <c r="J97" s="363" t="e">
        <f t="shared" si="50"/>
        <v>#REF!</v>
      </c>
      <c r="K97" s="363" t="e">
        <f t="shared" si="50"/>
        <v>#REF!</v>
      </c>
      <c r="L97" s="387" t="e">
        <f t="shared" si="50"/>
        <v>#REF!</v>
      </c>
      <c r="M97" s="388">
        <f t="shared" si="50"/>
        <v>0</v>
      </c>
      <c r="N97" s="388">
        <f t="shared" si="50"/>
        <v>0</v>
      </c>
      <c r="O97" s="388">
        <f t="shared" si="50"/>
        <v>55</v>
      </c>
      <c r="P97" s="388">
        <f t="shared" si="50"/>
        <v>55</v>
      </c>
      <c r="Q97" s="388">
        <f t="shared" si="50"/>
        <v>276571</v>
      </c>
      <c r="R97" s="388" t="e">
        <f t="shared" si="50"/>
        <v>#REF!</v>
      </c>
      <c r="S97" s="388" t="e">
        <f t="shared" si="50"/>
        <v>#REF!</v>
      </c>
      <c r="T97" s="388" t="e">
        <f t="shared" si="50"/>
        <v>#REF!</v>
      </c>
      <c r="U97" s="388">
        <f t="shared" si="50"/>
        <v>805</v>
      </c>
      <c r="V97" s="388">
        <f t="shared" si="50"/>
        <v>205</v>
      </c>
      <c r="W97" s="388">
        <f t="shared" si="50"/>
        <v>-1127954</v>
      </c>
      <c r="X97" s="388">
        <f t="shared" si="50"/>
        <v>1025</v>
      </c>
      <c r="Y97" s="388">
        <f t="shared" si="50"/>
        <v>1389</v>
      </c>
      <c r="Z97" s="388">
        <f t="shared" si="50"/>
        <v>2150364</v>
      </c>
      <c r="AA97" s="388" t="e">
        <f t="shared" si="50"/>
        <v>#REF!</v>
      </c>
      <c r="AB97" s="388" t="e">
        <f t="shared" si="50"/>
        <v>#REF!</v>
      </c>
      <c r="AC97" s="388" t="e">
        <f t="shared" si="50"/>
        <v>#REF!</v>
      </c>
      <c r="AD97" s="388" t="e">
        <f t="shared" si="50"/>
        <v>#REF!</v>
      </c>
      <c r="AE97" s="388" t="e">
        <f t="shared" si="50"/>
        <v>#REF!</v>
      </c>
      <c r="AF97" s="295" t="e">
        <f t="shared" si="37"/>
        <v>#REF!</v>
      </c>
      <c r="AG97" s="296" t="e">
        <f t="shared" si="39"/>
        <v>#REF!</v>
      </c>
    </row>
    <row r="98" spans="1:33" ht="12" thickTop="1">
      <c r="A98" s="389" t="s">
        <v>54</v>
      </c>
      <c r="B98" s="389"/>
      <c r="C98" s="389"/>
      <c r="D98" s="389"/>
      <c r="E98" s="299"/>
      <c r="F98" s="300"/>
      <c r="G98" s="301"/>
      <c r="H98" s="390"/>
      <c r="I98" s="390"/>
      <c r="J98" s="303" t="e">
        <f>+#REF!</f>
        <v>#REF!</v>
      </c>
      <c r="K98" s="303" t="e">
        <f>+#REF!</f>
        <v>#REF!</v>
      </c>
      <c r="L98" s="303" t="e">
        <f>+#REF!</f>
        <v>#REF!</v>
      </c>
      <c r="M98" s="304"/>
      <c r="N98" s="390">
        <v>0</v>
      </c>
      <c r="O98" s="299">
        <v>0</v>
      </c>
      <c r="P98" s="300">
        <v>0</v>
      </c>
      <c r="Q98" s="301">
        <v>0</v>
      </c>
      <c r="R98" s="305" t="e">
        <f aca="true" t="shared" si="51" ref="R98:T106">+J98+O98</f>
        <v>#REF!</v>
      </c>
      <c r="S98" s="306" t="e">
        <f t="shared" si="51"/>
        <v>#REF!</v>
      </c>
      <c r="T98" s="301" t="e">
        <f t="shared" si="51"/>
        <v>#REF!</v>
      </c>
      <c r="U98" s="299">
        <v>0</v>
      </c>
      <c r="V98" s="307">
        <v>0</v>
      </c>
      <c r="W98" s="301">
        <v>0</v>
      </c>
      <c r="X98" s="308">
        <v>0</v>
      </c>
      <c r="Y98" s="307">
        <v>0</v>
      </c>
      <c r="Z98" s="301">
        <v>0</v>
      </c>
      <c r="AA98" s="299" t="e">
        <f aca="true" t="shared" si="52" ref="AA98:AC105">+X98+U98+R98</f>
        <v>#REF!</v>
      </c>
      <c r="AB98" s="300" t="e">
        <f t="shared" si="52"/>
        <v>#REF!</v>
      </c>
      <c r="AC98" s="301" t="e">
        <f t="shared" si="52"/>
        <v>#REF!</v>
      </c>
      <c r="AD98" s="310" t="e">
        <f aca="true" t="shared" si="53" ref="AD98:AD106">+T98*(1+$AD$11)</f>
        <v>#REF!</v>
      </c>
      <c r="AE98" s="310" t="e">
        <f>+L98*$AE$11</f>
        <v>#REF!</v>
      </c>
      <c r="AF98" s="295" t="e">
        <f t="shared" si="37"/>
        <v>#REF!</v>
      </c>
      <c r="AG98" s="296" t="s">
        <v>198</v>
      </c>
    </row>
    <row r="99" spans="1:33" ht="11.25" hidden="1">
      <c r="A99" s="247" t="s">
        <v>140</v>
      </c>
      <c r="B99" s="247"/>
      <c r="C99" s="247"/>
      <c r="D99" s="247"/>
      <c r="E99" s="299"/>
      <c r="F99" s="300"/>
      <c r="G99" s="301">
        <v>0</v>
      </c>
      <c r="H99" s="302"/>
      <c r="I99" s="302">
        <v>0</v>
      </c>
      <c r="J99" s="303" t="e">
        <f>+#REF!</f>
        <v>#REF!</v>
      </c>
      <c r="K99" s="303" t="e">
        <f>+#REF!</f>
        <v>#REF!</v>
      </c>
      <c r="L99" s="303" t="e">
        <f>+#REF!</f>
        <v>#REF!</v>
      </c>
      <c r="M99" s="304"/>
      <c r="N99" s="302">
        <v>0</v>
      </c>
      <c r="O99" s="299">
        <v>0</v>
      </c>
      <c r="P99" s="300">
        <v>0</v>
      </c>
      <c r="Q99" s="301">
        <v>0</v>
      </c>
      <c r="R99" s="305" t="e">
        <f t="shared" si="51"/>
        <v>#REF!</v>
      </c>
      <c r="S99" s="306" t="e">
        <f t="shared" si="51"/>
        <v>#REF!</v>
      </c>
      <c r="T99" s="301" t="e">
        <f t="shared" si="51"/>
        <v>#REF!</v>
      </c>
      <c r="U99" s="299">
        <v>0</v>
      </c>
      <c r="V99" s="307">
        <v>0</v>
      </c>
      <c r="W99" s="301">
        <v>0</v>
      </c>
      <c r="X99" s="308">
        <v>0</v>
      </c>
      <c r="Y99" s="307">
        <v>0</v>
      </c>
      <c r="Z99" s="301">
        <v>0</v>
      </c>
      <c r="AA99" s="299" t="e">
        <f t="shared" si="52"/>
        <v>#REF!</v>
      </c>
      <c r="AB99" s="300" t="e">
        <f t="shared" si="52"/>
        <v>#REF!</v>
      </c>
      <c r="AC99" s="301" t="e">
        <f t="shared" si="52"/>
        <v>#REF!</v>
      </c>
      <c r="AD99" s="310" t="e">
        <f t="shared" si="53"/>
        <v>#REF!</v>
      </c>
      <c r="AE99" s="310" t="e">
        <f>+L99*$AE$11</f>
        <v>#REF!</v>
      </c>
      <c r="AF99" s="295" t="e">
        <f t="shared" si="37"/>
        <v>#REF!</v>
      </c>
      <c r="AG99" s="296" t="e">
        <f t="shared" si="39"/>
        <v>#REF!</v>
      </c>
    </row>
    <row r="100" spans="1:33" ht="11.25" hidden="1">
      <c r="A100" s="247" t="s">
        <v>71</v>
      </c>
      <c r="B100" s="247"/>
      <c r="C100" s="340"/>
      <c r="D100" s="247"/>
      <c r="E100" s="299"/>
      <c r="F100" s="300"/>
      <c r="G100" s="301">
        <v>0</v>
      </c>
      <c r="H100" s="302"/>
      <c r="I100" s="302"/>
      <c r="J100" s="303" t="e">
        <f>+#REF!</f>
        <v>#REF!</v>
      </c>
      <c r="K100" s="303" t="e">
        <f>+#REF!</f>
        <v>#REF!</v>
      </c>
      <c r="L100" s="303" t="e">
        <f>+#REF!</f>
        <v>#REF!</v>
      </c>
      <c r="M100" s="304"/>
      <c r="N100" s="302">
        <v>0</v>
      </c>
      <c r="O100" s="299">
        <v>0</v>
      </c>
      <c r="P100" s="300">
        <v>0</v>
      </c>
      <c r="Q100" s="301">
        <v>0</v>
      </c>
      <c r="R100" s="305" t="e">
        <f t="shared" si="51"/>
        <v>#REF!</v>
      </c>
      <c r="S100" s="306" t="e">
        <f t="shared" si="51"/>
        <v>#REF!</v>
      </c>
      <c r="T100" s="301" t="e">
        <f t="shared" si="51"/>
        <v>#REF!</v>
      </c>
      <c r="U100" s="299">
        <v>0</v>
      </c>
      <c r="V100" s="307">
        <v>0</v>
      </c>
      <c r="W100" s="301">
        <v>0</v>
      </c>
      <c r="X100" s="308">
        <v>0</v>
      </c>
      <c r="Y100" s="307">
        <v>0</v>
      </c>
      <c r="Z100" s="301">
        <v>0</v>
      </c>
      <c r="AA100" s="299" t="e">
        <f t="shared" si="52"/>
        <v>#REF!</v>
      </c>
      <c r="AB100" s="300" t="e">
        <f t="shared" si="52"/>
        <v>#REF!</v>
      </c>
      <c r="AC100" s="301" t="e">
        <f t="shared" si="52"/>
        <v>#REF!</v>
      </c>
      <c r="AD100" s="310" t="e">
        <f t="shared" si="53"/>
        <v>#REF!</v>
      </c>
      <c r="AE100" s="310" t="e">
        <f>+L100*$AE$11</f>
        <v>#REF!</v>
      </c>
      <c r="AF100" s="295" t="e">
        <f t="shared" si="37"/>
        <v>#REF!</v>
      </c>
      <c r="AG100" s="296" t="e">
        <f t="shared" si="39"/>
        <v>#REF!</v>
      </c>
    </row>
    <row r="101" spans="1:33" ht="11.25" hidden="1">
      <c r="A101" s="247" t="s">
        <v>69</v>
      </c>
      <c r="B101" s="247"/>
      <c r="C101" s="247"/>
      <c r="D101" s="247"/>
      <c r="E101" s="299"/>
      <c r="F101" s="300"/>
      <c r="G101" s="301">
        <v>0</v>
      </c>
      <c r="H101" s="302"/>
      <c r="I101" s="302"/>
      <c r="J101" s="303" t="e">
        <f>+#REF!</f>
        <v>#REF!</v>
      </c>
      <c r="K101" s="303" t="e">
        <f>+#REF!</f>
        <v>#REF!</v>
      </c>
      <c r="L101" s="303" t="e">
        <f>+#REF!</f>
        <v>#REF!</v>
      </c>
      <c r="M101" s="304"/>
      <c r="N101" s="302">
        <v>0</v>
      </c>
      <c r="O101" s="299">
        <v>0</v>
      </c>
      <c r="P101" s="300">
        <v>0</v>
      </c>
      <c r="Q101" s="301">
        <v>0</v>
      </c>
      <c r="R101" s="305" t="e">
        <f t="shared" si="51"/>
        <v>#REF!</v>
      </c>
      <c r="S101" s="306" t="e">
        <f t="shared" si="51"/>
        <v>#REF!</v>
      </c>
      <c r="T101" s="301" t="e">
        <f t="shared" si="51"/>
        <v>#REF!</v>
      </c>
      <c r="U101" s="299">
        <v>0</v>
      </c>
      <c r="V101" s="307">
        <v>0</v>
      </c>
      <c r="W101" s="301">
        <v>0</v>
      </c>
      <c r="X101" s="308">
        <v>0</v>
      </c>
      <c r="Y101" s="307">
        <v>0</v>
      </c>
      <c r="Z101" s="301">
        <v>0</v>
      </c>
      <c r="AA101" s="299" t="e">
        <f t="shared" si="52"/>
        <v>#REF!</v>
      </c>
      <c r="AB101" s="300" t="e">
        <f t="shared" si="52"/>
        <v>#REF!</v>
      </c>
      <c r="AC101" s="301" t="e">
        <f t="shared" si="52"/>
        <v>#REF!</v>
      </c>
      <c r="AD101" s="310" t="e">
        <f t="shared" si="53"/>
        <v>#REF!</v>
      </c>
      <c r="AE101" s="310" t="e">
        <f>+L101*$AE$11</f>
        <v>#REF!</v>
      </c>
      <c r="AF101" s="295" t="e">
        <f t="shared" si="37"/>
        <v>#REF!</v>
      </c>
      <c r="AG101" s="296" t="e">
        <f t="shared" si="39"/>
        <v>#REF!</v>
      </c>
    </row>
    <row r="102" spans="1:34" ht="11.25" hidden="1">
      <c r="A102" s="340" t="s">
        <v>70</v>
      </c>
      <c r="B102" s="247"/>
      <c r="C102" s="247"/>
      <c r="D102" s="247"/>
      <c r="E102" s="299"/>
      <c r="F102" s="300"/>
      <c r="G102" s="301">
        <v>0</v>
      </c>
      <c r="H102" s="302"/>
      <c r="I102" s="302"/>
      <c r="J102" s="303" t="e">
        <f>+#REF!</f>
        <v>#REF!</v>
      </c>
      <c r="K102" s="303" t="e">
        <f>+#REF!</f>
        <v>#REF!</v>
      </c>
      <c r="L102" s="303" t="e">
        <f>+#REF!</f>
        <v>#REF!</v>
      </c>
      <c r="M102" s="304"/>
      <c r="N102" s="302">
        <v>0</v>
      </c>
      <c r="O102" s="299">
        <v>0</v>
      </c>
      <c r="P102" s="300">
        <v>0</v>
      </c>
      <c r="Q102" s="301">
        <v>0</v>
      </c>
      <c r="R102" s="305" t="e">
        <f t="shared" si="51"/>
        <v>#REF!</v>
      </c>
      <c r="S102" s="306" t="e">
        <f t="shared" si="51"/>
        <v>#REF!</v>
      </c>
      <c r="T102" s="301" t="e">
        <f t="shared" si="51"/>
        <v>#REF!</v>
      </c>
      <c r="U102" s="299">
        <v>0</v>
      </c>
      <c r="V102" s="307">
        <v>0</v>
      </c>
      <c r="W102" s="301">
        <v>0</v>
      </c>
      <c r="X102" s="308">
        <v>0</v>
      </c>
      <c r="Y102" s="307">
        <v>0</v>
      </c>
      <c r="Z102" s="301">
        <v>0</v>
      </c>
      <c r="AA102" s="299" t="e">
        <f t="shared" si="52"/>
        <v>#REF!</v>
      </c>
      <c r="AB102" s="300" t="e">
        <f t="shared" si="52"/>
        <v>#REF!</v>
      </c>
      <c r="AC102" s="301" t="e">
        <f t="shared" si="52"/>
        <v>#REF!</v>
      </c>
      <c r="AD102" s="310" t="e">
        <f t="shared" si="53"/>
        <v>#REF!</v>
      </c>
      <c r="AE102" s="310" t="e">
        <f>+L102*$AE$11</f>
        <v>#REF!</v>
      </c>
      <c r="AF102" s="295" t="e">
        <f t="shared" si="37"/>
        <v>#REF!</v>
      </c>
      <c r="AG102" s="296" t="e">
        <f t="shared" si="39"/>
        <v>#REF!</v>
      </c>
      <c r="AH102" s="250"/>
    </row>
    <row r="103" spans="1:34" ht="11.25">
      <c r="A103" s="247" t="s">
        <v>122</v>
      </c>
      <c r="B103" s="247"/>
      <c r="C103" s="247"/>
      <c r="D103" s="247"/>
      <c r="E103" s="299"/>
      <c r="F103" s="300"/>
      <c r="G103" s="301">
        <v>-1291563</v>
      </c>
      <c r="H103" s="302"/>
      <c r="I103" s="302"/>
      <c r="J103" s="303" t="e">
        <f>+#REF!</f>
        <v>#REF!</v>
      </c>
      <c r="K103" s="303" t="e">
        <f>+#REF!</f>
        <v>#REF!</v>
      </c>
      <c r="L103" s="303" t="e">
        <f>+#REF!</f>
        <v>#REF!</v>
      </c>
      <c r="M103" s="304"/>
      <c r="N103" s="302">
        <v>0</v>
      </c>
      <c r="O103" s="299">
        <v>0</v>
      </c>
      <c r="P103" s="300">
        <v>0</v>
      </c>
      <c r="Q103" s="301">
        <v>0</v>
      </c>
      <c r="R103" s="305" t="e">
        <f t="shared" si="51"/>
        <v>#REF!</v>
      </c>
      <c r="S103" s="306" t="e">
        <f t="shared" si="51"/>
        <v>#REF!</v>
      </c>
      <c r="T103" s="301" t="e">
        <f>+L103+Q103+N103</f>
        <v>#REF!</v>
      </c>
      <c r="U103" s="299">
        <v>0</v>
      </c>
      <c r="V103" s="307">
        <v>0</v>
      </c>
      <c r="W103" s="301">
        <v>0</v>
      </c>
      <c r="X103" s="308">
        <v>0</v>
      </c>
      <c r="Y103" s="307">
        <v>0</v>
      </c>
      <c r="Z103" s="301">
        <v>-34000</v>
      </c>
      <c r="AA103" s="299" t="e">
        <f t="shared" si="52"/>
        <v>#REF!</v>
      </c>
      <c r="AB103" s="300" t="e">
        <f t="shared" si="52"/>
        <v>#REF!</v>
      </c>
      <c r="AC103" s="309" t="e">
        <f t="shared" si="52"/>
        <v>#REF!</v>
      </c>
      <c r="AD103" s="310" t="e">
        <f t="shared" si="53"/>
        <v>#REF!</v>
      </c>
      <c r="AE103" s="310">
        <v>0</v>
      </c>
      <c r="AF103" s="295" t="e">
        <f t="shared" si="37"/>
        <v>#REF!</v>
      </c>
      <c r="AG103" s="296" t="e">
        <f t="shared" si="39"/>
        <v>#REF!</v>
      </c>
      <c r="AH103" s="250"/>
    </row>
    <row r="104" spans="1:33" ht="11.25" hidden="1">
      <c r="A104" s="247" t="s">
        <v>141</v>
      </c>
      <c r="B104" s="247"/>
      <c r="C104" s="247"/>
      <c r="D104" s="247"/>
      <c r="E104" s="299"/>
      <c r="F104" s="300"/>
      <c r="G104" s="301">
        <v>-2500</v>
      </c>
      <c r="H104" s="302"/>
      <c r="I104" s="302"/>
      <c r="J104" s="303" t="e">
        <f>+#REF!</f>
        <v>#REF!</v>
      </c>
      <c r="K104" s="303" t="e">
        <f>+#REF!</f>
        <v>#REF!</v>
      </c>
      <c r="L104" s="303" t="e">
        <f>+#REF!</f>
        <v>#REF!</v>
      </c>
      <c r="M104" s="304"/>
      <c r="N104" s="302">
        <v>0</v>
      </c>
      <c r="O104" s="299">
        <v>0</v>
      </c>
      <c r="P104" s="300">
        <v>0</v>
      </c>
      <c r="Q104" s="301">
        <v>0</v>
      </c>
      <c r="R104" s="305" t="e">
        <f t="shared" si="51"/>
        <v>#REF!</v>
      </c>
      <c r="S104" s="306" t="e">
        <f t="shared" si="51"/>
        <v>#REF!</v>
      </c>
      <c r="T104" s="301" t="e">
        <f t="shared" si="51"/>
        <v>#REF!</v>
      </c>
      <c r="U104" s="299">
        <v>0</v>
      </c>
      <c r="V104" s="307">
        <v>0</v>
      </c>
      <c r="W104" s="301">
        <v>0</v>
      </c>
      <c r="X104" s="308">
        <v>0</v>
      </c>
      <c r="Y104" s="307">
        <v>0</v>
      </c>
      <c r="Z104" s="301">
        <v>0</v>
      </c>
      <c r="AA104" s="299" t="e">
        <f t="shared" si="52"/>
        <v>#REF!</v>
      </c>
      <c r="AB104" s="300" t="e">
        <f t="shared" si="52"/>
        <v>#REF!</v>
      </c>
      <c r="AC104" s="301" t="e">
        <f t="shared" si="52"/>
        <v>#REF!</v>
      </c>
      <c r="AD104" s="310" t="e">
        <f t="shared" si="53"/>
        <v>#REF!</v>
      </c>
      <c r="AE104" s="310" t="e">
        <f>+L104*$AE$11</f>
        <v>#REF!</v>
      </c>
      <c r="AF104" s="295" t="e">
        <f t="shared" si="37"/>
        <v>#REF!</v>
      </c>
      <c r="AG104" s="296" t="s">
        <v>198</v>
      </c>
    </row>
    <row r="105" spans="1:33" ht="11.25" hidden="1">
      <c r="A105" s="247" t="s">
        <v>157</v>
      </c>
      <c r="B105" s="247"/>
      <c r="C105" s="247"/>
      <c r="D105" s="247"/>
      <c r="E105" s="299"/>
      <c r="F105" s="300"/>
      <c r="G105" s="301">
        <v>0</v>
      </c>
      <c r="H105" s="302"/>
      <c r="I105" s="302"/>
      <c r="J105" s="303" t="e">
        <f>+#REF!</f>
        <v>#REF!</v>
      </c>
      <c r="K105" s="303" t="e">
        <f>+#REF!</f>
        <v>#REF!</v>
      </c>
      <c r="L105" s="303" t="e">
        <f>+#REF!</f>
        <v>#REF!</v>
      </c>
      <c r="M105" s="304"/>
      <c r="N105" s="302"/>
      <c r="O105" s="299">
        <v>0</v>
      </c>
      <c r="P105" s="300">
        <v>0</v>
      </c>
      <c r="Q105" s="301">
        <v>0</v>
      </c>
      <c r="R105" s="305" t="e">
        <f t="shared" si="51"/>
        <v>#REF!</v>
      </c>
      <c r="S105" s="306" t="e">
        <f t="shared" si="51"/>
        <v>#REF!</v>
      </c>
      <c r="T105" s="301" t="e">
        <f>+L105+Q105+N105</f>
        <v>#REF!</v>
      </c>
      <c r="U105" s="299">
        <v>0</v>
      </c>
      <c r="V105" s="307">
        <v>0</v>
      </c>
      <c r="W105" s="301">
        <v>0</v>
      </c>
      <c r="X105" s="308">
        <v>0</v>
      </c>
      <c r="Y105" s="307">
        <v>0</v>
      </c>
      <c r="Z105" s="301">
        <v>0</v>
      </c>
      <c r="AA105" s="299" t="e">
        <f t="shared" si="52"/>
        <v>#REF!</v>
      </c>
      <c r="AB105" s="300" t="e">
        <f t="shared" si="52"/>
        <v>#REF!</v>
      </c>
      <c r="AC105" s="301" t="e">
        <f t="shared" si="52"/>
        <v>#REF!</v>
      </c>
      <c r="AD105" s="310" t="e">
        <f t="shared" si="53"/>
        <v>#REF!</v>
      </c>
      <c r="AE105" s="310">
        <v>0</v>
      </c>
      <c r="AF105" s="295" t="e">
        <f t="shared" si="37"/>
        <v>#REF!</v>
      </c>
      <c r="AG105" s="296" t="s">
        <v>198</v>
      </c>
    </row>
    <row r="106" spans="1:33" ht="12" thickBot="1">
      <c r="A106" s="247" t="s">
        <v>216</v>
      </c>
      <c r="B106" s="247"/>
      <c r="C106" s="247"/>
      <c r="D106" s="247"/>
      <c r="E106" s="299"/>
      <c r="F106" s="300"/>
      <c r="G106" s="301">
        <v>-102000</v>
      </c>
      <c r="H106" s="302"/>
      <c r="I106" s="302"/>
      <c r="J106" s="303" t="e">
        <f>+#REF!</f>
        <v>#REF!</v>
      </c>
      <c r="K106" s="303" t="e">
        <f>+#REF!</f>
        <v>#REF!</v>
      </c>
      <c r="L106" s="303" t="e">
        <f>+#REF!</f>
        <v>#REF!</v>
      </c>
      <c r="M106" s="304"/>
      <c r="N106" s="302">
        <v>0</v>
      </c>
      <c r="O106" s="299">
        <v>0</v>
      </c>
      <c r="P106" s="300">
        <v>0</v>
      </c>
      <c r="Q106" s="301">
        <v>0</v>
      </c>
      <c r="R106" s="305" t="e">
        <f t="shared" si="51"/>
        <v>#REF!</v>
      </c>
      <c r="S106" s="306" t="e">
        <f t="shared" si="51"/>
        <v>#REF!</v>
      </c>
      <c r="T106" s="301" t="e">
        <f>+L106+Q106+N106</f>
        <v>#REF!</v>
      </c>
      <c r="U106" s="299">
        <v>0</v>
      </c>
      <c r="V106" s="307">
        <v>0</v>
      </c>
      <c r="W106" s="301">
        <v>0</v>
      </c>
      <c r="X106" s="308">
        <v>0</v>
      </c>
      <c r="Y106" s="307">
        <v>0</v>
      </c>
      <c r="Z106" s="301">
        <v>155000</v>
      </c>
      <c r="AA106" s="299" t="e">
        <f>SUM(R106+U106+X106)</f>
        <v>#REF!</v>
      </c>
      <c r="AB106" s="300" t="e">
        <f>SUM(S106+V106+Y106)</f>
        <v>#REF!</v>
      </c>
      <c r="AC106" s="301" t="e">
        <f>SUM(T106+W106+Z106)</f>
        <v>#REF!</v>
      </c>
      <c r="AD106" s="310" t="e">
        <f t="shared" si="53"/>
        <v>#REF!</v>
      </c>
      <c r="AE106" s="310">
        <v>0</v>
      </c>
      <c r="AF106" s="295" t="e">
        <f t="shared" si="37"/>
        <v>#REF!</v>
      </c>
      <c r="AG106" s="296" t="e">
        <f t="shared" si="39"/>
        <v>#REF!</v>
      </c>
    </row>
    <row r="107" spans="1:33" ht="12.75" thickBot="1" thickTop="1">
      <c r="A107" s="361" t="s">
        <v>79</v>
      </c>
      <c r="B107" s="391"/>
      <c r="C107" s="391"/>
      <c r="D107" s="391"/>
      <c r="E107" s="392">
        <f aca="true" t="shared" si="54" ref="E107:AE107">SUM(E99:E106)</f>
        <v>0</v>
      </c>
      <c r="F107" s="393">
        <f t="shared" si="54"/>
        <v>0</v>
      </c>
      <c r="G107" s="394">
        <f t="shared" si="54"/>
        <v>-1396063</v>
      </c>
      <c r="H107" s="394">
        <f t="shared" si="54"/>
        <v>0</v>
      </c>
      <c r="I107" s="394">
        <f t="shared" si="54"/>
        <v>0</v>
      </c>
      <c r="J107" s="392" t="e">
        <f t="shared" si="54"/>
        <v>#REF!</v>
      </c>
      <c r="K107" s="393" t="e">
        <f t="shared" si="54"/>
        <v>#REF!</v>
      </c>
      <c r="L107" s="395" t="e">
        <f t="shared" si="54"/>
        <v>#REF!</v>
      </c>
      <c r="M107" s="394">
        <f t="shared" si="54"/>
        <v>0</v>
      </c>
      <c r="N107" s="394">
        <f t="shared" si="54"/>
        <v>0</v>
      </c>
      <c r="O107" s="392">
        <f t="shared" si="54"/>
        <v>0</v>
      </c>
      <c r="P107" s="393">
        <f t="shared" si="54"/>
        <v>0</v>
      </c>
      <c r="Q107" s="396">
        <f t="shared" si="54"/>
        <v>0</v>
      </c>
      <c r="R107" s="392" t="e">
        <f t="shared" si="54"/>
        <v>#REF!</v>
      </c>
      <c r="S107" s="393" t="e">
        <f t="shared" si="54"/>
        <v>#REF!</v>
      </c>
      <c r="T107" s="396" t="e">
        <f t="shared" si="54"/>
        <v>#REF!</v>
      </c>
      <c r="U107" s="397">
        <f t="shared" si="54"/>
        <v>0</v>
      </c>
      <c r="V107" s="393">
        <f t="shared" si="54"/>
        <v>0</v>
      </c>
      <c r="W107" s="396">
        <f t="shared" si="54"/>
        <v>0</v>
      </c>
      <c r="X107" s="392">
        <f t="shared" si="54"/>
        <v>0</v>
      </c>
      <c r="Y107" s="393">
        <f t="shared" si="54"/>
        <v>0</v>
      </c>
      <c r="Z107" s="396">
        <f t="shared" si="54"/>
        <v>121000</v>
      </c>
      <c r="AA107" s="396" t="e">
        <f t="shared" si="54"/>
        <v>#REF!</v>
      </c>
      <c r="AB107" s="396" t="e">
        <f t="shared" si="54"/>
        <v>#REF!</v>
      </c>
      <c r="AC107" s="396" t="e">
        <f t="shared" si="54"/>
        <v>#REF!</v>
      </c>
      <c r="AD107" s="398" t="e">
        <f t="shared" si="54"/>
        <v>#REF!</v>
      </c>
      <c r="AE107" s="398" t="e">
        <f t="shared" si="54"/>
        <v>#REF!</v>
      </c>
      <c r="AF107" s="295" t="e">
        <f t="shared" si="37"/>
        <v>#REF!</v>
      </c>
      <c r="AG107" s="296" t="e">
        <f t="shared" si="39"/>
        <v>#REF!</v>
      </c>
    </row>
    <row r="108" spans="1:33" ht="10.5" customHeight="1" thickBot="1" thickTop="1">
      <c r="A108" s="399"/>
      <c r="B108" s="400"/>
      <c r="C108" s="400"/>
      <c r="D108" s="400"/>
      <c r="E108" s="299"/>
      <c r="F108" s="300"/>
      <c r="G108" s="301"/>
      <c r="H108" s="401"/>
      <c r="I108" s="401"/>
      <c r="J108" s="299"/>
      <c r="K108" s="300"/>
      <c r="L108" s="303"/>
      <c r="M108" s="304"/>
      <c r="N108" s="401"/>
      <c r="O108" s="299"/>
      <c r="P108" s="300"/>
      <c r="Q108" s="301"/>
      <c r="R108" s="305"/>
      <c r="S108" s="306"/>
      <c r="T108" s="301"/>
      <c r="U108" s="299"/>
      <c r="V108" s="307"/>
      <c r="W108" s="301"/>
      <c r="X108" s="308"/>
      <c r="Y108" s="307"/>
      <c r="Z108" s="301"/>
      <c r="AA108" s="299"/>
      <c r="AB108" s="300"/>
      <c r="AC108" s="301"/>
      <c r="AD108" s="328"/>
      <c r="AE108" s="328"/>
      <c r="AF108" s="295">
        <f t="shared" si="37"/>
        <v>0</v>
      </c>
      <c r="AG108" s="296" t="s">
        <v>198</v>
      </c>
    </row>
    <row r="109" spans="1:33" ht="12.75" thickBot="1" thickTop="1">
      <c r="A109" s="361" t="s">
        <v>80</v>
      </c>
      <c r="B109" s="402"/>
      <c r="C109" s="402"/>
      <c r="D109" s="402"/>
      <c r="E109" s="388">
        <f aca="true" t="shared" si="55" ref="E109:AE109">+E97+E107</f>
        <v>108837</v>
      </c>
      <c r="F109" s="388">
        <f t="shared" si="55"/>
        <v>116221</v>
      </c>
      <c r="G109" s="388">
        <f t="shared" si="55"/>
        <v>19765607</v>
      </c>
      <c r="H109" s="403">
        <f t="shared" si="55"/>
        <v>0</v>
      </c>
      <c r="I109" s="403">
        <f t="shared" si="55"/>
        <v>0</v>
      </c>
      <c r="J109" s="388" t="e">
        <f t="shared" si="55"/>
        <v>#REF!</v>
      </c>
      <c r="K109" s="388" t="e">
        <f t="shared" si="55"/>
        <v>#REF!</v>
      </c>
      <c r="L109" s="404" t="e">
        <f t="shared" si="55"/>
        <v>#REF!</v>
      </c>
      <c r="M109" s="403">
        <f t="shared" si="55"/>
        <v>0</v>
      </c>
      <c r="N109" s="403">
        <f t="shared" si="55"/>
        <v>0</v>
      </c>
      <c r="O109" s="403">
        <f t="shared" si="55"/>
        <v>55</v>
      </c>
      <c r="P109" s="405">
        <f t="shared" si="55"/>
        <v>55</v>
      </c>
      <c r="Q109" s="406">
        <f t="shared" si="55"/>
        <v>276571</v>
      </c>
      <c r="R109" s="406" t="e">
        <f t="shared" si="55"/>
        <v>#REF!</v>
      </c>
      <c r="S109" s="406" t="e">
        <f t="shared" si="55"/>
        <v>#REF!</v>
      </c>
      <c r="T109" s="406" t="e">
        <f t="shared" si="55"/>
        <v>#REF!</v>
      </c>
      <c r="U109" s="403">
        <f t="shared" si="55"/>
        <v>805</v>
      </c>
      <c r="V109" s="405">
        <f t="shared" si="55"/>
        <v>205</v>
      </c>
      <c r="W109" s="406">
        <f t="shared" si="55"/>
        <v>-1127954</v>
      </c>
      <c r="X109" s="403">
        <f t="shared" si="55"/>
        <v>1025</v>
      </c>
      <c r="Y109" s="405">
        <f t="shared" si="55"/>
        <v>1389</v>
      </c>
      <c r="Z109" s="406">
        <f t="shared" si="55"/>
        <v>2271364</v>
      </c>
      <c r="AA109" s="403" t="e">
        <f t="shared" si="55"/>
        <v>#REF!</v>
      </c>
      <c r="AB109" s="405" t="e">
        <f t="shared" si="55"/>
        <v>#REF!</v>
      </c>
      <c r="AC109" s="407" t="e">
        <f t="shared" si="55"/>
        <v>#REF!</v>
      </c>
      <c r="AD109" s="408" t="e">
        <f t="shared" si="55"/>
        <v>#REF!</v>
      </c>
      <c r="AE109" s="408" t="e">
        <f t="shared" si="55"/>
        <v>#REF!</v>
      </c>
      <c r="AF109" s="409" t="e">
        <f t="shared" si="37"/>
        <v>#REF!</v>
      </c>
      <c r="AG109" s="410" t="e">
        <f t="shared" si="39"/>
        <v>#REF!</v>
      </c>
    </row>
    <row r="110" spans="1:32" ht="12" thickTop="1">
      <c r="A110" s="389" t="s">
        <v>81</v>
      </c>
      <c r="B110" s="389"/>
      <c r="C110" s="389"/>
      <c r="D110" s="389"/>
      <c r="E110" s="299"/>
      <c r="F110" s="300"/>
      <c r="G110" s="301"/>
      <c r="H110" s="390"/>
      <c r="I110" s="390"/>
      <c r="J110" s="303" t="e">
        <f>+#REF!</f>
        <v>#REF!</v>
      </c>
      <c r="K110" s="303" t="e">
        <f>+#REF!</f>
        <v>#REF!</v>
      </c>
      <c r="L110" s="303" t="e">
        <f>+#REF!</f>
        <v>#REF!</v>
      </c>
      <c r="M110" s="304"/>
      <c r="N110" s="390" t="s">
        <v>198</v>
      </c>
      <c r="O110" s="299"/>
      <c r="P110" s="300"/>
      <c r="Q110" s="301"/>
      <c r="R110" s="305"/>
      <c r="S110" s="306"/>
      <c r="T110" s="301"/>
      <c r="U110" s="299"/>
      <c r="V110" s="307"/>
      <c r="W110" s="301"/>
      <c r="X110" s="308"/>
      <c r="Y110" s="307"/>
      <c r="Z110" s="301"/>
      <c r="AA110" s="299"/>
      <c r="AB110" s="300"/>
      <c r="AC110" s="301"/>
      <c r="AD110" s="310">
        <f>+T110*(1+$AD$11)</f>
        <v>0</v>
      </c>
      <c r="AE110" s="310" t="e">
        <f>+L110*$AE$11</f>
        <v>#REF!</v>
      </c>
      <c r="AF110" s="250"/>
    </row>
    <row r="111" spans="1:32" ht="12" thickBot="1">
      <c r="A111" s="411" t="s">
        <v>142</v>
      </c>
      <c r="B111" s="247"/>
      <c r="C111" s="247"/>
      <c r="D111" s="247"/>
      <c r="E111" s="299"/>
      <c r="F111" s="300">
        <v>239</v>
      </c>
      <c r="G111" s="301">
        <v>38610</v>
      </c>
      <c r="H111" s="302"/>
      <c r="I111" s="302"/>
      <c r="J111" s="303" t="e">
        <f>+#REF!</f>
        <v>#REF!</v>
      </c>
      <c r="K111" s="303" t="e">
        <f>+#REF!</f>
        <v>#REF!</v>
      </c>
      <c r="L111" s="303" t="e">
        <f>+#REF!</f>
        <v>#REF!</v>
      </c>
      <c r="M111" s="304"/>
      <c r="N111" s="302">
        <v>0</v>
      </c>
      <c r="O111" s="299">
        <v>0</v>
      </c>
      <c r="P111" s="300">
        <v>0</v>
      </c>
      <c r="Q111" s="301">
        <v>0</v>
      </c>
      <c r="R111" s="305" t="e">
        <f>+J111+O111</f>
        <v>#REF!</v>
      </c>
      <c r="S111" s="306" t="e">
        <f>+K111+P111</f>
        <v>#REF!</v>
      </c>
      <c r="T111" s="301" t="e">
        <f>+L111+Q111+N111</f>
        <v>#REF!</v>
      </c>
      <c r="U111" s="299">
        <v>0</v>
      </c>
      <c r="V111" s="307">
        <v>0</v>
      </c>
      <c r="W111" s="301">
        <v>0</v>
      </c>
      <c r="X111" s="308">
        <v>0</v>
      </c>
      <c r="Y111" s="307">
        <v>0</v>
      </c>
      <c r="Z111" s="301">
        <v>0</v>
      </c>
      <c r="AA111" s="299" t="e">
        <f>+X111+U111+R111</f>
        <v>#REF!</v>
      </c>
      <c r="AB111" s="300" t="e">
        <f>+Y111+V111+S111</f>
        <v>#REF!</v>
      </c>
      <c r="AC111" s="301" t="e">
        <f>+Z111+W111+T111</f>
        <v>#REF!</v>
      </c>
      <c r="AD111" s="310" t="e">
        <f>+T111*(1+$AD$11)</f>
        <v>#REF!</v>
      </c>
      <c r="AE111" s="310" t="e">
        <f>+L111*$AE$11</f>
        <v>#REF!</v>
      </c>
      <c r="AF111" s="250"/>
    </row>
    <row r="112" spans="1:31" ht="12.75" thickBot="1" thickTop="1">
      <c r="A112" s="845" t="s">
        <v>102</v>
      </c>
      <c r="B112" s="846"/>
      <c r="C112" s="846"/>
      <c r="D112" s="846"/>
      <c r="E112" s="412">
        <f aca="true" t="shared" si="56" ref="E112:AC112">E111</f>
        <v>0</v>
      </c>
      <c r="F112" s="413">
        <f t="shared" si="56"/>
        <v>239</v>
      </c>
      <c r="G112" s="414">
        <f t="shared" si="56"/>
        <v>38610</v>
      </c>
      <c r="H112" s="415">
        <f t="shared" si="56"/>
        <v>0</v>
      </c>
      <c r="I112" s="415">
        <f t="shared" si="56"/>
        <v>0</v>
      </c>
      <c r="J112" s="412" t="e">
        <f t="shared" si="56"/>
        <v>#REF!</v>
      </c>
      <c r="K112" s="413" t="e">
        <f t="shared" si="56"/>
        <v>#REF!</v>
      </c>
      <c r="L112" s="416" t="e">
        <f t="shared" si="56"/>
        <v>#REF!</v>
      </c>
      <c r="M112" s="416"/>
      <c r="N112" s="416">
        <f t="shared" si="56"/>
        <v>0</v>
      </c>
      <c r="O112" s="412">
        <f t="shared" si="56"/>
        <v>0</v>
      </c>
      <c r="P112" s="413">
        <f t="shared" si="56"/>
        <v>0</v>
      </c>
      <c r="Q112" s="414">
        <f t="shared" si="56"/>
        <v>0</v>
      </c>
      <c r="R112" s="414" t="e">
        <f t="shared" si="56"/>
        <v>#REF!</v>
      </c>
      <c r="S112" s="414" t="e">
        <f t="shared" si="56"/>
        <v>#REF!</v>
      </c>
      <c r="T112" s="414" t="e">
        <f t="shared" si="56"/>
        <v>#REF!</v>
      </c>
      <c r="U112" s="412">
        <f t="shared" si="56"/>
        <v>0</v>
      </c>
      <c r="V112" s="413">
        <f t="shared" si="56"/>
        <v>0</v>
      </c>
      <c r="W112" s="414">
        <f t="shared" si="56"/>
        <v>0</v>
      </c>
      <c r="X112" s="412">
        <f t="shared" si="56"/>
        <v>0</v>
      </c>
      <c r="Y112" s="413">
        <f t="shared" si="56"/>
        <v>0</v>
      </c>
      <c r="Z112" s="414">
        <f t="shared" si="56"/>
        <v>0</v>
      </c>
      <c r="AA112" s="414" t="e">
        <f t="shared" si="56"/>
        <v>#REF!</v>
      </c>
      <c r="AB112" s="414" t="e">
        <f t="shared" si="56"/>
        <v>#REF!</v>
      </c>
      <c r="AC112" s="414" t="e">
        <f t="shared" si="56"/>
        <v>#REF!</v>
      </c>
      <c r="AD112" s="415"/>
      <c r="AE112" s="415"/>
    </row>
    <row r="113" spans="1:32" s="420" customFormat="1" ht="12.75" thickBot="1" thickTop="1">
      <c r="A113" s="361" t="s">
        <v>88</v>
      </c>
      <c r="B113" s="362"/>
      <c r="C113" s="362"/>
      <c r="D113" s="362"/>
      <c r="E113" s="388">
        <f aca="true" t="shared" si="57" ref="E113:AE113">E109+E112</f>
        <v>108837</v>
      </c>
      <c r="F113" s="388">
        <f t="shared" si="57"/>
        <v>116460</v>
      </c>
      <c r="G113" s="388">
        <f t="shared" si="57"/>
        <v>19804217</v>
      </c>
      <c r="H113" s="417">
        <f t="shared" si="57"/>
        <v>0</v>
      </c>
      <c r="I113" s="417">
        <f t="shared" si="57"/>
        <v>0</v>
      </c>
      <c r="J113" s="388" t="e">
        <f t="shared" si="57"/>
        <v>#REF!</v>
      </c>
      <c r="K113" s="388" t="e">
        <f t="shared" si="57"/>
        <v>#REF!</v>
      </c>
      <c r="L113" s="404" t="e">
        <f t="shared" si="57"/>
        <v>#REF!</v>
      </c>
      <c r="M113" s="417">
        <f t="shared" si="57"/>
        <v>0</v>
      </c>
      <c r="N113" s="417">
        <f t="shared" si="57"/>
        <v>0</v>
      </c>
      <c r="O113" s="417">
        <f t="shared" si="57"/>
        <v>55</v>
      </c>
      <c r="P113" s="418">
        <f t="shared" si="57"/>
        <v>55</v>
      </c>
      <c r="Q113" s="419">
        <f t="shared" si="57"/>
        <v>276571</v>
      </c>
      <c r="R113" s="419" t="e">
        <f t="shared" si="57"/>
        <v>#REF!</v>
      </c>
      <c r="S113" s="419" t="e">
        <f t="shared" si="57"/>
        <v>#REF!</v>
      </c>
      <c r="T113" s="419" t="e">
        <f t="shared" si="57"/>
        <v>#REF!</v>
      </c>
      <c r="U113" s="417">
        <f t="shared" si="57"/>
        <v>805</v>
      </c>
      <c r="V113" s="418">
        <f t="shared" si="57"/>
        <v>205</v>
      </c>
      <c r="W113" s="419">
        <f t="shared" si="57"/>
        <v>-1127954</v>
      </c>
      <c r="X113" s="417">
        <f t="shared" si="57"/>
        <v>1025</v>
      </c>
      <c r="Y113" s="418">
        <f t="shared" si="57"/>
        <v>1389</v>
      </c>
      <c r="Z113" s="419">
        <f t="shared" si="57"/>
        <v>2271364</v>
      </c>
      <c r="AA113" s="419" t="e">
        <f t="shared" si="57"/>
        <v>#REF!</v>
      </c>
      <c r="AB113" s="419" t="e">
        <f t="shared" si="57"/>
        <v>#REF!</v>
      </c>
      <c r="AC113" s="419" t="e">
        <f t="shared" si="57"/>
        <v>#REF!</v>
      </c>
      <c r="AD113" s="388" t="e">
        <f t="shared" si="57"/>
        <v>#REF!</v>
      </c>
      <c r="AE113" s="388" t="e">
        <f t="shared" si="57"/>
        <v>#REF!</v>
      </c>
      <c r="AF113" s="364"/>
    </row>
    <row r="114" spans="1:31" ht="12" thickTop="1">
      <c r="A114" s="256" t="s">
        <v>31</v>
      </c>
      <c r="E114" s="299"/>
      <c r="F114" s="300"/>
      <c r="G114" s="301"/>
      <c r="H114" s="302"/>
      <c r="I114" s="302"/>
      <c r="J114" s="303" t="e">
        <f>+#REF!</f>
        <v>#REF!</v>
      </c>
      <c r="K114" s="303" t="e">
        <f>+#REF!</f>
        <v>#REF!</v>
      </c>
      <c r="L114" s="303" t="e">
        <f>+#REF!</f>
        <v>#REF!</v>
      </c>
      <c r="M114" s="304"/>
      <c r="N114" s="302"/>
      <c r="O114" s="299"/>
      <c r="P114" s="300"/>
      <c r="Q114" s="301"/>
      <c r="R114" s="305"/>
      <c r="S114" s="306"/>
      <c r="T114" s="301"/>
      <c r="U114" s="299"/>
      <c r="V114" s="307"/>
      <c r="W114" s="301"/>
      <c r="X114" s="308"/>
      <c r="Y114" s="307"/>
      <c r="Z114" s="301"/>
      <c r="AA114" s="299"/>
      <c r="AB114" s="300"/>
      <c r="AC114" s="301"/>
      <c r="AD114" s="328"/>
      <c r="AE114" s="328"/>
    </row>
    <row r="115" spans="1:31" ht="11.25">
      <c r="A115" s="256" t="s">
        <v>89</v>
      </c>
      <c r="E115" s="299">
        <v>0</v>
      </c>
      <c r="F115" s="300">
        <v>0</v>
      </c>
      <c r="G115" s="301">
        <v>168300</v>
      </c>
      <c r="H115" s="302"/>
      <c r="I115" s="302"/>
      <c r="J115" s="303" t="e">
        <f>+#REF!</f>
        <v>#REF!</v>
      </c>
      <c r="K115" s="303" t="e">
        <f>+#REF!</f>
        <v>#REF!</v>
      </c>
      <c r="L115" s="303" t="e">
        <f>+#REF!</f>
        <v>#REF!</v>
      </c>
      <c r="M115" s="304"/>
      <c r="N115" s="302">
        <v>0</v>
      </c>
      <c r="O115" s="299">
        <v>0</v>
      </c>
      <c r="P115" s="300">
        <v>0</v>
      </c>
      <c r="Q115" s="301">
        <v>0</v>
      </c>
      <c r="R115" s="305" t="e">
        <f aca="true" t="shared" si="58" ref="R115:T124">+J115+O115</f>
        <v>#REF!</v>
      </c>
      <c r="S115" s="306" t="e">
        <f t="shared" si="58"/>
        <v>#REF!</v>
      </c>
      <c r="T115" s="301" t="e">
        <f t="shared" si="58"/>
        <v>#REF!</v>
      </c>
      <c r="U115" s="299">
        <v>0</v>
      </c>
      <c r="V115" s="307">
        <v>0</v>
      </c>
      <c r="W115" s="301">
        <v>0</v>
      </c>
      <c r="X115" s="308">
        <v>0</v>
      </c>
      <c r="Y115" s="307">
        <v>0</v>
      </c>
      <c r="Z115" s="301">
        <v>0</v>
      </c>
      <c r="AA115" s="299" t="e">
        <f aca="true" t="shared" si="59" ref="AA115:AC124">+X115+U115+R115</f>
        <v>#REF!</v>
      </c>
      <c r="AB115" s="300" t="e">
        <f t="shared" si="59"/>
        <v>#REF!</v>
      </c>
      <c r="AC115" s="301" t="e">
        <f t="shared" si="59"/>
        <v>#REF!</v>
      </c>
      <c r="AD115" s="328"/>
      <c r="AE115" s="328"/>
    </row>
    <row r="116" spans="1:31" ht="11.25">
      <c r="A116" s="256" t="s">
        <v>123</v>
      </c>
      <c r="E116" s="299">
        <v>0</v>
      </c>
      <c r="F116" s="300">
        <v>0</v>
      </c>
      <c r="G116" s="301">
        <v>9500</v>
      </c>
      <c r="H116" s="302"/>
      <c r="I116" s="302"/>
      <c r="J116" s="303" t="e">
        <f>+#REF!</f>
        <v>#REF!</v>
      </c>
      <c r="K116" s="303" t="e">
        <f>+#REF!</f>
        <v>#REF!</v>
      </c>
      <c r="L116" s="303" t="e">
        <f>+#REF!</f>
        <v>#REF!</v>
      </c>
      <c r="M116" s="304"/>
      <c r="N116" s="302">
        <v>0</v>
      </c>
      <c r="O116" s="299">
        <v>0</v>
      </c>
      <c r="P116" s="300">
        <v>0</v>
      </c>
      <c r="Q116" s="301">
        <v>0</v>
      </c>
      <c r="R116" s="305" t="e">
        <f t="shared" si="58"/>
        <v>#REF!</v>
      </c>
      <c r="S116" s="306" t="e">
        <f t="shared" si="58"/>
        <v>#REF!</v>
      </c>
      <c r="T116" s="301" t="e">
        <f t="shared" si="58"/>
        <v>#REF!</v>
      </c>
      <c r="U116" s="299">
        <v>0</v>
      </c>
      <c r="V116" s="307">
        <v>0</v>
      </c>
      <c r="W116" s="301">
        <v>0</v>
      </c>
      <c r="X116" s="308">
        <v>0</v>
      </c>
      <c r="Y116" s="307">
        <v>0</v>
      </c>
      <c r="Z116" s="301">
        <v>0</v>
      </c>
      <c r="AA116" s="299" t="e">
        <f t="shared" si="59"/>
        <v>#REF!</v>
      </c>
      <c r="AB116" s="300" t="e">
        <f t="shared" si="59"/>
        <v>#REF!</v>
      </c>
      <c r="AC116" s="301" t="e">
        <f t="shared" si="59"/>
        <v>#REF!</v>
      </c>
      <c r="AD116" s="328"/>
      <c r="AE116" s="328"/>
    </row>
    <row r="117" spans="1:31" ht="11.25">
      <c r="A117" s="256" t="s">
        <v>126</v>
      </c>
      <c r="E117" s="299">
        <v>0</v>
      </c>
      <c r="F117" s="300">
        <v>0</v>
      </c>
      <c r="G117" s="301">
        <v>53625</v>
      </c>
      <c r="H117" s="302"/>
      <c r="I117" s="302"/>
      <c r="J117" s="303" t="e">
        <f>+#REF!</f>
        <v>#REF!</v>
      </c>
      <c r="K117" s="303" t="e">
        <f>+#REF!</f>
        <v>#REF!</v>
      </c>
      <c r="L117" s="303" t="e">
        <f>+#REF!</f>
        <v>#REF!</v>
      </c>
      <c r="M117" s="304"/>
      <c r="N117" s="302">
        <v>0</v>
      </c>
      <c r="O117" s="299">
        <v>0</v>
      </c>
      <c r="P117" s="300">
        <v>0</v>
      </c>
      <c r="Q117" s="301">
        <v>0</v>
      </c>
      <c r="R117" s="305" t="e">
        <f t="shared" si="58"/>
        <v>#REF!</v>
      </c>
      <c r="S117" s="306" t="e">
        <f t="shared" si="58"/>
        <v>#REF!</v>
      </c>
      <c r="T117" s="301" t="e">
        <f t="shared" si="58"/>
        <v>#REF!</v>
      </c>
      <c r="U117" s="299">
        <v>0</v>
      </c>
      <c r="V117" s="307">
        <v>0</v>
      </c>
      <c r="W117" s="301">
        <v>0</v>
      </c>
      <c r="X117" s="308">
        <v>0</v>
      </c>
      <c r="Y117" s="307">
        <v>0</v>
      </c>
      <c r="Z117" s="301">
        <v>0</v>
      </c>
      <c r="AA117" s="299" t="e">
        <f t="shared" si="59"/>
        <v>#REF!</v>
      </c>
      <c r="AB117" s="300" t="e">
        <f t="shared" si="59"/>
        <v>#REF!</v>
      </c>
      <c r="AC117" s="301" t="e">
        <f t="shared" si="59"/>
        <v>#REF!</v>
      </c>
      <c r="AD117" s="328"/>
      <c r="AE117" s="328"/>
    </row>
    <row r="118" spans="1:31" ht="11.25">
      <c r="A118" s="256" t="s">
        <v>124</v>
      </c>
      <c r="E118" s="299">
        <v>0</v>
      </c>
      <c r="F118" s="300">
        <v>0</v>
      </c>
      <c r="G118" s="301">
        <v>64000</v>
      </c>
      <c r="H118" s="302"/>
      <c r="I118" s="302"/>
      <c r="J118" s="303" t="e">
        <f>+#REF!</f>
        <v>#REF!</v>
      </c>
      <c r="K118" s="303" t="e">
        <f>+#REF!</f>
        <v>#REF!</v>
      </c>
      <c r="L118" s="303" t="e">
        <f>+#REF!</f>
        <v>#REF!</v>
      </c>
      <c r="M118" s="304"/>
      <c r="N118" s="302">
        <v>0</v>
      </c>
      <c r="O118" s="299">
        <v>0</v>
      </c>
      <c r="P118" s="300">
        <v>0</v>
      </c>
      <c r="Q118" s="301">
        <v>0</v>
      </c>
      <c r="R118" s="305" t="e">
        <f t="shared" si="58"/>
        <v>#REF!</v>
      </c>
      <c r="S118" s="306" t="e">
        <f t="shared" si="58"/>
        <v>#REF!</v>
      </c>
      <c r="T118" s="301" t="e">
        <f t="shared" si="58"/>
        <v>#REF!</v>
      </c>
      <c r="U118" s="299">
        <v>0</v>
      </c>
      <c r="V118" s="307">
        <v>0</v>
      </c>
      <c r="W118" s="301">
        <v>0</v>
      </c>
      <c r="X118" s="308">
        <v>0</v>
      </c>
      <c r="Y118" s="307">
        <v>0</v>
      </c>
      <c r="Z118" s="301">
        <v>0</v>
      </c>
      <c r="AA118" s="299" t="e">
        <f t="shared" si="59"/>
        <v>#REF!</v>
      </c>
      <c r="AB118" s="300" t="e">
        <f t="shared" si="59"/>
        <v>#REF!</v>
      </c>
      <c r="AC118" s="301" t="e">
        <f t="shared" si="59"/>
        <v>#REF!</v>
      </c>
      <c r="AD118" s="328"/>
      <c r="AE118" s="328"/>
    </row>
    <row r="119" spans="1:31" ht="11.25">
      <c r="A119" s="256" t="s">
        <v>143</v>
      </c>
      <c r="E119" s="299">
        <v>0</v>
      </c>
      <c r="F119" s="300">
        <v>0</v>
      </c>
      <c r="G119" s="301">
        <v>548623</v>
      </c>
      <c r="H119" s="302"/>
      <c r="I119" s="302"/>
      <c r="J119" s="303" t="e">
        <f>+#REF!</f>
        <v>#REF!</v>
      </c>
      <c r="K119" s="303" t="e">
        <f>+#REF!</f>
        <v>#REF!</v>
      </c>
      <c r="L119" s="303" t="e">
        <f>+#REF!</f>
        <v>#REF!</v>
      </c>
      <c r="M119" s="304"/>
      <c r="N119" s="302">
        <v>0</v>
      </c>
      <c r="O119" s="299">
        <v>0</v>
      </c>
      <c r="P119" s="300">
        <v>0</v>
      </c>
      <c r="Q119" s="301">
        <v>0</v>
      </c>
      <c r="R119" s="305" t="e">
        <f t="shared" si="58"/>
        <v>#REF!</v>
      </c>
      <c r="S119" s="306" t="e">
        <f t="shared" si="58"/>
        <v>#REF!</v>
      </c>
      <c r="T119" s="301" t="e">
        <f t="shared" si="58"/>
        <v>#REF!</v>
      </c>
      <c r="U119" s="299">
        <v>0</v>
      </c>
      <c r="V119" s="307">
        <v>0</v>
      </c>
      <c r="W119" s="301">
        <v>0</v>
      </c>
      <c r="X119" s="308">
        <v>0</v>
      </c>
      <c r="Y119" s="307">
        <v>0</v>
      </c>
      <c r="Z119" s="301">
        <v>0</v>
      </c>
      <c r="AA119" s="299" t="e">
        <f t="shared" si="59"/>
        <v>#REF!</v>
      </c>
      <c r="AB119" s="300" t="e">
        <f t="shared" si="59"/>
        <v>#REF!</v>
      </c>
      <c r="AC119" s="301" t="e">
        <f t="shared" si="59"/>
        <v>#REF!</v>
      </c>
      <c r="AD119" s="328"/>
      <c r="AE119" s="328"/>
    </row>
    <row r="120" spans="1:31" ht="11.25">
      <c r="A120" s="256" t="s">
        <v>144</v>
      </c>
      <c r="E120" s="299">
        <v>0</v>
      </c>
      <c r="F120" s="300">
        <v>0</v>
      </c>
      <c r="G120" s="301">
        <v>116000</v>
      </c>
      <c r="H120" s="302"/>
      <c r="I120" s="302"/>
      <c r="J120" s="303" t="e">
        <f>+#REF!</f>
        <v>#REF!</v>
      </c>
      <c r="K120" s="303" t="e">
        <f>+#REF!</f>
        <v>#REF!</v>
      </c>
      <c r="L120" s="303" t="e">
        <f>+#REF!</f>
        <v>#REF!</v>
      </c>
      <c r="M120" s="304"/>
      <c r="N120" s="302">
        <v>0</v>
      </c>
      <c r="O120" s="299">
        <v>0</v>
      </c>
      <c r="P120" s="300">
        <v>0</v>
      </c>
      <c r="Q120" s="301">
        <v>0</v>
      </c>
      <c r="R120" s="305" t="e">
        <f t="shared" si="58"/>
        <v>#REF!</v>
      </c>
      <c r="S120" s="306" t="e">
        <f t="shared" si="58"/>
        <v>#REF!</v>
      </c>
      <c r="T120" s="301" t="e">
        <f t="shared" si="58"/>
        <v>#REF!</v>
      </c>
      <c r="U120" s="299">
        <v>0</v>
      </c>
      <c r="V120" s="307">
        <v>0</v>
      </c>
      <c r="W120" s="301">
        <v>0</v>
      </c>
      <c r="X120" s="308">
        <v>0</v>
      </c>
      <c r="Y120" s="307">
        <v>0</v>
      </c>
      <c r="Z120" s="301">
        <v>0</v>
      </c>
      <c r="AA120" s="299" t="e">
        <f t="shared" si="59"/>
        <v>#REF!</v>
      </c>
      <c r="AB120" s="300" t="e">
        <f t="shared" si="59"/>
        <v>#REF!</v>
      </c>
      <c r="AC120" s="301" t="e">
        <f t="shared" si="59"/>
        <v>#REF!</v>
      </c>
      <c r="AD120" s="328"/>
      <c r="AE120" s="328"/>
    </row>
    <row r="121" spans="1:31" ht="11.25">
      <c r="A121" s="256" t="s">
        <v>125</v>
      </c>
      <c r="E121" s="299">
        <v>0</v>
      </c>
      <c r="F121" s="300">
        <v>0</v>
      </c>
      <c r="G121" s="301">
        <v>214402</v>
      </c>
      <c r="H121" s="302"/>
      <c r="I121" s="302"/>
      <c r="J121" s="303" t="e">
        <f>+#REF!</f>
        <v>#REF!</v>
      </c>
      <c r="K121" s="303" t="e">
        <f>+#REF!</f>
        <v>#REF!</v>
      </c>
      <c r="L121" s="303" t="e">
        <f>+#REF!</f>
        <v>#REF!</v>
      </c>
      <c r="M121" s="304"/>
      <c r="N121" s="302">
        <v>0</v>
      </c>
      <c r="O121" s="299">
        <v>0</v>
      </c>
      <c r="P121" s="300">
        <v>0</v>
      </c>
      <c r="Q121" s="301">
        <v>0</v>
      </c>
      <c r="R121" s="305" t="e">
        <f t="shared" si="58"/>
        <v>#REF!</v>
      </c>
      <c r="S121" s="306" t="e">
        <f t="shared" si="58"/>
        <v>#REF!</v>
      </c>
      <c r="T121" s="301" t="e">
        <f>+L121+Q121+N121</f>
        <v>#REF!</v>
      </c>
      <c r="U121" s="299">
        <v>0</v>
      </c>
      <c r="V121" s="307">
        <v>0</v>
      </c>
      <c r="W121" s="301">
        <v>0</v>
      </c>
      <c r="X121" s="308">
        <v>0</v>
      </c>
      <c r="Y121" s="307">
        <v>0</v>
      </c>
      <c r="Z121" s="301">
        <v>0</v>
      </c>
      <c r="AA121" s="299" t="e">
        <f t="shared" si="59"/>
        <v>#REF!</v>
      </c>
      <c r="AB121" s="300" t="e">
        <f t="shared" si="59"/>
        <v>#REF!</v>
      </c>
      <c r="AC121" s="301" t="e">
        <f t="shared" si="59"/>
        <v>#REF!</v>
      </c>
      <c r="AD121" s="328"/>
      <c r="AE121" s="328"/>
    </row>
    <row r="122" spans="1:31" ht="11.25">
      <c r="A122" s="247" t="s">
        <v>68</v>
      </c>
      <c r="E122" s="299"/>
      <c r="F122" s="300"/>
      <c r="G122" s="301"/>
      <c r="H122" s="302"/>
      <c r="I122" s="302"/>
      <c r="J122" s="303" t="e">
        <f>+#REF!</f>
        <v>#REF!</v>
      </c>
      <c r="K122" s="303" t="e">
        <f>+#REF!</f>
        <v>#REF!</v>
      </c>
      <c r="L122" s="303" t="e">
        <f>+#REF!</f>
        <v>#REF!</v>
      </c>
      <c r="M122" s="304"/>
      <c r="N122" s="302">
        <v>0</v>
      </c>
      <c r="O122" s="299">
        <v>0</v>
      </c>
      <c r="P122" s="300">
        <v>0</v>
      </c>
      <c r="Q122" s="301">
        <v>0</v>
      </c>
      <c r="R122" s="305" t="e">
        <f t="shared" si="58"/>
        <v>#REF!</v>
      </c>
      <c r="S122" s="306" t="e">
        <f t="shared" si="58"/>
        <v>#REF!</v>
      </c>
      <c r="T122" s="301" t="e">
        <f>+L122+Q122+N122</f>
        <v>#REF!</v>
      </c>
      <c r="U122" s="299">
        <v>0</v>
      </c>
      <c r="V122" s="307">
        <v>0</v>
      </c>
      <c r="W122" s="301">
        <v>0</v>
      </c>
      <c r="X122" s="308">
        <v>0</v>
      </c>
      <c r="Y122" s="307">
        <v>0</v>
      </c>
      <c r="Z122" s="301">
        <v>0</v>
      </c>
      <c r="AA122" s="299" t="e">
        <f t="shared" si="59"/>
        <v>#REF!</v>
      </c>
      <c r="AB122" s="300" t="e">
        <f t="shared" si="59"/>
        <v>#REF!</v>
      </c>
      <c r="AC122" s="301" t="e">
        <f t="shared" si="59"/>
        <v>#REF!</v>
      </c>
      <c r="AD122" s="328"/>
      <c r="AE122" s="328"/>
    </row>
    <row r="123" spans="1:31" ht="11.25">
      <c r="A123" s="256" t="s">
        <v>19</v>
      </c>
      <c r="E123" s="305" t="s">
        <v>154</v>
      </c>
      <c r="F123" s="300">
        <v>1107</v>
      </c>
      <c r="G123" s="301">
        <v>201673</v>
      </c>
      <c r="H123" s="302"/>
      <c r="I123" s="302"/>
      <c r="J123" s="303" t="e">
        <f>+#REF!</f>
        <v>#REF!</v>
      </c>
      <c r="K123" s="303" t="e">
        <f>+#REF!</f>
        <v>#REF!</v>
      </c>
      <c r="L123" s="303" t="e">
        <f>+#REF!</f>
        <v>#REF!</v>
      </c>
      <c r="M123" s="304"/>
      <c r="N123" s="302">
        <v>0</v>
      </c>
      <c r="O123" s="305">
        <v>0</v>
      </c>
      <c r="P123" s="300">
        <v>0</v>
      </c>
      <c r="Q123" s="301">
        <v>0</v>
      </c>
      <c r="R123" s="305" t="s">
        <v>155</v>
      </c>
      <c r="S123" s="306" t="e">
        <f t="shared" si="58"/>
        <v>#REF!</v>
      </c>
      <c r="T123" s="301" t="e">
        <f t="shared" si="58"/>
        <v>#REF!</v>
      </c>
      <c r="U123" s="305">
        <v>0</v>
      </c>
      <c r="V123" s="307">
        <v>0</v>
      </c>
      <c r="W123" s="301">
        <v>0</v>
      </c>
      <c r="X123" s="308">
        <v>0</v>
      </c>
      <c r="Y123" s="307">
        <v>0</v>
      </c>
      <c r="Z123" s="301">
        <v>0</v>
      </c>
      <c r="AA123" s="305" t="s">
        <v>194</v>
      </c>
      <c r="AB123" s="300" t="e">
        <f t="shared" si="59"/>
        <v>#REF!</v>
      </c>
      <c r="AC123" s="309" t="e">
        <f t="shared" si="59"/>
        <v>#REF!</v>
      </c>
      <c r="AD123" s="310"/>
      <c r="AE123" s="310"/>
    </row>
    <row r="124" spans="1:31" ht="12" thickBot="1">
      <c r="A124" s="256" t="s">
        <v>145</v>
      </c>
      <c r="E124" s="299">
        <v>0</v>
      </c>
      <c r="F124" s="300">
        <v>0</v>
      </c>
      <c r="G124" s="301">
        <v>625000</v>
      </c>
      <c r="H124" s="302"/>
      <c r="I124" s="302"/>
      <c r="J124" s="303" t="e">
        <f>+#REF!</f>
        <v>#REF!</v>
      </c>
      <c r="K124" s="303" t="e">
        <f>+#REF!</f>
        <v>#REF!</v>
      </c>
      <c r="L124" s="303" t="e">
        <f>+#REF!</f>
        <v>#REF!</v>
      </c>
      <c r="M124" s="304"/>
      <c r="N124" s="302">
        <v>0</v>
      </c>
      <c r="O124" s="299">
        <v>0</v>
      </c>
      <c r="P124" s="300">
        <v>0</v>
      </c>
      <c r="Q124" s="301">
        <v>0</v>
      </c>
      <c r="R124" s="305" t="e">
        <f>+J124+O124</f>
        <v>#REF!</v>
      </c>
      <c r="S124" s="306" t="e">
        <f t="shared" si="58"/>
        <v>#REF!</v>
      </c>
      <c r="T124" s="301" t="e">
        <f>+L124+Q124+N124</f>
        <v>#REF!</v>
      </c>
      <c r="U124" s="299">
        <v>0</v>
      </c>
      <c r="V124" s="307">
        <v>0</v>
      </c>
      <c r="W124" s="301">
        <v>0</v>
      </c>
      <c r="X124" s="308">
        <v>0</v>
      </c>
      <c r="Y124" s="307">
        <v>0</v>
      </c>
      <c r="Z124" s="301">
        <v>0</v>
      </c>
      <c r="AA124" s="299" t="e">
        <f t="shared" si="59"/>
        <v>#REF!</v>
      </c>
      <c r="AB124" s="300" t="e">
        <f t="shared" si="59"/>
        <v>#REF!</v>
      </c>
      <c r="AC124" s="301" t="e">
        <f t="shared" si="59"/>
        <v>#REF!</v>
      </c>
      <c r="AD124" s="328"/>
      <c r="AE124" s="328"/>
    </row>
    <row r="125" spans="1:31" ht="12.75" thickBot="1" thickTop="1">
      <c r="A125" s="361" t="s">
        <v>33</v>
      </c>
      <c r="B125" s="391"/>
      <c r="C125" s="391"/>
      <c r="D125" s="391"/>
      <c r="E125" s="398" t="s">
        <v>154</v>
      </c>
      <c r="F125" s="398">
        <f>SUM(F115:F124)</f>
        <v>1107</v>
      </c>
      <c r="G125" s="398">
        <f>SUM(G115:G124)</f>
        <v>2001123</v>
      </c>
      <c r="H125" s="394">
        <f>SUM(H115:H124)</f>
        <v>0</v>
      </c>
      <c r="I125" s="394">
        <f>SUM(I115:I124)</f>
        <v>0</v>
      </c>
      <c r="J125" s="398" t="s">
        <v>155</v>
      </c>
      <c r="K125" s="398" t="e">
        <f aca="true" t="shared" si="60" ref="K125:Q125">SUM(K115:K124)</f>
        <v>#REF!</v>
      </c>
      <c r="L125" s="421" t="e">
        <f t="shared" si="60"/>
        <v>#REF!</v>
      </c>
      <c r="M125" s="394">
        <f t="shared" si="60"/>
        <v>0</v>
      </c>
      <c r="N125" s="394">
        <f t="shared" si="60"/>
        <v>0</v>
      </c>
      <c r="O125" s="392">
        <f t="shared" si="60"/>
        <v>0</v>
      </c>
      <c r="P125" s="393">
        <f t="shared" si="60"/>
        <v>0</v>
      </c>
      <c r="Q125" s="396">
        <f t="shared" si="60"/>
        <v>0</v>
      </c>
      <c r="R125" s="396" t="s">
        <v>154</v>
      </c>
      <c r="S125" s="396" t="e">
        <f aca="true" t="shared" si="61" ref="S125:Z125">SUM(S115:S124)</f>
        <v>#REF!</v>
      </c>
      <c r="T125" s="396" t="e">
        <f t="shared" si="61"/>
        <v>#REF!</v>
      </c>
      <c r="U125" s="393">
        <f t="shared" si="61"/>
        <v>0</v>
      </c>
      <c r="V125" s="393">
        <f t="shared" si="61"/>
        <v>0</v>
      </c>
      <c r="W125" s="396">
        <f t="shared" si="61"/>
        <v>0</v>
      </c>
      <c r="X125" s="392">
        <f t="shared" si="61"/>
        <v>0</v>
      </c>
      <c r="Y125" s="393">
        <f t="shared" si="61"/>
        <v>0</v>
      </c>
      <c r="Z125" s="396">
        <f t="shared" si="61"/>
        <v>0</v>
      </c>
      <c r="AA125" s="396" t="s">
        <v>155</v>
      </c>
      <c r="AB125" s="396" t="e">
        <f>SUM(AB115:AB124)</f>
        <v>#REF!</v>
      </c>
      <c r="AC125" s="396" t="e">
        <f>SUM(AC115:AC124)</f>
        <v>#REF!</v>
      </c>
      <c r="AD125" s="398">
        <f>SUM(AD115:AD124)</f>
        <v>0</v>
      </c>
      <c r="AE125" s="398">
        <f>SUM(AE115:AE124)</f>
        <v>0</v>
      </c>
    </row>
    <row r="126" spans="1:31" ht="12" thickTop="1">
      <c r="A126" s="389" t="s">
        <v>172</v>
      </c>
      <c r="B126" s="247"/>
      <c r="C126" s="247"/>
      <c r="D126" s="247"/>
      <c r="E126" s="422"/>
      <c r="F126" s="423"/>
      <c r="G126" s="424"/>
      <c r="H126" s="302"/>
      <c r="I126" s="302"/>
      <c r="J126" s="303" t="e">
        <f>+#REF!</f>
        <v>#REF!</v>
      </c>
      <c r="K126" s="303" t="e">
        <f>+#REF!</f>
        <v>#REF!</v>
      </c>
      <c r="L126" s="303" t="e">
        <f>+#REF!</f>
        <v>#REF!</v>
      </c>
      <c r="M126" s="302"/>
      <c r="N126" s="302"/>
      <c r="O126" s="305"/>
      <c r="P126" s="306"/>
      <c r="Q126" s="315"/>
      <c r="R126" s="383"/>
      <c r="S126" s="425"/>
      <c r="T126" s="315"/>
      <c r="U126" s="305"/>
      <c r="V126" s="306"/>
      <c r="W126" s="315"/>
      <c r="X126" s="305"/>
      <c r="Y126" s="306"/>
      <c r="Z126" s="315"/>
      <c r="AA126" s="383"/>
      <c r="AB126" s="425"/>
      <c r="AC126" s="315"/>
      <c r="AD126" s="426"/>
      <c r="AE126" s="426"/>
    </row>
    <row r="127" spans="1:31" ht="11.25">
      <c r="A127" s="247" t="s">
        <v>173</v>
      </c>
      <c r="B127" s="247"/>
      <c r="C127" s="247"/>
      <c r="D127" s="247"/>
      <c r="E127" s="305"/>
      <c r="F127" s="306"/>
      <c r="G127" s="315"/>
      <c r="H127" s="302"/>
      <c r="I127" s="302"/>
      <c r="J127" s="303" t="e">
        <f>+#REF!</f>
        <v>#REF!</v>
      </c>
      <c r="K127" s="303" t="e">
        <f>+#REF!</f>
        <v>#REF!</v>
      </c>
      <c r="L127" s="303" t="e">
        <f>+#REF!</f>
        <v>#REF!</v>
      </c>
      <c r="M127" s="302"/>
      <c r="N127" s="302">
        <v>0</v>
      </c>
      <c r="O127" s="305">
        <v>0</v>
      </c>
      <c r="P127" s="306">
        <v>0</v>
      </c>
      <c r="Q127" s="315">
        <v>0</v>
      </c>
      <c r="R127" s="383" t="e">
        <f aca="true" t="shared" si="62" ref="R127:T129">+J127+O127</f>
        <v>#REF!</v>
      </c>
      <c r="S127" s="425" t="e">
        <f t="shared" si="62"/>
        <v>#REF!</v>
      </c>
      <c r="T127" s="315" t="e">
        <f t="shared" si="62"/>
        <v>#REF!</v>
      </c>
      <c r="U127" s="305">
        <v>0</v>
      </c>
      <c r="V127" s="306">
        <v>0</v>
      </c>
      <c r="W127" s="315">
        <v>0</v>
      </c>
      <c r="X127" s="305">
        <v>0</v>
      </c>
      <c r="Y127" s="306">
        <v>0</v>
      </c>
      <c r="Z127" s="315">
        <v>0</v>
      </c>
      <c r="AA127" s="383" t="e">
        <f aca="true" t="shared" si="63" ref="AA127:AC129">+X127+U127+R127</f>
        <v>#REF!</v>
      </c>
      <c r="AB127" s="425" t="e">
        <f t="shared" si="63"/>
        <v>#REF!</v>
      </c>
      <c r="AC127" s="315" t="e">
        <f t="shared" si="63"/>
        <v>#REF!</v>
      </c>
      <c r="AD127" s="426"/>
      <c r="AE127" s="426"/>
    </row>
    <row r="128" spans="1:31" ht="11.25">
      <c r="A128" s="247" t="s">
        <v>174</v>
      </c>
      <c r="B128" s="247"/>
      <c r="C128" s="247"/>
      <c r="D128" s="247"/>
      <c r="E128" s="305"/>
      <c r="F128" s="306"/>
      <c r="G128" s="315"/>
      <c r="H128" s="302"/>
      <c r="I128" s="302"/>
      <c r="J128" s="303" t="e">
        <f>+#REF!</f>
        <v>#REF!</v>
      </c>
      <c r="K128" s="303" t="e">
        <f>+#REF!</f>
        <v>#REF!</v>
      </c>
      <c r="L128" s="303" t="e">
        <f>+#REF!</f>
        <v>#REF!</v>
      </c>
      <c r="M128" s="302"/>
      <c r="N128" s="302">
        <v>0</v>
      </c>
      <c r="O128" s="305">
        <v>0</v>
      </c>
      <c r="P128" s="306">
        <v>0</v>
      </c>
      <c r="Q128" s="315">
        <v>0</v>
      </c>
      <c r="R128" s="383" t="e">
        <f t="shared" si="62"/>
        <v>#REF!</v>
      </c>
      <c r="S128" s="425" t="e">
        <f t="shared" si="62"/>
        <v>#REF!</v>
      </c>
      <c r="T128" s="315" t="e">
        <f t="shared" si="62"/>
        <v>#REF!</v>
      </c>
      <c r="U128" s="305">
        <v>0</v>
      </c>
      <c r="V128" s="306">
        <v>0</v>
      </c>
      <c r="W128" s="315">
        <v>0</v>
      </c>
      <c r="X128" s="305">
        <v>0</v>
      </c>
      <c r="Y128" s="306">
        <v>0</v>
      </c>
      <c r="Z128" s="315">
        <v>0</v>
      </c>
      <c r="AA128" s="383" t="e">
        <f t="shared" si="63"/>
        <v>#REF!</v>
      </c>
      <c r="AB128" s="425" t="e">
        <f t="shared" si="63"/>
        <v>#REF!</v>
      </c>
      <c r="AC128" s="315" t="e">
        <f t="shared" si="63"/>
        <v>#REF!</v>
      </c>
      <c r="AD128" s="426"/>
      <c r="AE128" s="426"/>
    </row>
    <row r="129" spans="1:31" ht="12" thickBot="1">
      <c r="A129" s="400" t="s">
        <v>175</v>
      </c>
      <c r="B129" s="247"/>
      <c r="C129" s="247"/>
      <c r="D129" s="247"/>
      <c r="E129" s="427"/>
      <c r="F129" s="428"/>
      <c r="G129" s="429"/>
      <c r="H129" s="302"/>
      <c r="I129" s="302"/>
      <c r="J129" s="303" t="e">
        <f>+#REF!</f>
        <v>#REF!</v>
      </c>
      <c r="K129" s="303" t="e">
        <f>+#REF!</f>
        <v>#REF!</v>
      </c>
      <c r="L129" s="303" t="e">
        <f>+#REF!</f>
        <v>#REF!</v>
      </c>
      <c r="M129" s="304"/>
      <c r="N129" s="302">
        <v>0</v>
      </c>
      <c r="O129" s="305">
        <v>0</v>
      </c>
      <c r="P129" s="306">
        <v>0</v>
      </c>
      <c r="Q129" s="315">
        <v>0</v>
      </c>
      <c r="R129" s="305" t="e">
        <f t="shared" si="62"/>
        <v>#REF!</v>
      </c>
      <c r="S129" s="306" t="e">
        <f t="shared" si="62"/>
        <v>#REF!</v>
      </c>
      <c r="T129" s="315" t="e">
        <f t="shared" si="62"/>
        <v>#REF!</v>
      </c>
      <c r="U129" s="305">
        <v>0</v>
      </c>
      <c r="V129" s="306">
        <v>0</v>
      </c>
      <c r="W129" s="315">
        <v>0</v>
      </c>
      <c r="X129" s="305">
        <v>0</v>
      </c>
      <c r="Y129" s="306">
        <v>0</v>
      </c>
      <c r="Z129" s="315">
        <v>0</v>
      </c>
      <c r="AA129" s="305" t="e">
        <f t="shared" si="63"/>
        <v>#REF!</v>
      </c>
      <c r="AB129" s="306" t="e">
        <f t="shared" si="63"/>
        <v>#REF!</v>
      </c>
      <c r="AC129" s="315" t="e">
        <f t="shared" si="63"/>
        <v>#REF!</v>
      </c>
      <c r="AD129" s="426"/>
      <c r="AE129" s="426"/>
    </row>
    <row r="130" spans="1:31" ht="12.75" thickBot="1" thickTop="1">
      <c r="A130" s="845" t="s">
        <v>102</v>
      </c>
      <c r="B130" s="846"/>
      <c r="C130" s="846"/>
      <c r="D130" s="846"/>
      <c r="E130" s="430"/>
      <c r="F130" s="431"/>
      <c r="G130" s="432"/>
      <c r="H130" s="415"/>
      <c r="I130" s="415"/>
      <c r="J130" s="433" t="e">
        <f aca="true" t="shared" si="64" ref="J130:AC130">SUM(J127:J129)</f>
        <v>#REF!</v>
      </c>
      <c r="K130" s="433" t="e">
        <f t="shared" si="64"/>
        <v>#REF!</v>
      </c>
      <c r="L130" s="433" t="e">
        <f t="shared" si="64"/>
        <v>#REF!</v>
      </c>
      <c r="M130" s="433">
        <f t="shared" si="64"/>
        <v>0</v>
      </c>
      <c r="N130" s="433">
        <f t="shared" si="64"/>
        <v>0</v>
      </c>
      <c r="O130" s="433">
        <f t="shared" si="64"/>
        <v>0</v>
      </c>
      <c r="P130" s="433">
        <f t="shared" si="64"/>
        <v>0</v>
      </c>
      <c r="Q130" s="433">
        <f t="shared" si="64"/>
        <v>0</v>
      </c>
      <c r="R130" s="433" t="e">
        <f t="shared" si="64"/>
        <v>#REF!</v>
      </c>
      <c r="S130" s="433" t="e">
        <f t="shared" si="64"/>
        <v>#REF!</v>
      </c>
      <c r="T130" s="433" t="e">
        <f t="shared" si="64"/>
        <v>#REF!</v>
      </c>
      <c r="U130" s="433">
        <f t="shared" si="64"/>
        <v>0</v>
      </c>
      <c r="V130" s="433">
        <f t="shared" si="64"/>
        <v>0</v>
      </c>
      <c r="W130" s="433">
        <f t="shared" si="64"/>
        <v>0</v>
      </c>
      <c r="X130" s="433">
        <f t="shared" si="64"/>
        <v>0</v>
      </c>
      <c r="Y130" s="433">
        <f t="shared" si="64"/>
        <v>0</v>
      </c>
      <c r="Z130" s="433">
        <f t="shared" si="64"/>
        <v>0</v>
      </c>
      <c r="AA130" s="433" t="e">
        <f t="shared" si="64"/>
        <v>#REF!</v>
      </c>
      <c r="AB130" s="433" t="e">
        <f t="shared" si="64"/>
        <v>#REF!</v>
      </c>
      <c r="AC130" s="434" t="e">
        <f t="shared" si="64"/>
        <v>#REF!</v>
      </c>
      <c r="AD130" s="434"/>
      <c r="AE130" s="434"/>
    </row>
    <row r="131" spans="1:31" ht="12.75" thickBot="1" thickTop="1">
      <c r="A131" s="435" t="s">
        <v>21</v>
      </c>
      <c r="B131" s="402"/>
      <c r="C131" s="402"/>
      <c r="D131" s="402"/>
      <c r="E131" s="388">
        <f>SUM(E113,E125)</f>
        <v>108837</v>
      </c>
      <c r="F131" s="388">
        <f>SUM(F113,F125)</f>
        <v>117567</v>
      </c>
      <c r="G131" s="388">
        <f>SUM(G113,G125)</f>
        <v>21805340</v>
      </c>
      <c r="H131" s="417">
        <f>SUM(H113,H125)</f>
        <v>0</v>
      </c>
      <c r="I131" s="417">
        <f>SUM(I113,I125)</f>
        <v>0</v>
      </c>
      <c r="J131" s="388" t="e">
        <f aca="true" t="shared" si="65" ref="J131:AE131">SUM(J113,J125,J130)</f>
        <v>#REF!</v>
      </c>
      <c r="K131" s="388" t="e">
        <f t="shared" si="65"/>
        <v>#REF!</v>
      </c>
      <c r="L131" s="388" t="e">
        <f t="shared" si="65"/>
        <v>#REF!</v>
      </c>
      <c r="M131" s="388">
        <f t="shared" si="65"/>
        <v>0</v>
      </c>
      <c r="N131" s="388">
        <f t="shared" si="65"/>
        <v>0</v>
      </c>
      <c r="O131" s="388">
        <f t="shared" si="65"/>
        <v>55</v>
      </c>
      <c r="P131" s="388">
        <f t="shared" si="65"/>
        <v>55</v>
      </c>
      <c r="Q131" s="388">
        <f t="shared" si="65"/>
        <v>276571</v>
      </c>
      <c r="R131" s="388" t="e">
        <f t="shared" si="65"/>
        <v>#REF!</v>
      </c>
      <c r="S131" s="388" t="e">
        <f t="shared" si="65"/>
        <v>#REF!</v>
      </c>
      <c r="T131" s="388" t="e">
        <f t="shared" si="65"/>
        <v>#REF!</v>
      </c>
      <c r="U131" s="388">
        <f t="shared" si="65"/>
        <v>805</v>
      </c>
      <c r="V131" s="388">
        <f t="shared" si="65"/>
        <v>205</v>
      </c>
      <c r="W131" s="388">
        <f t="shared" si="65"/>
        <v>-1127954</v>
      </c>
      <c r="X131" s="388">
        <f t="shared" si="65"/>
        <v>1025</v>
      </c>
      <c r="Y131" s="388">
        <f t="shared" si="65"/>
        <v>1389</v>
      </c>
      <c r="Z131" s="388">
        <f t="shared" si="65"/>
        <v>2271364</v>
      </c>
      <c r="AA131" s="388" t="e">
        <f t="shared" si="65"/>
        <v>#REF!</v>
      </c>
      <c r="AB131" s="388" t="e">
        <f t="shared" si="65"/>
        <v>#REF!</v>
      </c>
      <c r="AC131" s="388" t="e">
        <f t="shared" si="65"/>
        <v>#REF!</v>
      </c>
      <c r="AD131" s="388" t="e">
        <f t="shared" si="65"/>
        <v>#REF!</v>
      </c>
      <c r="AE131" s="388" t="e">
        <f t="shared" si="65"/>
        <v>#REF!</v>
      </c>
    </row>
    <row r="132" spans="1:31" ht="12" thickTop="1">
      <c r="A132" s="247" t="s">
        <v>46</v>
      </c>
      <c r="B132" s="247"/>
      <c r="C132" s="247"/>
      <c r="D132" s="247"/>
      <c r="E132" s="299"/>
      <c r="F132" s="300"/>
      <c r="G132" s="301"/>
      <c r="H132" s="302"/>
      <c r="I132" s="302"/>
      <c r="J132" s="299"/>
      <c r="K132" s="300"/>
      <c r="L132" s="303"/>
      <c r="M132" s="304"/>
      <c r="N132" s="302"/>
      <c r="O132" s="299"/>
      <c r="P132" s="300"/>
      <c r="Q132" s="301"/>
      <c r="R132" s="305"/>
      <c r="S132" s="306"/>
      <c r="T132" s="301"/>
      <c r="U132" s="299"/>
      <c r="V132" s="307"/>
      <c r="W132" s="301"/>
      <c r="X132" s="308"/>
      <c r="Y132" s="307"/>
      <c r="Z132" s="301"/>
      <c r="AA132" s="305"/>
      <c r="AB132" s="300"/>
      <c r="AC132" s="301"/>
      <c r="AD132" s="328"/>
      <c r="AE132" s="328"/>
    </row>
    <row r="133" spans="1:31" ht="11.25">
      <c r="A133" s="247" t="s">
        <v>62</v>
      </c>
      <c r="B133" s="247"/>
      <c r="C133" s="247"/>
      <c r="D133" s="247"/>
      <c r="E133" s="305" t="s">
        <v>63</v>
      </c>
      <c r="F133" s="300">
        <v>250</v>
      </c>
      <c r="G133" s="301">
        <v>49415</v>
      </c>
      <c r="H133" s="302"/>
      <c r="I133" s="302"/>
      <c r="J133" s="303" t="e">
        <f>+#REF!</f>
        <v>#REF!</v>
      </c>
      <c r="K133" s="303" t="e">
        <f>+#REF!</f>
        <v>#REF!</v>
      </c>
      <c r="L133" s="303" t="e">
        <f>+#REF!</f>
        <v>#REF!</v>
      </c>
      <c r="M133" s="304"/>
      <c r="N133" s="302">
        <v>0</v>
      </c>
      <c r="O133" s="299">
        <v>0</v>
      </c>
      <c r="P133" s="300">
        <v>0</v>
      </c>
      <c r="Q133" s="301">
        <v>0</v>
      </c>
      <c r="R133" s="305" t="s">
        <v>63</v>
      </c>
      <c r="S133" s="306" t="e">
        <f aca="true" t="shared" si="66" ref="S133:T135">+K133+P133</f>
        <v>#REF!</v>
      </c>
      <c r="T133" s="301" t="e">
        <f t="shared" si="66"/>
        <v>#REF!</v>
      </c>
      <c r="U133" s="299">
        <v>0</v>
      </c>
      <c r="V133" s="307">
        <v>0</v>
      </c>
      <c r="W133" s="301">
        <v>0</v>
      </c>
      <c r="X133" s="308">
        <v>0</v>
      </c>
      <c r="Y133" s="307">
        <v>0</v>
      </c>
      <c r="Z133" s="301">
        <v>0</v>
      </c>
      <c r="AA133" s="305" t="s">
        <v>63</v>
      </c>
      <c r="AB133" s="300" t="e">
        <f aca="true" t="shared" si="67" ref="AA133:AC135">+Y133+V133+S133</f>
        <v>#REF!</v>
      </c>
      <c r="AC133" s="301" t="e">
        <f t="shared" si="67"/>
        <v>#REF!</v>
      </c>
      <c r="AD133" s="328"/>
      <c r="AE133" s="328"/>
    </row>
    <row r="134" spans="1:31" ht="11.25">
      <c r="A134" s="247" t="s">
        <v>47</v>
      </c>
      <c r="B134" s="247"/>
      <c r="C134" s="247"/>
      <c r="D134" s="247"/>
      <c r="E134" s="305" t="s">
        <v>55</v>
      </c>
      <c r="F134" s="300">
        <v>775</v>
      </c>
      <c r="G134" s="301">
        <v>114000</v>
      </c>
      <c r="H134" s="302"/>
      <c r="I134" s="302"/>
      <c r="J134" s="303" t="e">
        <f>+#REF!</f>
        <v>#REF!</v>
      </c>
      <c r="K134" s="303" t="e">
        <f>+#REF!</f>
        <v>#REF!</v>
      </c>
      <c r="L134" s="303" t="e">
        <f>+#REF!</f>
        <v>#REF!</v>
      </c>
      <c r="M134" s="304"/>
      <c r="N134" s="302">
        <v>0</v>
      </c>
      <c r="O134" s="299">
        <v>0</v>
      </c>
      <c r="P134" s="300">
        <v>0</v>
      </c>
      <c r="Q134" s="301">
        <v>0</v>
      </c>
      <c r="R134" s="305" t="s">
        <v>75</v>
      </c>
      <c r="S134" s="306" t="e">
        <f t="shared" si="66"/>
        <v>#REF!</v>
      </c>
      <c r="T134" s="301" t="e">
        <f t="shared" si="66"/>
        <v>#REF!</v>
      </c>
      <c r="U134" s="299">
        <v>0</v>
      </c>
      <c r="V134" s="307">
        <v>0</v>
      </c>
      <c r="W134" s="301">
        <v>0</v>
      </c>
      <c r="X134" s="355">
        <v>0</v>
      </c>
      <c r="Y134" s="307">
        <v>0</v>
      </c>
      <c r="Z134" s="301">
        <v>0</v>
      </c>
      <c r="AA134" s="305" t="s">
        <v>75</v>
      </c>
      <c r="AB134" s="300" t="e">
        <f t="shared" si="67"/>
        <v>#REF!</v>
      </c>
      <c r="AC134" s="301" t="e">
        <f t="shared" si="67"/>
        <v>#REF!</v>
      </c>
      <c r="AD134" s="328"/>
      <c r="AE134" s="328"/>
    </row>
    <row r="135" spans="1:31" ht="12" thickBot="1">
      <c r="A135" s="247" t="s">
        <v>158</v>
      </c>
      <c r="B135" s="247"/>
      <c r="C135" s="247"/>
      <c r="D135" s="247"/>
      <c r="E135" s="305"/>
      <c r="F135" s="300"/>
      <c r="G135" s="301"/>
      <c r="H135" s="302"/>
      <c r="I135" s="302"/>
      <c r="J135" s="303" t="e">
        <f>+#REF!</f>
        <v>#REF!</v>
      </c>
      <c r="K135" s="303" t="e">
        <f>+#REF!</f>
        <v>#REF!</v>
      </c>
      <c r="L135" s="303" t="e">
        <f>+#REF!</f>
        <v>#REF!</v>
      </c>
      <c r="M135" s="304"/>
      <c r="N135" s="302">
        <v>0</v>
      </c>
      <c r="O135" s="299">
        <v>0</v>
      </c>
      <c r="P135" s="300">
        <v>0</v>
      </c>
      <c r="Q135" s="301">
        <v>0</v>
      </c>
      <c r="R135" s="383" t="e">
        <f>+J135+O135</f>
        <v>#REF!</v>
      </c>
      <c r="S135" s="425" t="e">
        <f t="shared" si="66"/>
        <v>#REF!</v>
      </c>
      <c r="T135" s="301" t="e">
        <f t="shared" si="66"/>
        <v>#REF!</v>
      </c>
      <c r="U135" s="299">
        <v>0</v>
      </c>
      <c r="V135" s="307">
        <v>0</v>
      </c>
      <c r="W135" s="301">
        <v>0</v>
      </c>
      <c r="X135" s="355">
        <v>0</v>
      </c>
      <c r="Y135" s="307">
        <v>0</v>
      </c>
      <c r="Z135" s="301">
        <v>0</v>
      </c>
      <c r="AA135" s="383" t="e">
        <f t="shared" si="67"/>
        <v>#REF!</v>
      </c>
      <c r="AB135" s="436" t="e">
        <f t="shared" si="67"/>
        <v>#REF!</v>
      </c>
      <c r="AC135" s="301" t="e">
        <f t="shared" si="67"/>
        <v>#REF!</v>
      </c>
      <c r="AD135" s="328"/>
      <c r="AE135" s="328"/>
    </row>
    <row r="136" spans="1:31" ht="12.75" thickBot="1" thickTop="1">
      <c r="A136" s="361" t="s">
        <v>90</v>
      </c>
      <c r="B136" s="391"/>
      <c r="C136" s="391"/>
      <c r="D136" s="437"/>
      <c r="E136" s="438" t="s">
        <v>82</v>
      </c>
      <c r="F136" s="439">
        <f>SUM(F133:F135)</f>
        <v>1025</v>
      </c>
      <c r="G136" s="440">
        <f>SUM(G133:G135)</f>
        <v>163415</v>
      </c>
      <c r="H136" s="441">
        <f>SUM(H133:H134)</f>
        <v>0</v>
      </c>
      <c r="I136" s="441">
        <f>SUM(I133:I134)</f>
        <v>0</v>
      </c>
      <c r="J136" s="438" t="s">
        <v>182</v>
      </c>
      <c r="K136" s="439" t="e">
        <f aca="true" t="shared" si="68" ref="K136:Q136">SUM(K133:K135)</f>
        <v>#REF!</v>
      </c>
      <c r="L136" s="442" t="e">
        <f t="shared" si="68"/>
        <v>#REF!</v>
      </c>
      <c r="M136" s="443">
        <f t="shared" si="68"/>
        <v>0</v>
      </c>
      <c r="N136" s="443">
        <f t="shared" si="68"/>
        <v>0</v>
      </c>
      <c r="O136" s="439">
        <f t="shared" si="68"/>
        <v>0</v>
      </c>
      <c r="P136" s="439">
        <f t="shared" si="68"/>
        <v>0</v>
      </c>
      <c r="Q136" s="444">
        <f t="shared" si="68"/>
        <v>0</v>
      </c>
      <c r="R136" s="445" t="s">
        <v>82</v>
      </c>
      <c r="S136" s="439" t="e">
        <f aca="true" t="shared" si="69" ref="S136:Z136">SUM(S133:S135)</f>
        <v>#REF!</v>
      </c>
      <c r="T136" s="444" t="e">
        <f t="shared" si="69"/>
        <v>#REF!</v>
      </c>
      <c r="U136" s="445">
        <f t="shared" si="69"/>
        <v>0</v>
      </c>
      <c r="V136" s="439">
        <f t="shared" si="69"/>
        <v>0</v>
      </c>
      <c r="W136" s="444">
        <f t="shared" si="69"/>
        <v>0</v>
      </c>
      <c r="X136" s="439">
        <f t="shared" si="69"/>
        <v>0</v>
      </c>
      <c r="Y136" s="439">
        <f t="shared" si="69"/>
        <v>0</v>
      </c>
      <c r="Z136" s="439">
        <f t="shared" si="69"/>
        <v>0</v>
      </c>
      <c r="AA136" s="439" t="s">
        <v>159</v>
      </c>
      <c r="AB136" s="439" t="e">
        <f>SUM(AB133:AB135)</f>
        <v>#REF!</v>
      </c>
      <c r="AC136" s="444" t="e">
        <f>SUM(AC133:AC135)</f>
        <v>#REF!</v>
      </c>
      <c r="AD136" s="443">
        <f>SUM(AD133:AD135)</f>
        <v>0</v>
      </c>
      <c r="AE136" s="443">
        <f>SUM(AE133:AE135)</f>
        <v>0</v>
      </c>
    </row>
    <row r="137" spans="1:31" ht="18" customHeight="1" thickBot="1" thickTop="1">
      <c r="A137" s="446" t="s">
        <v>32</v>
      </c>
      <c r="B137" s="447"/>
      <c r="C137" s="447"/>
      <c r="D137" s="447"/>
      <c r="E137" s="388">
        <f aca="true" t="shared" si="70" ref="E137:AE137">SUM(E131,E136)</f>
        <v>108837</v>
      </c>
      <c r="F137" s="388">
        <f t="shared" si="70"/>
        <v>118592</v>
      </c>
      <c r="G137" s="388">
        <f t="shared" si="70"/>
        <v>21968755</v>
      </c>
      <c r="H137" s="388">
        <f t="shared" si="70"/>
        <v>0</v>
      </c>
      <c r="I137" s="388">
        <f t="shared" si="70"/>
        <v>0</v>
      </c>
      <c r="J137" s="388" t="e">
        <f t="shared" si="70"/>
        <v>#REF!</v>
      </c>
      <c r="K137" s="388" t="e">
        <f t="shared" si="70"/>
        <v>#REF!</v>
      </c>
      <c r="L137" s="404" t="e">
        <f t="shared" si="70"/>
        <v>#REF!</v>
      </c>
      <c r="M137" s="388">
        <f t="shared" si="70"/>
        <v>0</v>
      </c>
      <c r="N137" s="388">
        <f t="shared" si="70"/>
        <v>0</v>
      </c>
      <c r="O137" s="417">
        <f t="shared" si="70"/>
        <v>55</v>
      </c>
      <c r="P137" s="418">
        <f t="shared" si="70"/>
        <v>55</v>
      </c>
      <c r="Q137" s="419">
        <f t="shared" si="70"/>
        <v>276571</v>
      </c>
      <c r="R137" s="419" t="e">
        <f t="shared" si="70"/>
        <v>#REF!</v>
      </c>
      <c r="S137" s="419" t="e">
        <f t="shared" si="70"/>
        <v>#REF!</v>
      </c>
      <c r="T137" s="419" t="e">
        <f t="shared" si="70"/>
        <v>#REF!</v>
      </c>
      <c r="U137" s="417">
        <f t="shared" si="70"/>
        <v>805</v>
      </c>
      <c r="V137" s="418">
        <f t="shared" si="70"/>
        <v>205</v>
      </c>
      <c r="W137" s="419">
        <f t="shared" si="70"/>
        <v>-1127954</v>
      </c>
      <c r="X137" s="417">
        <f t="shared" si="70"/>
        <v>1025</v>
      </c>
      <c r="Y137" s="418">
        <f t="shared" si="70"/>
        <v>1389</v>
      </c>
      <c r="Z137" s="419">
        <f t="shared" si="70"/>
        <v>2271364</v>
      </c>
      <c r="AA137" s="419" t="e">
        <f t="shared" si="70"/>
        <v>#REF!</v>
      </c>
      <c r="AB137" s="419" t="e">
        <f t="shared" si="70"/>
        <v>#REF!</v>
      </c>
      <c r="AC137" s="419" t="e">
        <f t="shared" si="70"/>
        <v>#REF!</v>
      </c>
      <c r="AD137" s="388" t="e">
        <f t="shared" si="70"/>
        <v>#REF!</v>
      </c>
      <c r="AE137" s="388" t="e">
        <f t="shared" si="70"/>
        <v>#REF!</v>
      </c>
    </row>
    <row r="138" spans="1:31" ht="12.75" hidden="1" thickBot="1" thickTop="1">
      <c r="A138" s="256" t="s">
        <v>86</v>
      </c>
      <c r="E138" s="299"/>
      <c r="F138" s="300"/>
      <c r="G138" s="301"/>
      <c r="H138" s="302"/>
      <c r="I138" s="302"/>
      <c r="J138" s="299"/>
      <c r="K138" s="300"/>
      <c r="L138" s="303"/>
      <c r="M138" s="304"/>
      <c r="N138" s="302"/>
      <c r="O138" s="299"/>
      <c r="P138" s="300"/>
      <c r="Q138" s="301"/>
      <c r="R138" s="305"/>
      <c r="S138" s="306"/>
      <c r="T138" s="301"/>
      <c r="U138" s="299"/>
      <c r="V138" s="307"/>
      <c r="W138" s="301"/>
      <c r="X138" s="308"/>
      <c r="Y138" s="307"/>
      <c r="Z138" s="301"/>
      <c r="AA138" s="299"/>
      <c r="AB138" s="300"/>
      <c r="AC138" s="436"/>
      <c r="AD138" s="328"/>
      <c r="AE138" s="328"/>
    </row>
    <row r="139" spans="1:31" ht="12.75" hidden="1" thickBot="1" thickTop="1">
      <c r="A139" s="256" t="s">
        <v>127</v>
      </c>
      <c r="E139" s="299">
        <v>0</v>
      </c>
      <c r="F139" s="300">
        <v>0</v>
      </c>
      <c r="G139" s="315" t="s">
        <v>64</v>
      </c>
      <c r="H139" s="302"/>
      <c r="I139" s="302"/>
      <c r="J139" s="305">
        <v>0</v>
      </c>
      <c r="K139" s="306">
        <v>0</v>
      </c>
      <c r="L139" s="341" t="s">
        <v>93</v>
      </c>
      <c r="M139" s="302"/>
      <c r="N139" s="302"/>
      <c r="O139" s="299"/>
      <c r="P139" s="300"/>
      <c r="Q139" s="301"/>
      <c r="R139" s="305"/>
      <c r="S139" s="306"/>
      <c r="T139" s="315"/>
      <c r="U139" s="348"/>
      <c r="V139" s="306"/>
      <c r="W139" s="315"/>
      <c r="X139" s="305"/>
      <c r="Y139" s="306"/>
      <c r="Z139" s="315"/>
      <c r="AA139" s="299"/>
      <c r="AB139" s="300"/>
      <c r="AC139" s="425"/>
      <c r="AD139" s="426"/>
      <c r="AE139" s="426"/>
    </row>
    <row r="140" spans="1:31" ht="12.75" hidden="1" thickBot="1" thickTop="1">
      <c r="A140" s="247" t="s">
        <v>83</v>
      </c>
      <c r="E140" s="299"/>
      <c r="F140" s="300"/>
      <c r="G140" s="301"/>
      <c r="H140" s="302"/>
      <c r="I140" s="302"/>
      <c r="J140" s="305">
        <v>0</v>
      </c>
      <c r="K140" s="306">
        <v>0</v>
      </c>
      <c r="L140" s="341" t="s">
        <v>64</v>
      </c>
      <c r="M140" s="304"/>
      <c r="N140" s="302"/>
      <c r="O140" s="299"/>
      <c r="P140" s="300"/>
      <c r="Q140" s="301"/>
      <c r="R140" s="305"/>
      <c r="S140" s="306"/>
      <c r="T140" s="301"/>
      <c r="U140" s="348"/>
      <c r="V140" s="306"/>
      <c r="W140" s="315"/>
      <c r="X140" s="305"/>
      <c r="Y140" s="306"/>
      <c r="Z140" s="315"/>
      <c r="AA140" s="299"/>
      <c r="AB140" s="300"/>
      <c r="AC140" s="425"/>
      <c r="AD140" s="426"/>
      <c r="AE140" s="426"/>
    </row>
    <row r="141" spans="1:31" ht="12.75" hidden="1" thickBot="1" thickTop="1">
      <c r="A141" s="847" t="s">
        <v>94</v>
      </c>
      <c r="B141" s="886"/>
      <c r="C141" s="886"/>
      <c r="D141" s="887"/>
      <c r="E141" s="299"/>
      <c r="F141" s="300"/>
      <c r="G141" s="301"/>
      <c r="H141" s="302"/>
      <c r="I141" s="302"/>
      <c r="J141" s="305">
        <v>0</v>
      </c>
      <c r="K141" s="306">
        <v>0</v>
      </c>
      <c r="L141" s="341" t="s">
        <v>95</v>
      </c>
      <c r="M141" s="304"/>
      <c r="N141" s="302"/>
      <c r="O141" s="299"/>
      <c r="P141" s="300"/>
      <c r="Q141" s="301"/>
      <c r="R141" s="305"/>
      <c r="S141" s="306"/>
      <c r="T141" s="301"/>
      <c r="U141" s="348"/>
      <c r="V141" s="306"/>
      <c r="W141" s="315"/>
      <c r="X141" s="305"/>
      <c r="Y141" s="306"/>
      <c r="Z141" s="315"/>
      <c r="AA141" s="299"/>
      <c r="AB141" s="300"/>
      <c r="AC141" s="425"/>
      <c r="AD141" s="426"/>
      <c r="AE141" s="426"/>
    </row>
    <row r="142" spans="1:31" ht="12.75" hidden="1" thickBot="1" thickTop="1">
      <c r="A142" s="247" t="s">
        <v>84</v>
      </c>
      <c r="E142" s="299"/>
      <c r="F142" s="300"/>
      <c r="G142" s="301"/>
      <c r="H142" s="302"/>
      <c r="I142" s="302"/>
      <c r="J142" s="305" t="s">
        <v>91</v>
      </c>
      <c r="K142" s="306">
        <v>0</v>
      </c>
      <c r="L142" s="341" t="s">
        <v>92</v>
      </c>
      <c r="M142" s="304"/>
      <c r="N142" s="302"/>
      <c r="O142" s="299"/>
      <c r="P142" s="300"/>
      <c r="Q142" s="301"/>
      <c r="R142" s="305"/>
      <c r="S142" s="306"/>
      <c r="T142" s="301"/>
      <c r="U142" s="348"/>
      <c r="V142" s="306"/>
      <c r="W142" s="315"/>
      <c r="X142" s="305"/>
      <c r="Y142" s="306"/>
      <c r="Z142" s="315"/>
      <c r="AA142" s="305"/>
      <c r="AB142" s="306"/>
      <c r="AC142" s="425"/>
      <c r="AD142" s="426"/>
      <c r="AE142" s="426"/>
    </row>
    <row r="143" spans="1:31" ht="12.75" hidden="1" thickBot="1" thickTop="1">
      <c r="A143" s="247" t="s">
        <v>85</v>
      </c>
      <c r="E143" s="299"/>
      <c r="F143" s="300"/>
      <c r="G143" s="301"/>
      <c r="H143" s="302"/>
      <c r="I143" s="302"/>
      <c r="J143" s="305" t="s">
        <v>97</v>
      </c>
      <c r="K143" s="306" t="s">
        <v>98</v>
      </c>
      <c r="L143" s="341" t="s">
        <v>99</v>
      </c>
      <c r="M143" s="304"/>
      <c r="N143" s="302"/>
      <c r="O143" s="299"/>
      <c r="P143" s="300"/>
      <c r="Q143" s="301"/>
      <c r="R143" s="305"/>
      <c r="S143" s="306"/>
      <c r="T143" s="301"/>
      <c r="U143" s="348"/>
      <c r="V143" s="306"/>
      <c r="W143" s="315"/>
      <c r="X143" s="305"/>
      <c r="Y143" s="306"/>
      <c r="Z143" s="315"/>
      <c r="AA143" s="305"/>
      <c r="AB143" s="306"/>
      <c r="AC143" s="425"/>
      <c r="AD143" s="426"/>
      <c r="AE143" s="426"/>
    </row>
    <row r="144" spans="1:31" ht="13.5" customHeight="1" hidden="1">
      <c r="A144" s="247" t="s">
        <v>96</v>
      </c>
      <c r="E144" s="299"/>
      <c r="F144" s="300"/>
      <c r="G144" s="301"/>
      <c r="H144" s="302"/>
      <c r="I144" s="302"/>
      <c r="J144" s="305">
        <v>0</v>
      </c>
      <c r="K144" s="306">
        <v>0</v>
      </c>
      <c r="L144" s="341" t="s">
        <v>95</v>
      </c>
      <c r="M144" s="304"/>
      <c r="N144" s="302"/>
      <c r="O144" s="299"/>
      <c r="P144" s="300"/>
      <c r="Q144" s="301"/>
      <c r="R144" s="305"/>
      <c r="S144" s="306"/>
      <c r="T144" s="301"/>
      <c r="U144" s="348"/>
      <c r="V144" s="306"/>
      <c r="W144" s="315"/>
      <c r="X144" s="305"/>
      <c r="Y144" s="306"/>
      <c r="Z144" s="315"/>
      <c r="AA144" s="299"/>
      <c r="AB144" s="300"/>
      <c r="AC144" s="425"/>
      <c r="AD144" s="426"/>
      <c r="AE144" s="426"/>
    </row>
    <row r="145" spans="1:31" ht="13.5" customHeight="1" hidden="1">
      <c r="A145" s="256" t="s">
        <v>101</v>
      </c>
      <c r="E145" s="299"/>
      <c r="F145" s="300"/>
      <c r="G145" s="301"/>
      <c r="H145" s="302"/>
      <c r="I145" s="302"/>
      <c r="J145" s="305"/>
      <c r="K145" s="306"/>
      <c r="L145" s="341">
        <v>0</v>
      </c>
      <c r="M145" s="304"/>
      <c r="N145" s="302"/>
      <c r="O145" s="299"/>
      <c r="P145" s="300"/>
      <c r="Q145" s="301"/>
      <c r="R145" s="305"/>
      <c r="S145" s="306"/>
      <c r="T145" s="301"/>
      <c r="U145" s="348"/>
      <c r="V145" s="306"/>
      <c r="W145" s="315"/>
      <c r="X145" s="305"/>
      <c r="Y145" s="306"/>
      <c r="Z145" s="315"/>
      <c r="AA145" s="299"/>
      <c r="AB145" s="300"/>
      <c r="AC145" s="436"/>
      <c r="AD145" s="328"/>
      <c r="AE145" s="328"/>
    </row>
    <row r="146" spans="1:31" ht="12.75" hidden="1" thickBot="1" thickTop="1">
      <c r="A146" s="256" t="s">
        <v>128</v>
      </c>
      <c r="E146" s="299"/>
      <c r="F146" s="300"/>
      <c r="G146" s="301"/>
      <c r="H146" s="302"/>
      <c r="I146" s="302"/>
      <c r="J146" s="305"/>
      <c r="K146" s="306"/>
      <c r="L146" s="341">
        <v>0</v>
      </c>
      <c r="M146" s="304"/>
      <c r="N146" s="302"/>
      <c r="O146" s="299"/>
      <c r="P146" s="300"/>
      <c r="Q146" s="301"/>
      <c r="R146" s="305"/>
      <c r="S146" s="306"/>
      <c r="T146" s="301"/>
      <c r="U146" s="348"/>
      <c r="V146" s="306"/>
      <c r="W146" s="315"/>
      <c r="X146" s="305"/>
      <c r="Y146" s="306"/>
      <c r="Z146" s="315"/>
      <c r="AA146" s="299"/>
      <c r="AB146" s="300"/>
      <c r="AC146" s="436"/>
      <c r="AD146" s="328"/>
      <c r="AE146" s="328"/>
    </row>
    <row r="147" spans="1:31" ht="12.75" hidden="1" thickBot="1" thickTop="1">
      <c r="A147" s="256" t="s">
        <v>129</v>
      </c>
      <c r="E147" s="299"/>
      <c r="F147" s="300"/>
      <c r="G147" s="301"/>
      <c r="H147" s="302"/>
      <c r="I147" s="302"/>
      <c r="J147" s="305"/>
      <c r="K147" s="306"/>
      <c r="L147" s="341">
        <v>0</v>
      </c>
      <c r="M147" s="304"/>
      <c r="N147" s="302"/>
      <c r="O147" s="299"/>
      <c r="P147" s="300"/>
      <c r="Q147" s="301"/>
      <c r="R147" s="305"/>
      <c r="S147" s="306"/>
      <c r="T147" s="301"/>
      <c r="U147" s="348"/>
      <c r="V147" s="306"/>
      <c r="W147" s="315"/>
      <c r="X147" s="305"/>
      <c r="Y147" s="306"/>
      <c r="Z147" s="315"/>
      <c r="AA147" s="299"/>
      <c r="AB147" s="300"/>
      <c r="AC147" s="436"/>
      <c r="AD147" s="328"/>
      <c r="AE147" s="328"/>
    </row>
    <row r="148" spans="1:31" ht="12.75" hidden="1" thickBot="1" thickTop="1">
      <c r="A148" s="256" t="s">
        <v>147</v>
      </c>
      <c r="E148" s="299"/>
      <c r="F148" s="300"/>
      <c r="G148" s="301"/>
      <c r="H148" s="302"/>
      <c r="I148" s="302"/>
      <c r="J148" s="305"/>
      <c r="K148" s="306"/>
      <c r="L148" s="341">
        <v>0</v>
      </c>
      <c r="M148" s="304"/>
      <c r="N148" s="302"/>
      <c r="O148" s="299"/>
      <c r="P148" s="300"/>
      <c r="Q148" s="301"/>
      <c r="R148" s="305"/>
      <c r="S148" s="306"/>
      <c r="T148" s="301"/>
      <c r="U148" s="348"/>
      <c r="V148" s="306"/>
      <c r="W148" s="315"/>
      <c r="X148" s="305"/>
      <c r="Y148" s="306"/>
      <c r="Z148" s="315"/>
      <c r="AA148" s="299"/>
      <c r="AB148" s="300"/>
      <c r="AC148" s="436"/>
      <c r="AD148" s="328"/>
      <c r="AE148" s="328"/>
    </row>
    <row r="149" spans="1:31" ht="12.75" hidden="1" thickBot="1" thickTop="1">
      <c r="A149" s="256" t="s">
        <v>146</v>
      </c>
      <c r="E149" s="427"/>
      <c r="F149" s="428"/>
      <c r="G149" s="429"/>
      <c r="H149" s="302"/>
      <c r="I149" s="302"/>
      <c r="J149" s="448"/>
      <c r="K149" s="449"/>
      <c r="L149" s="450">
        <v>0</v>
      </c>
      <c r="M149" s="304"/>
      <c r="N149" s="302"/>
      <c r="O149" s="299"/>
      <c r="P149" s="300"/>
      <c r="Q149" s="301"/>
      <c r="R149" s="305"/>
      <c r="S149" s="306"/>
      <c r="T149" s="301"/>
      <c r="U149" s="348"/>
      <c r="V149" s="306"/>
      <c r="W149" s="315"/>
      <c r="X149" s="305"/>
      <c r="Y149" s="306"/>
      <c r="Z149" s="315"/>
      <c r="AA149" s="299"/>
      <c r="AB149" s="300"/>
      <c r="AC149" s="436"/>
      <c r="AD149" s="328"/>
      <c r="AE149" s="328"/>
    </row>
    <row r="150" spans="1:31" ht="15" customHeight="1" hidden="1">
      <c r="A150" s="451" t="s">
        <v>87</v>
      </c>
      <c r="B150" s="452"/>
      <c r="C150" s="452"/>
      <c r="D150" s="452"/>
      <c r="E150" s="412"/>
      <c r="F150" s="413"/>
      <c r="G150" s="414"/>
      <c r="H150" s="453">
        <f>SUM(H139:H149)</f>
        <v>0</v>
      </c>
      <c r="I150" s="415">
        <f>SUM(I139:I149)</f>
        <v>0</v>
      </c>
      <c r="J150" s="412" t="s">
        <v>100</v>
      </c>
      <c r="K150" s="413" t="s">
        <v>98</v>
      </c>
      <c r="L150" s="416" t="s">
        <v>103</v>
      </c>
      <c r="M150" s="415">
        <f aca="true" t="shared" si="71" ref="M150:S150">SUM(M139:M149)</f>
        <v>0</v>
      </c>
      <c r="N150" s="415">
        <f t="shared" si="71"/>
        <v>0</v>
      </c>
      <c r="O150" s="412">
        <f t="shared" si="71"/>
        <v>0</v>
      </c>
      <c r="P150" s="413">
        <f t="shared" si="71"/>
        <v>0</v>
      </c>
      <c r="Q150" s="414">
        <f t="shared" si="71"/>
        <v>0</v>
      </c>
      <c r="R150" s="412">
        <f t="shared" si="71"/>
        <v>0</v>
      </c>
      <c r="S150" s="413">
        <f t="shared" si="71"/>
        <v>0</v>
      </c>
      <c r="T150" s="414">
        <v>0</v>
      </c>
      <c r="U150" s="414">
        <v>0</v>
      </c>
      <c r="V150" s="414">
        <v>0</v>
      </c>
      <c r="W150" s="414">
        <v>0</v>
      </c>
      <c r="X150" s="412">
        <v>0</v>
      </c>
      <c r="Y150" s="413">
        <v>0</v>
      </c>
      <c r="Z150" s="414">
        <f>SUM(Z139:Z149)</f>
        <v>0</v>
      </c>
      <c r="AA150" s="412">
        <v>0</v>
      </c>
      <c r="AB150" s="413">
        <v>0</v>
      </c>
      <c r="AC150" s="454">
        <v>0</v>
      </c>
      <c r="AD150" s="415"/>
      <c r="AE150" s="415"/>
    </row>
    <row r="151" spans="1:31" ht="12" thickTop="1">
      <c r="A151" s="888"/>
      <c r="B151" s="889"/>
      <c r="C151" s="889"/>
      <c r="D151" s="889"/>
      <c r="E151" s="250"/>
      <c r="F151" s="250"/>
      <c r="G151" s="250"/>
      <c r="H151" s="255"/>
      <c r="I151" s="255"/>
      <c r="J151" s="250"/>
      <c r="K151" s="250"/>
      <c r="L151" s="250"/>
      <c r="P151" s="250"/>
      <c r="Q151" s="250"/>
      <c r="R151" s="250"/>
      <c r="S151" s="250"/>
      <c r="T151" s="250"/>
      <c r="W151" s="250"/>
      <c r="Z151" s="250"/>
      <c r="AA151" s="250"/>
      <c r="AB151" s="250"/>
      <c r="AC151" s="250"/>
      <c r="AD151" s="250"/>
      <c r="AE151" s="250"/>
    </row>
    <row r="152" spans="1:31" ht="11.25">
      <c r="A152" s="852"/>
      <c r="B152" s="853"/>
      <c r="C152" s="853"/>
      <c r="D152" s="853"/>
      <c r="E152" s="250"/>
      <c r="F152" s="250"/>
      <c r="G152" s="250"/>
      <c r="H152" s="255"/>
      <c r="I152" s="255"/>
      <c r="J152" s="250"/>
      <c r="K152" s="250"/>
      <c r="L152" s="250"/>
      <c r="M152" s="250"/>
      <c r="N152" s="250"/>
      <c r="Q152" s="250"/>
      <c r="R152" s="250"/>
      <c r="S152" s="250"/>
      <c r="T152" s="250"/>
      <c r="W152" s="250"/>
      <c r="Z152" s="250"/>
      <c r="AA152" s="250"/>
      <c r="AB152" s="250"/>
      <c r="AC152" s="250"/>
      <c r="AD152" s="250"/>
      <c r="AE152" s="250"/>
    </row>
    <row r="153" spans="1:31" ht="11.25">
      <c r="A153" s="455"/>
      <c r="B153" s="456"/>
      <c r="C153" s="456"/>
      <c r="D153" s="456"/>
      <c r="E153" s="250"/>
      <c r="F153" s="250"/>
      <c r="G153" s="250"/>
      <c r="H153" s="255"/>
      <c r="I153" s="255"/>
      <c r="J153" s="250"/>
      <c r="K153" s="250"/>
      <c r="L153" s="250"/>
      <c r="M153" s="250"/>
      <c r="N153" s="250"/>
      <c r="R153" s="250"/>
      <c r="S153" s="250"/>
      <c r="T153" s="250"/>
      <c r="W153" s="250"/>
      <c r="Z153" s="250"/>
      <c r="AA153" s="250"/>
      <c r="AB153" s="250"/>
      <c r="AC153" s="250"/>
      <c r="AD153" s="250"/>
      <c r="AE153" s="250"/>
    </row>
    <row r="154" spans="1:31" ht="11.25">
      <c r="A154" s="848"/>
      <c r="B154" s="849"/>
      <c r="C154" s="849"/>
      <c r="D154" s="849"/>
      <c r="E154" s="250"/>
      <c r="F154" s="250"/>
      <c r="G154" s="250"/>
      <c r="H154" s="255"/>
      <c r="I154" s="255"/>
      <c r="J154" s="250"/>
      <c r="K154" s="250"/>
      <c r="L154" s="250"/>
      <c r="M154" s="250"/>
      <c r="N154" s="250"/>
      <c r="Q154" s="250"/>
      <c r="R154" s="250"/>
      <c r="S154" s="250"/>
      <c r="T154" s="250"/>
      <c r="W154" s="250"/>
      <c r="Z154" s="250"/>
      <c r="AA154" s="250"/>
      <c r="AB154" s="250"/>
      <c r="AC154" s="250"/>
      <c r="AD154" s="250"/>
      <c r="AE154" s="250"/>
    </row>
    <row r="155" spans="1:31" ht="11.25">
      <c r="A155" s="245"/>
      <c r="B155" s="457"/>
      <c r="C155" s="457"/>
      <c r="D155" s="457"/>
      <c r="E155" s="250"/>
      <c r="F155" s="250"/>
      <c r="G155" s="250"/>
      <c r="H155" s="255"/>
      <c r="I155" s="255"/>
      <c r="J155" s="250"/>
      <c r="K155" s="250"/>
      <c r="L155" s="250"/>
      <c r="M155" s="250"/>
      <c r="N155" s="250"/>
      <c r="R155" s="250"/>
      <c r="S155" s="250"/>
      <c r="T155" s="250"/>
      <c r="W155" s="250"/>
      <c r="Z155" s="250"/>
      <c r="AA155" s="250"/>
      <c r="AB155" s="250"/>
      <c r="AC155" s="250"/>
      <c r="AD155" s="250"/>
      <c r="AE155" s="250"/>
    </row>
    <row r="156" spans="1:31" ht="11.25">
      <c r="A156" s="458"/>
      <c r="B156" s="457"/>
      <c r="C156" s="457"/>
      <c r="D156" s="457"/>
      <c r="E156" s="250"/>
      <c r="F156" s="250"/>
      <c r="G156" s="250"/>
      <c r="H156" s="255"/>
      <c r="I156" s="255"/>
      <c r="J156" s="250"/>
      <c r="K156" s="250"/>
      <c r="L156" s="250"/>
      <c r="M156" s="250"/>
      <c r="N156" s="250"/>
      <c r="R156" s="250"/>
      <c r="S156" s="250"/>
      <c r="T156" s="250"/>
      <c r="W156" s="250"/>
      <c r="Z156" s="250"/>
      <c r="AA156" s="250"/>
      <c r="AB156" s="250"/>
      <c r="AC156" s="250"/>
      <c r="AD156" s="250"/>
      <c r="AE156" s="250"/>
    </row>
    <row r="157" spans="1:31" ht="11.25">
      <c r="A157" s="458"/>
      <c r="B157" s="457"/>
      <c r="C157" s="457"/>
      <c r="D157" s="457"/>
      <c r="E157" s="250"/>
      <c r="F157" s="250"/>
      <c r="G157" s="250"/>
      <c r="H157" s="255"/>
      <c r="I157" s="255"/>
      <c r="J157" s="250"/>
      <c r="K157" s="250"/>
      <c r="L157" s="250"/>
      <c r="M157" s="250"/>
      <c r="N157" s="250"/>
      <c r="R157" s="250"/>
      <c r="S157" s="250"/>
      <c r="T157" s="250"/>
      <c r="W157" s="250"/>
      <c r="Z157" s="250"/>
      <c r="AA157" s="250"/>
      <c r="AB157" s="250"/>
      <c r="AC157" s="250"/>
      <c r="AD157" s="250"/>
      <c r="AE157" s="250"/>
    </row>
    <row r="158" spans="1:14" ht="11.25">
      <c r="A158" s="459"/>
      <c r="B158" s="460"/>
      <c r="E158" s="250"/>
      <c r="F158" s="250"/>
      <c r="G158" s="250"/>
      <c r="H158" s="255"/>
      <c r="I158" s="255"/>
      <c r="J158" s="250"/>
      <c r="K158" s="250"/>
      <c r="L158" s="250"/>
      <c r="M158" s="250"/>
      <c r="N158" s="250"/>
    </row>
    <row r="159" spans="1:14" ht="11.25">
      <c r="A159" s="461"/>
      <c r="B159" s="460"/>
      <c r="E159" s="250"/>
      <c r="F159" s="250"/>
      <c r="G159" s="250"/>
      <c r="H159" s="255"/>
      <c r="I159" s="255"/>
      <c r="J159" s="250"/>
      <c r="K159" s="250"/>
      <c r="L159" s="250"/>
      <c r="M159" s="250"/>
      <c r="N159" s="250"/>
    </row>
    <row r="160" spans="1:14" ht="11.25">
      <c r="A160" s="461"/>
      <c r="B160" s="460"/>
      <c r="E160" s="250"/>
      <c r="F160" s="250"/>
      <c r="G160" s="250"/>
      <c r="H160" s="255"/>
      <c r="I160" s="255"/>
      <c r="J160" s="250"/>
      <c r="K160" s="250"/>
      <c r="L160" s="250"/>
      <c r="M160" s="250"/>
      <c r="N160" s="250"/>
    </row>
    <row r="161" spans="1:14" ht="11.25">
      <c r="A161" s="461"/>
      <c r="B161" s="460"/>
      <c r="E161" s="250"/>
      <c r="F161" s="250"/>
      <c r="G161" s="250"/>
      <c r="H161" s="255"/>
      <c r="I161" s="255"/>
      <c r="J161" s="250"/>
      <c r="K161" s="250"/>
      <c r="L161" s="250"/>
      <c r="M161" s="250"/>
      <c r="N161" s="250"/>
    </row>
    <row r="162" spans="1:14" ht="11.25">
      <c r="A162" s="461"/>
      <c r="B162" s="460"/>
      <c r="E162" s="250"/>
      <c r="F162" s="250"/>
      <c r="G162" s="250"/>
      <c r="H162" s="255"/>
      <c r="I162" s="255"/>
      <c r="J162" s="250"/>
      <c r="K162" s="250"/>
      <c r="L162" s="250"/>
      <c r="M162" s="250"/>
      <c r="N162" s="250"/>
    </row>
    <row r="163" spans="1:14" ht="11.25">
      <c r="A163" s="461"/>
      <c r="B163" s="460"/>
      <c r="E163" s="250"/>
      <c r="F163" s="250"/>
      <c r="G163" s="250"/>
      <c r="H163" s="255"/>
      <c r="I163" s="255"/>
      <c r="J163" s="250"/>
      <c r="K163" s="250"/>
      <c r="L163" s="250"/>
      <c r="M163" s="250"/>
      <c r="N163" s="250"/>
    </row>
    <row r="164" spans="1:14" ht="11.25">
      <c r="A164" s="461"/>
      <c r="B164" s="460"/>
      <c r="E164" s="250"/>
      <c r="F164" s="250"/>
      <c r="G164" s="250"/>
      <c r="H164" s="255"/>
      <c r="I164" s="255"/>
      <c r="J164" s="250"/>
      <c r="K164" s="250"/>
      <c r="L164" s="250"/>
      <c r="M164" s="250"/>
      <c r="N164" s="250"/>
    </row>
    <row r="165" spans="1:14" ht="11.25">
      <c r="A165" s="461"/>
      <c r="B165" s="460"/>
      <c r="E165" s="250"/>
      <c r="F165" s="250"/>
      <c r="G165" s="250"/>
      <c r="H165" s="255"/>
      <c r="I165" s="255"/>
      <c r="J165" s="250"/>
      <c r="K165" s="250"/>
      <c r="L165" s="250"/>
      <c r="M165" s="250"/>
      <c r="N165" s="250"/>
    </row>
    <row r="166" spans="1:14" ht="11.25">
      <c r="A166" s="461"/>
      <c r="B166" s="460"/>
      <c r="E166" s="250"/>
      <c r="F166" s="250"/>
      <c r="G166" s="250"/>
      <c r="H166" s="255"/>
      <c r="I166" s="255"/>
      <c r="J166" s="250"/>
      <c r="K166" s="250"/>
      <c r="L166" s="250"/>
      <c r="M166" s="250"/>
      <c r="N166" s="250"/>
    </row>
    <row r="167" spans="1:14" ht="11.25">
      <c r="A167" s="461"/>
      <c r="B167" s="460"/>
      <c r="E167" s="250"/>
      <c r="F167" s="250"/>
      <c r="G167" s="250"/>
      <c r="H167" s="255"/>
      <c r="I167" s="255"/>
      <c r="J167" s="250"/>
      <c r="K167" s="250"/>
      <c r="L167" s="250"/>
      <c r="M167" s="250"/>
      <c r="N167" s="250"/>
    </row>
    <row r="168" spans="1:14" ht="11.25">
      <c r="A168" s="461"/>
      <c r="B168" s="460"/>
      <c r="E168" s="250"/>
      <c r="F168" s="250"/>
      <c r="G168" s="250"/>
      <c r="H168" s="255"/>
      <c r="I168" s="255"/>
      <c r="J168" s="250"/>
      <c r="K168" s="250"/>
      <c r="L168" s="250"/>
      <c r="M168" s="250"/>
      <c r="N168" s="250"/>
    </row>
    <row r="169" spans="1:14" ht="11.25">
      <c r="A169" s="461"/>
      <c r="B169" s="460"/>
      <c r="E169" s="250"/>
      <c r="F169" s="250"/>
      <c r="G169" s="250"/>
      <c r="H169" s="255"/>
      <c r="I169" s="255"/>
      <c r="J169" s="250"/>
      <c r="K169" s="250"/>
      <c r="L169" s="250"/>
      <c r="M169" s="250"/>
      <c r="N169" s="250"/>
    </row>
    <row r="170" spans="1:14" ht="11.25">
      <c r="A170" s="461"/>
      <c r="B170" s="460"/>
      <c r="E170" s="250"/>
      <c r="F170" s="250"/>
      <c r="G170" s="250"/>
      <c r="H170" s="255"/>
      <c r="I170" s="255"/>
      <c r="J170" s="250"/>
      <c r="K170" s="250"/>
      <c r="L170" s="250"/>
      <c r="M170" s="250"/>
      <c r="N170" s="250"/>
    </row>
    <row r="171" spans="1:14" ht="11.25">
      <c r="A171" s="461"/>
      <c r="B171" s="460"/>
      <c r="E171" s="250"/>
      <c r="F171" s="250"/>
      <c r="G171" s="250"/>
      <c r="H171" s="255"/>
      <c r="I171" s="255"/>
      <c r="J171" s="250"/>
      <c r="K171" s="250"/>
      <c r="L171" s="250"/>
      <c r="M171" s="250"/>
      <c r="N171" s="250"/>
    </row>
    <row r="172" spans="1:14" ht="11.25">
      <c r="A172" s="461"/>
      <c r="B172" s="460"/>
      <c r="E172" s="250"/>
      <c r="F172" s="250"/>
      <c r="G172" s="250"/>
      <c r="H172" s="255"/>
      <c r="I172" s="255"/>
      <c r="J172" s="250"/>
      <c r="K172" s="250"/>
      <c r="L172" s="250"/>
      <c r="M172" s="250"/>
      <c r="N172" s="250"/>
    </row>
    <row r="173" spans="1:14" ht="11.25">
      <c r="A173" s="461"/>
      <c r="B173" s="460"/>
      <c r="E173" s="250"/>
      <c r="F173" s="250"/>
      <c r="G173" s="250"/>
      <c r="H173" s="255"/>
      <c r="I173" s="255"/>
      <c r="J173" s="250"/>
      <c r="K173" s="250"/>
      <c r="L173" s="250"/>
      <c r="M173" s="250"/>
      <c r="N173" s="250"/>
    </row>
    <row r="174" spans="1:14" ht="11.25">
      <c r="A174" s="462"/>
      <c r="B174" s="460"/>
      <c r="E174" s="250"/>
      <c r="F174" s="250"/>
      <c r="G174" s="250"/>
      <c r="H174" s="255"/>
      <c r="I174" s="255"/>
      <c r="J174" s="250"/>
      <c r="K174" s="250"/>
      <c r="L174" s="250"/>
      <c r="M174" s="250"/>
      <c r="N174" s="250"/>
    </row>
    <row r="175" spans="1:14" ht="11.25">
      <c r="A175" s="462"/>
      <c r="B175" s="460"/>
      <c r="E175" s="250"/>
      <c r="F175" s="250"/>
      <c r="G175" s="250"/>
      <c r="H175" s="255"/>
      <c r="I175" s="255"/>
      <c r="J175" s="250"/>
      <c r="K175" s="250"/>
      <c r="L175" s="250"/>
      <c r="M175" s="250"/>
      <c r="N175" s="250"/>
    </row>
    <row r="176" spans="1:14" ht="11.25">
      <c r="A176" s="462"/>
      <c r="B176" s="460"/>
      <c r="E176" s="250"/>
      <c r="F176" s="250"/>
      <c r="G176" s="250"/>
      <c r="H176" s="255"/>
      <c r="I176" s="255"/>
      <c r="J176" s="250"/>
      <c r="K176" s="250"/>
      <c r="L176" s="250"/>
      <c r="M176" s="250"/>
      <c r="N176" s="250"/>
    </row>
    <row r="177" spans="1:14" ht="11.25">
      <c r="A177" s="462"/>
      <c r="B177" s="460"/>
      <c r="E177" s="250"/>
      <c r="F177" s="250"/>
      <c r="G177" s="250"/>
      <c r="H177" s="255"/>
      <c r="I177" s="255"/>
      <c r="J177" s="250"/>
      <c r="K177" s="250"/>
      <c r="L177" s="250"/>
      <c r="M177" s="250"/>
      <c r="N177" s="250"/>
    </row>
    <row r="178" spans="1:14" ht="11.25">
      <c r="A178" s="462"/>
      <c r="B178" s="460"/>
      <c r="E178" s="250"/>
      <c r="F178" s="250"/>
      <c r="G178" s="250"/>
      <c r="H178" s="255"/>
      <c r="I178" s="255"/>
      <c r="J178" s="250"/>
      <c r="K178" s="250"/>
      <c r="L178" s="250"/>
      <c r="M178" s="250"/>
      <c r="N178" s="250"/>
    </row>
    <row r="179" spans="1:14" ht="11.25">
      <c r="A179" s="462"/>
      <c r="B179" s="460"/>
      <c r="E179" s="250"/>
      <c r="F179" s="250"/>
      <c r="G179" s="250"/>
      <c r="H179" s="255"/>
      <c r="I179" s="255"/>
      <c r="J179" s="250"/>
      <c r="K179" s="250"/>
      <c r="L179" s="250"/>
      <c r="M179" s="250"/>
      <c r="N179" s="250"/>
    </row>
    <row r="180" spans="1:14" ht="11.25">
      <c r="A180" s="462"/>
      <c r="B180" s="460"/>
      <c r="E180" s="250"/>
      <c r="F180" s="250"/>
      <c r="G180" s="250"/>
      <c r="H180" s="255"/>
      <c r="I180" s="255"/>
      <c r="J180" s="250"/>
      <c r="K180" s="250"/>
      <c r="L180" s="250"/>
      <c r="M180" s="250"/>
      <c r="N180" s="250"/>
    </row>
    <row r="181" spans="1:14" ht="11.25">
      <c r="A181" s="462"/>
      <c r="B181" s="460"/>
      <c r="E181" s="250"/>
      <c r="F181" s="250"/>
      <c r="G181" s="250"/>
      <c r="H181" s="255"/>
      <c r="I181" s="255"/>
      <c r="J181" s="250"/>
      <c r="K181" s="250"/>
      <c r="L181" s="250"/>
      <c r="M181" s="250"/>
      <c r="N181" s="250"/>
    </row>
    <row r="182" spans="1:14" ht="11.25">
      <c r="A182" s="462"/>
      <c r="B182" s="460"/>
      <c r="E182" s="250"/>
      <c r="F182" s="250"/>
      <c r="G182" s="250"/>
      <c r="H182" s="255"/>
      <c r="I182" s="255"/>
      <c r="J182" s="250"/>
      <c r="K182" s="250"/>
      <c r="L182" s="250"/>
      <c r="M182" s="250"/>
      <c r="N182" s="250"/>
    </row>
    <row r="183" spans="1:14" ht="11.25">
      <c r="A183" s="462"/>
      <c r="B183" s="460"/>
      <c r="E183" s="250"/>
      <c r="F183" s="250"/>
      <c r="G183" s="250"/>
      <c r="H183" s="255"/>
      <c r="I183" s="255"/>
      <c r="J183" s="250"/>
      <c r="K183" s="250"/>
      <c r="L183" s="250"/>
      <c r="M183" s="250"/>
      <c r="N183" s="250"/>
    </row>
    <row r="184" spans="1:14" ht="11.25">
      <c r="A184" s="462"/>
      <c r="B184" s="460"/>
      <c r="E184" s="250"/>
      <c r="F184" s="250"/>
      <c r="G184" s="250"/>
      <c r="H184" s="255"/>
      <c r="I184" s="255"/>
      <c r="J184" s="250"/>
      <c r="K184" s="250"/>
      <c r="L184" s="250"/>
      <c r="M184" s="250"/>
      <c r="N184" s="250"/>
    </row>
    <row r="185" spans="1:14" ht="11.25">
      <c r="A185" s="462"/>
      <c r="B185" s="460"/>
      <c r="E185" s="250"/>
      <c r="F185" s="250"/>
      <c r="G185" s="250"/>
      <c r="H185" s="255"/>
      <c r="I185" s="255"/>
      <c r="J185" s="250"/>
      <c r="K185" s="250"/>
      <c r="L185" s="250"/>
      <c r="M185" s="250"/>
      <c r="N185" s="250"/>
    </row>
    <row r="186" spans="1:14" ht="11.25">
      <c r="A186" s="462"/>
      <c r="B186" s="460"/>
      <c r="E186" s="250"/>
      <c r="F186" s="250"/>
      <c r="G186" s="250"/>
      <c r="H186" s="255"/>
      <c r="I186" s="255"/>
      <c r="J186" s="250"/>
      <c r="K186" s="250"/>
      <c r="L186" s="250"/>
      <c r="M186" s="250"/>
      <c r="N186" s="250"/>
    </row>
    <row r="187" spans="1:14" ht="11.25">
      <c r="A187" s="462"/>
      <c r="B187" s="460"/>
      <c r="E187" s="250"/>
      <c r="F187" s="250"/>
      <c r="G187" s="250"/>
      <c r="H187" s="255"/>
      <c r="I187" s="255"/>
      <c r="J187" s="250"/>
      <c r="K187" s="250"/>
      <c r="L187" s="250"/>
      <c r="M187" s="250"/>
      <c r="N187" s="250"/>
    </row>
    <row r="188" spans="1:14" ht="11.25">
      <c r="A188" s="462"/>
      <c r="B188" s="460"/>
      <c r="E188" s="250"/>
      <c r="F188" s="250"/>
      <c r="G188" s="250"/>
      <c r="H188" s="255"/>
      <c r="I188" s="255"/>
      <c r="J188" s="250"/>
      <c r="K188" s="250"/>
      <c r="L188" s="250"/>
      <c r="M188" s="250"/>
      <c r="N188" s="250"/>
    </row>
    <row r="189" spans="1:14" ht="11.25">
      <c r="A189" s="462"/>
      <c r="B189" s="460"/>
      <c r="E189" s="250"/>
      <c r="F189" s="250"/>
      <c r="G189" s="250"/>
      <c r="H189" s="255"/>
      <c r="I189" s="255"/>
      <c r="J189" s="250"/>
      <c r="K189" s="250"/>
      <c r="L189" s="250"/>
      <c r="M189" s="250"/>
      <c r="N189" s="250"/>
    </row>
    <row r="190" spans="1:14" ht="11.25">
      <c r="A190" s="462"/>
      <c r="B190" s="460"/>
      <c r="E190" s="250"/>
      <c r="F190" s="250"/>
      <c r="G190" s="250"/>
      <c r="H190" s="255"/>
      <c r="I190" s="255"/>
      <c r="J190" s="250"/>
      <c r="K190" s="250"/>
      <c r="L190" s="250"/>
      <c r="M190" s="250"/>
      <c r="N190" s="250"/>
    </row>
    <row r="191" spans="1:14" ht="11.25">
      <c r="A191" s="462"/>
      <c r="B191" s="460"/>
      <c r="E191" s="250"/>
      <c r="F191" s="250"/>
      <c r="G191" s="250"/>
      <c r="H191" s="255"/>
      <c r="I191" s="255"/>
      <c r="J191" s="250"/>
      <c r="K191" s="250"/>
      <c r="L191" s="250"/>
      <c r="M191" s="250"/>
      <c r="N191" s="250"/>
    </row>
    <row r="192" spans="1:14" ht="11.25">
      <c r="A192" s="462"/>
      <c r="B192" s="460"/>
      <c r="E192" s="250"/>
      <c r="F192" s="250"/>
      <c r="G192" s="250"/>
      <c r="H192" s="255"/>
      <c r="I192" s="255"/>
      <c r="J192" s="250"/>
      <c r="K192" s="250"/>
      <c r="L192" s="250"/>
      <c r="M192" s="250"/>
      <c r="N192" s="250"/>
    </row>
    <row r="193" spans="1:14" ht="11.25">
      <c r="A193" s="462"/>
      <c r="B193" s="460"/>
      <c r="E193" s="250"/>
      <c r="F193" s="250"/>
      <c r="G193" s="250"/>
      <c r="H193" s="255"/>
      <c r="I193" s="255"/>
      <c r="J193" s="250"/>
      <c r="K193" s="250"/>
      <c r="L193" s="250"/>
      <c r="M193" s="250"/>
      <c r="N193" s="250"/>
    </row>
    <row r="194" spans="1:14" ht="11.25">
      <c r="A194" s="462"/>
      <c r="B194" s="460"/>
      <c r="E194" s="250"/>
      <c r="F194" s="250"/>
      <c r="G194" s="250"/>
      <c r="H194" s="255"/>
      <c r="I194" s="255"/>
      <c r="J194" s="250"/>
      <c r="K194" s="250"/>
      <c r="L194" s="250"/>
      <c r="M194" s="250"/>
      <c r="N194" s="250"/>
    </row>
    <row r="195" spans="1:14" ht="11.25">
      <c r="A195" s="462"/>
      <c r="B195" s="460"/>
      <c r="E195" s="250"/>
      <c r="F195" s="250"/>
      <c r="G195" s="250"/>
      <c r="H195" s="255"/>
      <c r="I195" s="255"/>
      <c r="J195" s="250"/>
      <c r="K195" s="250"/>
      <c r="L195" s="250"/>
      <c r="M195" s="250"/>
      <c r="N195" s="250"/>
    </row>
    <row r="196" spans="1:14" ht="11.25">
      <c r="A196" s="462"/>
      <c r="B196" s="460"/>
      <c r="E196" s="250"/>
      <c r="F196" s="250"/>
      <c r="G196" s="250"/>
      <c r="H196" s="255"/>
      <c r="I196" s="255"/>
      <c r="J196" s="250"/>
      <c r="K196" s="250"/>
      <c r="L196" s="250"/>
      <c r="M196" s="250"/>
      <c r="N196" s="250"/>
    </row>
    <row r="197" spans="1:14" ht="11.25">
      <c r="A197" s="462"/>
      <c r="B197" s="460"/>
      <c r="E197" s="250"/>
      <c r="F197" s="250"/>
      <c r="G197" s="250"/>
      <c r="H197" s="255"/>
      <c r="I197" s="255"/>
      <c r="J197" s="250"/>
      <c r="K197" s="250"/>
      <c r="L197" s="250"/>
      <c r="M197" s="250"/>
      <c r="N197" s="250"/>
    </row>
    <row r="198" spans="1:14" ht="11.25">
      <c r="A198" s="462"/>
      <c r="B198" s="460"/>
      <c r="E198" s="250"/>
      <c r="F198" s="250"/>
      <c r="G198" s="250"/>
      <c r="H198" s="255"/>
      <c r="I198" s="255"/>
      <c r="J198" s="250"/>
      <c r="K198" s="250"/>
      <c r="L198" s="250"/>
      <c r="M198" s="250"/>
      <c r="N198" s="250"/>
    </row>
    <row r="199" spans="1:14" ht="11.25">
      <c r="A199" s="462"/>
      <c r="B199" s="460"/>
      <c r="E199" s="250"/>
      <c r="F199" s="250"/>
      <c r="G199" s="250"/>
      <c r="H199" s="255"/>
      <c r="I199" s="255"/>
      <c r="J199" s="250"/>
      <c r="K199" s="250"/>
      <c r="L199" s="250"/>
      <c r="M199" s="250"/>
      <c r="N199" s="250"/>
    </row>
    <row r="200" spans="1:14" ht="11.25">
      <c r="A200" s="462"/>
      <c r="B200" s="460"/>
      <c r="E200" s="250"/>
      <c r="F200" s="250"/>
      <c r="G200" s="250"/>
      <c r="H200" s="255"/>
      <c r="I200" s="255"/>
      <c r="J200" s="250"/>
      <c r="K200" s="250"/>
      <c r="L200" s="250"/>
      <c r="M200" s="250"/>
      <c r="N200" s="250"/>
    </row>
    <row r="201" spans="1:14" ht="11.25">
      <c r="A201" s="462"/>
      <c r="B201" s="460"/>
      <c r="E201" s="250"/>
      <c r="F201" s="250"/>
      <c r="G201" s="250"/>
      <c r="H201" s="255"/>
      <c r="I201" s="255"/>
      <c r="J201" s="250"/>
      <c r="K201" s="250"/>
      <c r="L201" s="250"/>
      <c r="M201" s="250"/>
      <c r="N201" s="250"/>
    </row>
    <row r="202" spans="1:14" ht="11.25">
      <c r="A202" s="462"/>
      <c r="B202" s="460"/>
      <c r="E202" s="250"/>
      <c r="F202" s="250"/>
      <c r="G202" s="250"/>
      <c r="H202" s="255"/>
      <c r="I202" s="255"/>
      <c r="J202" s="250"/>
      <c r="K202" s="250"/>
      <c r="L202" s="250"/>
      <c r="M202" s="250"/>
      <c r="N202" s="250"/>
    </row>
    <row r="203" spans="1:14" ht="11.25">
      <c r="A203" s="462"/>
      <c r="B203" s="460"/>
      <c r="E203" s="250"/>
      <c r="F203" s="250"/>
      <c r="G203" s="250"/>
      <c r="H203" s="255"/>
      <c r="I203" s="255"/>
      <c r="J203" s="250"/>
      <c r="K203" s="250"/>
      <c r="L203" s="250"/>
      <c r="M203" s="250"/>
      <c r="N203" s="250"/>
    </row>
    <row r="204" spans="1:14" ht="11.25">
      <c r="A204" s="462"/>
      <c r="E204" s="250"/>
      <c r="F204" s="250"/>
      <c r="G204" s="250"/>
      <c r="H204" s="255"/>
      <c r="I204" s="255"/>
      <c r="J204" s="250"/>
      <c r="K204" s="250"/>
      <c r="L204" s="250"/>
      <c r="M204" s="250"/>
      <c r="N204" s="250"/>
    </row>
    <row r="205" spans="1:14" ht="11.25">
      <c r="A205" s="462"/>
      <c r="E205" s="250"/>
      <c r="F205" s="250"/>
      <c r="G205" s="250"/>
      <c r="H205" s="255"/>
      <c r="I205" s="255"/>
      <c r="J205" s="250"/>
      <c r="K205" s="250"/>
      <c r="L205" s="250"/>
      <c r="M205" s="250"/>
      <c r="N205" s="250"/>
    </row>
    <row r="206" spans="1:14" ht="11.25">
      <c r="A206" s="462"/>
      <c r="E206" s="250"/>
      <c r="F206" s="250"/>
      <c r="G206" s="250"/>
      <c r="H206" s="255"/>
      <c r="I206" s="255"/>
      <c r="J206" s="250"/>
      <c r="K206" s="250"/>
      <c r="L206" s="250"/>
      <c r="M206" s="250"/>
      <c r="N206" s="250"/>
    </row>
    <row r="207" spans="1:14" ht="11.25">
      <c r="A207" s="462"/>
      <c r="E207" s="250"/>
      <c r="F207" s="250"/>
      <c r="G207" s="250"/>
      <c r="H207" s="255"/>
      <c r="I207" s="255"/>
      <c r="J207" s="250"/>
      <c r="K207" s="250"/>
      <c r="L207" s="250"/>
      <c r="M207" s="250"/>
      <c r="N207" s="250"/>
    </row>
    <row r="208" spans="1:14" ht="11.25">
      <c r="A208" s="462"/>
      <c r="E208" s="250"/>
      <c r="F208" s="250"/>
      <c r="G208" s="250"/>
      <c r="H208" s="255"/>
      <c r="I208" s="255"/>
      <c r="J208" s="250"/>
      <c r="K208" s="250"/>
      <c r="L208" s="250"/>
      <c r="M208" s="250"/>
      <c r="N208" s="250"/>
    </row>
    <row r="209" spans="1:14" ht="11.25">
      <c r="A209" s="462"/>
      <c r="E209" s="250"/>
      <c r="F209" s="250"/>
      <c r="G209" s="250"/>
      <c r="H209" s="255"/>
      <c r="I209" s="255"/>
      <c r="J209" s="250"/>
      <c r="K209" s="250"/>
      <c r="L209" s="250"/>
      <c r="M209" s="250"/>
      <c r="N209" s="250"/>
    </row>
    <row r="210" spans="1:14" ht="11.25">
      <c r="A210" s="462"/>
      <c r="E210" s="250"/>
      <c r="F210" s="250"/>
      <c r="G210" s="250"/>
      <c r="H210" s="255"/>
      <c r="I210" s="255"/>
      <c r="J210" s="250"/>
      <c r="K210" s="250"/>
      <c r="L210" s="250"/>
      <c r="M210" s="250"/>
      <c r="N210" s="250"/>
    </row>
    <row r="211" spans="1:14" ht="11.25">
      <c r="A211" s="462"/>
      <c r="E211" s="250"/>
      <c r="F211" s="250"/>
      <c r="G211" s="250"/>
      <c r="H211" s="255"/>
      <c r="I211" s="255"/>
      <c r="J211" s="250"/>
      <c r="K211" s="250"/>
      <c r="L211" s="250"/>
      <c r="M211" s="250"/>
      <c r="N211" s="250"/>
    </row>
    <row r="212" spans="1:14" ht="11.25">
      <c r="A212" s="462"/>
      <c r="E212" s="250"/>
      <c r="F212" s="250"/>
      <c r="G212" s="250"/>
      <c r="H212" s="255"/>
      <c r="I212" s="255"/>
      <c r="J212" s="250"/>
      <c r="K212" s="250"/>
      <c r="L212" s="250"/>
      <c r="M212" s="250"/>
      <c r="N212" s="250"/>
    </row>
    <row r="213" spans="1:14" ht="11.25">
      <c r="A213" s="462"/>
      <c r="E213" s="250"/>
      <c r="F213" s="250"/>
      <c r="G213" s="250"/>
      <c r="H213" s="255"/>
      <c r="I213" s="255"/>
      <c r="J213" s="250"/>
      <c r="K213" s="250"/>
      <c r="L213" s="250"/>
      <c r="M213" s="250"/>
      <c r="N213" s="250"/>
    </row>
    <row r="214" spans="1:14" ht="11.25">
      <c r="A214" s="462"/>
      <c r="E214" s="250"/>
      <c r="F214" s="250"/>
      <c r="G214" s="250"/>
      <c r="H214" s="255"/>
      <c r="I214" s="255"/>
      <c r="J214" s="250"/>
      <c r="K214" s="250"/>
      <c r="L214" s="250"/>
      <c r="M214" s="250"/>
      <c r="N214" s="250"/>
    </row>
    <row r="215" spans="5:14" ht="11.25">
      <c r="E215" s="250"/>
      <c r="F215" s="250"/>
      <c r="G215" s="250"/>
      <c r="H215" s="255"/>
      <c r="I215" s="255"/>
      <c r="J215" s="250"/>
      <c r="K215" s="250"/>
      <c r="L215" s="250"/>
      <c r="M215" s="250"/>
      <c r="N215" s="250"/>
    </row>
    <row r="216" spans="5:14" ht="11.25">
      <c r="E216" s="250"/>
      <c r="F216" s="250"/>
      <c r="G216" s="250"/>
      <c r="H216" s="255"/>
      <c r="I216" s="255"/>
      <c r="J216" s="250"/>
      <c r="K216" s="250"/>
      <c r="L216" s="250"/>
      <c r="M216" s="250"/>
      <c r="N216" s="250"/>
    </row>
    <row r="217" spans="5:14" ht="11.25">
      <c r="E217" s="250"/>
      <c r="F217" s="250"/>
      <c r="G217" s="250"/>
      <c r="H217" s="255"/>
      <c r="I217" s="255"/>
      <c r="J217" s="250"/>
      <c r="K217" s="250"/>
      <c r="L217" s="250"/>
      <c r="M217" s="250"/>
      <c r="N217" s="250"/>
    </row>
    <row r="218" spans="5:14" ht="11.25">
      <c r="E218" s="250"/>
      <c r="F218" s="250"/>
      <c r="G218" s="250"/>
      <c r="H218" s="255"/>
      <c r="I218" s="255"/>
      <c r="J218" s="250"/>
      <c r="K218" s="250"/>
      <c r="L218" s="250"/>
      <c r="M218" s="250"/>
      <c r="N218" s="250"/>
    </row>
    <row r="219" spans="5:14" ht="11.25">
      <c r="E219" s="250"/>
      <c r="F219" s="250"/>
      <c r="G219" s="250"/>
      <c r="H219" s="255"/>
      <c r="I219" s="255"/>
      <c r="J219" s="250"/>
      <c r="K219" s="250"/>
      <c r="L219" s="250"/>
      <c r="M219" s="250"/>
      <c r="N219" s="250"/>
    </row>
    <row r="220" spans="5:14" ht="11.25">
      <c r="E220" s="250"/>
      <c r="F220" s="250"/>
      <c r="G220" s="250"/>
      <c r="H220" s="255"/>
      <c r="I220" s="255"/>
      <c r="J220" s="250"/>
      <c r="K220" s="250"/>
      <c r="L220" s="250"/>
      <c r="M220" s="250"/>
      <c r="N220" s="250"/>
    </row>
    <row r="221" spans="5:14" ht="11.25">
      <c r="E221" s="250"/>
      <c r="F221" s="250"/>
      <c r="G221" s="250"/>
      <c r="H221" s="255"/>
      <c r="I221" s="255"/>
      <c r="J221" s="250"/>
      <c r="K221" s="250"/>
      <c r="L221" s="250"/>
      <c r="M221" s="250"/>
      <c r="N221" s="250"/>
    </row>
    <row r="222" spans="5:14" ht="11.25">
      <c r="E222" s="250"/>
      <c r="F222" s="250"/>
      <c r="G222" s="250"/>
      <c r="H222" s="255"/>
      <c r="I222" s="255"/>
      <c r="J222" s="250"/>
      <c r="K222" s="250"/>
      <c r="L222" s="250"/>
      <c r="M222" s="250"/>
      <c r="N222" s="250"/>
    </row>
    <row r="223" spans="5:14" ht="11.25">
      <c r="E223" s="250"/>
      <c r="F223" s="250"/>
      <c r="G223" s="250"/>
      <c r="H223" s="255"/>
      <c r="I223" s="255"/>
      <c r="J223" s="250"/>
      <c r="K223" s="250"/>
      <c r="L223" s="250"/>
      <c r="M223" s="250"/>
      <c r="N223" s="250"/>
    </row>
    <row r="224" spans="5:14" ht="11.25">
      <c r="E224" s="250"/>
      <c r="F224" s="250"/>
      <c r="G224" s="250"/>
      <c r="H224" s="255"/>
      <c r="I224" s="255"/>
      <c r="J224" s="250"/>
      <c r="K224" s="250"/>
      <c r="L224" s="250"/>
      <c r="M224" s="250"/>
      <c r="N224" s="250"/>
    </row>
    <row r="225" spans="1:14" ht="11.25">
      <c r="A225" s="463"/>
      <c r="E225" s="250"/>
      <c r="F225" s="250"/>
      <c r="G225" s="250"/>
      <c r="H225" s="255"/>
      <c r="I225" s="255"/>
      <c r="J225" s="250"/>
      <c r="K225" s="250"/>
      <c r="L225" s="250"/>
      <c r="M225" s="250"/>
      <c r="N225" s="250"/>
    </row>
    <row r="226" spans="5:14" ht="11.25">
      <c r="E226" s="250"/>
      <c r="F226" s="250"/>
      <c r="G226" s="250"/>
      <c r="H226" s="255"/>
      <c r="I226" s="255"/>
      <c r="J226" s="250"/>
      <c r="K226" s="250"/>
      <c r="L226" s="250"/>
      <c r="M226" s="250"/>
      <c r="N226" s="250"/>
    </row>
    <row r="227" spans="5:14" ht="11.25">
      <c r="E227" s="250"/>
      <c r="F227" s="250"/>
      <c r="G227" s="250"/>
      <c r="H227" s="255"/>
      <c r="I227" s="255"/>
      <c r="J227" s="250"/>
      <c r="K227" s="250"/>
      <c r="L227" s="250"/>
      <c r="M227" s="250"/>
      <c r="N227" s="250"/>
    </row>
    <row r="228" spans="1:14" ht="11.25">
      <c r="A228" s="464"/>
      <c r="E228" s="250"/>
      <c r="F228" s="250"/>
      <c r="G228" s="250"/>
      <c r="H228" s="255"/>
      <c r="I228" s="255"/>
      <c r="J228" s="250"/>
      <c r="K228" s="250"/>
      <c r="L228" s="250"/>
      <c r="M228" s="250"/>
      <c r="N228" s="250"/>
    </row>
    <row r="229" spans="5:14" ht="11.25">
      <c r="E229" s="250"/>
      <c r="F229" s="250"/>
      <c r="G229" s="250"/>
      <c r="H229" s="255"/>
      <c r="I229" s="255"/>
      <c r="J229" s="250"/>
      <c r="K229" s="250"/>
      <c r="L229" s="250"/>
      <c r="M229" s="250"/>
      <c r="N229" s="250"/>
    </row>
    <row r="230" spans="5:14" ht="11.25">
      <c r="E230" s="250"/>
      <c r="F230" s="250"/>
      <c r="G230" s="250"/>
      <c r="H230" s="255"/>
      <c r="I230" s="255"/>
      <c r="J230" s="250"/>
      <c r="K230" s="250"/>
      <c r="L230" s="250"/>
      <c r="M230" s="250"/>
      <c r="N230" s="250"/>
    </row>
    <row r="231" spans="5:14" ht="11.25">
      <c r="E231" s="250"/>
      <c r="F231" s="250"/>
      <c r="G231" s="250"/>
      <c r="H231" s="255"/>
      <c r="I231" s="255"/>
      <c r="J231" s="250"/>
      <c r="K231" s="250"/>
      <c r="L231" s="250"/>
      <c r="M231" s="250"/>
      <c r="N231" s="250"/>
    </row>
    <row r="232" spans="5:14" ht="11.25">
      <c r="E232" s="250"/>
      <c r="F232" s="250"/>
      <c r="G232" s="250"/>
      <c r="H232" s="255"/>
      <c r="I232" s="255"/>
      <c r="J232" s="250"/>
      <c r="K232" s="250"/>
      <c r="L232" s="250"/>
      <c r="M232" s="250"/>
      <c r="N232" s="250"/>
    </row>
    <row r="233" spans="5:14" ht="11.25">
      <c r="E233" s="250"/>
      <c r="F233" s="250"/>
      <c r="G233" s="250"/>
      <c r="H233" s="255"/>
      <c r="I233" s="255"/>
      <c r="J233" s="250"/>
      <c r="K233" s="250"/>
      <c r="L233" s="250"/>
      <c r="M233" s="250"/>
      <c r="N233" s="250"/>
    </row>
    <row r="234" spans="5:14" ht="11.25">
      <c r="E234" s="250"/>
      <c r="F234" s="250"/>
      <c r="G234" s="250"/>
      <c r="H234" s="255"/>
      <c r="I234" s="255"/>
      <c r="J234" s="250"/>
      <c r="K234" s="250"/>
      <c r="L234" s="250"/>
      <c r="M234" s="250"/>
      <c r="N234" s="250"/>
    </row>
    <row r="235" spans="5:14" ht="11.25">
      <c r="E235" s="250"/>
      <c r="F235" s="250"/>
      <c r="G235" s="250"/>
      <c r="H235" s="255"/>
      <c r="I235" s="255"/>
      <c r="J235" s="250"/>
      <c r="K235" s="250"/>
      <c r="L235" s="250"/>
      <c r="M235" s="250"/>
      <c r="N235" s="250"/>
    </row>
    <row r="236" spans="5:14" ht="11.25">
      <c r="E236" s="250"/>
      <c r="F236" s="250"/>
      <c r="G236" s="250"/>
      <c r="H236" s="255"/>
      <c r="I236" s="255"/>
      <c r="J236" s="250"/>
      <c r="K236" s="250"/>
      <c r="L236" s="250"/>
      <c r="M236" s="250"/>
      <c r="N236" s="250"/>
    </row>
    <row r="237" spans="5:14" ht="11.25">
      <c r="E237" s="250"/>
      <c r="F237" s="250"/>
      <c r="G237" s="250"/>
      <c r="H237" s="255"/>
      <c r="I237" s="255"/>
      <c r="J237" s="250"/>
      <c r="K237" s="250"/>
      <c r="L237" s="250"/>
      <c r="M237" s="250"/>
      <c r="N237" s="250"/>
    </row>
    <row r="238" spans="5:14" ht="11.25">
      <c r="E238" s="250"/>
      <c r="F238" s="250"/>
      <c r="G238" s="250"/>
      <c r="H238" s="255"/>
      <c r="I238" s="255"/>
      <c r="J238" s="250"/>
      <c r="K238" s="250"/>
      <c r="L238" s="250"/>
      <c r="M238" s="250"/>
      <c r="N238" s="250"/>
    </row>
    <row r="239" spans="5:14" ht="11.25">
      <c r="E239" s="250"/>
      <c r="F239" s="250"/>
      <c r="G239" s="250"/>
      <c r="H239" s="255"/>
      <c r="I239" s="255"/>
      <c r="J239" s="250"/>
      <c r="K239" s="250"/>
      <c r="L239" s="250"/>
      <c r="M239" s="250"/>
      <c r="N239" s="250"/>
    </row>
    <row r="240" spans="5:14" ht="11.25">
      <c r="E240" s="250"/>
      <c r="F240" s="250"/>
      <c r="G240" s="250"/>
      <c r="H240" s="255"/>
      <c r="I240" s="255"/>
      <c r="J240" s="250"/>
      <c r="K240" s="250"/>
      <c r="L240" s="250"/>
      <c r="M240" s="250"/>
      <c r="N240" s="250"/>
    </row>
    <row r="241" spans="1:14" ht="11.25">
      <c r="A241" s="465"/>
      <c r="E241" s="250"/>
      <c r="F241" s="250"/>
      <c r="G241" s="250"/>
      <c r="H241" s="255"/>
      <c r="I241" s="255"/>
      <c r="J241" s="250"/>
      <c r="K241" s="250"/>
      <c r="L241" s="250"/>
      <c r="M241" s="250"/>
      <c r="N241" s="250"/>
    </row>
    <row r="242" spans="1:14" ht="11.25">
      <c r="A242" s="465"/>
      <c r="E242" s="250"/>
      <c r="F242" s="250"/>
      <c r="G242" s="250"/>
      <c r="H242" s="255"/>
      <c r="I242" s="255"/>
      <c r="J242" s="250"/>
      <c r="K242" s="250"/>
      <c r="L242" s="250"/>
      <c r="M242" s="250"/>
      <c r="N242" s="250"/>
    </row>
    <row r="243" spans="5:14" ht="11.25">
      <c r="E243" s="250"/>
      <c r="F243" s="250"/>
      <c r="G243" s="250"/>
      <c r="H243" s="255"/>
      <c r="I243" s="255"/>
      <c r="J243" s="250"/>
      <c r="K243" s="250"/>
      <c r="L243" s="250"/>
      <c r="M243" s="250"/>
      <c r="N243" s="250"/>
    </row>
    <row r="244" spans="5:14" ht="11.25">
      <c r="E244" s="250"/>
      <c r="F244" s="250"/>
      <c r="G244" s="250"/>
      <c r="H244" s="255"/>
      <c r="I244" s="255"/>
      <c r="J244" s="250"/>
      <c r="K244" s="250"/>
      <c r="L244" s="250"/>
      <c r="M244" s="250"/>
      <c r="N244" s="250"/>
    </row>
    <row r="245" spans="5:14" ht="11.25">
      <c r="E245" s="250"/>
      <c r="F245" s="250"/>
      <c r="G245" s="250"/>
      <c r="H245" s="255"/>
      <c r="I245" s="255"/>
      <c r="J245" s="250"/>
      <c r="K245" s="250"/>
      <c r="L245" s="250"/>
      <c r="M245" s="250"/>
      <c r="N245" s="250"/>
    </row>
    <row r="246" spans="5:14" ht="11.25">
      <c r="E246" s="250"/>
      <c r="F246" s="250"/>
      <c r="G246" s="250"/>
      <c r="H246" s="255"/>
      <c r="I246" s="255"/>
      <c r="J246" s="250"/>
      <c r="K246" s="250"/>
      <c r="L246" s="250"/>
      <c r="M246" s="250"/>
      <c r="N246" s="250"/>
    </row>
    <row r="247" spans="5:14" ht="11.25">
      <c r="E247" s="250"/>
      <c r="F247" s="250"/>
      <c r="G247" s="250"/>
      <c r="H247" s="255"/>
      <c r="I247" s="255"/>
      <c r="J247" s="250"/>
      <c r="K247" s="250"/>
      <c r="L247" s="250"/>
      <c r="M247" s="250"/>
      <c r="N247" s="250"/>
    </row>
    <row r="248" spans="5:14" ht="11.25">
      <c r="E248" s="250"/>
      <c r="F248" s="250"/>
      <c r="G248" s="250"/>
      <c r="H248" s="255"/>
      <c r="I248" s="255"/>
      <c r="J248" s="250"/>
      <c r="K248" s="250"/>
      <c r="L248" s="250"/>
      <c r="M248" s="250"/>
      <c r="N248" s="250"/>
    </row>
    <row r="249" spans="5:14" ht="11.25">
      <c r="E249" s="250"/>
      <c r="F249" s="250"/>
      <c r="G249" s="250"/>
      <c r="H249" s="255"/>
      <c r="I249" s="255"/>
      <c r="J249" s="250"/>
      <c r="K249" s="250"/>
      <c r="L249" s="250"/>
      <c r="M249" s="250"/>
      <c r="N249" s="250"/>
    </row>
    <row r="250" spans="5:14" ht="11.25">
      <c r="E250" s="250"/>
      <c r="F250" s="250"/>
      <c r="G250" s="250"/>
      <c r="H250" s="255"/>
      <c r="I250" s="255"/>
      <c r="J250" s="250"/>
      <c r="K250" s="250"/>
      <c r="L250" s="250"/>
      <c r="M250" s="250"/>
      <c r="N250" s="250"/>
    </row>
    <row r="251" spans="5:14" ht="11.25">
      <c r="E251" s="250"/>
      <c r="F251" s="250"/>
      <c r="G251" s="250"/>
      <c r="H251" s="255"/>
      <c r="I251" s="255"/>
      <c r="J251" s="250"/>
      <c r="K251" s="250"/>
      <c r="L251" s="250"/>
      <c r="M251" s="250"/>
      <c r="N251" s="250"/>
    </row>
    <row r="252" spans="5:14" ht="11.25">
      <c r="E252" s="250"/>
      <c r="F252" s="250"/>
      <c r="G252" s="250"/>
      <c r="H252" s="255"/>
      <c r="I252" s="255"/>
      <c r="J252" s="250"/>
      <c r="K252" s="250"/>
      <c r="L252" s="250"/>
      <c r="M252" s="250"/>
      <c r="N252" s="250"/>
    </row>
    <row r="253" spans="5:14" ht="11.25">
      <c r="E253" s="250"/>
      <c r="F253" s="250"/>
      <c r="G253" s="250"/>
      <c r="H253" s="255"/>
      <c r="I253" s="255"/>
      <c r="J253" s="250"/>
      <c r="K253" s="250"/>
      <c r="L253" s="250"/>
      <c r="M253" s="250"/>
      <c r="N253" s="250"/>
    </row>
    <row r="254" spans="5:14" ht="11.25">
      <c r="E254" s="250"/>
      <c r="F254" s="250"/>
      <c r="G254" s="250"/>
      <c r="H254" s="255"/>
      <c r="I254" s="255"/>
      <c r="J254" s="250"/>
      <c r="K254" s="250"/>
      <c r="L254" s="250"/>
      <c r="M254" s="250"/>
      <c r="N254" s="250"/>
    </row>
    <row r="255" spans="5:14" ht="11.25">
      <c r="E255" s="250"/>
      <c r="F255" s="250"/>
      <c r="G255" s="250"/>
      <c r="H255" s="255"/>
      <c r="I255" s="255"/>
      <c r="J255" s="250"/>
      <c r="K255" s="250"/>
      <c r="L255" s="250"/>
      <c r="M255" s="250"/>
      <c r="N255" s="250"/>
    </row>
    <row r="256" spans="5:14" ht="11.25">
      <c r="E256" s="250"/>
      <c r="F256" s="250"/>
      <c r="G256" s="250"/>
      <c r="H256" s="255"/>
      <c r="I256" s="255"/>
      <c r="J256" s="250"/>
      <c r="K256" s="250"/>
      <c r="L256" s="250"/>
      <c r="M256" s="250"/>
      <c r="N256" s="250"/>
    </row>
    <row r="257" spans="5:14" ht="11.25">
      <c r="E257" s="250"/>
      <c r="F257" s="250"/>
      <c r="G257" s="250"/>
      <c r="H257" s="255"/>
      <c r="I257" s="255"/>
      <c r="J257" s="250"/>
      <c r="K257" s="250"/>
      <c r="L257" s="250"/>
      <c r="M257" s="250"/>
      <c r="N257" s="250"/>
    </row>
    <row r="258" spans="5:14" ht="11.25">
      <c r="E258" s="250"/>
      <c r="F258" s="250"/>
      <c r="G258" s="250"/>
      <c r="H258" s="255"/>
      <c r="I258" s="255"/>
      <c r="J258" s="250"/>
      <c r="K258" s="250"/>
      <c r="L258" s="250"/>
      <c r="M258" s="250"/>
      <c r="N258" s="250"/>
    </row>
    <row r="259" spans="5:14" ht="11.25">
      <c r="E259" s="250"/>
      <c r="F259" s="250"/>
      <c r="G259" s="250"/>
      <c r="H259" s="255"/>
      <c r="I259" s="255"/>
      <c r="J259" s="250"/>
      <c r="K259" s="250"/>
      <c r="L259" s="250"/>
      <c r="M259" s="250"/>
      <c r="N259" s="250"/>
    </row>
    <row r="260" spans="5:14" ht="11.25">
      <c r="E260" s="250"/>
      <c r="F260" s="250"/>
      <c r="G260" s="250"/>
      <c r="H260" s="255"/>
      <c r="I260" s="255"/>
      <c r="J260" s="250"/>
      <c r="K260" s="250"/>
      <c r="L260" s="250"/>
      <c r="M260" s="250"/>
      <c r="N260" s="250"/>
    </row>
    <row r="261" spans="5:14" ht="11.25">
      <c r="E261" s="250"/>
      <c r="F261" s="250"/>
      <c r="G261" s="250"/>
      <c r="H261" s="255"/>
      <c r="I261" s="255"/>
      <c r="J261" s="250"/>
      <c r="K261" s="250"/>
      <c r="L261" s="250"/>
      <c r="M261" s="250"/>
      <c r="N261" s="250"/>
    </row>
    <row r="262" spans="5:14" ht="11.25">
      <c r="E262" s="250"/>
      <c r="F262" s="250"/>
      <c r="G262" s="250"/>
      <c r="H262" s="255"/>
      <c r="I262" s="255"/>
      <c r="J262" s="250"/>
      <c r="K262" s="250"/>
      <c r="L262" s="250"/>
      <c r="M262" s="250"/>
      <c r="N262" s="250"/>
    </row>
    <row r="263" spans="5:14" ht="11.25">
      <c r="E263" s="250"/>
      <c r="F263" s="250"/>
      <c r="G263" s="250"/>
      <c r="H263" s="255"/>
      <c r="I263" s="255"/>
      <c r="J263" s="250"/>
      <c r="K263" s="250"/>
      <c r="L263" s="250"/>
      <c r="M263" s="250"/>
      <c r="N263" s="250"/>
    </row>
    <row r="264" spans="5:14" ht="11.25">
      <c r="E264" s="250"/>
      <c r="F264" s="250"/>
      <c r="G264" s="250"/>
      <c r="H264" s="255"/>
      <c r="I264" s="255"/>
      <c r="J264" s="250"/>
      <c r="K264" s="250"/>
      <c r="L264" s="250"/>
      <c r="M264" s="250"/>
      <c r="N264" s="250"/>
    </row>
    <row r="265" spans="5:14" ht="11.25">
      <c r="E265" s="250"/>
      <c r="F265" s="250"/>
      <c r="G265" s="250"/>
      <c r="H265" s="255"/>
      <c r="I265" s="255"/>
      <c r="J265" s="250"/>
      <c r="K265" s="250"/>
      <c r="L265" s="250"/>
      <c r="M265" s="250"/>
      <c r="N265" s="250"/>
    </row>
    <row r="266" spans="5:14" ht="11.25">
      <c r="E266" s="250"/>
      <c r="F266" s="250"/>
      <c r="G266" s="250"/>
      <c r="H266" s="255"/>
      <c r="I266" s="255"/>
      <c r="J266" s="250"/>
      <c r="K266" s="250"/>
      <c r="L266" s="250"/>
      <c r="M266" s="250"/>
      <c r="N266" s="250"/>
    </row>
    <row r="267" spans="5:14" ht="11.25">
      <c r="E267" s="250"/>
      <c r="F267" s="250"/>
      <c r="G267" s="250"/>
      <c r="H267" s="255"/>
      <c r="I267" s="255"/>
      <c r="J267" s="250"/>
      <c r="K267" s="250"/>
      <c r="L267" s="250"/>
      <c r="M267" s="250"/>
      <c r="N267" s="250"/>
    </row>
    <row r="268" spans="5:14" ht="11.25">
      <c r="E268" s="250"/>
      <c r="F268" s="250"/>
      <c r="G268" s="250"/>
      <c r="H268" s="255"/>
      <c r="I268" s="255"/>
      <c r="J268" s="250"/>
      <c r="K268" s="250"/>
      <c r="L268" s="250"/>
      <c r="M268" s="250"/>
      <c r="N268" s="250"/>
    </row>
    <row r="269" spans="5:14" ht="11.25">
      <c r="E269" s="250"/>
      <c r="F269" s="250"/>
      <c r="G269" s="250"/>
      <c r="H269" s="255"/>
      <c r="I269" s="255"/>
      <c r="J269" s="250"/>
      <c r="K269" s="250"/>
      <c r="L269" s="250"/>
      <c r="M269" s="250"/>
      <c r="N269" s="250"/>
    </row>
    <row r="270" spans="5:14" ht="11.25">
      <c r="E270" s="250"/>
      <c r="F270" s="250"/>
      <c r="G270" s="250"/>
      <c r="H270" s="255"/>
      <c r="I270" s="255"/>
      <c r="J270" s="250"/>
      <c r="K270" s="250"/>
      <c r="L270" s="250"/>
      <c r="M270" s="250"/>
      <c r="N270" s="250"/>
    </row>
    <row r="271" spans="5:14" ht="11.25">
      <c r="E271" s="250"/>
      <c r="F271" s="250"/>
      <c r="G271" s="250"/>
      <c r="H271" s="255"/>
      <c r="I271" s="255"/>
      <c r="J271" s="250"/>
      <c r="K271" s="250"/>
      <c r="L271" s="250"/>
      <c r="M271" s="250"/>
      <c r="N271" s="250"/>
    </row>
    <row r="272" spans="5:14" ht="11.25">
      <c r="E272" s="250"/>
      <c r="F272" s="250"/>
      <c r="G272" s="250"/>
      <c r="H272" s="255"/>
      <c r="I272" s="255"/>
      <c r="J272" s="250"/>
      <c r="K272" s="250"/>
      <c r="L272" s="250"/>
      <c r="M272" s="250"/>
      <c r="N272" s="250"/>
    </row>
    <row r="273" spans="5:14" ht="11.25">
      <c r="E273" s="250"/>
      <c r="F273" s="250"/>
      <c r="G273" s="250"/>
      <c r="H273" s="255"/>
      <c r="I273" s="255"/>
      <c r="J273" s="250"/>
      <c r="K273" s="250"/>
      <c r="L273" s="250"/>
      <c r="M273" s="250"/>
      <c r="N273" s="250"/>
    </row>
    <row r="274" spans="5:14" ht="11.25">
      <c r="E274" s="250"/>
      <c r="F274" s="250"/>
      <c r="G274" s="250"/>
      <c r="H274" s="255"/>
      <c r="I274" s="255"/>
      <c r="J274" s="250"/>
      <c r="K274" s="250"/>
      <c r="L274" s="250"/>
      <c r="M274" s="250"/>
      <c r="N274" s="250"/>
    </row>
    <row r="275" spans="5:14" ht="11.25">
      <c r="E275" s="250"/>
      <c r="F275" s="250"/>
      <c r="G275" s="250"/>
      <c r="H275" s="255"/>
      <c r="I275" s="255"/>
      <c r="J275" s="250"/>
      <c r="K275" s="250"/>
      <c r="L275" s="250"/>
      <c r="M275" s="250"/>
      <c r="N275" s="250"/>
    </row>
    <row r="276" spans="5:14" ht="11.25">
      <c r="E276" s="250"/>
      <c r="F276" s="250"/>
      <c r="G276" s="250"/>
      <c r="H276" s="255"/>
      <c r="I276" s="255"/>
      <c r="J276" s="250"/>
      <c r="K276" s="250"/>
      <c r="L276" s="250"/>
      <c r="M276" s="250"/>
      <c r="N276" s="250"/>
    </row>
    <row r="277" spans="5:14" ht="11.25">
      <c r="E277" s="250"/>
      <c r="F277" s="250"/>
      <c r="G277" s="250"/>
      <c r="H277" s="255"/>
      <c r="I277" s="255"/>
      <c r="J277" s="250"/>
      <c r="K277" s="250"/>
      <c r="L277" s="250"/>
      <c r="M277" s="250"/>
      <c r="N277" s="250"/>
    </row>
    <row r="278" spans="5:14" ht="11.25">
      <c r="E278" s="250"/>
      <c r="F278" s="250"/>
      <c r="G278" s="250"/>
      <c r="H278" s="255"/>
      <c r="I278" s="255"/>
      <c r="J278" s="250"/>
      <c r="K278" s="250"/>
      <c r="L278" s="250"/>
      <c r="M278" s="250"/>
      <c r="N278" s="250"/>
    </row>
    <row r="279" spans="5:14" ht="11.25">
      <c r="E279" s="250"/>
      <c r="F279" s="250"/>
      <c r="G279" s="250"/>
      <c r="H279" s="255"/>
      <c r="I279" s="255"/>
      <c r="J279" s="250"/>
      <c r="K279" s="250"/>
      <c r="L279" s="250"/>
      <c r="M279" s="250"/>
      <c r="N279" s="250"/>
    </row>
    <row r="280" spans="5:14" ht="11.25">
      <c r="E280" s="250"/>
      <c r="F280" s="250"/>
      <c r="G280" s="250"/>
      <c r="H280" s="255"/>
      <c r="I280" s="255"/>
      <c r="J280" s="250"/>
      <c r="K280" s="250"/>
      <c r="L280" s="250"/>
      <c r="M280" s="250"/>
      <c r="N280" s="250"/>
    </row>
    <row r="281" spans="5:14" ht="11.25">
      <c r="E281" s="250"/>
      <c r="F281" s="250"/>
      <c r="G281" s="250"/>
      <c r="H281" s="255"/>
      <c r="I281" s="255"/>
      <c r="J281" s="250"/>
      <c r="K281" s="250"/>
      <c r="L281" s="250"/>
      <c r="M281" s="250"/>
      <c r="N281" s="250"/>
    </row>
    <row r="282" spans="5:14" ht="11.25">
      <c r="E282" s="250"/>
      <c r="F282" s="250"/>
      <c r="G282" s="250"/>
      <c r="H282" s="255"/>
      <c r="I282" s="255"/>
      <c r="J282" s="250"/>
      <c r="K282" s="250"/>
      <c r="L282" s="250"/>
      <c r="M282" s="250"/>
      <c r="N282" s="250"/>
    </row>
    <row r="283" spans="5:14" ht="11.25">
      <c r="E283" s="250"/>
      <c r="F283" s="250"/>
      <c r="G283" s="250"/>
      <c r="H283" s="255"/>
      <c r="I283" s="255"/>
      <c r="J283" s="250"/>
      <c r="K283" s="250"/>
      <c r="L283" s="250"/>
      <c r="M283" s="250"/>
      <c r="N283" s="250"/>
    </row>
    <row r="284" spans="5:14" ht="11.25">
      <c r="E284" s="250"/>
      <c r="F284" s="250"/>
      <c r="G284" s="250"/>
      <c r="H284" s="255"/>
      <c r="I284" s="255"/>
      <c r="J284" s="250"/>
      <c r="K284" s="250"/>
      <c r="L284" s="250"/>
      <c r="M284" s="250"/>
      <c r="N284" s="250"/>
    </row>
    <row r="285" spans="5:14" ht="11.25">
      <c r="E285" s="250"/>
      <c r="F285" s="250"/>
      <c r="G285" s="250"/>
      <c r="H285" s="255"/>
      <c r="I285" s="255"/>
      <c r="J285" s="250"/>
      <c r="K285" s="250"/>
      <c r="L285" s="250"/>
      <c r="M285" s="250"/>
      <c r="N285" s="250"/>
    </row>
    <row r="286" spans="5:14" ht="11.25">
      <c r="E286" s="250"/>
      <c r="F286" s="250"/>
      <c r="G286" s="250"/>
      <c r="H286" s="255"/>
      <c r="I286" s="255"/>
      <c r="J286" s="250"/>
      <c r="K286" s="250"/>
      <c r="L286" s="250"/>
      <c r="M286" s="250"/>
      <c r="N286" s="250"/>
    </row>
    <row r="287" spans="5:14" ht="11.25">
      <c r="E287" s="250"/>
      <c r="F287" s="250"/>
      <c r="G287" s="250"/>
      <c r="H287" s="255"/>
      <c r="I287" s="255"/>
      <c r="J287" s="250"/>
      <c r="K287" s="250"/>
      <c r="L287" s="250"/>
      <c r="M287" s="250"/>
      <c r="N287" s="250"/>
    </row>
    <row r="288" spans="5:14" ht="11.25">
      <c r="E288" s="250"/>
      <c r="F288" s="250"/>
      <c r="G288" s="250"/>
      <c r="H288" s="255"/>
      <c r="I288" s="255"/>
      <c r="J288" s="250"/>
      <c r="K288" s="250"/>
      <c r="L288" s="250"/>
      <c r="M288" s="250"/>
      <c r="N288" s="250"/>
    </row>
    <row r="289" spans="5:14" ht="11.25">
      <c r="E289" s="250"/>
      <c r="F289" s="250"/>
      <c r="G289" s="250"/>
      <c r="H289" s="255"/>
      <c r="I289" s="255"/>
      <c r="J289" s="250"/>
      <c r="K289" s="250"/>
      <c r="L289" s="250"/>
      <c r="M289" s="250"/>
      <c r="N289" s="250"/>
    </row>
    <row r="290" spans="5:14" ht="11.25">
      <c r="E290" s="250"/>
      <c r="F290" s="250"/>
      <c r="G290" s="250"/>
      <c r="H290" s="255"/>
      <c r="I290" s="255"/>
      <c r="J290" s="250"/>
      <c r="K290" s="250"/>
      <c r="L290" s="250"/>
      <c r="M290" s="250"/>
      <c r="N290" s="250"/>
    </row>
    <row r="291" spans="5:14" ht="11.25">
      <c r="E291" s="250"/>
      <c r="F291" s="250"/>
      <c r="G291" s="250"/>
      <c r="H291" s="255"/>
      <c r="I291" s="255"/>
      <c r="J291" s="250"/>
      <c r="K291" s="250"/>
      <c r="L291" s="250"/>
      <c r="M291" s="250"/>
      <c r="N291" s="250"/>
    </row>
    <row r="292" spans="5:14" ht="11.25">
      <c r="E292" s="250"/>
      <c r="F292" s="250"/>
      <c r="G292" s="250"/>
      <c r="H292" s="255"/>
      <c r="I292" s="255"/>
      <c r="J292" s="250"/>
      <c r="K292" s="250"/>
      <c r="L292" s="250"/>
      <c r="M292" s="250"/>
      <c r="N292" s="250"/>
    </row>
    <row r="293" spans="5:14" ht="11.25">
      <c r="E293" s="250"/>
      <c r="F293" s="250"/>
      <c r="G293" s="250"/>
      <c r="H293" s="255"/>
      <c r="I293" s="255"/>
      <c r="J293" s="250"/>
      <c r="K293" s="250"/>
      <c r="L293" s="250"/>
      <c r="M293" s="250"/>
      <c r="N293" s="250"/>
    </row>
    <row r="294" spans="5:14" ht="11.25">
      <c r="E294" s="250"/>
      <c r="F294" s="250"/>
      <c r="G294" s="250"/>
      <c r="H294" s="255"/>
      <c r="I294" s="255"/>
      <c r="J294" s="250"/>
      <c r="K294" s="250"/>
      <c r="L294" s="250"/>
      <c r="M294" s="250"/>
      <c r="N294" s="250"/>
    </row>
    <row r="295" spans="5:14" ht="11.25">
      <c r="E295" s="250"/>
      <c r="F295" s="250"/>
      <c r="G295" s="250"/>
      <c r="H295" s="255"/>
      <c r="I295" s="255"/>
      <c r="J295" s="250"/>
      <c r="K295" s="250"/>
      <c r="L295" s="250"/>
      <c r="M295" s="250"/>
      <c r="N295" s="250"/>
    </row>
    <row r="296" spans="5:14" ht="11.25">
      <c r="E296" s="250"/>
      <c r="F296" s="250"/>
      <c r="G296" s="250"/>
      <c r="H296" s="255"/>
      <c r="I296" s="255"/>
      <c r="J296" s="250"/>
      <c r="K296" s="250"/>
      <c r="L296" s="250"/>
      <c r="M296" s="250"/>
      <c r="N296" s="250"/>
    </row>
    <row r="297" spans="5:14" ht="11.25">
      <c r="E297" s="250"/>
      <c r="F297" s="250"/>
      <c r="G297" s="250"/>
      <c r="H297" s="255"/>
      <c r="I297" s="255"/>
      <c r="J297" s="250"/>
      <c r="K297" s="250"/>
      <c r="L297" s="250"/>
      <c r="M297" s="250"/>
      <c r="N297" s="250"/>
    </row>
    <row r="298" spans="5:14" ht="11.25">
      <c r="E298" s="250"/>
      <c r="F298" s="250"/>
      <c r="G298" s="250"/>
      <c r="H298" s="255"/>
      <c r="I298" s="255"/>
      <c r="J298" s="250"/>
      <c r="K298" s="250"/>
      <c r="L298" s="250"/>
      <c r="M298" s="250"/>
      <c r="N298" s="250"/>
    </row>
    <row r="299" spans="5:14" ht="11.25">
      <c r="E299" s="250"/>
      <c r="F299" s="250"/>
      <c r="G299" s="250"/>
      <c r="H299" s="255"/>
      <c r="I299" s="255"/>
      <c r="J299" s="250"/>
      <c r="K299" s="250"/>
      <c r="L299" s="250"/>
      <c r="M299" s="250"/>
      <c r="N299" s="250"/>
    </row>
    <row r="300" spans="5:14" ht="11.25">
      <c r="E300" s="250"/>
      <c r="F300" s="250"/>
      <c r="G300" s="250"/>
      <c r="H300" s="255"/>
      <c r="I300" s="255"/>
      <c r="J300" s="250"/>
      <c r="K300" s="250"/>
      <c r="L300" s="250"/>
      <c r="M300" s="250"/>
      <c r="N300" s="250"/>
    </row>
    <row r="301" spans="5:14" ht="11.25">
      <c r="E301" s="250"/>
      <c r="F301" s="250"/>
      <c r="G301" s="250"/>
      <c r="H301" s="255"/>
      <c r="I301" s="255"/>
      <c r="J301" s="250"/>
      <c r="K301" s="250"/>
      <c r="L301" s="250"/>
      <c r="M301" s="250"/>
      <c r="N301" s="250"/>
    </row>
    <row r="302" spans="5:14" ht="11.25">
      <c r="E302" s="250"/>
      <c r="F302" s="250"/>
      <c r="G302" s="250"/>
      <c r="H302" s="255"/>
      <c r="I302" s="255"/>
      <c r="J302" s="250"/>
      <c r="K302" s="250"/>
      <c r="L302" s="250"/>
      <c r="M302" s="250"/>
      <c r="N302" s="250"/>
    </row>
    <row r="303" spans="5:14" ht="11.25">
      <c r="E303" s="250"/>
      <c r="F303" s="250"/>
      <c r="G303" s="250"/>
      <c r="H303" s="255"/>
      <c r="I303" s="255"/>
      <c r="J303" s="250"/>
      <c r="K303" s="250"/>
      <c r="L303" s="250"/>
      <c r="M303" s="250"/>
      <c r="N303" s="250"/>
    </row>
    <row r="304" spans="5:14" ht="11.25">
      <c r="E304" s="250"/>
      <c r="F304" s="250"/>
      <c r="G304" s="250"/>
      <c r="H304" s="255"/>
      <c r="I304" s="255"/>
      <c r="J304" s="250"/>
      <c r="K304" s="250"/>
      <c r="L304" s="250"/>
      <c r="M304" s="250"/>
      <c r="N304" s="250"/>
    </row>
    <row r="305" spans="5:14" ht="11.25">
      <c r="E305" s="250"/>
      <c r="F305" s="250"/>
      <c r="G305" s="250"/>
      <c r="H305" s="255"/>
      <c r="I305" s="255"/>
      <c r="J305" s="250"/>
      <c r="K305" s="250"/>
      <c r="L305" s="250"/>
      <c r="M305" s="250"/>
      <c r="N305" s="250"/>
    </row>
    <row r="306" spans="5:14" ht="11.25">
      <c r="E306" s="250"/>
      <c r="F306" s="250"/>
      <c r="G306" s="250"/>
      <c r="H306" s="255"/>
      <c r="I306" s="255"/>
      <c r="J306" s="250"/>
      <c r="K306" s="250"/>
      <c r="L306" s="250"/>
      <c r="M306" s="250"/>
      <c r="N306" s="250"/>
    </row>
    <row r="307" spans="5:14" ht="11.25">
      <c r="E307" s="250"/>
      <c r="F307" s="250"/>
      <c r="G307" s="250"/>
      <c r="H307" s="255"/>
      <c r="I307" s="255"/>
      <c r="J307" s="250"/>
      <c r="K307" s="250"/>
      <c r="L307" s="250"/>
      <c r="M307" s="250"/>
      <c r="N307" s="250"/>
    </row>
    <row r="308" spans="5:14" ht="11.25">
      <c r="E308" s="250"/>
      <c r="F308" s="250"/>
      <c r="G308" s="250"/>
      <c r="H308" s="255"/>
      <c r="I308" s="255"/>
      <c r="J308" s="250"/>
      <c r="K308" s="250"/>
      <c r="L308" s="250"/>
      <c r="M308" s="250"/>
      <c r="N308" s="250"/>
    </row>
    <row r="309" spans="5:14" ht="11.25">
      <c r="E309" s="250"/>
      <c r="F309" s="250"/>
      <c r="G309" s="250"/>
      <c r="H309" s="255"/>
      <c r="I309" s="255"/>
      <c r="J309" s="250"/>
      <c r="K309" s="250"/>
      <c r="L309" s="250"/>
      <c r="M309" s="250"/>
      <c r="N309" s="250"/>
    </row>
    <row r="310" spans="5:14" ht="11.25">
      <c r="E310" s="250"/>
      <c r="F310" s="250"/>
      <c r="G310" s="250"/>
      <c r="H310" s="255"/>
      <c r="I310" s="255"/>
      <c r="J310" s="250"/>
      <c r="K310" s="250"/>
      <c r="L310" s="250"/>
      <c r="M310" s="250"/>
      <c r="N310" s="250"/>
    </row>
    <row r="311" spans="5:14" ht="11.25">
      <c r="E311" s="250"/>
      <c r="F311" s="250"/>
      <c r="G311" s="250"/>
      <c r="H311" s="255"/>
      <c r="I311" s="255"/>
      <c r="J311" s="250"/>
      <c r="K311" s="250"/>
      <c r="L311" s="250"/>
      <c r="M311" s="250"/>
      <c r="N311" s="250"/>
    </row>
    <row r="312" spans="5:14" ht="11.25">
      <c r="E312" s="250"/>
      <c r="F312" s="250"/>
      <c r="G312" s="250"/>
      <c r="H312" s="255"/>
      <c r="I312" s="255"/>
      <c r="J312" s="250"/>
      <c r="K312" s="250"/>
      <c r="L312" s="250"/>
      <c r="M312" s="250"/>
      <c r="N312" s="250"/>
    </row>
    <row r="313" spans="5:14" ht="11.25">
      <c r="E313" s="250"/>
      <c r="F313" s="250"/>
      <c r="G313" s="250"/>
      <c r="H313" s="255"/>
      <c r="I313" s="255"/>
      <c r="J313" s="250"/>
      <c r="K313" s="250"/>
      <c r="L313" s="250"/>
      <c r="M313" s="250"/>
      <c r="N313" s="250"/>
    </row>
    <row r="314" spans="5:14" ht="11.25">
      <c r="E314" s="250"/>
      <c r="F314" s="250"/>
      <c r="G314" s="250"/>
      <c r="H314" s="255"/>
      <c r="I314" s="255"/>
      <c r="J314" s="250"/>
      <c r="K314" s="250"/>
      <c r="L314" s="250"/>
      <c r="M314" s="250"/>
      <c r="N314" s="250"/>
    </row>
    <row r="315" spans="5:14" ht="11.25">
      <c r="E315" s="250"/>
      <c r="F315" s="250"/>
      <c r="G315" s="250"/>
      <c r="H315" s="255"/>
      <c r="I315" s="255"/>
      <c r="J315" s="250"/>
      <c r="K315" s="250"/>
      <c r="L315" s="250"/>
      <c r="M315" s="250"/>
      <c r="N315" s="250"/>
    </row>
    <row r="316" spans="5:14" ht="11.25">
      <c r="E316" s="250"/>
      <c r="F316" s="250"/>
      <c r="G316" s="250"/>
      <c r="H316" s="255"/>
      <c r="I316" s="255"/>
      <c r="J316" s="250"/>
      <c r="K316" s="250"/>
      <c r="L316" s="250"/>
      <c r="M316" s="250"/>
      <c r="N316" s="250"/>
    </row>
    <row r="317" spans="5:14" ht="11.25">
      <c r="E317" s="250"/>
      <c r="F317" s="250"/>
      <c r="G317" s="250"/>
      <c r="H317" s="255"/>
      <c r="I317" s="255"/>
      <c r="J317" s="250"/>
      <c r="K317" s="250"/>
      <c r="L317" s="250"/>
      <c r="M317" s="250"/>
      <c r="N317" s="250"/>
    </row>
    <row r="318" spans="5:14" ht="11.25">
      <c r="E318" s="250"/>
      <c r="F318" s="250"/>
      <c r="G318" s="250"/>
      <c r="H318" s="255"/>
      <c r="I318" s="255"/>
      <c r="J318" s="250"/>
      <c r="K318" s="250"/>
      <c r="L318" s="250"/>
      <c r="M318" s="250"/>
      <c r="N318" s="250"/>
    </row>
    <row r="319" spans="5:14" ht="11.25">
      <c r="E319" s="250"/>
      <c r="F319" s="250"/>
      <c r="G319" s="250"/>
      <c r="H319" s="255"/>
      <c r="I319" s="255"/>
      <c r="J319" s="250"/>
      <c r="K319" s="250"/>
      <c r="L319" s="250"/>
      <c r="M319" s="250"/>
      <c r="N319" s="250"/>
    </row>
    <row r="320" spans="5:14" ht="11.25">
      <c r="E320" s="250"/>
      <c r="F320" s="250"/>
      <c r="G320" s="250"/>
      <c r="H320" s="255"/>
      <c r="I320" s="255"/>
      <c r="J320" s="250"/>
      <c r="K320" s="250"/>
      <c r="L320" s="250"/>
      <c r="M320" s="250"/>
      <c r="N320" s="250"/>
    </row>
    <row r="321" spans="5:14" ht="11.25">
      <c r="E321" s="250"/>
      <c r="F321" s="250"/>
      <c r="G321" s="250"/>
      <c r="H321" s="255"/>
      <c r="I321" s="255"/>
      <c r="J321" s="250"/>
      <c r="K321" s="250"/>
      <c r="L321" s="250"/>
      <c r="M321" s="250"/>
      <c r="N321" s="250"/>
    </row>
    <row r="322" spans="5:14" ht="11.25">
      <c r="E322" s="250"/>
      <c r="F322" s="250"/>
      <c r="G322" s="250"/>
      <c r="H322" s="255"/>
      <c r="I322" s="255"/>
      <c r="J322" s="250"/>
      <c r="K322" s="250"/>
      <c r="L322" s="250"/>
      <c r="M322" s="250"/>
      <c r="N322" s="250"/>
    </row>
    <row r="323" spans="5:14" ht="11.25">
      <c r="E323" s="250"/>
      <c r="F323" s="250"/>
      <c r="G323" s="250"/>
      <c r="H323" s="255"/>
      <c r="I323" s="255"/>
      <c r="J323" s="250"/>
      <c r="K323" s="250"/>
      <c r="L323" s="250"/>
      <c r="M323" s="250"/>
      <c r="N323" s="250"/>
    </row>
    <row r="324" spans="5:14" ht="11.25">
      <c r="E324" s="250"/>
      <c r="F324" s="250"/>
      <c r="G324" s="250"/>
      <c r="H324" s="255"/>
      <c r="I324" s="255"/>
      <c r="J324" s="250"/>
      <c r="K324" s="250"/>
      <c r="L324" s="250"/>
      <c r="M324" s="250"/>
      <c r="N324" s="250"/>
    </row>
    <row r="325" spans="5:14" ht="11.25">
      <c r="E325" s="250"/>
      <c r="F325" s="250"/>
      <c r="G325" s="250"/>
      <c r="H325" s="255"/>
      <c r="I325" s="255"/>
      <c r="J325" s="250"/>
      <c r="K325" s="250"/>
      <c r="L325" s="250"/>
      <c r="M325" s="250"/>
      <c r="N325" s="250"/>
    </row>
    <row r="326" spans="5:14" ht="11.25">
      <c r="E326" s="250"/>
      <c r="F326" s="250"/>
      <c r="G326" s="250"/>
      <c r="H326" s="255"/>
      <c r="I326" s="255"/>
      <c r="J326" s="250"/>
      <c r="K326" s="250"/>
      <c r="L326" s="250"/>
      <c r="M326" s="250"/>
      <c r="N326" s="250"/>
    </row>
    <row r="327" spans="5:14" ht="11.25">
      <c r="E327" s="250"/>
      <c r="F327" s="250"/>
      <c r="G327" s="250"/>
      <c r="H327" s="255"/>
      <c r="I327" s="255"/>
      <c r="J327" s="250"/>
      <c r="K327" s="250"/>
      <c r="L327" s="250"/>
      <c r="M327" s="250"/>
      <c r="N327" s="250"/>
    </row>
    <row r="328" spans="5:14" ht="11.25">
      <c r="E328" s="250"/>
      <c r="F328" s="250"/>
      <c r="G328" s="250"/>
      <c r="H328" s="255"/>
      <c r="I328" s="255"/>
      <c r="J328" s="250"/>
      <c r="K328" s="250"/>
      <c r="L328" s="250"/>
      <c r="M328" s="250"/>
      <c r="N328" s="250"/>
    </row>
    <row r="329" spans="5:14" ht="11.25">
      <c r="E329" s="250"/>
      <c r="F329" s="250"/>
      <c r="G329" s="250"/>
      <c r="H329" s="255"/>
      <c r="I329" s="255"/>
      <c r="J329" s="250"/>
      <c r="K329" s="250"/>
      <c r="L329" s="250"/>
      <c r="M329" s="250"/>
      <c r="N329" s="250"/>
    </row>
    <row r="330" spans="5:14" ht="11.25">
      <c r="E330" s="250"/>
      <c r="F330" s="250"/>
      <c r="G330" s="250"/>
      <c r="H330" s="255"/>
      <c r="I330" s="255"/>
      <c r="J330" s="250"/>
      <c r="K330" s="250"/>
      <c r="L330" s="250"/>
      <c r="M330" s="250"/>
      <c r="N330" s="250"/>
    </row>
    <row r="331" spans="5:14" ht="11.25">
      <c r="E331" s="250"/>
      <c r="F331" s="250"/>
      <c r="G331" s="250"/>
      <c r="H331" s="255"/>
      <c r="I331" s="255"/>
      <c r="J331" s="250"/>
      <c r="K331" s="250"/>
      <c r="L331" s="250"/>
      <c r="M331" s="250"/>
      <c r="N331" s="250"/>
    </row>
    <row r="332" spans="5:14" ht="11.25">
      <c r="E332" s="250"/>
      <c r="F332" s="250"/>
      <c r="G332" s="250"/>
      <c r="H332" s="255"/>
      <c r="I332" s="255"/>
      <c r="J332" s="250"/>
      <c r="K332" s="250"/>
      <c r="L332" s="250"/>
      <c r="M332" s="250"/>
      <c r="N332" s="250"/>
    </row>
    <row r="333" spans="5:14" ht="11.25">
      <c r="E333" s="250"/>
      <c r="F333" s="250"/>
      <c r="G333" s="250"/>
      <c r="H333" s="255"/>
      <c r="I333" s="255"/>
      <c r="J333" s="250"/>
      <c r="K333" s="250"/>
      <c r="L333" s="250"/>
      <c r="M333" s="250"/>
      <c r="N333" s="250"/>
    </row>
    <row r="334" spans="5:14" ht="11.25">
      <c r="E334" s="250"/>
      <c r="F334" s="250"/>
      <c r="G334" s="250"/>
      <c r="H334" s="255"/>
      <c r="I334" s="255"/>
      <c r="J334" s="250"/>
      <c r="K334" s="250"/>
      <c r="L334" s="250"/>
      <c r="M334" s="250"/>
      <c r="N334" s="250"/>
    </row>
    <row r="335" spans="5:14" ht="11.25">
      <c r="E335" s="250"/>
      <c r="F335" s="250"/>
      <c r="G335" s="250"/>
      <c r="H335" s="255"/>
      <c r="I335" s="255"/>
      <c r="J335" s="250"/>
      <c r="K335" s="250"/>
      <c r="L335" s="250"/>
      <c r="M335" s="250"/>
      <c r="N335" s="250"/>
    </row>
    <row r="336" spans="5:14" ht="11.25">
      <c r="E336" s="250"/>
      <c r="F336" s="250"/>
      <c r="G336" s="250"/>
      <c r="H336" s="255"/>
      <c r="I336" s="255"/>
      <c r="J336" s="250"/>
      <c r="K336" s="250"/>
      <c r="L336" s="250"/>
      <c r="M336" s="250"/>
      <c r="N336" s="250"/>
    </row>
    <row r="337" spans="5:14" ht="11.25">
      <c r="E337" s="250"/>
      <c r="F337" s="250"/>
      <c r="G337" s="250"/>
      <c r="H337" s="255"/>
      <c r="I337" s="255"/>
      <c r="J337" s="250"/>
      <c r="K337" s="250"/>
      <c r="L337" s="250"/>
      <c r="M337" s="250"/>
      <c r="N337" s="250"/>
    </row>
    <row r="338" spans="5:14" ht="11.25">
      <c r="E338" s="250"/>
      <c r="F338" s="250"/>
      <c r="G338" s="250"/>
      <c r="H338" s="255"/>
      <c r="I338" s="255"/>
      <c r="J338" s="250"/>
      <c r="K338" s="250"/>
      <c r="L338" s="250"/>
      <c r="M338" s="250"/>
      <c r="N338" s="250"/>
    </row>
    <row r="339" spans="5:14" ht="11.25">
      <c r="E339" s="250"/>
      <c r="F339" s="250"/>
      <c r="G339" s="250"/>
      <c r="H339" s="255"/>
      <c r="I339" s="255"/>
      <c r="J339" s="250"/>
      <c r="K339" s="250"/>
      <c r="L339" s="250"/>
      <c r="M339" s="250"/>
      <c r="N339" s="250"/>
    </row>
    <row r="340" spans="5:14" ht="11.25">
      <c r="E340" s="250"/>
      <c r="F340" s="250"/>
      <c r="G340" s="250"/>
      <c r="H340" s="255"/>
      <c r="I340" s="255"/>
      <c r="J340" s="250"/>
      <c r="K340" s="250"/>
      <c r="L340" s="250"/>
      <c r="M340" s="250"/>
      <c r="N340" s="250"/>
    </row>
    <row r="341" spans="5:14" ht="11.25">
      <c r="E341" s="250"/>
      <c r="F341" s="250"/>
      <c r="G341" s="250"/>
      <c r="H341" s="255"/>
      <c r="I341" s="255"/>
      <c r="J341" s="250"/>
      <c r="K341" s="250"/>
      <c r="L341" s="250"/>
      <c r="M341" s="250"/>
      <c r="N341" s="250"/>
    </row>
    <row r="342" spans="5:14" ht="11.25">
      <c r="E342" s="250"/>
      <c r="F342" s="250"/>
      <c r="G342" s="250"/>
      <c r="H342" s="255"/>
      <c r="I342" s="255"/>
      <c r="J342" s="250"/>
      <c r="K342" s="250"/>
      <c r="L342" s="250"/>
      <c r="M342" s="250"/>
      <c r="N342" s="250"/>
    </row>
    <row r="343" spans="5:14" ht="11.25">
      <c r="E343" s="250"/>
      <c r="F343" s="250"/>
      <c r="G343" s="250"/>
      <c r="H343" s="255"/>
      <c r="I343" s="255"/>
      <c r="J343" s="250"/>
      <c r="K343" s="250"/>
      <c r="L343" s="250"/>
      <c r="M343" s="250"/>
      <c r="N343" s="250"/>
    </row>
    <row r="344" spans="5:14" ht="11.25">
      <c r="E344" s="250"/>
      <c r="F344" s="250"/>
      <c r="G344" s="250"/>
      <c r="H344" s="255"/>
      <c r="I344" s="255"/>
      <c r="J344" s="250"/>
      <c r="K344" s="250"/>
      <c r="L344" s="250"/>
      <c r="M344" s="250"/>
      <c r="N344" s="250"/>
    </row>
    <row r="345" spans="5:14" ht="11.25">
      <c r="E345" s="250"/>
      <c r="F345" s="250"/>
      <c r="G345" s="250"/>
      <c r="H345" s="255"/>
      <c r="I345" s="255"/>
      <c r="J345" s="250"/>
      <c r="K345" s="250"/>
      <c r="L345" s="250"/>
      <c r="M345" s="250"/>
      <c r="N345" s="250"/>
    </row>
    <row r="346" spans="5:14" ht="11.25">
      <c r="E346" s="250"/>
      <c r="F346" s="250"/>
      <c r="G346" s="250"/>
      <c r="H346" s="255"/>
      <c r="I346" s="255"/>
      <c r="J346" s="250"/>
      <c r="K346" s="250"/>
      <c r="L346" s="250"/>
      <c r="M346" s="250"/>
      <c r="N346" s="250"/>
    </row>
    <row r="347" spans="5:14" ht="11.25">
      <c r="E347" s="250"/>
      <c r="F347" s="250"/>
      <c r="G347" s="250"/>
      <c r="H347" s="255"/>
      <c r="I347" s="255"/>
      <c r="J347" s="250"/>
      <c r="K347" s="250"/>
      <c r="L347" s="250"/>
      <c r="M347" s="250"/>
      <c r="N347" s="250"/>
    </row>
    <row r="348" spans="5:14" ht="11.25">
      <c r="E348" s="250"/>
      <c r="F348" s="250"/>
      <c r="G348" s="250"/>
      <c r="H348" s="255"/>
      <c r="I348" s="255"/>
      <c r="J348" s="250"/>
      <c r="K348" s="250"/>
      <c r="L348" s="250"/>
      <c r="M348" s="250"/>
      <c r="N348" s="250"/>
    </row>
    <row r="349" spans="5:14" ht="11.25">
      <c r="E349" s="250"/>
      <c r="F349" s="250"/>
      <c r="G349" s="250"/>
      <c r="H349" s="255"/>
      <c r="I349" s="255"/>
      <c r="J349" s="250"/>
      <c r="K349" s="250"/>
      <c r="L349" s="250"/>
      <c r="M349" s="250"/>
      <c r="N349" s="250"/>
    </row>
    <row r="350" spans="5:14" ht="11.25">
      <c r="E350" s="250"/>
      <c r="F350" s="250"/>
      <c r="G350" s="250"/>
      <c r="H350" s="255"/>
      <c r="I350" s="255"/>
      <c r="J350" s="250"/>
      <c r="K350" s="250"/>
      <c r="L350" s="250"/>
      <c r="M350" s="250"/>
      <c r="N350" s="250"/>
    </row>
    <row r="351" spans="5:14" ht="11.25">
      <c r="E351" s="250"/>
      <c r="F351" s="250"/>
      <c r="G351" s="250"/>
      <c r="H351" s="255"/>
      <c r="I351" s="255"/>
      <c r="J351" s="250"/>
      <c r="K351" s="250"/>
      <c r="L351" s="250"/>
      <c r="M351" s="250"/>
      <c r="N351" s="250"/>
    </row>
    <row r="352" spans="5:14" ht="11.25">
      <c r="E352" s="250"/>
      <c r="F352" s="250"/>
      <c r="G352" s="250"/>
      <c r="H352" s="255"/>
      <c r="I352" s="255"/>
      <c r="J352" s="250"/>
      <c r="K352" s="250"/>
      <c r="L352" s="250"/>
      <c r="M352" s="250"/>
      <c r="N352" s="250"/>
    </row>
    <row r="353" spans="5:14" ht="11.25">
      <c r="E353" s="250"/>
      <c r="F353" s="250"/>
      <c r="G353" s="250"/>
      <c r="H353" s="255"/>
      <c r="I353" s="255"/>
      <c r="J353" s="250"/>
      <c r="K353" s="250"/>
      <c r="L353" s="250"/>
      <c r="M353" s="250"/>
      <c r="N353" s="250"/>
    </row>
    <row r="354" spans="5:14" ht="11.25">
      <c r="E354" s="250"/>
      <c r="F354" s="250"/>
      <c r="G354" s="250"/>
      <c r="H354" s="255"/>
      <c r="I354" s="255"/>
      <c r="J354" s="250"/>
      <c r="K354" s="250"/>
      <c r="L354" s="250"/>
      <c r="M354" s="250"/>
      <c r="N354" s="250"/>
    </row>
    <row r="355" spans="5:14" ht="11.25">
      <c r="E355" s="250"/>
      <c r="F355" s="250"/>
      <c r="G355" s="250"/>
      <c r="H355" s="255"/>
      <c r="I355" s="255"/>
      <c r="J355" s="250"/>
      <c r="K355" s="250"/>
      <c r="L355" s="250"/>
      <c r="M355" s="250"/>
      <c r="N355" s="250"/>
    </row>
    <row r="356" spans="5:14" ht="11.25">
      <c r="E356" s="250"/>
      <c r="F356" s="250"/>
      <c r="G356" s="250"/>
      <c r="H356" s="255"/>
      <c r="I356" s="255"/>
      <c r="J356" s="250"/>
      <c r="K356" s="250"/>
      <c r="L356" s="250"/>
      <c r="M356" s="250"/>
      <c r="N356" s="250"/>
    </row>
    <row r="357" spans="5:14" ht="11.25">
      <c r="E357" s="250"/>
      <c r="F357" s="250"/>
      <c r="G357" s="250"/>
      <c r="H357" s="255"/>
      <c r="I357" s="255"/>
      <c r="J357" s="250"/>
      <c r="K357" s="250"/>
      <c r="L357" s="250"/>
      <c r="M357" s="250"/>
      <c r="N357" s="250"/>
    </row>
    <row r="358" spans="5:14" ht="11.25">
      <c r="E358" s="250"/>
      <c r="F358" s="250"/>
      <c r="G358" s="250"/>
      <c r="H358" s="255"/>
      <c r="I358" s="255"/>
      <c r="J358" s="250"/>
      <c r="K358" s="250"/>
      <c r="L358" s="250"/>
      <c r="M358" s="250"/>
      <c r="N358" s="250"/>
    </row>
    <row r="359" spans="5:14" ht="11.25">
      <c r="E359" s="250"/>
      <c r="F359" s="250"/>
      <c r="G359" s="250"/>
      <c r="H359" s="255"/>
      <c r="I359" s="255"/>
      <c r="J359" s="250"/>
      <c r="K359" s="250"/>
      <c r="L359" s="250"/>
      <c r="M359" s="250"/>
      <c r="N359" s="250"/>
    </row>
    <row r="360" spans="5:14" ht="11.25">
      <c r="E360" s="250"/>
      <c r="F360" s="250"/>
      <c r="G360" s="250"/>
      <c r="H360" s="255"/>
      <c r="I360" s="255"/>
      <c r="J360" s="250"/>
      <c r="K360" s="250"/>
      <c r="L360" s="250"/>
      <c r="M360" s="250"/>
      <c r="N360" s="250"/>
    </row>
    <row r="361" spans="5:14" ht="11.25">
      <c r="E361" s="250"/>
      <c r="F361" s="250"/>
      <c r="G361" s="250"/>
      <c r="H361" s="255"/>
      <c r="I361" s="255"/>
      <c r="J361" s="250"/>
      <c r="K361" s="250"/>
      <c r="L361" s="250"/>
      <c r="M361" s="250"/>
      <c r="N361" s="250"/>
    </row>
    <row r="362" spans="5:14" ht="11.25">
      <c r="E362" s="250"/>
      <c r="F362" s="250"/>
      <c r="G362" s="250"/>
      <c r="H362" s="255"/>
      <c r="I362" s="255"/>
      <c r="J362" s="250"/>
      <c r="K362" s="250"/>
      <c r="L362" s="250"/>
      <c r="M362" s="250"/>
      <c r="N362" s="250"/>
    </row>
    <row r="363" spans="5:14" ht="11.25">
      <c r="E363" s="250"/>
      <c r="F363" s="250"/>
      <c r="G363" s="250"/>
      <c r="H363" s="255"/>
      <c r="I363" s="255"/>
      <c r="J363" s="250"/>
      <c r="K363" s="250"/>
      <c r="L363" s="250"/>
      <c r="M363" s="250"/>
      <c r="N363" s="250"/>
    </row>
    <row r="364" spans="5:14" ht="11.25">
      <c r="E364" s="250"/>
      <c r="F364" s="250"/>
      <c r="G364" s="250"/>
      <c r="H364" s="255"/>
      <c r="I364" s="255"/>
      <c r="J364" s="250"/>
      <c r="K364" s="250"/>
      <c r="L364" s="250"/>
      <c r="M364" s="250"/>
      <c r="N364" s="250"/>
    </row>
    <row r="365" spans="5:14" ht="11.25">
      <c r="E365" s="250"/>
      <c r="F365" s="250"/>
      <c r="G365" s="250"/>
      <c r="H365" s="255"/>
      <c r="I365" s="255"/>
      <c r="J365" s="250"/>
      <c r="K365" s="250"/>
      <c r="L365" s="250"/>
      <c r="M365" s="250"/>
      <c r="N365" s="250"/>
    </row>
    <row r="366" spans="5:14" ht="11.25">
      <c r="E366" s="250"/>
      <c r="F366" s="250"/>
      <c r="G366" s="250"/>
      <c r="H366" s="255"/>
      <c r="I366" s="255"/>
      <c r="J366" s="250"/>
      <c r="K366" s="250"/>
      <c r="L366" s="250"/>
      <c r="M366" s="250"/>
      <c r="N366" s="250"/>
    </row>
    <row r="367" spans="5:14" ht="11.25">
      <c r="E367" s="250"/>
      <c r="F367" s="250"/>
      <c r="G367" s="250"/>
      <c r="H367" s="255"/>
      <c r="I367" s="255"/>
      <c r="J367" s="250"/>
      <c r="K367" s="250"/>
      <c r="L367" s="250"/>
      <c r="M367" s="250"/>
      <c r="N367" s="250"/>
    </row>
    <row r="368" spans="5:14" ht="11.25">
      <c r="E368" s="250"/>
      <c r="F368" s="250"/>
      <c r="G368" s="250"/>
      <c r="H368" s="255"/>
      <c r="I368" s="255"/>
      <c r="J368" s="250"/>
      <c r="K368" s="250"/>
      <c r="L368" s="250"/>
      <c r="M368" s="250"/>
      <c r="N368" s="250"/>
    </row>
    <row r="369" spans="5:14" ht="11.25">
      <c r="E369" s="250"/>
      <c r="F369" s="250"/>
      <c r="G369" s="250"/>
      <c r="H369" s="255"/>
      <c r="I369" s="255"/>
      <c r="J369" s="250"/>
      <c r="K369" s="250"/>
      <c r="L369" s="250"/>
      <c r="M369" s="250"/>
      <c r="N369" s="250"/>
    </row>
    <row r="370" spans="5:14" ht="11.25">
      <c r="E370" s="250"/>
      <c r="F370" s="250"/>
      <c r="G370" s="250"/>
      <c r="H370" s="255"/>
      <c r="I370" s="255"/>
      <c r="J370" s="250"/>
      <c r="K370" s="250"/>
      <c r="L370" s="250"/>
      <c r="M370" s="250"/>
      <c r="N370" s="250"/>
    </row>
    <row r="371" spans="5:14" ht="11.25">
      <c r="E371" s="250"/>
      <c r="F371" s="250"/>
      <c r="G371" s="250"/>
      <c r="H371" s="255"/>
      <c r="I371" s="255"/>
      <c r="J371" s="250"/>
      <c r="K371" s="250"/>
      <c r="L371" s="250"/>
      <c r="M371" s="250"/>
      <c r="N371" s="250"/>
    </row>
    <row r="372" spans="5:14" ht="11.25">
      <c r="E372" s="250"/>
      <c r="F372" s="250"/>
      <c r="G372" s="250"/>
      <c r="H372" s="255"/>
      <c r="I372" s="255"/>
      <c r="J372" s="250"/>
      <c r="K372" s="250"/>
      <c r="L372" s="250"/>
      <c r="M372" s="250"/>
      <c r="N372" s="250"/>
    </row>
    <row r="373" spans="5:14" ht="11.25">
      <c r="E373" s="250"/>
      <c r="F373" s="250"/>
      <c r="G373" s="250"/>
      <c r="H373" s="255"/>
      <c r="I373" s="255"/>
      <c r="J373" s="250"/>
      <c r="K373" s="250"/>
      <c r="L373" s="250"/>
      <c r="M373" s="250"/>
      <c r="N373" s="250"/>
    </row>
    <row r="374" spans="5:14" ht="11.25">
      <c r="E374" s="250"/>
      <c r="F374" s="250"/>
      <c r="G374" s="250"/>
      <c r="H374" s="255"/>
      <c r="I374" s="255"/>
      <c r="J374" s="250"/>
      <c r="K374" s="250"/>
      <c r="L374" s="250"/>
      <c r="M374" s="250"/>
      <c r="N374" s="250"/>
    </row>
    <row r="375" spans="5:14" ht="11.25">
      <c r="E375" s="250"/>
      <c r="F375" s="250"/>
      <c r="G375" s="250"/>
      <c r="H375" s="255"/>
      <c r="I375" s="255"/>
      <c r="J375" s="250"/>
      <c r="K375" s="250"/>
      <c r="L375" s="250"/>
      <c r="M375" s="250"/>
      <c r="N375" s="250"/>
    </row>
    <row r="376" spans="5:14" ht="11.25">
      <c r="E376" s="250"/>
      <c r="F376" s="250"/>
      <c r="G376" s="250"/>
      <c r="H376" s="255"/>
      <c r="I376" s="255"/>
      <c r="J376" s="250"/>
      <c r="K376" s="250"/>
      <c r="L376" s="250"/>
      <c r="M376" s="250"/>
      <c r="N376" s="250"/>
    </row>
    <row r="377" spans="5:14" ht="11.25">
      <c r="E377" s="250"/>
      <c r="F377" s="250"/>
      <c r="G377" s="250"/>
      <c r="H377" s="255"/>
      <c r="I377" s="255"/>
      <c r="J377" s="250"/>
      <c r="K377" s="250"/>
      <c r="L377" s="250"/>
      <c r="M377" s="250"/>
      <c r="N377" s="250"/>
    </row>
    <row r="378" spans="5:14" ht="11.25">
      <c r="E378" s="250"/>
      <c r="F378" s="250"/>
      <c r="G378" s="250"/>
      <c r="H378" s="255"/>
      <c r="I378" s="255"/>
      <c r="J378" s="250"/>
      <c r="K378" s="250"/>
      <c r="L378" s="250"/>
      <c r="M378" s="250"/>
      <c r="N378" s="250"/>
    </row>
    <row r="379" spans="5:14" ht="11.25">
      <c r="E379" s="250"/>
      <c r="F379" s="250"/>
      <c r="G379" s="250"/>
      <c r="H379" s="255"/>
      <c r="I379" s="255"/>
      <c r="J379" s="250"/>
      <c r="K379" s="250"/>
      <c r="L379" s="250"/>
      <c r="M379" s="250"/>
      <c r="N379" s="250"/>
    </row>
    <row r="380" spans="5:14" ht="11.25">
      <c r="E380" s="250"/>
      <c r="F380" s="250"/>
      <c r="G380" s="250"/>
      <c r="H380" s="255"/>
      <c r="I380" s="255"/>
      <c r="J380" s="250"/>
      <c r="K380" s="250"/>
      <c r="L380" s="250"/>
      <c r="M380" s="250"/>
      <c r="N380" s="250"/>
    </row>
    <row r="381" spans="5:14" ht="11.25">
      <c r="E381" s="250"/>
      <c r="F381" s="250"/>
      <c r="G381" s="250"/>
      <c r="H381" s="255"/>
      <c r="I381" s="255"/>
      <c r="J381" s="250"/>
      <c r="K381" s="250"/>
      <c r="L381" s="250"/>
      <c r="M381" s="250"/>
      <c r="N381" s="250"/>
    </row>
    <row r="382" spans="5:14" ht="11.25">
      <c r="E382" s="250"/>
      <c r="F382" s="250"/>
      <c r="G382" s="250"/>
      <c r="H382" s="255"/>
      <c r="I382" s="255"/>
      <c r="J382" s="250"/>
      <c r="K382" s="250"/>
      <c r="L382" s="250"/>
      <c r="M382" s="250"/>
      <c r="N382" s="250"/>
    </row>
    <row r="383" spans="5:14" ht="11.25">
      <c r="E383" s="250"/>
      <c r="F383" s="250"/>
      <c r="G383" s="250"/>
      <c r="H383" s="255"/>
      <c r="I383" s="255"/>
      <c r="J383" s="250"/>
      <c r="K383" s="250"/>
      <c r="L383" s="250"/>
      <c r="M383" s="250"/>
      <c r="N383" s="250"/>
    </row>
    <row r="384" spans="5:14" ht="11.25">
      <c r="E384" s="250"/>
      <c r="F384" s="250"/>
      <c r="G384" s="250"/>
      <c r="H384" s="255"/>
      <c r="I384" s="255"/>
      <c r="J384" s="250"/>
      <c r="K384" s="250"/>
      <c r="L384" s="250"/>
      <c r="M384" s="250"/>
      <c r="N384" s="250"/>
    </row>
    <row r="385" spans="5:14" ht="11.25">
      <c r="E385" s="250"/>
      <c r="F385" s="250"/>
      <c r="G385" s="250"/>
      <c r="H385" s="255"/>
      <c r="I385" s="255"/>
      <c r="J385" s="250"/>
      <c r="K385" s="250"/>
      <c r="L385" s="250"/>
      <c r="M385" s="250"/>
      <c r="N385" s="250"/>
    </row>
    <row r="386" spans="5:14" ht="11.25">
      <c r="E386" s="250"/>
      <c r="F386" s="250"/>
      <c r="G386" s="250"/>
      <c r="H386" s="255"/>
      <c r="I386" s="255"/>
      <c r="J386" s="250"/>
      <c r="K386" s="250"/>
      <c r="L386" s="250"/>
      <c r="M386" s="250"/>
      <c r="N386" s="250"/>
    </row>
    <row r="387" spans="5:14" ht="11.25">
      <c r="E387" s="250"/>
      <c r="F387" s="250"/>
      <c r="G387" s="250"/>
      <c r="H387" s="255"/>
      <c r="I387" s="255"/>
      <c r="J387" s="250"/>
      <c r="K387" s="250"/>
      <c r="L387" s="250"/>
      <c r="M387" s="250"/>
      <c r="N387" s="250"/>
    </row>
    <row r="388" spans="5:14" ht="11.25">
      <c r="E388" s="250"/>
      <c r="F388" s="250"/>
      <c r="G388" s="250"/>
      <c r="H388" s="255"/>
      <c r="I388" s="255"/>
      <c r="J388" s="250"/>
      <c r="K388" s="250"/>
      <c r="L388" s="250"/>
      <c r="M388" s="250"/>
      <c r="N388" s="250"/>
    </row>
    <row r="389" spans="5:14" ht="11.25">
      <c r="E389" s="250"/>
      <c r="F389" s="250"/>
      <c r="G389" s="250"/>
      <c r="H389" s="255"/>
      <c r="I389" s="255"/>
      <c r="J389" s="250"/>
      <c r="K389" s="250"/>
      <c r="L389" s="250"/>
      <c r="M389" s="250"/>
      <c r="N389" s="250"/>
    </row>
    <row r="390" spans="5:14" ht="11.25">
      <c r="E390" s="250"/>
      <c r="F390" s="250"/>
      <c r="G390" s="250"/>
      <c r="H390" s="255"/>
      <c r="I390" s="255"/>
      <c r="J390" s="250"/>
      <c r="K390" s="250"/>
      <c r="L390" s="250"/>
      <c r="M390" s="250"/>
      <c r="N390" s="250"/>
    </row>
    <row r="391" spans="5:14" ht="11.25">
      <c r="E391" s="250"/>
      <c r="F391" s="250"/>
      <c r="G391" s="250"/>
      <c r="H391" s="255"/>
      <c r="I391" s="255"/>
      <c r="J391" s="250"/>
      <c r="K391" s="250"/>
      <c r="L391" s="250"/>
      <c r="M391" s="250"/>
      <c r="N391" s="250"/>
    </row>
    <row r="392" spans="5:14" ht="11.25">
      <c r="E392" s="250"/>
      <c r="F392" s="250"/>
      <c r="G392" s="250"/>
      <c r="H392" s="255"/>
      <c r="I392" s="255"/>
      <c r="J392" s="250"/>
      <c r="K392" s="250"/>
      <c r="L392" s="250"/>
      <c r="M392" s="250"/>
      <c r="N392" s="250"/>
    </row>
    <row r="393" spans="5:14" ht="11.25">
      <c r="E393" s="250"/>
      <c r="F393" s="250"/>
      <c r="G393" s="250"/>
      <c r="H393" s="255"/>
      <c r="I393" s="255"/>
      <c r="J393" s="250"/>
      <c r="K393" s="250"/>
      <c r="L393" s="250"/>
      <c r="M393" s="250"/>
      <c r="N393" s="250"/>
    </row>
    <row r="394" spans="5:14" ht="11.25">
      <c r="E394" s="250"/>
      <c r="F394" s="250"/>
      <c r="G394" s="250"/>
      <c r="H394" s="255"/>
      <c r="I394" s="255"/>
      <c r="J394" s="250"/>
      <c r="K394" s="250"/>
      <c r="L394" s="250"/>
      <c r="M394" s="250"/>
      <c r="N394" s="250"/>
    </row>
    <row r="395" spans="5:14" ht="11.25">
      <c r="E395" s="250"/>
      <c r="F395" s="250"/>
      <c r="G395" s="250"/>
      <c r="H395" s="255"/>
      <c r="I395" s="255"/>
      <c r="J395" s="250"/>
      <c r="K395" s="250"/>
      <c r="L395" s="250"/>
      <c r="M395" s="250"/>
      <c r="N395" s="250"/>
    </row>
    <row r="396" spans="5:14" ht="11.25">
      <c r="E396" s="250"/>
      <c r="F396" s="250"/>
      <c r="G396" s="250"/>
      <c r="H396" s="255"/>
      <c r="I396" s="255"/>
      <c r="J396" s="250"/>
      <c r="K396" s="250"/>
      <c r="L396" s="250"/>
      <c r="M396" s="250"/>
      <c r="N396" s="250"/>
    </row>
    <row r="397" spans="5:14" ht="11.25">
      <c r="E397" s="250"/>
      <c r="F397" s="250"/>
      <c r="G397" s="250"/>
      <c r="H397" s="255"/>
      <c r="I397" s="255"/>
      <c r="J397" s="250"/>
      <c r="K397" s="250"/>
      <c r="L397" s="250"/>
      <c r="M397" s="250"/>
      <c r="N397" s="250"/>
    </row>
    <row r="398" spans="5:14" ht="11.25">
      <c r="E398" s="250"/>
      <c r="F398" s="250"/>
      <c r="G398" s="250"/>
      <c r="H398" s="255"/>
      <c r="I398" s="255"/>
      <c r="J398" s="250"/>
      <c r="K398" s="250"/>
      <c r="L398" s="250"/>
      <c r="M398" s="250"/>
      <c r="N398" s="250"/>
    </row>
    <row r="399" spans="5:14" ht="11.25">
      <c r="E399" s="250"/>
      <c r="F399" s="250"/>
      <c r="G399" s="250"/>
      <c r="H399" s="255"/>
      <c r="I399" s="255"/>
      <c r="J399" s="250"/>
      <c r="K399" s="250"/>
      <c r="L399" s="250"/>
      <c r="M399" s="250"/>
      <c r="N399" s="250"/>
    </row>
    <row r="400" spans="5:14" ht="11.25">
      <c r="E400" s="250"/>
      <c r="F400" s="250"/>
      <c r="G400" s="250"/>
      <c r="H400" s="255"/>
      <c r="I400" s="255"/>
      <c r="J400" s="250"/>
      <c r="K400" s="250"/>
      <c r="L400" s="250"/>
      <c r="M400" s="250"/>
      <c r="N400" s="250"/>
    </row>
    <row r="401" spans="5:14" ht="11.25">
      <c r="E401" s="250"/>
      <c r="F401" s="250"/>
      <c r="G401" s="250"/>
      <c r="H401" s="255"/>
      <c r="I401" s="255"/>
      <c r="J401" s="250"/>
      <c r="K401" s="250"/>
      <c r="L401" s="250"/>
      <c r="M401" s="250"/>
      <c r="N401" s="250"/>
    </row>
    <row r="402" spans="5:14" ht="11.25">
      <c r="E402" s="250"/>
      <c r="F402" s="250"/>
      <c r="G402" s="250"/>
      <c r="H402" s="255"/>
      <c r="I402" s="255"/>
      <c r="J402" s="250"/>
      <c r="K402" s="250"/>
      <c r="L402" s="250"/>
      <c r="M402" s="250"/>
      <c r="N402" s="250"/>
    </row>
    <row r="403" spans="5:14" ht="11.25">
      <c r="E403" s="250"/>
      <c r="F403" s="250"/>
      <c r="G403" s="250"/>
      <c r="H403" s="255"/>
      <c r="I403" s="255"/>
      <c r="J403" s="250"/>
      <c r="K403" s="250"/>
      <c r="L403" s="250"/>
      <c r="M403" s="250"/>
      <c r="N403" s="250"/>
    </row>
    <row r="404" spans="5:14" ht="11.25">
      <c r="E404" s="250"/>
      <c r="F404" s="250"/>
      <c r="G404" s="250"/>
      <c r="H404" s="255"/>
      <c r="I404" s="255"/>
      <c r="J404" s="250"/>
      <c r="K404" s="250"/>
      <c r="L404" s="250"/>
      <c r="M404" s="250"/>
      <c r="N404" s="250"/>
    </row>
    <row r="405" spans="5:14" ht="11.25">
      <c r="E405" s="250"/>
      <c r="F405" s="250"/>
      <c r="G405" s="250"/>
      <c r="H405" s="255"/>
      <c r="I405" s="255"/>
      <c r="J405" s="250"/>
      <c r="K405" s="250"/>
      <c r="L405" s="250"/>
      <c r="M405" s="250"/>
      <c r="N405" s="250"/>
    </row>
    <row r="406" spans="5:14" ht="11.25">
      <c r="E406" s="250"/>
      <c r="F406" s="250"/>
      <c r="G406" s="250"/>
      <c r="H406" s="255"/>
      <c r="I406" s="255"/>
      <c r="J406" s="250"/>
      <c r="K406" s="250"/>
      <c r="L406" s="250"/>
      <c r="M406" s="250"/>
      <c r="N406" s="250"/>
    </row>
    <row r="407" spans="5:14" ht="11.25">
      <c r="E407" s="250"/>
      <c r="F407" s="250"/>
      <c r="G407" s="250"/>
      <c r="H407" s="255"/>
      <c r="I407" s="255"/>
      <c r="J407" s="250"/>
      <c r="K407" s="250"/>
      <c r="L407" s="250"/>
      <c r="M407" s="250"/>
      <c r="N407" s="250"/>
    </row>
    <row r="408" spans="5:14" ht="11.25">
      <c r="E408" s="250"/>
      <c r="F408" s="250"/>
      <c r="G408" s="250"/>
      <c r="H408" s="255"/>
      <c r="I408" s="255"/>
      <c r="J408" s="250"/>
      <c r="K408" s="250"/>
      <c r="L408" s="250"/>
      <c r="M408" s="250"/>
      <c r="N408" s="250"/>
    </row>
    <row r="409" spans="5:14" ht="11.25">
      <c r="E409" s="250"/>
      <c r="F409" s="250"/>
      <c r="G409" s="250"/>
      <c r="H409" s="255"/>
      <c r="I409" s="255"/>
      <c r="J409" s="250"/>
      <c r="K409" s="250"/>
      <c r="L409" s="250"/>
      <c r="M409" s="250"/>
      <c r="N409" s="250"/>
    </row>
    <row r="410" spans="5:14" ht="11.25">
      <c r="E410" s="250"/>
      <c r="F410" s="250"/>
      <c r="G410" s="250"/>
      <c r="H410" s="255"/>
      <c r="I410" s="255"/>
      <c r="J410" s="250"/>
      <c r="K410" s="250"/>
      <c r="L410" s="250"/>
      <c r="M410" s="250"/>
      <c r="N410" s="250"/>
    </row>
    <row r="411" spans="5:14" ht="11.25">
      <c r="E411" s="250"/>
      <c r="F411" s="250"/>
      <c r="G411" s="250"/>
      <c r="H411" s="255"/>
      <c r="I411" s="255"/>
      <c r="J411" s="250"/>
      <c r="K411" s="250"/>
      <c r="L411" s="250"/>
      <c r="M411" s="250"/>
      <c r="N411" s="250"/>
    </row>
    <row r="412" spans="5:14" ht="11.25">
      <c r="E412" s="250"/>
      <c r="F412" s="250"/>
      <c r="G412" s="250"/>
      <c r="H412" s="255"/>
      <c r="I412" s="255"/>
      <c r="J412" s="250"/>
      <c r="K412" s="250"/>
      <c r="L412" s="250"/>
      <c r="M412" s="250"/>
      <c r="N412" s="250"/>
    </row>
    <row r="413" spans="5:14" ht="11.25">
      <c r="E413" s="250"/>
      <c r="F413" s="250"/>
      <c r="G413" s="250"/>
      <c r="H413" s="255"/>
      <c r="I413" s="255"/>
      <c r="J413" s="250"/>
      <c r="K413" s="250"/>
      <c r="L413" s="250"/>
      <c r="M413" s="250"/>
      <c r="N413" s="250"/>
    </row>
    <row r="414" spans="5:14" ht="11.25">
      <c r="E414" s="250"/>
      <c r="F414" s="250"/>
      <c r="G414" s="250"/>
      <c r="H414" s="255"/>
      <c r="I414" s="255"/>
      <c r="J414" s="250"/>
      <c r="K414" s="250"/>
      <c r="L414" s="250"/>
      <c r="M414" s="250"/>
      <c r="N414" s="250"/>
    </row>
    <row r="415" spans="5:14" ht="11.25">
      <c r="E415" s="250"/>
      <c r="F415" s="250"/>
      <c r="G415" s="250"/>
      <c r="H415" s="255"/>
      <c r="I415" s="255"/>
      <c r="J415" s="250"/>
      <c r="K415" s="250"/>
      <c r="L415" s="250"/>
      <c r="M415" s="250"/>
      <c r="N415" s="250"/>
    </row>
    <row r="416" spans="5:14" ht="11.25">
      <c r="E416" s="250"/>
      <c r="F416" s="250"/>
      <c r="G416" s="250"/>
      <c r="H416" s="255"/>
      <c r="I416" s="255"/>
      <c r="J416" s="250"/>
      <c r="K416" s="250"/>
      <c r="L416" s="250"/>
      <c r="M416" s="250"/>
      <c r="N416" s="250"/>
    </row>
    <row r="417" spans="5:14" ht="11.25">
      <c r="E417" s="250"/>
      <c r="F417" s="250"/>
      <c r="G417" s="250"/>
      <c r="H417" s="255"/>
      <c r="I417" s="255"/>
      <c r="J417" s="250"/>
      <c r="K417" s="250"/>
      <c r="L417" s="250"/>
      <c r="M417" s="250"/>
      <c r="N417" s="250"/>
    </row>
    <row r="418" spans="5:14" ht="11.25">
      <c r="E418" s="250"/>
      <c r="F418" s="250"/>
      <c r="G418" s="250"/>
      <c r="H418" s="255"/>
      <c r="I418" s="255"/>
      <c r="J418" s="250"/>
      <c r="K418" s="250"/>
      <c r="L418" s="250"/>
      <c r="M418" s="250"/>
      <c r="N418" s="250"/>
    </row>
    <row r="419" spans="5:14" ht="11.25">
      <c r="E419" s="250"/>
      <c r="F419" s="250"/>
      <c r="G419" s="250"/>
      <c r="H419" s="255"/>
      <c r="I419" s="255"/>
      <c r="J419" s="250"/>
      <c r="K419" s="250"/>
      <c r="L419" s="250"/>
      <c r="M419" s="250"/>
      <c r="N419" s="250"/>
    </row>
    <row r="420" spans="5:14" ht="11.25">
      <c r="E420" s="250"/>
      <c r="F420" s="250"/>
      <c r="G420" s="250"/>
      <c r="H420" s="255"/>
      <c r="I420" s="255"/>
      <c r="J420" s="250"/>
      <c r="K420" s="250"/>
      <c r="L420" s="250"/>
      <c r="M420" s="250"/>
      <c r="N420" s="250"/>
    </row>
    <row r="421" spans="5:14" ht="11.25">
      <c r="E421" s="250"/>
      <c r="F421" s="250"/>
      <c r="G421" s="250"/>
      <c r="H421" s="255"/>
      <c r="I421" s="255"/>
      <c r="J421" s="250"/>
      <c r="K421" s="250"/>
      <c r="L421" s="250"/>
      <c r="M421" s="250"/>
      <c r="N421" s="250"/>
    </row>
    <row r="422" spans="5:14" ht="11.25">
      <c r="E422" s="250"/>
      <c r="F422" s="250"/>
      <c r="G422" s="250"/>
      <c r="H422" s="255"/>
      <c r="I422" s="255"/>
      <c r="J422" s="250"/>
      <c r="K422" s="250"/>
      <c r="L422" s="250"/>
      <c r="M422" s="250"/>
      <c r="N422" s="250"/>
    </row>
    <row r="423" spans="5:14" ht="11.25">
      <c r="E423" s="250"/>
      <c r="F423" s="250"/>
      <c r="G423" s="250"/>
      <c r="H423" s="255"/>
      <c r="I423" s="255"/>
      <c r="J423" s="250"/>
      <c r="K423" s="250"/>
      <c r="L423" s="250"/>
      <c r="M423" s="250"/>
      <c r="N423" s="250"/>
    </row>
    <row r="424" spans="5:14" ht="11.25">
      <c r="E424" s="250"/>
      <c r="F424" s="250"/>
      <c r="G424" s="250"/>
      <c r="H424" s="255"/>
      <c r="I424" s="255"/>
      <c r="J424" s="250"/>
      <c r="K424" s="250"/>
      <c r="L424" s="250"/>
      <c r="M424" s="250"/>
      <c r="N424" s="250"/>
    </row>
    <row r="425" spans="5:14" ht="11.25">
      <c r="E425" s="250"/>
      <c r="F425" s="250"/>
      <c r="G425" s="250"/>
      <c r="H425" s="255"/>
      <c r="I425" s="255"/>
      <c r="J425" s="250"/>
      <c r="K425" s="250"/>
      <c r="L425" s="250"/>
      <c r="M425" s="250"/>
      <c r="N425" s="250"/>
    </row>
    <row r="426" spans="5:14" ht="11.25">
      <c r="E426" s="250"/>
      <c r="F426" s="250"/>
      <c r="G426" s="250"/>
      <c r="H426" s="255"/>
      <c r="I426" s="255"/>
      <c r="J426" s="250"/>
      <c r="K426" s="250"/>
      <c r="L426" s="250"/>
      <c r="M426" s="250"/>
      <c r="N426" s="250"/>
    </row>
    <row r="427" spans="5:14" ht="11.25">
      <c r="E427" s="250"/>
      <c r="F427" s="250"/>
      <c r="G427" s="250"/>
      <c r="H427" s="255"/>
      <c r="I427" s="255"/>
      <c r="J427" s="250"/>
      <c r="K427" s="250"/>
      <c r="L427" s="250"/>
      <c r="M427" s="250"/>
      <c r="N427" s="250"/>
    </row>
    <row r="428" spans="5:14" ht="11.25">
      <c r="E428" s="250"/>
      <c r="F428" s="250"/>
      <c r="G428" s="250"/>
      <c r="H428" s="255"/>
      <c r="I428" s="255"/>
      <c r="J428" s="250"/>
      <c r="K428" s="250"/>
      <c r="L428" s="250"/>
      <c r="M428" s="250"/>
      <c r="N428" s="250"/>
    </row>
    <row r="429" spans="5:14" ht="11.25">
      <c r="E429" s="250"/>
      <c r="F429" s="250"/>
      <c r="G429" s="250"/>
      <c r="H429" s="255"/>
      <c r="I429" s="255"/>
      <c r="J429" s="250"/>
      <c r="K429" s="250"/>
      <c r="L429" s="250"/>
      <c r="M429" s="250"/>
      <c r="N429" s="250"/>
    </row>
    <row r="430" spans="5:14" ht="11.25">
      <c r="E430" s="250"/>
      <c r="F430" s="250"/>
      <c r="G430" s="250"/>
      <c r="H430" s="255"/>
      <c r="I430" s="255"/>
      <c r="J430" s="250"/>
      <c r="K430" s="250"/>
      <c r="L430" s="250"/>
      <c r="M430" s="250"/>
      <c r="N430" s="250"/>
    </row>
    <row r="431" spans="5:14" ht="11.25">
      <c r="E431" s="250"/>
      <c r="F431" s="250"/>
      <c r="G431" s="250"/>
      <c r="H431" s="255"/>
      <c r="I431" s="255"/>
      <c r="J431" s="250"/>
      <c r="K431" s="250"/>
      <c r="L431" s="250"/>
      <c r="M431" s="250"/>
      <c r="N431" s="250"/>
    </row>
    <row r="432" spans="5:14" ht="11.25">
      <c r="E432" s="250"/>
      <c r="F432" s="250"/>
      <c r="G432" s="250"/>
      <c r="H432" s="255"/>
      <c r="I432" s="255"/>
      <c r="J432" s="250"/>
      <c r="K432" s="250"/>
      <c r="L432" s="250"/>
      <c r="M432" s="250"/>
      <c r="N432" s="250"/>
    </row>
    <row r="433" spans="5:14" ht="11.25">
      <c r="E433" s="250"/>
      <c r="F433" s="250"/>
      <c r="G433" s="250"/>
      <c r="H433" s="255"/>
      <c r="I433" s="255"/>
      <c r="J433" s="250"/>
      <c r="K433" s="250"/>
      <c r="L433" s="250"/>
      <c r="M433" s="250"/>
      <c r="N433" s="250"/>
    </row>
    <row r="434" spans="5:14" ht="11.25">
      <c r="E434" s="250"/>
      <c r="F434" s="250"/>
      <c r="G434" s="250"/>
      <c r="H434" s="255"/>
      <c r="I434" s="255"/>
      <c r="J434" s="250"/>
      <c r="K434" s="250"/>
      <c r="L434" s="250"/>
      <c r="M434" s="250"/>
      <c r="N434" s="250"/>
    </row>
    <row r="435" spans="5:14" ht="11.25">
      <c r="E435" s="250"/>
      <c r="F435" s="250"/>
      <c r="G435" s="250"/>
      <c r="H435" s="255"/>
      <c r="I435" s="255"/>
      <c r="J435" s="250"/>
      <c r="K435" s="250"/>
      <c r="L435" s="250"/>
      <c r="M435" s="250"/>
      <c r="N435" s="250"/>
    </row>
    <row r="436" spans="5:14" ht="11.25">
      <c r="E436" s="250"/>
      <c r="F436" s="250"/>
      <c r="G436" s="250"/>
      <c r="H436" s="255"/>
      <c r="I436" s="255"/>
      <c r="J436" s="250"/>
      <c r="K436" s="250"/>
      <c r="L436" s="250"/>
      <c r="M436" s="250"/>
      <c r="N436" s="250"/>
    </row>
    <row r="437" spans="5:14" ht="11.25">
      <c r="E437" s="250"/>
      <c r="F437" s="250"/>
      <c r="G437" s="250"/>
      <c r="H437" s="255"/>
      <c r="I437" s="255"/>
      <c r="J437" s="250"/>
      <c r="K437" s="250"/>
      <c r="L437" s="250"/>
      <c r="M437" s="250"/>
      <c r="N437" s="250"/>
    </row>
    <row r="438" spans="5:14" ht="11.25">
      <c r="E438" s="250"/>
      <c r="F438" s="250"/>
      <c r="G438" s="250"/>
      <c r="H438" s="255"/>
      <c r="I438" s="255"/>
      <c r="J438" s="250"/>
      <c r="K438" s="250"/>
      <c r="L438" s="250"/>
      <c r="M438" s="250"/>
      <c r="N438" s="250"/>
    </row>
    <row r="439" spans="5:14" ht="11.25">
      <c r="E439" s="250"/>
      <c r="F439" s="250"/>
      <c r="G439" s="250"/>
      <c r="H439" s="255"/>
      <c r="I439" s="255"/>
      <c r="J439" s="250"/>
      <c r="K439" s="250"/>
      <c r="L439" s="250"/>
      <c r="M439" s="250"/>
      <c r="N439" s="250"/>
    </row>
    <row r="440" spans="5:14" ht="11.25">
      <c r="E440" s="250"/>
      <c r="F440" s="250"/>
      <c r="G440" s="250"/>
      <c r="H440" s="255"/>
      <c r="I440" s="255"/>
      <c r="J440" s="250"/>
      <c r="K440" s="250"/>
      <c r="L440" s="250"/>
      <c r="M440" s="250"/>
      <c r="N440" s="250"/>
    </row>
    <row r="441" spans="5:14" ht="11.25">
      <c r="E441" s="250"/>
      <c r="F441" s="250"/>
      <c r="G441" s="250"/>
      <c r="H441" s="255"/>
      <c r="I441" s="255"/>
      <c r="J441" s="250"/>
      <c r="K441" s="250"/>
      <c r="L441" s="250"/>
      <c r="M441" s="250"/>
      <c r="N441" s="250"/>
    </row>
    <row r="442" spans="5:14" ht="11.25">
      <c r="E442" s="250"/>
      <c r="F442" s="250"/>
      <c r="G442" s="250"/>
      <c r="H442" s="255"/>
      <c r="I442" s="255"/>
      <c r="J442" s="250"/>
      <c r="K442" s="250"/>
      <c r="L442" s="250"/>
      <c r="M442" s="250"/>
      <c r="N442" s="250"/>
    </row>
    <row r="443" spans="5:14" ht="11.25">
      <c r="E443" s="250"/>
      <c r="F443" s="250"/>
      <c r="G443" s="250"/>
      <c r="H443" s="255"/>
      <c r="I443" s="255"/>
      <c r="J443" s="250"/>
      <c r="K443" s="250"/>
      <c r="L443" s="250"/>
      <c r="M443" s="250"/>
      <c r="N443" s="250"/>
    </row>
    <row r="444" spans="5:14" ht="11.25">
      <c r="E444" s="250"/>
      <c r="F444" s="250"/>
      <c r="G444" s="250"/>
      <c r="H444" s="255"/>
      <c r="I444" s="255"/>
      <c r="J444" s="250"/>
      <c r="K444" s="250"/>
      <c r="L444" s="250"/>
      <c r="M444" s="250"/>
      <c r="N444" s="250"/>
    </row>
    <row r="445" spans="5:14" ht="11.25">
      <c r="E445" s="250"/>
      <c r="F445" s="250"/>
      <c r="G445" s="250"/>
      <c r="H445" s="255"/>
      <c r="I445" s="255"/>
      <c r="J445" s="250"/>
      <c r="K445" s="250"/>
      <c r="L445" s="250"/>
      <c r="M445" s="250"/>
      <c r="N445" s="250"/>
    </row>
    <row r="446" spans="5:14" ht="11.25">
      <c r="E446" s="250"/>
      <c r="F446" s="250"/>
      <c r="G446" s="250"/>
      <c r="H446" s="255"/>
      <c r="I446" s="255"/>
      <c r="J446" s="250"/>
      <c r="K446" s="250"/>
      <c r="L446" s="250"/>
      <c r="M446" s="250"/>
      <c r="N446" s="250"/>
    </row>
    <row r="447" spans="5:14" ht="11.25">
      <c r="E447" s="250"/>
      <c r="F447" s="250"/>
      <c r="G447" s="250"/>
      <c r="H447" s="255"/>
      <c r="I447" s="255"/>
      <c r="J447" s="250"/>
      <c r="K447" s="250"/>
      <c r="L447" s="250"/>
      <c r="M447" s="250"/>
      <c r="N447" s="250"/>
    </row>
    <row r="448" spans="5:14" ht="11.25">
      <c r="E448" s="250"/>
      <c r="F448" s="250"/>
      <c r="G448" s="250"/>
      <c r="H448" s="255"/>
      <c r="I448" s="255"/>
      <c r="J448" s="250"/>
      <c r="K448" s="250"/>
      <c r="L448" s="250"/>
      <c r="M448" s="250"/>
      <c r="N448" s="250"/>
    </row>
    <row r="449" spans="5:14" ht="11.25">
      <c r="E449" s="250"/>
      <c r="F449" s="250"/>
      <c r="G449" s="250"/>
      <c r="H449" s="255"/>
      <c r="I449" s="255"/>
      <c r="J449" s="250"/>
      <c r="K449" s="250"/>
      <c r="L449" s="250"/>
      <c r="M449" s="250"/>
      <c r="N449" s="250"/>
    </row>
    <row r="450" spans="5:14" ht="11.25">
      <c r="E450" s="250"/>
      <c r="F450" s="250"/>
      <c r="G450" s="250"/>
      <c r="H450" s="255"/>
      <c r="I450" s="255"/>
      <c r="J450" s="250"/>
      <c r="K450" s="250"/>
      <c r="L450" s="250"/>
      <c r="M450" s="250"/>
      <c r="N450" s="250"/>
    </row>
    <row r="451" spans="5:14" ht="11.25">
      <c r="E451" s="250"/>
      <c r="F451" s="250"/>
      <c r="G451" s="250"/>
      <c r="H451" s="255"/>
      <c r="I451" s="255"/>
      <c r="J451" s="250"/>
      <c r="K451" s="250"/>
      <c r="L451" s="250"/>
      <c r="M451" s="250"/>
      <c r="N451" s="250"/>
    </row>
    <row r="452" spans="5:14" ht="11.25">
      <c r="E452" s="250"/>
      <c r="F452" s="250"/>
      <c r="G452" s="250"/>
      <c r="H452" s="255"/>
      <c r="I452" s="255"/>
      <c r="J452" s="250"/>
      <c r="K452" s="250"/>
      <c r="L452" s="250"/>
      <c r="M452" s="250"/>
      <c r="N452" s="250"/>
    </row>
    <row r="453" spans="5:14" ht="11.25">
      <c r="E453" s="250"/>
      <c r="F453" s="250"/>
      <c r="G453" s="250"/>
      <c r="H453" s="255"/>
      <c r="I453" s="255"/>
      <c r="J453" s="250"/>
      <c r="K453" s="250"/>
      <c r="L453" s="250"/>
      <c r="M453" s="250"/>
      <c r="N453" s="250"/>
    </row>
    <row r="454" spans="5:14" ht="11.25">
      <c r="E454" s="250"/>
      <c r="F454" s="250"/>
      <c r="G454" s="250"/>
      <c r="H454" s="255"/>
      <c r="I454" s="255"/>
      <c r="J454" s="250"/>
      <c r="K454" s="250"/>
      <c r="L454" s="250"/>
      <c r="M454" s="250"/>
      <c r="N454" s="250"/>
    </row>
    <row r="455" spans="5:14" ht="11.25">
      <c r="E455" s="250"/>
      <c r="F455" s="250"/>
      <c r="G455" s="250"/>
      <c r="H455" s="255"/>
      <c r="I455" s="255"/>
      <c r="J455" s="250"/>
      <c r="K455" s="250"/>
      <c r="L455" s="250"/>
      <c r="M455" s="250"/>
      <c r="N455" s="250"/>
    </row>
    <row r="456" spans="5:14" ht="11.25">
      <c r="E456" s="250"/>
      <c r="F456" s="250"/>
      <c r="G456" s="250"/>
      <c r="H456" s="255"/>
      <c r="I456" s="255"/>
      <c r="J456" s="250"/>
      <c r="K456" s="250"/>
      <c r="L456" s="250"/>
      <c r="M456" s="250"/>
      <c r="N456" s="250"/>
    </row>
    <row r="457" spans="5:14" ht="11.25">
      <c r="E457" s="250"/>
      <c r="F457" s="250"/>
      <c r="G457" s="250"/>
      <c r="H457" s="255"/>
      <c r="I457" s="255"/>
      <c r="J457" s="250"/>
      <c r="K457" s="250"/>
      <c r="L457" s="250"/>
      <c r="M457" s="250"/>
      <c r="N457" s="250"/>
    </row>
    <row r="458" spans="5:14" ht="11.25">
      <c r="E458" s="250"/>
      <c r="F458" s="250"/>
      <c r="G458" s="250"/>
      <c r="H458" s="255"/>
      <c r="I458" s="255"/>
      <c r="J458" s="250"/>
      <c r="K458" s="250"/>
      <c r="L458" s="250"/>
      <c r="M458" s="250"/>
      <c r="N458" s="250"/>
    </row>
    <row r="459" spans="5:14" ht="11.25">
      <c r="E459" s="250"/>
      <c r="F459" s="250"/>
      <c r="G459" s="250"/>
      <c r="H459" s="255"/>
      <c r="I459" s="255"/>
      <c r="J459" s="250"/>
      <c r="K459" s="250"/>
      <c r="L459" s="250"/>
      <c r="M459" s="250"/>
      <c r="N459" s="250"/>
    </row>
    <row r="460" spans="5:14" ht="11.25">
      <c r="E460" s="250"/>
      <c r="F460" s="250"/>
      <c r="G460" s="250"/>
      <c r="H460" s="255"/>
      <c r="I460" s="255"/>
      <c r="J460" s="250"/>
      <c r="K460" s="250"/>
      <c r="L460" s="250"/>
      <c r="M460" s="250"/>
      <c r="N460" s="250"/>
    </row>
    <row r="461" spans="5:14" ht="11.25">
      <c r="E461" s="250"/>
      <c r="F461" s="250"/>
      <c r="G461" s="250"/>
      <c r="H461" s="255"/>
      <c r="I461" s="255"/>
      <c r="J461" s="250"/>
      <c r="K461" s="250"/>
      <c r="L461" s="250"/>
      <c r="M461" s="250"/>
      <c r="N461" s="250"/>
    </row>
    <row r="462" spans="5:14" ht="11.25">
      <c r="E462" s="250"/>
      <c r="F462" s="250"/>
      <c r="G462" s="250"/>
      <c r="H462" s="255"/>
      <c r="I462" s="255"/>
      <c r="J462" s="250"/>
      <c r="K462" s="250"/>
      <c r="L462" s="250"/>
      <c r="M462" s="250"/>
      <c r="N462" s="250"/>
    </row>
    <row r="463" spans="5:14" ht="11.25">
      <c r="E463" s="250"/>
      <c r="F463" s="250"/>
      <c r="G463" s="250"/>
      <c r="H463" s="255"/>
      <c r="I463" s="255"/>
      <c r="J463" s="250"/>
      <c r="K463" s="250"/>
      <c r="L463" s="250"/>
      <c r="M463" s="250"/>
      <c r="N463" s="250"/>
    </row>
    <row r="464" spans="5:14" ht="11.25">
      <c r="E464" s="250"/>
      <c r="F464" s="250"/>
      <c r="G464" s="250"/>
      <c r="H464" s="255"/>
      <c r="I464" s="255"/>
      <c r="J464" s="250"/>
      <c r="K464" s="250"/>
      <c r="L464" s="250"/>
      <c r="M464" s="250"/>
      <c r="N464" s="250"/>
    </row>
    <row r="465" spans="5:14" ht="11.25">
      <c r="E465" s="250"/>
      <c r="F465" s="250"/>
      <c r="G465" s="250"/>
      <c r="H465" s="255"/>
      <c r="I465" s="255"/>
      <c r="J465" s="250"/>
      <c r="K465" s="250"/>
      <c r="L465" s="250"/>
      <c r="M465" s="250"/>
      <c r="N465" s="250"/>
    </row>
    <row r="466" spans="5:14" ht="11.25">
      <c r="E466" s="250"/>
      <c r="F466" s="250"/>
      <c r="G466" s="250"/>
      <c r="H466" s="255"/>
      <c r="I466" s="255"/>
      <c r="J466" s="250"/>
      <c r="K466" s="250"/>
      <c r="L466" s="250"/>
      <c r="M466" s="250"/>
      <c r="N466" s="250"/>
    </row>
    <row r="467" spans="5:14" ht="11.25">
      <c r="E467" s="250"/>
      <c r="F467" s="250"/>
      <c r="G467" s="250"/>
      <c r="H467" s="255"/>
      <c r="I467" s="255"/>
      <c r="J467" s="250"/>
      <c r="K467" s="250"/>
      <c r="L467" s="250"/>
      <c r="M467" s="250"/>
      <c r="N467" s="250"/>
    </row>
    <row r="468" spans="5:14" ht="11.25">
      <c r="E468" s="250"/>
      <c r="F468" s="250"/>
      <c r="G468" s="250"/>
      <c r="H468" s="255"/>
      <c r="I468" s="255"/>
      <c r="J468" s="250"/>
      <c r="K468" s="250"/>
      <c r="L468" s="250"/>
      <c r="M468" s="250"/>
      <c r="N468" s="250"/>
    </row>
    <row r="469" spans="5:14" ht="11.25">
      <c r="E469" s="250"/>
      <c r="F469" s="250"/>
      <c r="G469" s="250"/>
      <c r="H469" s="255"/>
      <c r="I469" s="255"/>
      <c r="J469" s="250"/>
      <c r="K469" s="250"/>
      <c r="L469" s="250"/>
      <c r="M469" s="250"/>
      <c r="N469" s="250"/>
    </row>
    <row r="470" spans="5:14" ht="11.25">
      <c r="E470" s="250"/>
      <c r="F470" s="250"/>
      <c r="G470" s="250"/>
      <c r="H470" s="255"/>
      <c r="I470" s="255"/>
      <c r="J470" s="250"/>
      <c r="K470" s="250"/>
      <c r="L470" s="250"/>
      <c r="M470" s="250"/>
      <c r="N470" s="250"/>
    </row>
    <row r="471" spans="5:14" ht="11.25">
      <c r="E471" s="250"/>
      <c r="F471" s="250"/>
      <c r="G471" s="250"/>
      <c r="H471" s="255"/>
      <c r="I471" s="255"/>
      <c r="J471" s="250"/>
      <c r="K471" s="250"/>
      <c r="L471" s="250"/>
      <c r="M471" s="250"/>
      <c r="N471" s="250"/>
    </row>
    <row r="472" spans="5:14" ht="11.25">
      <c r="E472" s="250"/>
      <c r="F472" s="250"/>
      <c r="G472" s="250"/>
      <c r="H472" s="255"/>
      <c r="I472" s="255"/>
      <c r="J472" s="250"/>
      <c r="K472" s="250"/>
      <c r="L472" s="250"/>
      <c r="M472" s="250"/>
      <c r="N472" s="250"/>
    </row>
    <row r="473" spans="5:14" ht="11.25">
      <c r="E473" s="250"/>
      <c r="F473" s="250"/>
      <c r="G473" s="250"/>
      <c r="H473" s="255"/>
      <c r="I473" s="255"/>
      <c r="J473" s="250"/>
      <c r="K473" s="250"/>
      <c r="L473" s="250"/>
      <c r="M473" s="250"/>
      <c r="N473" s="250"/>
    </row>
    <row r="474" spans="5:14" ht="11.25">
      <c r="E474" s="250"/>
      <c r="F474" s="250"/>
      <c r="G474" s="250"/>
      <c r="H474" s="255"/>
      <c r="I474" s="255"/>
      <c r="J474" s="250"/>
      <c r="K474" s="250"/>
      <c r="L474" s="250"/>
      <c r="M474" s="250"/>
      <c r="N474" s="250"/>
    </row>
    <row r="475" spans="5:14" ht="11.25">
      <c r="E475" s="250"/>
      <c r="F475" s="250"/>
      <c r="G475" s="250"/>
      <c r="H475" s="255"/>
      <c r="I475" s="255"/>
      <c r="J475" s="250"/>
      <c r="K475" s="250"/>
      <c r="L475" s="250"/>
      <c r="M475" s="250"/>
      <c r="N475" s="250"/>
    </row>
    <row r="476" spans="5:14" ht="11.25">
      <c r="E476" s="250"/>
      <c r="F476" s="250"/>
      <c r="G476" s="250"/>
      <c r="H476" s="255"/>
      <c r="I476" s="255"/>
      <c r="J476" s="250"/>
      <c r="K476" s="250"/>
      <c r="L476" s="250"/>
      <c r="M476" s="250"/>
      <c r="N476" s="250"/>
    </row>
    <row r="477" spans="5:14" ht="11.25">
      <c r="E477" s="250"/>
      <c r="F477" s="250"/>
      <c r="G477" s="250"/>
      <c r="H477" s="255"/>
      <c r="I477" s="255"/>
      <c r="J477" s="250"/>
      <c r="K477" s="250"/>
      <c r="L477" s="250"/>
      <c r="M477" s="250"/>
      <c r="N477" s="250"/>
    </row>
    <row r="478" spans="5:14" ht="11.25">
      <c r="E478" s="250"/>
      <c r="F478" s="250"/>
      <c r="G478" s="250"/>
      <c r="H478" s="255"/>
      <c r="I478" s="255"/>
      <c r="J478" s="250"/>
      <c r="K478" s="250"/>
      <c r="L478" s="250"/>
      <c r="M478" s="250"/>
      <c r="N478" s="250"/>
    </row>
    <row r="479" spans="5:14" ht="11.25">
      <c r="E479" s="250"/>
      <c r="F479" s="250"/>
      <c r="G479" s="250"/>
      <c r="H479" s="255"/>
      <c r="I479" s="255"/>
      <c r="J479" s="250"/>
      <c r="K479" s="250"/>
      <c r="L479" s="250"/>
      <c r="M479" s="250"/>
      <c r="N479" s="250"/>
    </row>
    <row r="480" spans="5:14" ht="11.25">
      <c r="E480" s="250"/>
      <c r="F480" s="250"/>
      <c r="G480" s="250"/>
      <c r="H480" s="255"/>
      <c r="I480" s="255"/>
      <c r="J480" s="250"/>
      <c r="K480" s="250"/>
      <c r="L480" s="250"/>
      <c r="M480" s="250"/>
      <c r="N480" s="250"/>
    </row>
    <row r="481" spans="5:14" ht="11.25">
      <c r="E481" s="250"/>
      <c r="F481" s="250"/>
      <c r="G481" s="250"/>
      <c r="H481" s="255"/>
      <c r="I481" s="255"/>
      <c r="J481" s="250"/>
      <c r="K481" s="250"/>
      <c r="L481" s="250"/>
      <c r="M481" s="250"/>
      <c r="N481" s="250"/>
    </row>
    <row r="482" spans="5:14" ht="11.25">
      <c r="E482" s="250"/>
      <c r="F482" s="250"/>
      <c r="G482" s="250"/>
      <c r="H482" s="255"/>
      <c r="I482" s="255"/>
      <c r="J482" s="250"/>
      <c r="K482" s="250"/>
      <c r="L482" s="250"/>
      <c r="M482" s="250"/>
      <c r="N482" s="250"/>
    </row>
    <row r="483" spans="5:14" ht="11.25">
      <c r="E483" s="250"/>
      <c r="F483" s="250"/>
      <c r="G483" s="250"/>
      <c r="H483" s="255"/>
      <c r="I483" s="255"/>
      <c r="J483" s="250"/>
      <c r="K483" s="250"/>
      <c r="L483" s="250"/>
      <c r="M483" s="250"/>
      <c r="N483" s="250"/>
    </row>
    <row r="484" spans="5:14" ht="11.25">
      <c r="E484" s="250"/>
      <c r="F484" s="250"/>
      <c r="G484" s="250"/>
      <c r="H484" s="255"/>
      <c r="I484" s="255"/>
      <c r="J484" s="250"/>
      <c r="K484" s="250"/>
      <c r="L484" s="250"/>
      <c r="M484" s="250"/>
      <c r="N484" s="250"/>
    </row>
    <row r="485" spans="5:14" ht="11.25">
      <c r="E485" s="250"/>
      <c r="F485" s="250"/>
      <c r="G485" s="250"/>
      <c r="H485" s="255"/>
      <c r="I485" s="255"/>
      <c r="J485" s="250"/>
      <c r="K485" s="250"/>
      <c r="L485" s="250"/>
      <c r="M485" s="250"/>
      <c r="N485" s="250"/>
    </row>
    <row r="486" spans="5:14" ht="11.25">
      <c r="E486" s="250"/>
      <c r="F486" s="250"/>
      <c r="G486" s="250"/>
      <c r="H486" s="255"/>
      <c r="I486" s="255"/>
      <c r="J486" s="250"/>
      <c r="K486" s="250"/>
      <c r="L486" s="250"/>
      <c r="M486" s="250"/>
      <c r="N486" s="250"/>
    </row>
    <row r="487" spans="5:14" ht="11.25">
      <c r="E487" s="250"/>
      <c r="F487" s="250"/>
      <c r="G487" s="250"/>
      <c r="H487" s="255"/>
      <c r="I487" s="255"/>
      <c r="J487" s="250"/>
      <c r="K487" s="250"/>
      <c r="L487" s="250"/>
      <c r="M487" s="250"/>
      <c r="N487" s="250"/>
    </row>
    <row r="488" spans="5:14" ht="11.25">
      <c r="E488" s="250"/>
      <c r="F488" s="250"/>
      <c r="G488" s="250"/>
      <c r="H488" s="255"/>
      <c r="I488" s="255"/>
      <c r="J488" s="250"/>
      <c r="K488" s="250"/>
      <c r="L488" s="250"/>
      <c r="M488" s="250"/>
      <c r="N488" s="250"/>
    </row>
    <row r="489" spans="5:14" ht="11.25">
      <c r="E489" s="250"/>
      <c r="F489" s="250"/>
      <c r="G489" s="250"/>
      <c r="H489" s="255"/>
      <c r="I489" s="255"/>
      <c r="J489" s="250"/>
      <c r="K489" s="250"/>
      <c r="L489" s="250"/>
      <c r="M489" s="250"/>
      <c r="N489" s="250"/>
    </row>
    <row r="490" spans="5:14" ht="11.25">
      <c r="E490" s="250"/>
      <c r="F490" s="250"/>
      <c r="G490" s="250"/>
      <c r="H490" s="255"/>
      <c r="I490" s="255"/>
      <c r="J490" s="250"/>
      <c r="K490" s="250"/>
      <c r="L490" s="250"/>
      <c r="M490" s="250"/>
      <c r="N490" s="250"/>
    </row>
    <row r="491" spans="5:14" ht="11.25">
      <c r="E491" s="250"/>
      <c r="F491" s="250"/>
      <c r="G491" s="250"/>
      <c r="H491" s="255"/>
      <c r="I491" s="255"/>
      <c r="J491" s="250"/>
      <c r="K491" s="250"/>
      <c r="L491" s="250"/>
      <c r="M491" s="250"/>
      <c r="N491" s="250"/>
    </row>
    <row r="492" spans="5:14" ht="11.25">
      <c r="E492" s="250"/>
      <c r="F492" s="250"/>
      <c r="G492" s="250"/>
      <c r="H492" s="255"/>
      <c r="I492" s="255"/>
      <c r="J492" s="250"/>
      <c r="K492" s="250"/>
      <c r="L492" s="250"/>
      <c r="M492" s="250"/>
      <c r="N492" s="250"/>
    </row>
    <row r="493" spans="5:14" ht="11.25">
      <c r="E493" s="250"/>
      <c r="F493" s="250"/>
      <c r="G493" s="250"/>
      <c r="H493" s="255"/>
      <c r="I493" s="255"/>
      <c r="J493" s="250"/>
      <c r="K493" s="250"/>
      <c r="L493" s="250"/>
      <c r="M493" s="250"/>
      <c r="N493" s="250"/>
    </row>
    <row r="494" spans="5:14" ht="11.25">
      <c r="E494" s="250"/>
      <c r="F494" s="250"/>
      <c r="G494" s="250"/>
      <c r="H494" s="255"/>
      <c r="I494" s="255"/>
      <c r="J494" s="250"/>
      <c r="K494" s="250"/>
      <c r="L494" s="250"/>
      <c r="M494" s="250"/>
      <c r="N494" s="250"/>
    </row>
    <row r="495" spans="5:14" ht="11.25">
      <c r="E495" s="250"/>
      <c r="F495" s="250"/>
      <c r="G495" s="250"/>
      <c r="H495" s="255"/>
      <c r="I495" s="255"/>
      <c r="J495" s="250"/>
      <c r="K495" s="250"/>
      <c r="L495" s="250"/>
      <c r="M495" s="250"/>
      <c r="N495" s="250"/>
    </row>
    <row r="496" spans="5:14" ht="11.25">
      <c r="E496" s="250"/>
      <c r="F496" s="250"/>
      <c r="G496" s="250"/>
      <c r="H496" s="255"/>
      <c r="I496" s="255"/>
      <c r="J496" s="250"/>
      <c r="K496" s="250"/>
      <c r="L496" s="250"/>
      <c r="M496" s="250"/>
      <c r="N496" s="250"/>
    </row>
    <row r="497" spans="5:14" ht="11.25">
      <c r="E497" s="250"/>
      <c r="F497" s="250"/>
      <c r="G497" s="250"/>
      <c r="H497" s="255"/>
      <c r="I497" s="255"/>
      <c r="J497" s="250"/>
      <c r="K497" s="250"/>
      <c r="L497" s="250"/>
      <c r="M497" s="250"/>
      <c r="N497" s="250"/>
    </row>
    <row r="498" spans="5:14" ht="11.25">
      <c r="E498" s="250"/>
      <c r="F498" s="250"/>
      <c r="G498" s="250"/>
      <c r="H498" s="255"/>
      <c r="I498" s="255"/>
      <c r="J498" s="250"/>
      <c r="K498" s="250"/>
      <c r="L498" s="250"/>
      <c r="M498" s="250"/>
      <c r="N498" s="250"/>
    </row>
    <row r="499" spans="5:14" ht="11.25">
      <c r="E499" s="250"/>
      <c r="F499" s="250"/>
      <c r="G499" s="250"/>
      <c r="H499" s="255"/>
      <c r="I499" s="255"/>
      <c r="J499" s="250"/>
      <c r="K499" s="250"/>
      <c r="L499" s="250"/>
      <c r="M499" s="250"/>
      <c r="N499" s="250"/>
    </row>
    <row r="500" spans="5:14" ht="11.25">
      <c r="E500" s="250"/>
      <c r="F500" s="250"/>
      <c r="G500" s="250"/>
      <c r="H500" s="255"/>
      <c r="I500" s="255"/>
      <c r="J500" s="250"/>
      <c r="K500" s="250"/>
      <c r="L500" s="250"/>
      <c r="M500" s="250"/>
      <c r="N500" s="250"/>
    </row>
    <row r="501" spans="5:14" ht="11.25">
      <c r="E501" s="250"/>
      <c r="F501" s="250"/>
      <c r="G501" s="250"/>
      <c r="H501" s="255"/>
      <c r="I501" s="255"/>
      <c r="J501" s="250"/>
      <c r="K501" s="250"/>
      <c r="L501" s="250"/>
      <c r="M501" s="250"/>
      <c r="N501" s="250"/>
    </row>
    <row r="502" spans="5:14" ht="11.25">
      <c r="E502" s="250"/>
      <c r="F502" s="250"/>
      <c r="G502" s="250"/>
      <c r="H502" s="255"/>
      <c r="I502" s="255"/>
      <c r="J502" s="250"/>
      <c r="K502" s="250"/>
      <c r="L502" s="250"/>
      <c r="M502" s="250"/>
      <c r="N502" s="250"/>
    </row>
    <row r="503" spans="5:14" ht="11.25">
      <c r="E503" s="250"/>
      <c r="F503" s="250"/>
      <c r="G503" s="250"/>
      <c r="H503" s="255"/>
      <c r="I503" s="255"/>
      <c r="J503" s="250"/>
      <c r="K503" s="250"/>
      <c r="L503" s="250"/>
      <c r="M503" s="250"/>
      <c r="N503" s="250"/>
    </row>
    <row r="504" spans="5:14" ht="11.25">
      <c r="E504" s="250"/>
      <c r="F504" s="250"/>
      <c r="G504" s="250"/>
      <c r="H504" s="255"/>
      <c r="I504" s="255"/>
      <c r="J504" s="250"/>
      <c r="K504" s="250"/>
      <c r="L504" s="250"/>
      <c r="M504" s="250"/>
      <c r="N504" s="250"/>
    </row>
    <row r="505" spans="5:14" ht="11.25">
      <c r="E505" s="250"/>
      <c r="F505" s="250"/>
      <c r="G505" s="250"/>
      <c r="H505" s="255"/>
      <c r="I505" s="255"/>
      <c r="J505" s="250"/>
      <c r="K505" s="250"/>
      <c r="L505" s="250"/>
      <c r="M505" s="250"/>
      <c r="N505" s="250"/>
    </row>
    <row r="506" spans="5:14" ht="11.25">
      <c r="E506" s="250"/>
      <c r="F506" s="250"/>
      <c r="G506" s="250"/>
      <c r="H506" s="255"/>
      <c r="I506" s="255"/>
      <c r="J506" s="250"/>
      <c r="K506" s="250"/>
      <c r="L506" s="250"/>
      <c r="M506" s="250"/>
      <c r="N506" s="250"/>
    </row>
    <row r="507" spans="5:14" ht="11.25">
      <c r="E507" s="250"/>
      <c r="F507" s="250"/>
      <c r="G507" s="250"/>
      <c r="H507" s="255"/>
      <c r="I507" s="255"/>
      <c r="J507" s="250"/>
      <c r="K507" s="250"/>
      <c r="L507" s="250"/>
      <c r="M507" s="250"/>
      <c r="N507" s="250"/>
    </row>
    <row r="508" spans="5:14" ht="11.25">
      <c r="E508" s="250"/>
      <c r="F508" s="250"/>
      <c r="G508" s="250"/>
      <c r="H508" s="255"/>
      <c r="I508" s="255"/>
      <c r="J508" s="250"/>
      <c r="K508" s="250"/>
      <c r="L508" s="250"/>
      <c r="M508" s="250"/>
      <c r="N508" s="250"/>
    </row>
    <row r="509" spans="5:14" ht="11.25">
      <c r="E509" s="250"/>
      <c r="F509" s="250"/>
      <c r="G509" s="250"/>
      <c r="H509" s="255"/>
      <c r="I509" s="255"/>
      <c r="J509" s="250"/>
      <c r="K509" s="250"/>
      <c r="L509" s="250"/>
      <c r="M509" s="250"/>
      <c r="N509" s="250"/>
    </row>
    <row r="510" spans="5:14" ht="11.25">
      <c r="E510" s="250"/>
      <c r="F510" s="250"/>
      <c r="G510" s="250"/>
      <c r="H510" s="255"/>
      <c r="I510" s="255"/>
      <c r="J510" s="250"/>
      <c r="K510" s="250"/>
      <c r="L510" s="250"/>
      <c r="M510" s="250"/>
      <c r="N510" s="250"/>
    </row>
    <row r="511" spans="5:14" ht="11.25">
      <c r="E511" s="250"/>
      <c r="F511" s="250"/>
      <c r="G511" s="250"/>
      <c r="H511" s="255"/>
      <c r="I511" s="255"/>
      <c r="J511" s="250"/>
      <c r="K511" s="250"/>
      <c r="L511" s="250"/>
      <c r="M511" s="250"/>
      <c r="N511" s="250"/>
    </row>
    <row r="512" spans="5:14" ht="11.25">
      <c r="E512" s="250"/>
      <c r="F512" s="250"/>
      <c r="G512" s="250"/>
      <c r="H512" s="255"/>
      <c r="I512" s="255"/>
      <c r="J512" s="250"/>
      <c r="K512" s="250"/>
      <c r="L512" s="250"/>
      <c r="M512" s="250"/>
      <c r="N512" s="250"/>
    </row>
    <row r="513" spans="5:14" ht="11.25">
      <c r="E513" s="250"/>
      <c r="F513" s="250"/>
      <c r="G513" s="250"/>
      <c r="H513" s="255"/>
      <c r="I513" s="255"/>
      <c r="J513" s="250"/>
      <c r="K513" s="250"/>
      <c r="L513" s="250"/>
      <c r="M513" s="250"/>
      <c r="N513" s="250"/>
    </row>
    <row r="514" spans="5:14" ht="11.25">
      <c r="E514" s="250"/>
      <c r="F514" s="250"/>
      <c r="G514" s="250"/>
      <c r="H514" s="255"/>
      <c r="I514" s="255"/>
      <c r="J514" s="250"/>
      <c r="K514" s="250"/>
      <c r="L514" s="250"/>
      <c r="M514" s="250"/>
      <c r="N514" s="250"/>
    </row>
    <row r="515" spans="5:14" ht="11.25">
      <c r="E515" s="250"/>
      <c r="F515" s="250"/>
      <c r="G515" s="250"/>
      <c r="H515" s="255"/>
      <c r="I515" s="255"/>
      <c r="J515" s="250"/>
      <c r="K515" s="250"/>
      <c r="L515" s="250"/>
      <c r="M515" s="250"/>
      <c r="N515" s="250"/>
    </row>
    <row r="516" spans="5:14" ht="11.25">
      <c r="E516" s="250"/>
      <c r="F516" s="250"/>
      <c r="G516" s="250"/>
      <c r="H516" s="255"/>
      <c r="I516" s="255"/>
      <c r="J516" s="250"/>
      <c r="K516" s="250"/>
      <c r="L516" s="250"/>
      <c r="M516" s="250"/>
      <c r="N516" s="250"/>
    </row>
    <row r="517" spans="5:14" ht="11.25">
      <c r="E517" s="250"/>
      <c r="F517" s="250"/>
      <c r="G517" s="250"/>
      <c r="H517" s="255"/>
      <c r="I517" s="255"/>
      <c r="J517" s="250"/>
      <c r="K517" s="250"/>
      <c r="L517" s="250"/>
      <c r="M517" s="250"/>
      <c r="N517" s="250"/>
    </row>
    <row r="518" spans="5:14" ht="11.25">
      <c r="E518" s="250"/>
      <c r="F518" s="250"/>
      <c r="G518" s="250"/>
      <c r="H518" s="255"/>
      <c r="I518" s="255"/>
      <c r="J518" s="250"/>
      <c r="K518" s="250"/>
      <c r="L518" s="250"/>
      <c r="M518" s="250"/>
      <c r="N518" s="250"/>
    </row>
    <row r="519" spans="5:14" ht="11.25">
      <c r="E519" s="250"/>
      <c r="F519" s="250"/>
      <c r="G519" s="250"/>
      <c r="H519" s="255"/>
      <c r="I519" s="255"/>
      <c r="J519" s="250"/>
      <c r="K519" s="250"/>
      <c r="L519" s="250"/>
      <c r="M519" s="250"/>
      <c r="N519" s="250"/>
    </row>
    <row r="520" spans="5:14" ht="11.25">
      <c r="E520" s="250"/>
      <c r="F520" s="250"/>
      <c r="G520" s="250"/>
      <c r="H520" s="255"/>
      <c r="I520" s="255"/>
      <c r="J520" s="250"/>
      <c r="K520" s="250"/>
      <c r="L520" s="250"/>
      <c r="M520" s="250"/>
      <c r="N520" s="250"/>
    </row>
    <row r="521" spans="5:14" ht="11.25">
      <c r="E521" s="250"/>
      <c r="F521" s="250"/>
      <c r="G521" s="250"/>
      <c r="H521" s="255"/>
      <c r="I521" s="255"/>
      <c r="J521" s="250"/>
      <c r="K521" s="250"/>
      <c r="L521" s="250"/>
      <c r="M521" s="250"/>
      <c r="N521" s="250"/>
    </row>
    <row r="522" spans="5:14" ht="11.25">
      <c r="E522" s="250"/>
      <c r="F522" s="250"/>
      <c r="G522" s="250"/>
      <c r="H522" s="255"/>
      <c r="I522" s="255"/>
      <c r="J522" s="250"/>
      <c r="K522" s="250"/>
      <c r="L522" s="250"/>
      <c r="M522" s="250"/>
      <c r="N522" s="250"/>
    </row>
  </sheetData>
  <mergeCells count="22">
    <mergeCell ref="A1:N1"/>
    <mergeCell ref="A2:N2"/>
    <mergeCell ref="A3:AC3"/>
    <mergeCell ref="A4:AC4"/>
    <mergeCell ref="A5:AC5"/>
    <mergeCell ref="E8:G8"/>
    <mergeCell ref="J8:L8"/>
    <mergeCell ref="O8:AC8"/>
    <mergeCell ref="E9:G9"/>
    <mergeCell ref="J9:L9"/>
    <mergeCell ref="O9:AC9"/>
    <mergeCell ref="E10:G10"/>
    <mergeCell ref="J10:L10"/>
    <mergeCell ref="O10:Q10"/>
    <mergeCell ref="R10:T10"/>
    <mergeCell ref="U10:W10"/>
    <mergeCell ref="A152:D152"/>
    <mergeCell ref="A154:D154"/>
    <mergeCell ref="A112:D112"/>
    <mergeCell ref="A130:D130"/>
    <mergeCell ref="A141:D141"/>
    <mergeCell ref="A151:D151"/>
  </mergeCells>
  <printOptions/>
  <pageMargins left="0.75" right="0.75" top="1" bottom="1" header="0.5" footer="0.5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K522"/>
  <sheetViews>
    <sheetView view="pageBreakPreview" zoomScale="60" workbookViewId="0" topLeftCell="A1">
      <pane xSplit="9" ySplit="11" topLeftCell="J12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J40" sqref="J40"/>
    </sheetView>
  </sheetViews>
  <sheetFormatPr defaultColWidth="9.140625" defaultRowHeight="12.75"/>
  <cols>
    <col min="1" max="1" width="14.140625" style="476" bestFit="1" customWidth="1"/>
    <col min="2" max="2" width="9.140625" style="476" customWidth="1"/>
    <col min="3" max="3" width="12.57421875" style="476" customWidth="1"/>
    <col min="4" max="4" width="29.8515625" style="476" customWidth="1"/>
    <col min="5" max="5" width="6.421875" style="467" hidden="1" customWidth="1"/>
    <col min="6" max="6" width="9.57421875" style="467" hidden="1" customWidth="1"/>
    <col min="7" max="7" width="13.28125" style="467" hidden="1" customWidth="1"/>
    <col min="8" max="8" width="15.140625" style="476" hidden="1" customWidth="1"/>
    <col min="9" max="9" width="12.7109375" style="476" hidden="1" customWidth="1"/>
    <col min="10" max="10" width="13.140625" style="467" customWidth="1"/>
    <col min="11" max="11" width="12.421875" style="467" customWidth="1"/>
    <col min="12" max="12" width="18.28125" style="467" customWidth="1"/>
    <col min="13" max="13" width="9.8515625" style="467" hidden="1" customWidth="1"/>
    <col min="14" max="14" width="16.00390625" style="467" customWidth="1"/>
    <col min="15" max="15" width="10.421875" style="467" customWidth="1"/>
    <col min="16" max="16" width="9.28125" style="467" customWidth="1"/>
    <col min="17" max="17" width="11.421875" style="467" customWidth="1"/>
    <col min="18" max="18" width="12.7109375" style="467" customWidth="1"/>
    <col min="19" max="19" width="10.8515625" style="467" customWidth="1"/>
    <col min="20" max="20" width="15.28125" style="467" customWidth="1"/>
    <col min="21" max="21" width="9.00390625" style="467" customWidth="1"/>
    <col min="22" max="22" width="7.57421875" style="467" customWidth="1"/>
    <col min="23" max="23" width="12.57421875" style="467" bestFit="1" customWidth="1"/>
    <col min="24" max="24" width="9.140625" style="467" customWidth="1"/>
    <col min="25" max="25" width="9.57421875" style="467" customWidth="1"/>
    <col min="26" max="26" width="16.00390625" style="467" customWidth="1"/>
    <col min="27" max="27" width="12.8515625" style="467" customWidth="1"/>
    <col min="28" max="28" width="11.421875" style="467" customWidth="1"/>
    <col min="29" max="29" width="16.8515625" style="467" customWidth="1"/>
    <col min="30" max="30" width="17.28125" style="467" hidden="1" customWidth="1"/>
    <col min="31" max="31" width="17.7109375" style="467" hidden="1" customWidth="1"/>
    <col min="32" max="32" width="13.140625" style="467" hidden="1" customWidth="1"/>
    <col min="33" max="33" width="0" style="467" hidden="1" customWidth="1"/>
    <col min="34" max="16384" width="9.140625" style="467" customWidth="1"/>
  </cols>
  <sheetData>
    <row r="1" spans="1:14" ht="18">
      <c r="A1" s="958"/>
      <c r="B1" s="948"/>
      <c r="C1" s="948"/>
      <c r="D1" s="948"/>
      <c r="E1" s="948"/>
      <c r="F1" s="948"/>
      <c r="G1" s="948"/>
      <c r="H1" s="948"/>
      <c r="I1" s="948"/>
      <c r="J1" s="948"/>
      <c r="K1" s="948"/>
      <c r="L1" s="948"/>
      <c r="M1" s="948"/>
      <c r="N1" s="948"/>
    </row>
    <row r="2" spans="1:14" ht="18">
      <c r="A2" s="958"/>
      <c r="B2" s="948"/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</row>
    <row r="3" spans="1:31" ht="18">
      <c r="A3" s="947" t="s">
        <v>57</v>
      </c>
      <c r="B3" s="948"/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948"/>
      <c r="R3" s="948"/>
      <c r="S3" s="948"/>
      <c r="T3" s="948"/>
      <c r="U3" s="948"/>
      <c r="V3" s="948"/>
      <c r="W3" s="948"/>
      <c r="X3" s="948"/>
      <c r="Y3" s="948"/>
      <c r="Z3" s="948"/>
      <c r="AA3" s="948"/>
      <c r="AB3" s="948"/>
      <c r="AC3" s="948"/>
      <c r="AD3" s="466"/>
      <c r="AE3" s="466"/>
    </row>
    <row r="4" spans="1:31" ht="18">
      <c r="A4" s="947" t="s">
        <v>233</v>
      </c>
      <c r="B4" s="948"/>
      <c r="C4" s="948"/>
      <c r="D4" s="948"/>
      <c r="E4" s="948"/>
      <c r="F4" s="948"/>
      <c r="G4" s="948"/>
      <c r="H4" s="948"/>
      <c r="I4" s="948"/>
      <c r="J4" s="948"/>
      <c r="K4" s="948"/>
      <c r="L4" s="948"/>
      <c r="M4" s="948"/>
      <c r="N4" s="948"/>
      <c r="O4" s="948"/>
      <c r="P4" s="948"/>
      <c r="Q4" s="948"/>
      <c r="R4" s="948"/>
      <c r="S4" s="948"/>
      <c r="T4" s="948"/>
      <c r="U4" s="948"/>
      <c r="V4" s="948"/>
      <c r="W4" s="948"/>
      <c r="X4" s="948"/>
      <c r="Y4" s="948"/>
      <c r="Z4" s="948"/>
      <c r="AA4" s="948"/>
      <c r="AB4" s="948"/>
      <c r="AC4" s="948"/>
      <c r="AD4" s="466"/>
      <c r="AE4" s="466"/>
    </row>
    <row r="5" spans="1:31" ht="18">
      <c r="A5" s="947" t="s">
        <v>0</v>
      </c>
      <c r="B5" s="948"/>
      <c r="C5" s="948"/>
      <c r="D5" s="948"/>
      <c r="E5" s="948"/>
      <c r="F5" s="948"/>
      <c r="G5" s="948"/>
      <c r="H5" s="948"/>
      <c r="I5" s="948"/>
      <c r="J5" s="948"/>
      <c r="K5" s="948"/>
      <c r="L5" s="948"/>
      <c r="M5" s="948"/>
      <c r="N5" s="948"/>
      <c r="O5" s="948"/>
      <c r="P5" s="948"/>
      <c r="Q5" s="948"/>
      <c r="R5" s="948"/>
      <c r="S5" s="948"/>
      <c r="T5" s="948"/>
      <c r="U5" s="948"/>
      <c r="V5" s="948"/>
      <c r="W5" s="948"/>
      <c r="X5" s="948"/>
      <c r="Y5" s="948"/>
      <c r="Z5" s="948"/>
      <c r="AA5" s="948"/>
      <c r="AB5" s="948"/>
      <c r="AC5" s="948"/>
      <c r="AD5" s="466"/>
      <c r="AE5" s="466"/>
    </row>
    <row r="6" spans="1:29" ht="18">
      <c r="A6" s="468"/>
      <c r="B6" s="468"/>
      <c r="C6" s="469"/>
      <c r="D6" s="469"/>
      <c r="G6" s="470"/>
      <c r="H6" s="471"/>
      <c r="I6" s="472"/>
      <c r="N6" s="470"/>
      <c r="O6" s="470"/>
      <c r="W6" s="470"/>
      <c r="AC6" s="470"/>
    </row>
    <row r="7" spans="1:28" ht="18.75" thickBot="1">
      <c r="A7" s="473"/>
      <c r="B7" s="474"/>
      <c r="C7" s="475"/>
      <c r="D7" s="469"/>
      <c r="G7" s="470"/>
      <c r="S7" s="470"/>
      <c r="AB7" s="477"/>
    </row>
    <row r="8" spans="1:31" ht="18.75" thickTop="1">
      <c r="A8" s="473"/>
      <c r="C8" s="475"/>
      <c r="D8" s="475"/>
      <c r="E8" s="949" t="s">
        <v>65</v>
      </c>
      <c r="F8" s="950"/>
      <c r="G8" s="951"/>
      <c r="H8" s="478" t="s">
        <v>65</v>
      </c>
      <c r="I8" s="479" t="s">
        <v>52</v>
      </c>
      <c r="J8" s="952" t="s">
        <v>181</v>
      </c>
      <c r="K8" s="953"/>
      <c r="L8" s="954"/>
      <c r="M8" s="478" t="s">
        <v>161</v>
      </c>
      <c r="N8" s="479" t="s">
        <v>202</v>
      </c>
      <c r="O8" s="955" t="s">
        <v>234</v>
      </c>
      <c r="P8" s="956"/>
      <c r="Q8" s="956"/>
      <c r="R8" s="957"/>
      <c r="S8" s="957"/>
      <c r="T8" s="957"/>
      <c r="U8" s="957"/>
      <c r="V8" s="957"/>
      <c r="W8" s="957"/>
      <c r="X8" s="957"/>
      <c r="Y8" s="957"/>
      <c r="Z8" s="957"/>
      <c r="AA8" s="957"/>
      <c r="AB8" s="957"/>
      <c r="AC8" s="957"/>
      <c r="AD8" s="480" t="s">
        <v>185</v>
      </c>
      <c r="AE8" s="480" t="s">
        <v>187</v>
      </c>
    </row>
    <row r="9" spans="1:31" ht="18">
      <c r="A9" s="473"/>
      <c r="C9" s="475"/>
      <c r="D9" s="470"/>
      <c r="E9" s="930" t="s">
        <v>160</v>
      </c>
      <c r="F9" s="931"/>
      <c r="G9" s="932"/>
      <c r="H9" s="481" t="s">
        <v>183</v>
      </c>
      <c r="I9" s="482" t="s">
        <v>51</v>
      </c>
      <c r="J9" s="933" t="s">
        <v>209</v>
      </c>
      <c r="K9" s="934"/>
      <c r="L9" s="935"/>
      <c r="M9" s="481" t="s">
        <v>162</v>
      </c>
      <c r="N9" s="482" t="s">
        <v>203</v>
      </c>
      <c r="O9" s="936" t="s">
        <v>28</v>
      </c>
      <c r="P9" s="937"/>
      <c r="Q9" s="937"/>
      <c r="R9" s="938"/>
      <c r="S9" s="938"/>
      <c r="T9" s="938"/>
      <c r="U9" s="938"/>
      <c r="V9" s="938"/>
      <c r="W9" s="938"/>
      <c r="X9" s="938"/>
      <c r="Y9" s="938"/>
      <c r="Z9" s="938"/>
      <c r="AA9" s="938"/>
      <c r="AB9" s="938"/>
      <c r="AC9" s="938"/>
      <c r="AD9" s="483" t="s">
        <v>186</v>
      </c>
      <c r="AE9" s="483" t="s">
        <v>188</v>
      </c>
    </row>
    <row r="10" spans="3:33" ht="18">
      <c r="C10" s="475"/>
      <c r="D10" s="470"/>
      <c r="E10" s="939"/>
      <c r="F10" s="940"/>
      <c r="G10" s="941"/>
      <c r="H10" s="481" t="s">
        <v>59</v>
      </c>
      <c r="I10" s="484" t="s">
        <v>50</v>
      </c>
      <c r="J10" s="939"/>
      <c r="K10" s="940"/>
      <c r="L10" s="941"/>
      <c r="M10" s="485" t="s">
        <v>163</v>
      </c>
      <c r="N10" s="484" t="s">
        <v>198</v>
      </c>
      <c r="O10" s="939" t="s">
        <v>27</v>
      </c>
      <c r="P10" s="942"/>
      <c r="Q10" s="943"/>
      <c r="R10" s="944" t="s">
        <v>5</v>
      </c>
      <c r="S10" s="945"/>
      <c r="T10" s="946"/>
      <c r="U10" s="939" t="s">
        <v>204</v>
      </c>
      <c r="V10" s="942"/>
      <c r="W10" s="943"/>
      <c r="X10" s="486" t="s">
        <v>29</v>
      </c>
      <c r="Y10" s="486"/>
      <c r="Z10" s="487"/>
      <c r="AA10" s="488"/>
      <c r="AB10" s="489" t="s">
        <v>28</v>
      </c>
      <c r="AC10" s="490"/>
      <c r="AD10" s="491"/>
      <c r="AE10" s="491"/>
      <c r="AF10" s="492" t="s">
        <v>213</v>
      </c>
      <c r="AG10" s="492" t="s">
        <v>214</v>
      </c>
    </row>
    <row r="11" spans="1:31" ht="18">
      <c r="A11" s="493" t="s">
        <v>1</v>
      </c>
      <c r="E11" s="494" t="s">
        <v>2</v>
      </c>
      <c r="F11" s="495" t="s">
        <v>3</v>
      </c>
      <c r="G11" s="496" t="s">
        <v>4</v>
      </c>
      <c r="H11" s="497" t="s">
        <v>4</v>
      </c>
      <c r="I11" s="498" t="s">
        <v>49</v>
      </c>
      <c r="J11" s="494" t="s">
        <v>2</v>
      </c>
      <c r="K11" s="495" t="s">
        <v>3</v>
      </c>
      <c r="L11" s="499" t="s">
        <v>4</v>
      </c>
      <c r="M11" s="496" t="s">
        <v>4</v>
      </c>
      <c r="N11" s="498" t="s">
        <v>198</v>
      </c>
      <c r="O11" s="500" t="s">
        <v>2</v>
      </c>
      <c r="P11" s="501" t="s">
        <v>3</v>
      </c>
      <c r="Q11" s="502" t="s">
        <v>4</v>
      </c>
      <c r="R11" s="500" t="s">
        <v>2</v>
      </c>
      <c r="S11" s="501" t="s">
        <v>3</v>
      </c>
      <c r="T11" s="502" t="s">
        <v>4</v>
      </c>
      <c r="U11" s="500" t="s">
        <v>2</v>
      </c>
      <c r="V11" s="501" t="s">
        <v>3</v>
      </c>
      <c r="W11" s="503" t="s">
        <v>4</v>
      </c>
      <c r="X11" s="504" t="s">
        <v>2</v>
      </c>
      <c r="Y11" s="501" t="s">
        <v>3</v>
      </c>
      <c r="Z11" s="503" t="s">
        <v>4</v>
      </c>
      <c r="AA11" s="505" t="s">
        <v>2</v>
      </c>
      <c r="AB11" s="506" t="s">
        <v>3</v>
      </c>
      <c r="AC11" s="503" t="s">
        <v>4</v>
      </c>
      <c r="AD11" s="507">
        <v>0.04</v>
      </c>
      <c r="AE11" s="507">
        <v>0.96</v>
      </c>
    </row>
    <row r="12" spans="1:33" s="520" customFormat="1" ht="18">
      <c r="A12" s="508" t="s">
        <v>38</v>
      </c>
      <c r="B12" s="508"/>
      <c r="C12" s="508"/>
      <c r="D12" s="508"/>
      <c r="E12" s="509">
        <f aca="true" t="shared" si="0" ref="E12:AE12">SUM(E13:E14)</f>
        <v>701</v>
      </c>
      <c r="F12" s="510">
        <f t="shared" si="0"/>
        <v>787</v>
      </c>
      <c r="G12" s="511">
        <f t="shared" si="0"/>
        <v>122867</v>
      </c>
      <c r="H12" s="509">
        <f t="shared" si="0"/>
        <v>0</v>
      </c>
      <c r="I12" s="509">
        <f t="shared" si="0"/>
        <v>0</v>
      </c>
      <c r="J12" s="509">
        <f t="shared" si="0"/>
        <v>556</v>
      </c>
      <c r="K12" s="510">
        <f t="shared" si="0"/>
        <v>661</v>
      </c>
      <c r="L12" s="512">
        <f t="shared" si="0"/>
        <v>37880</v>
      </c>
      <c r="M12" s="509">
        <f t="shared" si="0"/>
        <v>0</v>
      </c>
      <c r="N12" s="509">
        <f t="shared" si="0"/>
        <v>61773</v>
      </c>
      <c r="O12" s="509" t="e">
        <f t="shared" si="0"/>
        <v>#REF!</v>
      </c>
      <c r="P12" s="510" t="e">
        <f t="shared" si="0"/>
        <v>#REF!</v>
      </c>
      <c r="Q12" s="511" t="e">
        <f t="shared" si="0"/>
        <v>#REF!</v>
      </c>
      <c r="R12" s="509" t="e">
        <f t="shared" si="0"/>
        <v>#REF!</v>
      </c>
      <c r="S12" s="510" t="e">
        <f t="shared" si="0"/>
        <v>#REF!</v>
      </c>
      <c r="T12" s="511" t="e">
        <f t="shared" si="0"/>
        <v>#REF!</v>
      </c>
      <c r="U12" s="513" t="e">
        <f t="shared" si="0"/>
        <v>#REF!</v>
      </c>
      <c r="V12" s="514" t="e">
        <f t="shared" si="0"/>
        <v>#REF!</v>
      </c>
      <c r="W12" s="515" t="e">
        <f t="shared" si="0"/>
        <v>#REF!</v>
      </c>
      <c r="X12" s="513" t="e">
        <f t="shared" si="0"/>
        <v>#REF!</v>
      </c>
      <c r="Y12" s="514" t="e">
        <f t="shared" si="0"/>
        <v>#REF!</v>
      </c>
      <c r="Z12" s="511" t="e">
        <f t="shared" si="0"/>
        <v>#REF!</v>
      </c>
      <c r="AA12" s="509" t="e">
        <f t="shared" si="0"/>
        <v>#REF!</v>
      </c>
      <c r="AB12" s="510" t="e">
        <f t="shared" si="0"/>
        <v>#REF!</v>
      </c>
      <c r="AC12" s="516" t="e">
        <f t="shared" si="0"/>
        <v>#REF!</v>
      </c>
      <c r="AD12" s="517" t="e">
        <f t="shared" si="0"/>
        <v>#REF!</v>
      </c>
      <c r="AE12" s="517">
        <f t="shared" si="0"/>
        <v>36364.799999999996</v>
      </c>
      <c r="AF12" s="518" t="e">
        <f>+AC12-L12</f>
        <v>#REF!</v>
      </c>
      <c r="AG12" s="519" t="e">
        <f>+AF12/L12</f>
        <v>#REF!</v>
      </c>
    </row>
    <row r="13" spans="1:33" ht="18.75">
      <c r="A13" s="521" t="s">
        <v>9</v>
      </c>
      <c r="E13" s="522">
        <f>704-3</f>
        <v>701</v>
      </c>
      <c r="F13" s="523">
        <f>790-3</f>
        <v>787</v>
      </c>
      <c r="G13" s="524">
        <v>122867</v>
      </c>
      <c r="H13" s="525"/>
      <c r="I13" s="525"/>
      <c r="J13" s="522">
        <v>556</v>
      </c>
      <c r="K13" s="523">
        <v>661</v>
      </c>
      <c r="L13" s="526">
        <v>37880</v>
      </c>
      <c r="M13" s="527"/>
      <c r="N13" s="525">
        <v>61773</v>
      </c>
      <c r="O13" s="528" t="e">
        <f>+'LEAD RECOM INCR'!O13+#REF!</f>
        <v>#REF!</v>
      </c>
      <c r="P13" s="529" t="e">
        <f>+'LEAD RECOM INCR'!P13+#REF!</f>
        <v>#REF!</v>
      </c>
      <c r="Q13" s="530" t="e">
        <f>+'LEAD RECOM INCR'!Q13+#REF!</f>
        <v>#REF!</v>
      </c>
      <c r="R13" s="531" t="e">
        <f>+J13+O13</f>
        <v>#REF!</v>
      </c>
      <c r="S13" s="532" t="e">
        <f>+K13+P13</f>
        <v>#REF!</v>
      </c>
      <c r="T13" s="524" t="e">
        <f>+L13+Q13+N13</f>
        <v>#REF!</v>
      </c>
      <c r="U13" s="533" t="e">
        <f>+'LEAD RECOM INCR'!U13+#REF!</f>
        <v>#REF!</v>
      </c>
      <c r="V13" s="470" t="e">
        <f>+'LEAD RECOM INCR'!V13+#REF!</f>
        <v>#REF!</v>
      </c>
      <c r="W13" s="530" t="e">
        <f>+'LEAD RECOM INCR'!W13+#REF!</f>
        <v>#REF!</v>
      </c>
      <c r="X13" s="533" t="e">
        <f>+'LEAD RECOM INCR'!X13+#REF!</f>
        <v>#REF!</v>
      </c>
      <c r="Y13" s="470" t="e">
        <f>+'LEAD RECOM INCR'!Y13+#REF!</f>
        <v>#REF!</v>
      </c>
      <c r="Z13" s="530" t="e">
        <f>+'LEAD RECOM INCR'!Z13+#REF!</f>
        <v>#REF!</v>
      </c>
      <c r="AA13" s="522" t="e">
        <f aca="true" t="shared" si="1" ref="AA13:AC19">+X13+U13+R13</f>
        <v>#REF!</v>
      </c>
      <c r="AB13" s="523" t="e">
        <f t="shared" si="1"/>
        <v>#REF!</v>
      </c>
      <c r="AC13" s="534" t="e">
        <f t="shared" si="1"/>
        <v>#REF!</v>
      </c>
      <c r="AD13" s="535" t="e">
        <f aca="true" t="shared" si="2" ref="AD13:AD19">+T13*(1+$AD$11)</f>
        <v>#REF!</v>
      </c>
      <c r="AE13" s="535">
        <f aca="true" t="shared" si="3" ref="AE13:AE19">+L13*$AE$11</f>
        <v>36364.799999999996</v>
      </c>
      <c r="AF13" s="518" t="e">
        <f aca="true" t="shared" si="4" ref="AF13:AF76">+AC13-L13</f>
        <v>#REF!</v>
      </c>
      <c r="AG13" s="519" t="e">
        <f aca="true" t="shared" si="5" ref="AG13:AG76">+AF13/L13</f>
        <v>#REF!</v>
      </c>
    </row>
    <row r="14" spans="1:33" ht="18.75" hidden="1">
      <c r="A14" s="536" t="s">
        <v>168</v>
      </c>
      <c r="B14" s="467"/>
      <c r="C14" s="467"/>
      <c r="D14" s="467"/>
      <c r="E14" s="522"/>
      <c r="F14" s="523">
        <v>0</v>
      </c>
      <c r="G14" s="524">
        <v>0</v>
      </c>
      <c r="H14" s="525"/>
      <c r="I14" s="525"/>
      <c r="J14" s="522">
        <v>0</v>
      </c>
      <c r="K14" s="523">
        <v>0</v>
      </c>
      <c r="L14" s="537">
        <v>0</v>
      </c>
      <c r="M14" s="527"/>
      <c r="N14" s="538">
        <v>0</v>
      </c>
      <c r="O14" s="531">
        <v>0</v>
      </c>
      <c r="P14" s="523">
        <v>0</v>
      </c>
      <c r="Q14" s="524">
        <v>0</v>
      </c>
      <c r="R14" s="531">
        <f aca="true" t="shared" si="6" ref="R14:S19">+J14+O14</f>
        <v>0</v>
      </c>
      <c r="S14" s="532">
        <f t="shared" si="6"/>
        <v>0</v>
      </c>
      <c r="T14" s="524">
        <f aca="true" t="shared" si="7" ref="T14:T19">+L14+Q14+N14</f>
        <v>0</v>
      </c>
      <c r="U14" s="522">
        <v>0</v>
      </c>
      <c r="V14" s="539">
        <v>0</v>
      </c>
      <c r="W14" s="524">
        <v>0</v>
      </c>
      <c r="X14" s="540">
        <v>0</v>
      </c>
      <c r="Y14" s="539">
        <v>0</v>
      </c>
      <c r="Z14" s="524">
        <v>0</v>
      </c>
      <c r="AA14" s="522">
        <f t="shared" si="1"/>
        <v>0</v>
      </c>
      <c r="AB14" s="523">
        <f t="shared" si="1"/>
        <v>0</v>
      </c>
      <c r="AC14" s="534">
        <f t="shared" si="1"/>
        <v>0</v>
      </c>
      <c r="AD14" s="535">
        <f t="shared" si="2"/>
        <v>0</v>
      </c>
      <c r="AE14" s="535">
        <f t="shared" si="3"/>
        <v>0</v>
      </c>
      <c r="AF14" s="518">
        <f t="shared" si="4"/>
        <v>0</v>
      </c>
      <c r="AG14" s="519" t="s">
        <v>198</v>
      </c>
    </row>
    <row r="15" spans="1:33" ht="18" hidden="1">
      <c r="A15" s="476" t="s">
        <v>105</v>
      </c>
      <c r="E15" s="522">
        <v>0</v>
      </c>
      <c r="F15" s="523">
        <v>0</v>
      </c>
      <c r="G15" s="524">
        <v>0</v>
      </c>
      <c r="H15" s="525"/>
      <c r="I15" s="525"/>
      <c r="J15" s="522">
        <v>0</v>
      </c>
      <c r="K15" s="523">
        <v>0</v>
      </c>
      <c r="L15" s="526">
        <v>0</v>
      </c>
      <c r="M15" s="527"/>
      <c r="N15" s="525">
        <v>0</v>
      </c>
      <c r="O15" s="522">
        <v>0</v>
      </c>
      <c r="P15" s="523">
        <v>0</v>
      </c>
      <c r="Q15" s="524">
        <v>0</v>
      </c>
      <c r="R15" s="531">
        <f t="shared" si="6"/>
        <v>0</v>
      </c>
      <c r="S15" s="532">
        <f t="shared" si="6"/>
        <v>0</v>
      </c>
      <c r="T15" s="524">
        <f t="shared" si="7"/>
        <v>0</v>
      </c>
      <c r="U15" s="522">
        <v>0</v>
      </c>
      <c r="V15" s="539">
        <v>0</v>
      </c>
      <c r="W15" s="524">
        <v>0</v>
      </c>
      <c r="X15" s="540">
        <v>0</v>
      </c>
      <c r="Y15" s="539">
        <v>0</v>
      </c>
      <c r="Z15" s="524">
        <v>0</v>
      </c>
      <c r="AA15" s="522">
        <f t="shared" si="1"/>
        <v>0</v>
      </c>
      <c r="AB15" s="523">
        <f t="shared" si="1"/>
        <v>0</v>
      </c>
      <c r="AC15" s="541">
        <f t="shared" si="1"/>
        <v>0</v>
      </c>
      <c r="AD15" s="535">
        <f t="shared" si="2"/>
        <v>0</v>
      </c>
      <c r="AE15" s="535">
        <f t="shared" si="3"/>
        <v>0</v>
      </c>
      <c r="AF15" s="518">
        <f t="shared" si="4"/>
        <v>0</v>
      </c>
      <c r="AG15" s="519" t="e">
        <f t="shared" si="5"/>
        <v>#DIV/0!</v>
      </c>
    </row>
    <row r="16" spans="1:33" ht="18">
      <c r="A16" s="476" t="s">
        <v>180</v>
      </c>
      <c r="E16" s="522">
        <f>54+3</f>
        <v>57</v>
      </c>
      <c r="F16" s="523">
        <f>50+3</f>
        <v>53</v>
      </c>
      <c r="G16" s="524">
        <v>123403</v>
      </c>
      <c r="H16" s="525"/>
      <c r="I16" s="542">
        <v>0</v>
      </c>
      <c r="J16" s="522">
        <v>79</v>
      </c>
      <c r="K16" s="523">
        <v>72</v>
      </c>
      <c r="L16" s="526">
        <v>111375</v>
      </c>
      <c r="M16" s="542"/>
      <c r="N16" s="542">
        <v>63632</v>
      </c>
      <c r="O16" s="533" t="e">
        <f>+'LEAD RECOM INCR'!O16+#REF!</f>
        <v>#REF!</v>
      </c>
      <c r="P16" s="470" t="e">
        <f>+'LEAD RECOM INCR'!P16+#REF!</f>
        <v>#REF!</v>
      </c>
      <c r="Q16" s="530" t="e">
        <f>+'LEAD RECOM INCR'!Q16+#REF!</f>
        <v>#REF!</v>
      </c>
      <c r="R16" s="531" t="e">
        <f t="shared" si="6"/>
        <v>#REF!</v>
      </c>
      <c r="S16" s="532" t="e">
        <f t="shared" si="6"/>
        <v>#REF!</v>
      </c>
      <c r="T16" s="524" t="e">
        <f t="shared" si="7"/>
        <v>#REF!</v>
      </c>
      <c r="U16" s="533" t="e">
        <f>+'LEAD RECOM INCR'!U16+#REF!</f>
        <v>#REF!</v>
      </c>
      <c r="V16" s="470" t="e">
        <f>+'LEAD RECOM INCR'!V16+#REF!</f>
        <v>#REF!</v>
      </c>
      <c r="W16" s="530" t="e">
        <f>+'LEAD RECOM INCR'!W16+#REF!</f>
        <v>#REF!</v>
      </c>
      <c r="X16" s="533" t="e">
        <f>+'LEAD RECOM INCR'!X16+#REF!</f>
        <v>#REF!</v>
      </c>
      <c r="Y16" s="470" t="e">
        <f>+'LEAD RECOM INCR'!Y16+#REF!</f>
        <v>#REF!</v>
      </c>
      <c r="Z16" s="530" t="e">
        <f>+'LEAD RECOM INCR'!Z16+#REF!</f>
        <v>#REF!</v>
      </c>
      <c r="AA16" s="522" t="e">
        <f t="shared" si="1"/>
        <v>#REF!</v>
      </c>
      <c r="AB16" s="523" t="e">
        <f t="shared" si="1"/>
        <v>#REF!</v>
      </c>
      <c r="AC16" s="543" t="e">
        <f t="shared" si="1"/>
        <v>#REF!</v>
      </c>
      <c r="AD16" s="535" t="e">
        <f t="shared" si="2"/>
        <v>#REF!</v>
      </c>
      <c r="AE16" s="535">
        <f t="shared" si="3"/>
        <v>106920</v>
      </c>
      <c r="AF16" s="518" t="e">
        <f t="shared" si="4"/>
        <v>#REF!</v>
      </c>
      <c r="AG16" s="519" t="e">
        <f t="shared" si="5"/>
        <v>#REF!</v>
      </c>
    </row>
    <row r="17" spans="1:33" ht="18">
      <c r="A17" s="476" t="s">
        <v>74</v>
      </c>
      <c r="E17" s="522">
        <v>21</v>
      </c>
      <c r="F17" s="523">
        <v>21</v>
      </c>
      <c r="G17" s="524">
        <v>1161967</v>
      </c>
      <c r="H17" s="525"/>
      <c r="I17" s="525"/>
      <c r="J17" s="522">
        <v>21</v>
      </c>
      <c r="K17" s="523">
        <v>21</v>
      </c>
      <c r="L17" s="526">
        <v>1292041</v>
      </c>
      <c r="M17" s="527"/>
      <c r="N17" s="525">
        <v>40285</v>
      </c>
      <c r="O17" s="533" t="e">
        <f>+'LEAD RECOM INCR'!O17+#REF!</f>
        <v>#REF!</v>
      </c>
      <c r="P17" s="470" t="e">
        <f>+'LEAD RECOM INCR'!P17+#REF!</f>
        <v>#REF!</v>
      </c>
      <c r="Q17" s="530" t="e">
        <f>+'LEAD RECOM INCR'!Q17+#REF!</f>
        <v>#REF!</v>
      </c>
      <c r="R17" s="531" t="e">
        <f t="shared" si="6"/>
        <v>#REF!</v>
      </c>
      <c r="S17" s="532" t="e">
        <f t="shared" si="6"/>
        <v>#REF!</v>
      </c>
      <c r="T17" s="524" t="e">
        <f t="shared" si="7"/>
        <v>#REF!</v>
      </c>
      <c r="U17" s="533" t="e">
        <f>+'LEAD RECOM INCR'!U17+#REF!</f>
        <v>#REF!</v>
      </c>
      <c r="V17" s="470" t="e">
        <f>+'LEAD RECOM INCR'!V17+#REF!</f>
        <v>#REF!</v>
      </c>
      <c r="W17" s="530" t="e">
        <f>+'LEAD RECOM INCR'!W17+#REF!</f>
        <v>#REF!</v>
      </c>
      <c r="X17" s="533" t="e">
        <f>+'LEAD RECOM INCR'!X17+#REF!</f>
        <v>#REF!</v>
      </c>
      <c r="Y17" s="470" t="e">
        <f>+'LEAD RECOM INCR'!Y17+#REF!</f>
        <v>#REF!</v>
      </c>
      <c r="Z17" s="530" t="e">
        <f>+'LEAD RECOM INCR'!Z17+#REF!</f>
        <v>#REF!</v>
      </c>
      <c r="AA17" s="522" t="e">
        <f t="shared" si="1"/>
        <v>#REF!</v>
      </c>
      <c r="AB17" s="523" t="e">
        <f t="shared" si="1"/>
        <v>#REF!</v>
      </c>
      <c r="AC17" s="543" t="e">
        <f t="shared" si="1"/>
        <v>#REF!</v>
      </c>
      <c r="AD17" s="535" t="e">
        <f t="shared" si="2"/>
        <v>#REF!</v>
      </c>
      <c r="AE17" s="535">
        <f t="shared" si="3"/>
        <v>1240359.3599999999</v>
      </c>
      <c r="AF17" s="518" t="e">
        <f t="shared" si="4"/>
        <v>#REF!</v>
      </c>
      <c r="AG17" s="519" t="e">
        <f t="shared" si="5"/>
        <v>#REF!</v>
      </c>
    </row>
    <row r="18" spans="1:33" ht="18.75">
      <c r="A18" s="521" t="s">
        <v>104</v>
      </c>
      <c r="E18" s="522">
        <v>0</v>
      </c>
      <c r="F18" s="523">
        <v>0</v>
      </c>
      <c r="G18" s="524">
        <v>0</v>
      </c>
      <c r="H18" s="525"/>
      <c r="I18" s="525"/>
      <c r="J18" s="522">
        <v>0</v>
      </c>
      <c r="K18" s="523">
        <v>0</v>
      </c>
      <c r="L18" s="526">
        <v>-2475</v>
      </c>
      <c r="M18" s="527"/>
      <c r="N18" s="716">
        <v>2475</v>
      </c>
      <c r="O18" s="533" t="e">
        <f>+'LEAD RECOM INCR'!O18+#REF!</f>
        <v>#REF!</v>
      </c>
      <c r="P18" s="470" t="e">
        <f>+'LEAD RECOM INCR'!P18+#REF!</f>
        <v>#REF!</v>
      </c>
      <c r="Q18" s="530" t="e">
        <f>+'LEAD RECOM INCR'!Q18+#REF!</f>
        <v>#REF!</v>
      </c>
      <c r="R18" s="531" t="e">
        <f t="shared" si="6"/>
        <v>#REF!</v>
      </c>
      <c r="S18" s="532" t="e">
        <f t="shared" si="6"/>
        <v>#REF!</v>
      </c>
      <c r="T18" s="524" t="e">
        <f t="shared" si="7"/>
        <v>#REF!</v>
      </c>
      <c r="U18" s="533" t="e">
        <f>+'LEAD RECOM INCR'!U18+#REF!</f>
        <v>#REF!</v>
      </c>
      <c r="V18" s="470" t="e">
        <f>+'LEAD RECOM INCR'!V18+#REF!</f>
        <v>#REF!</v>
      </c>
      <c r="W18" s="530" t="e">
        <f>+'LEAD RECOM INCR'!W18+#REF!</f>
        <v>#REF!</v>
      </c>
      <c r="X18" s="533" t="e">
        <f>+'LEAD RECOM INCR'!X18+#REF!</f>
        <v>#REF!</v>
      </c>
      <c r="Y18" s="470" t="e">
        <f>+'LEAD RECOM INCR'!Y18+#REF!</f>
        <v>#REF!</v>
      </c>
      <c r="Z18" s="530" t="e">
        <f>+'LEAD RECOM INCR'!Z18+#REF!</f>
        <v>#REF!</v>
      </c>
      <c r="AA18" s="522" t="e">
        <f t="shared" si="1"/>
        <v>#REF!</v>
      </c>
      <c r="AB18" s="523" t="e">
        <f t="shared" si="1"/>
        <v>#REF!</v>
      </c>
      <c r="AC18" s="543" t="e">
        <f t="shared" si="1"/>
        <v>#REF!</v>
      </c>
      <c r="AD18" s="535" t="e">
        <f t="shared" si="2"/>
        <v>#REF!</v>
      </c>
      <c r="AE18" s="535">
        <f t="shared" si="3"/>
        <v>-2376</v>
      </c>
      <c r="AF18" s="518" t="e">
        <f t="shared" si="4"/>
        <v>#REF!</v>
      </c>
      <c r="AG18" s="519" t="e">
        <f t="shared" si="5"/>
        <v>#REF!</v>
      </c>
    </row>
    <row r="19" spans="1:33" ht="18">
      <c r="A19" s="476" t="s">
        <v>184</v>
      </c>
      <c r="E19" s="522">
        <v>19</v>
      </c>
      <c r="F19" s="523">
        <v>16</v>
      </c>
      <c r="G19" s="524">
        <v>88851</v>
      </c>
      <c r="H19" s="525"/>
      <c r="I19" s="525"/>
      <c r="J19" s="522">
        <v>19</v>
      </c>
      <c r="K19" s="523">
        <v>19</v>
      </c>
      <c r="L19" s="526">
        <v>81180</v>
      </c>
      <c r="M19" s="527"/>
      <c r="N19" s="525">
        <v>8037</v>
      </c>
      <c r="O19" s="533" t="e">
        <f>+'LEAD RECOM INCR'!O19+#REF!</f>
        <v>#REF!</v>
      </c>
      <c r="P19" s="470" t="e">
        <f>+'LEAD RECOM INCR'!P19+#REF!</f>
        <v>#REF!</v>
      </c>
      <c r="Q19" s="530" t="e">
        <f>+'LEAD RECOM INCR'!Q19+#REF!</f>
        <v>#REF!</v>
      </c>
      <c r="R19" s="531" t="e">
        <f t="shared" si="6"/>
        <v>#REF!</v>
      </c>
      <c r="S19" s="532" t="e">
        <f t="shared" si="6"/>
        <v>#REF!</v>
      </c>
      <c r="T19" s="524" t="e">
        <f t="shared" si="7"/>
        <v>#REF!</v>
      </c>
      <c r="U19" s="533" t="e">
        <f>+'LEAD RECOM INCR'!U19+#REF!</f>
        <v>#REF!</v>
      </c>
      <c r="V19" s="470" t="e">
        <f>+'LEAD RECOM INCR'!V19+#REF!</f>
        <v>#REF!</v>
      </c>
      <c r="W19" s="530" t="e">
        <f>+'LEAD RECOM INCR'!W19+#REF!</f>
        <v>#REF!</v>
      </c>
      <c r="X19" s="533" t="e">
        <f>+'LEAD RECOM INCR'!X19+#REF!</f>
        <v>#REF!</v>
      </c>
      <c r="Y19" s="470" t="e">
        <f>+'LEAD RECOM INCR'!Y19+#REF!</f>
        <v>#REF!</v>
      </c>
      <c r="Z19" s="530" t="e">
        <f>+'LEAD RECOM INCR'!Z19+#REF!</f>
        <v>#REF!</v>
      </c>
      <c r="AA19" s="522" t="e">
        <f t="shared" si="1"/>
        <v>#REF!</v>
      </c>
      <c r="AB19" s="523" t="e">
        <f t="shared" si="1"/>
        <v>#REF!</v>
      </c>
      <c r="AC19" s="543" t="e">
        <f t="shared" si="1"/>
        <v>#REF!</v>
      </c>
      <c r="AD19" s="535" t="e">
        <f t="shared" si="2"/>
        <v>#REF!</v>
      </c>
      <c r="AE19" s="535">
        <f t="shared" si="3"/>
        <v>77932.8</v>
      </c>
      <c r="AF19" s="518" t="e">
        <f t="shared" si="4"/>
        <v>#REF!</v>
      </c>
      <c r="AG19" s="519" t="e">
        <f t="shared" si="5"/>
        <v>#REF!</v>
      </c>
    </row>
    <row r="20" spans="1:33" ht="18">
      <c r="A20" s="508" t="s">
        <v>22</v>
      </c>
      <c r="B20" s="508"/>
      <c r="C20" s="508"/>
      <c r="D20" s="520"/>
      <c r="E20" s="544">
        <f>SUM(E21:E22)</f>
        <v>0</v>
      </c>
      <c r="F20" s="545">
        <f>SUM(F21:F22)</f>
        <v>0</v>
      </c>
      <c r="G20" s="546">
        <f>SUM(G21:G22)</f>
        <v>0</v>
      </c>
      <c r="H20" s="547"/>
      <c r="I20" s="547">
        <f>SUM(I21:I22)</f>
        <v>0</v>
      </c>
      <c r="J20" s="699">
        <f>SUM(J21:J22)</f>
        <v>0</v>
      </c>
      <c r="K20" s="700">
        <f>SUM(K21:K22)</f>
        <v>0</v>
      </c>
      <c r="L20" s="701">
        <f>+L21+L22</f>
        <v>-5445</v>
      </c>
      <c r="M20" s="600"/>
      <c r="N20" s="716">
        <f>SUM(N21:N22)</f>
        <v>5445</v>
      </c>
      <c r="O20" s="699">
        <v>0</v>
      </c>
      <c r="P20" s="700">
        <v>0</v>
      </c>
      <c r="Q20" s="702">
        <v>0</v>
      </c>
      <c r="R20" s="699"/>
      <c r="S20" s="700"/>
      <c r="T20" s="702" t="e">
        <f>+T21+T22</f>
        <v>#REF!</v>
      </c>
      <c r="U20" s="703">
        <f aca="true" t="shared" si="8" ref="U20:AC20">SUM(U21:U22)</f>
        <v>0</v>
      </c>
      <c r="V20" s="700">
        <f t="shared" si="8"/>
        <v>0</v>
      </c>
      <c r="W20" s="702">
        <f t="shared" si="8"/>
        <v>0</v>
      </c>
      <c r="X20" s="699">
        <f t="shared" si="8"/>
        <v>0</v>
      </c>
      <c r="Y20" s="700">
        <f t="shared" si="8"/>
        <v>0</v>
      </c>
      <c r="Z20" s="702">
        <f t="shared" si="8"/>
        <v>0</v>
      </c>
      <c r="AA20" s="699">
        <f t="shared" si="8"/>
        <v>0</v>
      </c>
      <c r="AB20" s="700">
        <f t="shared" si="8"/>
        <v>0</v>
      </c>
      <c r="AC20" s="600" t="e">
        <f t="shared" si="8"/>
        <v>#REF!</v>
      </c>
      <c r="AD20" s="549"/>
      <c r="AE20" s="549"/>
      <c r="AF20" s="518" t="e">
        <f t="shared" si="4"/>
        <v>#REF!</v>
      </c>
      <c r="AG20" s="519" t="e">
        <f t="shared" si="5"/>
        <v>#REF!</v>
      </c>
    </row>
    <row r="21" spans="1:33" ht="18.75" hidden="1">
      <c r="A21" s="550" t="s">
        <v>206</v>
      </c>
      <c r="B21" s="550"/>
      <c r="C21" s="550"/>
      <c r="D21" s="551"/>
      <c r="E21" s="552">
        <v>0</v>
      </c>
      <c r="F21" s="553">
        <v>0</v>
      </c>
      <c r="G21" s="534">
        <v>0</v>
      </c>
      <c r="H21" s="538"/>
      <c r="I21" s="538"/>
      <c r="J21" s="552">
        <v>0</v>
      </c>
      <c r="K21" s="553">
        <v>0</v>
      </c>
      <c r="L21" s="537">
        <v>-5445</v>
      </c>
      <c r="M21" s="543"/>
      <c r="N21" s="538">
        <v>5445</v>
      </c>
      <c r="O21" s="533" t="e">
        <f>+'LEAD RECOM INCR'!O21+#REF!</f>
        <v>#REF!</v>
      </c>
      <c r="P21" s="470" t="e">
        <f>+'LEAD RECOM INCR'!P21+#REF!</f>
        <v>#REF!</v>
      </c>
      <c r="Q21" s="530" t="e">
        <f>+'LEAD RECOM INCR'!Q21+#REF!</f>
        <v>#REF!</v>
      </c>
      <c r="R21" s="531"/>
      <c r="S21" s="532"/>
      <c r="T21" s="524" t="e">
        <f>+L21+Q21+N21</f>
        <v>#REF!</v>
      </c>
      <c r="U21" s="530"/>
      <c r="V21" s="539"/>
      <c r="W21" s="524"/>
      <c r="X21" s="540"/>
      <c r="Y21" s="539"/>
      <c r="Z21" s="524"/>
      <c r="AA21" s="522">
        <f aca="true" t="shared" si="9" ref="AA21:AC22">+X21+U21+R21</f>
        <v>0</v>
      </c>
      <c r="AB21" s="523">
        <f t="shared" si="9"/>
        <v>0</v>
      </c>
      <c r="AC21" s="527" t="e">
        <f t="shared" si="9"/>
        <v>#REF!</v>
      </c>
      <c r="AD21" s="554"/>
      <c r="AE21" s="554"/>
      <c r="AF21" s="518" t="e">
        <f t="shared" si="4"/>
        <v>#REF!</v>
      </c>
      <c r="AG21" s="519" t="e">
        <f t="shared" si="5"/>
        <v>#REF!</v>
      </c>
    </row>
    <row r="22" spans="1:33" ht="18.75" hidden="1">
      <c r="A22" s="555" t="s">
        <v>106</v>
      </c>
      <c r="B22" s="555"/>
      <c r="C22" s="555"/>
      <c r="D22" s="555"/>
      <c r="E22" s="522">
        <v>0</v>
      </c>
      <c r="F22" s="523">
        <v>0</v>
      </c>
      <c r="G22" s="524">
        <v>0</v>
      </c>
      <c r="H22" s="525"/>
      <c r="I22" s="525"/>
      <c r="J22" s="522">
        <v>0</v>
      </c>
      <c r="K22" s="523">
        <v>0</v>
      </c>
      <c r="L22" s="526">
        <f>SUM(G22+H22)</f>
        <v>0</v>
      </c>
      <c r="M22" s="527"/>
      <c r="N22" s="525"/>
      <c r="O22" s="533" t="e">
        <f>+'LEAD RECOM INCR'!O22+#REF!</f>
        <v>#REF!</v>
      </c>
      <c r="P22" s="470" t="e">
        <f>+'LEAD RECOM INCR'!P22+#REF!</f>
        <v>#REF!</v>
      </c>
      <c r="Q22" s="530" t="e">
        <f>+'LEAD RECOM INCR'!Q22+#REF!</f>
        <v>#REF!</v>
      </c>
      <c r="R22" s="531"/>
      <c r="S22" s="532"/>
      <c r="T22" s="524"/>
      <c r="U22" s="530"/>
      <c r="V22" s="539"/>
      <c r="W22" s="524"/>
      <c r="X22" s="540"/>
      <c r="Y22" s="539"/>
      <c r="Z22" s="524"/>
      <c r="AA22" s="522">
        <f t="shared" si="9"/>
        <v>0</v>
      </c>
      <c r="AB22" s="523">
        <f t="shared" si="9"/>
        <v>0</v>
      </c>
      <c r="AC22" s="527">
        <f t="shared" si="9"/>
        <v>0</v>
      </c>
      <c r="AD22" s="554"/>
      <c r="AE22" s="554"/>
      <c r="AF22" s="518">
        <f t="shared" si="4"/>
        <v>0</v>
      </c>
      <c r="AG22" s="519" t="s">
        <v>198</v>
      </c>
    </row>
    <row r="23" spans="1:33" ht="18">
      <c r="A23" s="508" t="s">
        <v>35</v>
      </c>
      <c r="B23" s="508"/>
      <c r="C23" s="508"/>
      <c r="D23" s="508"/>
      <c r="E23" s="556">
        <f>SUM(E24:E25)</f>
        <v>1306</v>
      </c>
      <c r="F23" s="557">
        <f>SUM(F24:F25)</f>
        <v>1344</v>
      </c>
      <c r="G23" s="558">
        <f>SUM(G24:G25)</f>
        <v>212930</v>
      </c>
      <c r="H23" s="547"/>
      <c r="I23" s="547">
        <f>SUM(I24:I25)</f>
        <v>0</v>
      </c>
      <c r="J23" s="564">
        <f>+J24+J25</f>
        <v>1401</v>
      </c>
      <c r="K23" s="557">
        <f>+K24+K25</f>
        <v>1379</v>
      </c>
      <c r="L23" s="559">
        <f>+L24+L25</f>
        <v>226890</v>
      </c>
      <c r="M23" s="547">
        <v>0</v>
      </c>
      <c r="N23" s="549">
        <f>+N24+N25</f>
        <v>2322</v>
      </c>
      <c r="O23" s="560" t="e">
        <f aca="true" t="shared" si="10" ref="O23:AC23">+O24+O25</f>
        <v>#REF!</v>
      </c>
      <c r="P23" s="560" t="e">
        <f t="shared" si="10"/>
        <v>#REF!</v>
      </c>
      <c r="Q23" s="547" t="e">
        <f t="shared" si="10"/>
        <v>#REF!</v>
      </c>
      <c r="R23" s="560" t="e">
        <f t="shared" si="10"/>
        <v>#REF!</v>
      </c>
      <c r="S23" s="560" t="e">
        <f t="shared" si="10"/>
        <v>#REF!</v>
      </c>
      <c r="T23" s="547" t="e">
        <f t="shared" si="10"/>
        <v>#REF!</v>
      </c>
      <c r="U23" s="560" t="e">
        <f t="shared" si="10"/>
        <v>#REF!</v>
      </c>
      <c r="V23" s="560" t="e">
        <f t="shared" si="10"/>
        <v>#REF!</v>
      </c>
      <c r="W23" s="547" t="e">
        <f t="shared" si="10"/>
        <v>#REF!</v>
      </c>
      <c r="X23" s="560" t="e">
        <f t="shared" si="10"/>
        <v>#REF!</v>
      </c>
      <c r="Y23" s="560" t="e">
        <f t="shared" si="10"/>
        <v>#REF!</v>
      </c>
      <c r="Z23" s="547" t="e">
        <f t="shared" si="10"/>
        <v>#REF!</v>
      </c>
      <c r="AA23" s="560" t="e">
        <f t="shared" si="10"/>
        <v>#REF!</v>
      </c>
      <c r="AB23" s="560" t="e">
        <f t="shared" si="10"/>
        <v>#REF!</v>
      </c>
      <c r="AC23" s="560" t="e">
        <f t="shared" si="10"/>
        <v>#REF!</v>
      </c>
      <c r="AD23" s="565">
        <f>SUM(AD24:AD25)</f>
        <v>0</v>
      </c>
      <c r="AE23" s="565">
        <f>SUM(AE24:AE25)</f>
        <v>0</v>
      </c>
      <c r="AF23" s="518" t="e">
        <f t="shared" si="4"/>
        <v>#REF!</v>
      </c>
      <c r="AG23" s="519" t="e">
        <f t="shared" si="5"/>
        <v>#REF!</v>
      </c>
    </row>
    <row r="24" spans="1:33" ht="18.75">
      <c r="A24" s="521" t="s">
        <v>130</v>
      </c>
      <c r="E24" s="522">
        <v>1291</v>
      </c>
      <c r="F24" s="523">
        <v>1329</v>
      </c>
      <c r="G24" s="524">
        <v>210721</v>
      </c>
      <c r="H24" s="525"/>
      <c r="I24" s="525"/>
      <c r="J24" s="522">
        <v>1386</v>
      </c>
      <c r="K24" s="523">
        <v>1364</v>
      </c>
      <c r="L24" s="526">
        <v>224614</v>
      </c>
      <c r="M24" s="527"/>
      <c r="N24" s="525">
        <v>2322</v>
      </c>
      <c r="O24" s="533" t="e">
        <f>+'LEAD RECOM INCR'!O24+#REF!</f>
        <v>#REF!</v>
      </c>
      <c r="P24" s="470" t="e">
        <f>+'LEAD RECOM INCR'!P24+#REF!</f>
        <v>#REF!</v>
      </c>
      <c r="Q24" s="530" t="e">
        <f>+'LEAD RECOM INCR'!Q24+#REF!</f>
        <v>#REF!</v>
      </c>
      <c r="R24" s="531" t="e">
        <f aca="true" t="shared" si="11" ref="R24:S26">+J24+O24</f>
        <v>#REF!</v>
      </c>
      <c r="S24" s="532" t="e">
        <f t="shared" si="11"/>
        <v>#REF!</v>
      </c>
      <c r="T24" s="524" t="e">
        <f>+L24+Q24+N24</f>
        <v>#REF!</v>
      </c>
      <c r="U24" s="533" t="e">
        <f>+'LEAD RECOM INCR'!U24+#REF!</f>
        <v>#REF!</v>
      </c>
      <c r="V24" s="470" t="e">
        <f>+'LEAD RECOM INCR'!V24+#REF!</f>
        <v>#REF!</v>
      </c>
      <c r="W24" s="530" t="e">
        <f>+'LEAD RECOM INCR'!W24+#REF!</f>
        <v>#REF!</v>
      </c>
      <c r="X24" s="533" t="e">
        <f>+'LEAD RECOM INCR'!X24+#REF!</f>
        <v>#REF!</v>
      </c>
      <c r="Y24" s="470" t="e">
        <f>+'LEAD RECOM INCR'!Y24+#REF!</f>
        <v>#REF!</v>
      </c>
      <c r="Z24" s="530" t="e">
        <f>+'LEAD RECOM INCR'!Z24+#REF!</f>
        <v>#REF!</v>
      </c>
      <c r="AA24" s="522" t="e">
        <f aca="true" t="shared" si="12" ref="AA24:AC26">+X24+U24+R24</f>
        <v>#REF!</v>
      </c>
      <c r="AB24" s="523" t="e">
        <f t="shared" si="12"/>
        <v>#REF!</v>
      </c>
      <c r="AC24" s="543" t="e">
        <f t="shared" si="12"/>
        <v>#REF!</v>
      </c>
      <c r="AD24" s="535"/>
      <c r="AE24" s="535"/>
      <c r="AF24" s="518" t="e">
        <f t="shared" si="4"/>
        <v>#REF!</v>
      </c>
      <c r="AG24" s="519" t="e">
        <f t="shared" si="5"/>
        <v>#REF!</v>
      </c>
    </row>
    <row r="25" spans="1:33" ht="18.75">
      <c r="A25" s="521" t="s">
        <v>131</v>
      </c>
      <c r="E25" s="522">
        <v>15</v>
      </c>
      <c r="F25" s="523">
        <v>15</v>
      </c>
      <c r="G25" s="524">
        <v>2209</v>
      </c>
      <c r="H25" s="525"/>
      <c r="I25" s="525"/>
      <c r="J25" s="522">
        <v>15</v>
      </c>
      <c r="K25" s="523">
        <v>15</v>
      </c>
      <c r="L25" s="526">
        <v>2276</v>
      </c>
      <c r="M25" s="527"/>
      <c r="N25" s="525"/>
      <c r="O25" s="533" t="e">
        <f>+'LEAD RECOM INCR'!O25+#REF!</f>
        <v>#REF!</v>
      </c>
      <c r="P25" s="470" t="e">
        <f>+'LEAD RECOM INCR'!P25+#REF!</f>
        <v>#REF!</v>
      </c>
      <c r="Q25" s="530" t="e">
        <f>+'LEAD RECOM INCR'!Q25+#REF!</f>
        <v>#REF!</v>
      </c>
      <c r="R25" s="531" t="e">
        <f t="shared" si="11"/>
        <v>#REF!</v>
      </c>
      <c r="S25" s="532" t="e">
        <f t="shared" si="11"/>
        <v>#REF!</v>
      </c>
      <c r="T25" s="524" t="e">
        <f>+L25+Q25+N25</f>
        <v>#REF!</v>
      </c>
      <c r="U25" s="533" t="e">
        <f>+'LEAD RECOM INCR'!U25+#REF!</f>
        <v>#REF!</v>
      </c>
      <c r="V25" s="470" t="e">
        <f>+'LEAD RECOM INCR'!V25+#REF!</f>
        <v>#REF!</v>
      </c>
      <c r="W25" s="530" t="e">
        <f>+'LEAD RECOM INCR'!W25+#REF!</f>
        <v>#REF!</v>
      </c>
      <c r="X25" s="533" t="e">
        <f>+'LEAD RECOM INCR'!X25+#REF!</f>
        <v>#REF!</v>
      </c>
      <c r="Y25" s="470" t="e">
        <f>+'LEAD RECOM INCR'!Y25+#REF!</f>
        <v>#REF!</v>
      </c>
      <c r="Z25" s="530" t="e">
        <f>+'LEAD RECOM INCR'!Z25+#REF!</f>
        <v>#REF!</v>
      </c>
      <c r="AA25" s="522" t="e">
        <f t="shared" si="12"/>
        <v>#REF!</v>
      </c>
      <c r="AB25" s="523" t="e">
        <f t="shared" si="12"/>
        <v>#REF!</v>
      </c>
      <c r="AC25" s="543" t="e">
        <f t="shared" si="12"/>
        <v>#REF!</v>
      </c>
      <c r="AD25" s="535"/>
      <c r="AE25" s="535"/>
      <c r="AF25" s="518" t="e">
        <f t="shared" si="4"/>
        <v>#REF!</v>
      </c>
      <c r="AG25" s="519" t="e">
        <f t="shared" si="5"/>
        <v>#REF!</v>
      </c>
    </row>
    <row r="26" spans="1:33" ht="18">
      <c r="A26" s="476" t="s">
        <v>132</v>
      </c>
      <c r="E26" s="522">
        <v>453</v>
      </c>
      <c r="F26" s="523">
        <v>453</v>
      </c>
      <c r="G26" s="524">
        <v>67922</v>
      </c>
      <c r="H26" s="525"/>
      <c r="I26" s="525"/>
      <c r="J26" s="522">
        <f>453-4</f>
        <v>449</v>
      </c>
      <c r="K26" s="523">
        <v>459</v>
      </c>
      <c r="L26" s="526">
        <v>69852</v>
      </c>
      <c r="M26" s="527"/>
      <c r="N26" s="525">
        <v>706</v>
      </c>
      <c r="O26" s="533" t="e">
        <f>+'LEAD RECOM INCR'!O26+#REF!</f>
        <v>#REF!</v>
      </c>
      <c r="P26" s="470" t="e">
        <f>+'LEAD RECOM INCR'!P26+#REF!</f>
        <v>#REF!</v>
      </c>
      <c r="Q26" s="530" t="e">
        <f>+'LEAD RECOM INCR'!Q26+#REF!</f>
        <v>#REF!</v>
      </c>
      <c r="R26" s="531" t="e">
        <f t="shared" si="11"/>
        <v>#REF!</v>
      </c>
      <c r="S26" s="532" t="e">
        <f t="shared" si="11"/>
        <v>#REF!</v>
      </c>
      <c r="T26" s="524" t="e">
        <f>+L26+Q26+N26</f>
        <v>#REF!</v>
      </c>
      <c r="U26" s="533" t="e">
        <f>+'LEAD RECOM INCR'!U26+#REF!</f>
        <v>#REF!</v>
      </c>
      <c r="V26" s="470" t="e">
        <f>+'LEAD RECOM INCR'!V26+#REF!</f>
        <v>#REF!</v>
      </c>
      <c r="W26" s="530" t="e">
        <f>+'LEAD RECOM INCR'!W26+#REF!</f>
        <v>#REF!</v>
      </c>
      <c r="X26" s="533" t="e">
        <f>+'LEAD RECOM INCR'!X26+#REF!</f>
        <v>#REF!</v>
      </c>
      <c r="Y26" s="470" t="e">
        <f>+'LEAD RECOM INCR'!Y26+#REF!</f>
        <v>#REF!</v>
      </c>
      <c r="Z26" s="530" t="e">
        <f>+'LEAD RECOM INCR'!Z26+#REF!</f>
        <v>#REF!</v>
      </c>
      <c r="AA26" s="522" t="e">
        <f t="shared" si="12"/>
        <v>#REF!</v>
      </c>
      <c r="AB26" s="523" t="e">
        <f t="shared" si="12"/>
        <v>#REF!</v>
      </c>
      <c r="AC26" s="543" t="e">
        <f t="shared" si="12"/>
        <v>#REF!</v>
      </c>
      <c r="AD26" s="535" t="e">
        <f>+T26*(1+$AD$11)</f>
        <v>#REF!</v>
      </c>
      <c r="AE26" s="535">
        <f>+L26*$AE$11</f>
        <v>67057.92</v>
      </c>
      <c r="AF26" s="518" t="e">
        <f t="shared" si="4"/>
        <v>#REF!</v>
      </c>
      <c r="AG26" s="519" t="e">
        <f t="shared" si="5"/>
        <v>#REF!</v>
      </c>
    </row>
    <row r="27" spans="1:33" ht="18">
      <c r="A27" s="508" t="s">
        <v>73</v>
      </c>
      <c r="B27" s="508"/>
      <c r="C27" s="508"/>
      <c r="D27" s="508"/>
      <c r="E27" s="544" t="s">
        <v>30</v>
      </c>
      <c r="F27" s="562">
        <f>SUM(F28)</f>
        <v>723</v>
      </c>
      <c r="G27" s="563">
        <f>SUM(G28)</f>
        <v>0</v>
      </c>
      <c r="H27" s="547"/>
      <c r="I27" s="547">
        <f>SUM(I28:I30)</f>
        <v>0</v>
      </c>
      <c r="J27" s="544" t="s">
        <v>30</v>
      </c>
      <c r="K27" s="562">
        <f>SUM(K28)</f>
        <v>723</v>
      </c>
      <c r="L27" s="566">
        <f>SUM(L28)</f>
        <v>0</v>
      </c>
      <c r="M27" s="547">
        <f aca="true" t="shared" si="13" ref="M27:Z27">SUM(M28:M30)</f>
        <v>0</v>
      </c>
      <c r="N27" s="547">
        <f t="shared" si="13"/>
        <v>0</v>
      </c>
      <c r="O27" s="556" t="e">
        <f t="shared" si="13"/>
        <v>#REF!</v>
      </c>
      <c r="P27" s="562" t="e">
        <f t="shared" si="13"/>
        <v>#REF!</v>
      </c>
      <c r="Q27" s="563" t="e">
        <f t="shared" si="13"/>
        <v>#REF!</v>
      </c>
      <c r="R27" s="544" t="s">
        <v>30</v>
      </c>
      <c r="S27" s="562" t="e">
        <f t="shared" si="13"/>
        <v>#REF!</v>
      </c>
      <c r="T27" s="563" t="e">
        <f t="shared" si="13"/>
        <v>#REF!</v>
      </c>
      <c r="U27" s="544">
        <v>0</v>
      </c>
      <c r="V27" s="562" t="e">
        <f t="shared" si="13"/>
        <v>#REF!</v>
      </c>
      <c r="W27" s="563" t="e">
        <f t="shared" si="13"/>
        <v>#REF!</v>
      </c>
      <c r="X27" s="544">
        <v>0</v>
      </c>
      <c r="Y27" s="562" t="e">
        <f t="shared" si="13"/>
        <v>#REF!</v>
      </c>
      <c r="Z27" s="563" t="e">
        <f t="shared" si="13"/>
        <v>#REF!</v>
      </c>
      <c r="AA27" s="544" t="s">
        <v>30</v>
      </c>
      <c r="AB27" s="562" t="e">
        <f>SUM(AB28:AB30)</f>
        <v>#REF!</v>
      </c>
      <c r="AC27" s="558" t="e">
        <f>SUM(AC28:AC30)</f>
        <v>#REF!</v>
      </c>
      <c r="AD27" s="565" t="e">
        <f>SUM(AD28:AD30)</f>
        <v>#REF!</v>
      </c>
      <c r="AE27" s="565">
        <f>SUM(AE28:AE30)</f>
        <v>0</v>
      </c>
      <c r="AF27" s="518" t="e">
        <f t="shared" si="4"/>
        <v>#REF!</v>
      </c>
      <c r="AG27" s="519" t="s">
        <v>198</v>
      </c>
    </row>
    <row r="28" spans="1:33" ht="18.75" hidden="1">
      <c r="A28" s="521" t="s">
        <v>133</v>
      </c>
      <c r="E28" s="531" t="s">
        <v>30</v>
      </c>
      <c r="F28" s="523">
        <v>723</v>
      </c>
      <c r="G28" s="524">
        <v>0</v>
      </c>
      <c r="H28" s="525"/>
      <c r="I28" s="525"/>
      <c r="J28" s="531" t="s">
        <v>30</v>
      </c>
      <c r="K28" s="523">
        <v>723</v>
      </c>
      <c r="L28" s="526">
        <v>0</v>
      </c>
      <c r="M28" s="527"/>
      <c r="N28" s="525">
        <v>0</v>
      </c>
      <c r="O28" s="533" t="e">
        <f>+'LEAD RECOM INCR'!O28+#REF!</f>
        <v>#REF!</v>
      </c>
      <c r="P28" s="470" t="e">
        <f>+'LEAD RECOM INCR'!P28+#REF!</f>
        <v>#REF!</v>
      </c>
      <c r="Q28" s="530" t="e">
        <f>+'LEAD RECOM INCR'!Q28+#REF!</f>
        <v>#REF!</v>
      </c>
      <c r="R28" s="531" t="str">
        <f>+J28</f>
        <v>[723]</v>
      </c>
      <c r="S28" s="532" t="e">
        <f>+K28+P28</f>
        <v>#REF!</v>
      </c>
      <c r="T28" s="524" t="e">
        <f>+L28+Q28+N28</f>
        <v>#REF!</v>
      </c>
      <c r="U28" s="533" t="e">
        <f>+'LEAD RECOM INCR'!U28+#REF!</f>
        <v>#REF!</v>
      </c>
      <c r="V28" s="470" t="e">
        <f>+'LEAD RECOM INCR'!V28+#REF!</f>
        <v>#REF!</v>
      </c>
      <c r="W28" s="530" t="e">
        <f>+'LEAD RECOM INCR'!W28+#REF!</f>
        <v>#REF!</v>
      </c>
      <c r="X28" s="533" t="e">
        <f>+'LEAD RECOM INCR'!X28+#REF!</f>
        <v>#REF!</v>
      </c>
      <c r="Y28" s="470" t="e">
        <f>+'LEAD RECOM INCR'!Y28+#REF!</f>
        <v>#REF!</v>
      </c>
      <c r="Z28" s="530" t="e">
        <f>+'LEAD RECOM INCR'!Z28+#REF!</f>
        <v>#REF!</v>
      </c>
      <c r="AA28" s="531" t="s">
        <v>30</v>
      </c>
      <c r="AB28" s="523" t="e">
        <f aca="true" t="shared" si="14" ref="AB28:AC32">+Y28+V28+S28</f>
        <v>#REF!</v>
      </c>
      <c r="AC28" s="543" t="e">
        <f t="shared" si="14"/>
        <v>#REF!</v>
      </c>
      <c r="AD28" s="535" t="e">
        <f>+T28*(1+$AD$11)</f>
        <v>#REF!</v>
      </c>
      <c r="AE28" s="535">
        <f>+L28*$AE$11</f>
        <v>0</v>
      </c>
      <c r="AF28" s="518" t="e">
        <f t="shared" si="4"/>
        <v>#REF!</v>
      </c>
      <c r="AG28" s="519" t="s">
        <v>198</v>
      </c>
    </row>
    <row r="29" spans="1:33" ht="18.75" hidden="1">
      <c r="A29" s="555" t="s">
        <v>107</v>
      </c>
      <c r="B29" s="555"/>
      <c r="C29" s="555"/>
      <c r="D29" s="555"/>
      <c r="E29" s="522"/>
      <c r="F29" s="523"/>
      <c r="G29" s="524">
        <v>0</v>
      </c>
      <c r="H29" s="525"/>
      <c r="I29" s="525"/>
      <c r="J29" s="522">
        <v>0</v>
      </c>
      <c r="K29" s="530">
        <v>0</v>
      </c>
      <c r="L29" s="526">
        <v>0</v>
      </c>
      <c r="M29" s="527"/>
      <c r="N29" s="525">
        <v>0</v>
      </c>
      <c r="O29" s="533" t="e">
        <f>+'LEAD RECOM INCR'!O29+#REF!</f>
        <v>#REF!</v>
      </c>
      <c r="P29" s="470" t="e">
        <f>+'LEAD RECOM INCR'!P29+#REF!</f>
        <v>#REF!</v>
      </c>
      <c r="Q29" s="530" t="e">
        <f>+'LEAD RECOM INCR'!Q29+#REF!</f>
        <v>#REF!</v>
      </c>
      <c r="R29" s="531" t="e">
        <f>+J29+O29</f>
        <v>#REF!</v>
      </c>
      <c r="S29" s="532" t="e">
        <f>+K29+P29</f>
        <v>#REF!</v>
      </c>
      <c r="T29" s="524" t="e">
        <f>+L29+Q29+N29</f>
        <v>#REF!</v>
      </c>
      <c r="U29" s="533" t="e">
        <f>+'LEAD RECOM INCR'!U29+#REF!</f>
        <v>#REF!</v>
      </c>
      <c r="V29" s="470" t="e">
        <f>+'LEAD RECOM INCR'!V29+#REF!</f>
        <v>#REF!</v>
      </c>
      <c r="W29" s="530" t="e">
        <f>+'LEAD RECOM INCR'!W29+#REF!</f>
        <v>#REF!</v>
      </c>
      <c r="X29" s="533" t="e">
        <f>+'LEAD RECOM INCR'!X29+#REF!</f>
        <v>#REF!</v>
      </c>
      <c r="Y29" s="470" t="e">
        <f>+'LEAD RECOM INCR'!Y29+#REF!</f>
        <v>#REF!</v>
      </c>
      <c r="Z29" s="530" t="e">
        <f>+'LEAD RECOM INCR'!Z29+#REF!</f>
        <v>#REF!</v>
      </c>
      <c r="AA29" s="522" t="e">
        <f>+X29+U29+R29</f>
        <v>#REF!</v>
      </c>
      <c r="AB29" s="523" t="e">
        <f t="shared" si="14"/>
        <v>#REF!</v>
      </c>
      <c r="AC29" s="543" t="e">
        <f t="shared" si="14"/>
        <v>#REF!</v>
      </c>
      <c r="AD29" s="535" t="e">
        <f>+T29*(1+$AD$11)</f>
        <v>#REF!</v>
      </c>
      <c r="AE29" s="535">
        <f>+L29*$AE$11</f>
        <v>0</v>
      </c>
      <c r="AF29" s="518" t="e">
        <f t="shared" si="4"/>
        <v>#REF!</v>
      </c>
      <c r="AG29" s="519" t="s">
        <v>198</v>
      </c>
    </row>
    <row r="30" spans="1:33" ht="18.75" hidden="1">
      <c r="A30" s="555" t="s">
        <v>108</v>
      </c>
      <c r="B30" s="555"/>
      <c r="C30" s="555"/>
      <c r="D30" s="555"/>
      <c r="E30" s="522"/>
      <c r="F30" s="523"/>
      <c r="G30" s="524">
        <v>0</v>
      </c>
      <c r="H30" s="525"/>
      <c r="I30" s="525"/>
      <c r="J30" s="522">
        <v>0</v>
      </c>
      <c r="K30" s="523">
        <v>0</v>
      </c>
      <c r="L30" s="526">
        <v>0</v>
      </c>
      <c r="M30" s="527"/>
      <c r="N30" s="525">
        <v>0</v>
      </c>
      <c r="O30" s="533" t="e">
        <f>+'LEAD RECOM INCR'!O30+#REF!</f>
        <v>#REF!</v>
      </c>
      <c r="P30" s="470" t="e">
        <f>+'LEAD RECOM INCR'!P30+#REF!</f>
        <v>#REF!</v>
      </c>
      <c r="Q30" s="530" t="e">
        <f>+'LEAD RECOM INCR'!Q30+#REF!</f>
        <v>#REF!</v>
      </c>
      <c r="R30" s="531" t="e">
        <f>+J30+O30</f>
        <v>#REF!</v>
      </c>
      <c r="S30" s="532" t="e">
        <f>+K30+P30</f>
        <v>#REF!</v>
      </c>
      <c r="T30" s="524" t="e">
        <f>+L30+Q30+N30</f>
        <v>#REF!</v>
      </c>
      <c r="U30" s="533" t="e">
        <f>+'LEAD RECOM INCR'!U30+#REF!</f>
        <v>#REF!</v>
      </c>
      <c r="V30" s="470" t="e">
        <f>+'LEAD RECOM INCR'!V30+#REF!</f>
        <v>#REF!</v>
      </c>
      <c r="W30" s="530" t="e">
        <f>+'LEAD RECOM INCR'!W30+#REF!</f>
        <v>#REF!</v>
      </c>
      <c r="X30" s="533" t="e">
        <f>+'LEAD RECOM INCR'!X30+#REF!</f>
        <v>#REF!</v>
      </c>
      <c r="Y30" s="470" t="e">
        <f>+'LEAD RECOM INCR'!Y30+#REF!</f>
        <v>#REF!</v>
      </c>
      <c r="Z30" s="530" t="e">
        <f>+'LEAD RECOM INCR'!Z30+#REF!</f>
        <v>#REF!</v>
      </c>
      <c r="AA30" s="522" t="e">
        <f>+X30+U30+R30</f>
        <v>#REF!</v>
      </c>
      <c r="AB30" s="523" t="e">
        <f t="shared" si="14"/>
        <v>#REF!</v>
      </c>
      <c r="AC30" s="543" t="e">
        <f t="shared" si="14"/>
        <v>#REF!</v>
      </c>
      <c r="AD30" s="535" t="e">
        <f>+T30*(1+$AD$11)</f>
        <v>#REF!</v>
      </c>
      <c r="AE30" s="535">
        <f>+L30*$AE$11</f>
        <v>0</v>
      </c>
      <c r="AF30" s="518" t="e">
        <f t="shared" si="4"/>
        <v>#REF!</v>
      </c>
      <c r="AG30" s="519" t="s">
        <v>198</v>
      </c>
    </row>
    <row r="31" spans="1:33" ht="18">
      <c r="A31" s="476" t="s">
        <v>39</v>
      </c>
      <c r="E31" s="522">
        <v>93</v>
      </c>
      <c r="F31" s="523">
        <v>96</v>
      </c>
      <c r="G31" s="524">
        <v>10859</v>
      </c>
      <c r="H31" s="525"/>
      <c r="I31" s="525"/>
      <c r="J31" s="522">
        <v>96</v>
      </c>
      <c r="K31" s="523">
        <v>98</v>
      </c>
      <c r="L31" s="526">
        <v>11385</v>
      </c>
      <c r="M31" s="527"/>
      <c r="N31" s="525">
        <v>566</v>
      </c>
      <c r="O31" s="533" t="e">
        <f>+'LEAD RECOM INCR'!O31+#REF!</f>
        <v>#REF!</v>
      </c>
      <c r="P31" s="470" t="e">
        <f>+'LEAD RECOM INCR'!P31+#REF!</f>
        <v>#REF!</v>
      </c>
      <c r="Q31" s="530" t="e">
        <f>+'LEAD RECOM INCR'!Q31+#REF!</f>
        <v>#REF!</v>
      </c>
      <c r="R31" s="531" t="e">
        <f>+J31+O31</f>
        <v>#REF!</v>
      </c>
      <c r="S31" s="532" t="e">
        <f>+K31+P31</f>
        <v>#REF!</v>
      </c>
      <c r="T31" s="524" t="e">
        <f>+L31+Q31+N31</f>
        <v>#REF!</v>
      </c>
      <c r="U31" s="533" t="e">
        <f>+'LEAD RECOM INCR'!U31+#REF!</f>
        <v>#REF!</v>
      </c>
      <c r="V31" s="470" t="e">
        <f>+'LEAD RECOM INCR'!V31+#REF!</f>
        <v>#REF!</v>
      </c>
      <c r="W31" s="530" t="e">
        <f>+'LEAD RECOM INCR'!W31+#REF!</f>
        <v>#REF!</v>
      </c>
      <c r="X31" s="533" t="e">
        <f>+'LEAD RECOM INCR'!X31+#REF!</f>
        <v>#REF!</v>
      </c>
      <c r="Y31" s="470" t="e">
        <f>+'LEAD RECOM INCR'!Y31+#REF!</f>
        <v>#REF!</v>
      </c>
      <c r="Z31" s="530" t="e">
        <f>+'LEAD RECOM INCR'!Z31+#REF!</f>
        <v>#REF!</v>
      </c>
      <c r="AA31" s="522" t="e">
        <f>+X31+U31+R31</f>
        <v>#REF!</v>
      </c>
      <c r="AB31" s="523" t="e">
        <f t="shared" si="14"/>
        <v>#REF!</v>
      </c>
      <c r="AC31" s="543" t="e">
        <f t="shared" si="14"/>
        <v>#REF!</v>
      </c>
      <c r="AD31" s="535" t="e">
        <f>+T31*(1+$AD$11)</f>
        <v>#REF!</v>
      </c>
      <c r="AE31" s="535">
        <f>+L31*$AE$11</f>
        <v>10929.6</v>
      </c>
      <c r="AF31" s="518" t="e">
        <f t="shared" si="4"/>
        <v>#REF!</v>
      </c>
      <c r="AG31" s="519" t="e">
        <f t="shared" si="5"/>
        <v>#REF!</v>
      </c>
    </row>
    <row r="32" spans="1:33" ht="18">
      <c r="A32" s="567" t="s">
        <v>148</v>
      </c>
      <c r="E32" s="531" t="s">
        <v>169</v>
      </c>
      <c r="F32" s="532" t="s">
        <v>170</v>
      </c>
      <c r="G32" s="542" t="s">
        <v>171</v>
      </c>
      <c r="H32" s="525"/>
      <c r="I32" s="525"/>
      <c r="J32" s="531">
        <v>294</v>
      </c>
      <c r="K32" s="532">
        <v>272</v>
      </c>
      <c r="L32" s="568">
        <v>65259</v>
      </c>
      <c r="M32" s="527"/>
      <c r="N32" s="525">
        <v>1711</v>
      </c>
      <c r="O32" s="533" t="e">
        <f>+'LEAD RECOM INCR'!O32+#REF!</f>
        <v>#REF!</v>
      </c>
      <c r="P32" s="470" t="e">
        <f>+'LEAD RECOM INCR'!P32+#REF!</f>
        <v>#REF!</v>
      </c>
      <c r="Q32" s="530" t="e">
        <f>+'LEAD RECOM INCR'!Q32+#REF!</f>
        <v>#REF!</v>
      </c>
      <c r="R32" s="569" t="e">
        <f>+J32+O32</f>
        <v>#REF!</v>
      </c>
      <c r="S32" s="570" t="e">
        <f>+K32+P32</f>
        <v>#REF!</v>
      </c>
      <c r="T32" s="524" t="e">
        <f>+L32+Q32+N32</f>
        <v>#REF!</v>
      </c>
      <c r="U32" s="533" t="e">
        <f>+'LEAD RECOM INCR'!U32+#REF!</f>
        <v>#REF!</v>
      </c>
      <c r="V32" s="470" t="e">
        <f>+'LEAD RECOM INCR'!V32+#REF!</f>
        <v>#REF!</v>
      </c>
      <c r="W32" s="530" t="e">
        <f>+'LEAD RECOM INCR'!W32+#REF!</f>
        <v>#REF!</v>
      </c>
      <c r="X32" s="533" t="e">
        <f>+'LEAD RECOM INCR'!X32+#REF!</f>
        <v>#REF!</v>
      </c>
      <c r="Y32" s="470" t="e">
        <f>+'LEAD RECOM INCR'!Y32+#REF!</f>
        <v>#REF!</v>
      </c>
      <c r="Z32" s="530" t="e">
        <f>+'LEAD RECOM INCR'!Z32+#REF!</f>
        <v>#REF!</v>
      </c>
      <c r="AA32" s="522" t="e">
        <f>+X32+U32+R32</f>
        <v>#REF!</v>
      </c>
      <c r="AB32" s="523" t="e">
        <f t="shared" si="14"/>
        <v>#REF!</v>
      </c>
      <c r="AC32" s="543" t="e">
        <f t="shared" si="14"/>
        <v>#REF!</v>
      </c>
      <c r="AD32" s="535" t="e">
        <f>+T32*(1+$AD$11)</f>
        <v>#REF!</v>
      </c>
      <c r="AE32" s="535">
        <f>+L32*$AE$11</f>
        <v>62648.64</v>
      </c>
      <c r="AF32" s="518" t="e">
        <f t="shared" si="4"/>
        <v>#REF!</v>
      </c>
      <c r="AG32" s="519" t="e">
        <f t="shared" si="5"/>
        <v>#REF!</v>
      </c>
    </row>
    <row r="33" spans="1:33" ht="18">
      <c r="A33" s="508" t="s">
        <v>40</v>
      </c>
      <c r="B33" s="508"/>
      <c r="C33" s="508"/>
      <c r="D33" s="508"/>
      <c r="E33" s="556">
        <f>SUM(E34:E42)</f>
        <v>3810</v>
      </c>
      <c r="F33" s="562">
        <f>SUM(F34:F42)</f>
        <v>4167</v>
      </c>
      <c r="G33" s="563">
        <f>SUM(G34:G42)</f>
        <v>653506</v>
      </c>
      <c r="H33" s="547"/>
      <c r="I33" s="547">
        <f>SUM(I34:I42)</f>
        <v>0</v>
      </c>
      <c r="J33" s="564">
        <f>SUM(J34:J42)</f>
        <v>3869</v>
      </c>
      <c r="K33" s="561">
        <f>SUM(K34:K42)</f>
        <v>4188</v>
      </c>
      <c r="L33" s="559">
        <f>SUM(L34:L42)</f>
        <v>654919</v>
      </c>
      <c r="M33" s="547">
        <v>0</v>
      </c>
      <c r="N33" s="547">
        <f aca="true" t="shared" si="15" ref="N33:AC33">SUM(N34:N42)</f>
        <v>29406</v>
      </c>
      <c r="O33" s="556" t="e">
        <f t="shared" si="15"/>
        <v>#REF!</v>
      </c>
      <c r="P33" s="562" t="e">
        <f t="shared" si="15"/>
        <v>#REF!</v>
      </c>
      <c r="Q33" s="563" t="e">
        <f t="shared" si="15"/>
        <v>#REF!</v>
      </c>
      <c r="R33" s="556" t="e">
        <f t="shared" si="15"/>
        <v>#REF!</v>
      </c>
      <c r="S33" s="562" t="e">
        <f t="shared" si="15"/>
        <v>#REF!</v>
      </c>
      <c r="T33" s="563" t="e">
        <f t="shared" si="15"/>
        <v>#REF!</v>
      </c>
      <c r="U33" s="557" t="e">
        <f t="shared" si="15"/>
        <v>#REF!</v>
      </c>
      <c r="V33" s="571" t="e">
        <f t="shared" si="15"/>
        <v>#REF!</v>
      </c>
      <c r="W33" s="563" t="e">
        <f t="shared" si="15"/>
        <v>#REF!</v>
      </c>
      <c r="X33" s="572" t="e">
        <f t="shared" si="15"/>
        <v>#REF!</v>
      </c>
      <c r="Y33" s="571" t="e">
        <f t="shared" si="15"/>
        <v>#REF!</v>
      </c>
      <c r="Z33" s="563" t="e">
        <f t="shared" si="15"/>
        <v>#REF!</v>
      </c>
      <c r="AA33" s="556" t="e">
        <f t="shared" si="15"/>
        <v>#REF!</v>
      </c>
      <c r="AB33" s="562" t="e">
        <f t="shared" si="15"/>
        <v>#REF!</v>
      </c>
      <c r="AC33" s="558" t="e">
        <f t="shared" si="15"/>
        <v>#REF!</v>
      </c>
      <c r="AD33" s="573">
        <f>SUM(AD34:AD42)+1</f>
        <v>1</v>
      </c>
      <c r="AE33" s="573">
        <f>SUM(AE34:AE42)+1</f>
        <v>1</v>
      </c>
      <c r="AF33" s="518" t="e">
        <f t="shared" si="4"/>
        <v>#REF!</v>
      </c>
      <c r="AG33" s="519" t="e">
        <f t="shared" si="5"/>
        <v>#REF!</v>
      </c>
    </row>
    <row r="34" spans="1:33" ht="18.75">
      <c r="A34" s="521" t="s">
        <v>41</v>
      </c>
      <c r="E34" s="522">
        <v>48</v>
      </c>
      <c r="F34" s="523">
        <v>49</v>
      </c>
      <c r="G34" s="524">
        <v>8291</v>
      </c>
      <c r="H34" s="525"/>
      <c r="I34" s="525"/>
      <c r="J34" s="522">
        <v>48</v>
      </c>
      <c r="K34" s="523">
        <v>49</v>
      </c>
      <c r="L34" s="526">
        <v>9237</v>
      </c>
      <c r="M34" s="527"/>
      <c r="N34" s="525">
        <v>740</v>
      </c>
      <c r="O34" s="533" t="e">
        <f>+'LEAD RECOM INCR'!O34+#REF!</f>
        <v>#REF!</v>
      </c>
      <c r="P34" s="470" t="e">
        <f>+'LEAD RECOM INCR'!P34+#REF!</f>
        <v>#REF!</v>
      </c>
      <c r="Q34" s="530" t="e">
        <f>+'LEAD RECOM INCR'!Q34+#REF!</f>
        <v>#REF!</v>
      </c>
      <c r="R34" s="569" t="e">
        <f aca="true" t="shared" si="16" ref="R34:S42">+J34+O34</f>
        <v>#REF!</v>
      </c>
      <c r="S34" s="570" t="e">
        <f t="shared" si="16"/>
        <v>#REF!</v>
      </c>
      <c r="T34" s="524" t="e">
        <f aca="true" t="shared" si="17" ref="T34:T58">+L34+Q34+N34</f>
        <v>#REF!</v>
      </c>
      <c r="U34" s="533" t="e">
        <f>+'LEAD RECOM INCR'!U34+#REF!</f>
        <v>#REF!</v>
      </c>
      <c r="V34" s="470" t="e">
        <f>+'LEAD RECOM INCR'!V34+#REF!</f>
        <v>#REF!</v>
      </c>
      <c r="W34" s="530" t="e">
        <f>+'LEAD RECOM INCR'!W34+#REF!</f>
        <v>#REF!</v>
      </c>
      <c r="X34" s="533" t="e">
        <f>+'LEAD RECOM INCR'!X34+#REF!</f>
        <v>#REF!</v>
      </c>
      <c r="Y34" s="470" t="e">
        <f>+'LEAD RECOM INCR'!Y34+#REF!</f>
        <v>#REF!</v>
      </c>
      <c r="Z34" s="706" t="e">
        <f>+'LEAD RECOM INCR'!Z34+#REF!</f>
        <v>#REF!</v>
      </c>
      <c r="AA34" s="704" t="e">
        <f aca="true" t="shared" si="18" ref="AA34:AC49">+X34+U34+R34</f>
        <v>#REF!</v>
      </c>
      <c r="AB34" s="704" t="e">
        <f>+Y34+V34+S34</f>
        <v>#REF!</v>
      </c>
      <c r="AC34" s="543" t="e">
        <f aca="true" t="shared" si="19" ref="AC34:AC42">+Z34+W34+T34</f>
        <v>#REF!</v>
      </c>
      <c r="AD34" s="535"/>
      <c r="AE34" s="535"/>
      <c r="AF34" s="518" t="e">
        <f t="shared" si="4"/>
        <v>#REF!</v>
      </c>
      <c r="AG34" s="519" t="e">
        <f t="shared" si="5"/>
        <v>#REF!</v>
      </c>
    </row>
    <row r="35" spans="1:33" ht="18.75">
      <c r="A35" s="521" t="s">
        <v>23</v>
      </c>
      <c r="E35" s="522">
        <v>566</v>
      </c>
      <c r="F35" s="523">
        <v>526</v>
      </c>
      <c r="G35" s="524">
        <v>80507</v>
      </c>
      <c r="H35" s="525"/>
      <c r="I35" s="525"/>
      <c r="J35" s="522">
        <v>595</v>
      </c>
      <c r="K35" s="523">
        <v>539</v>
      </c>
      <c r="L35" s="526">
        <v>82621</v>
      </c>
      <c r="M35" s="527"/>
      <c r="N35" s="525">
        <v>5070</v>
      </c>
      <c r="O35" s="533" t="e">
        <f>+'LEAD RECOM INCR'!O35+#REF!</f>
        <v>#REF!</v>
      </c>
      <c r="P35" s="470" t="e">
        <f>+'LEAD RECOM INCR'!P35+#REF!</f>
        <v>#REF!</v>
      </c>
      <c r="Q35" s="530" t="e">
        <f>+'LEAD RECOM INCR'!Q35+#REF!</f>
        <v>#REF!</v>
      </c>
      <c r="R35" s="569" t="e">
        <f t="shared" si="16"/>
        <v>#REF!</v>
      </c>
      <c r="S35" s="570" t="e">
        <f t="shared" si="16"/>
        <v>#REF!</v>
      </c>
      <c r="T35" s="524" t="e">
        <f t="shared" si="17"/>
        <v>#REF!</v>
      </c>
      <c r="U35" s="533" t="e">
        <f>+'LEAD RECOM INCR'!U35+#REF!</f>
        <v>#REF!</v>
      </c>
      <c r="V35" s="470" t="e">
        <f>+'LEAD RECOM INCR'!V35+#REF!</f>
        <v>#REF!</v>
      </c>
      <c r="W35" s="530" t="e">
        <f>+'LEAD RECOM INCR'!W35+#REF!</f>
        <v>#REF!</v>
      </c>
      <c r="X35" s="533" t="e">
        <f>+'LEAD RECOM INCR'!X35+#REF!</f>
        <v>#REF!</v>
      </c>
      <c r="Y35" s="470" t="e">
        <f>+'LEAD RECOM INCR'!Y35+#REF!</f>
        <v>#REF!</v>
      </c>
      <c r="Z35" s="527" t="e">
        <f>+'LEAD RECOM INCR'!Z35+#REF!</f>
        <v>#REF!</v>
      </c>
      <c r="AA35" s="705" t="e">
        <f t="shared" si="18"/>
        <v>#REF!</v>
      </c>
      <c r="AB35" s="705" t="e">
        <f t="shared" si="18"/>
        <v>#REF!</v>
      </c>
      <c r="AC35" s="543" t="e">
        <f t="shared" si="19"/>
        <v>#REF!</v>
      </c>
      <c r="AD35" s="535"/>
      <c r="AE35" s="535"/>
      <c r="AF35" s="518" t="e">
        <f t="shared" si="4"/>
        <v>#REF!</v>
      </c>
      <c r="AG35" s="519" t="e">
        <f t="shared" si="5"/>
        <v>#REF!</v>
      </c>
    </row>
    <row r="36" spans="1:33" ht="18.75">
      <c r="A36" s="550" t="s">
        <v>24</v>
      </c>
      <c r="E36" s="522">
        <v>818</v>
      </c>
      <c r="F36" s="523">
        <v>919</v>
      </c>
      <c r="G36" s="524">
        <v>143106</v>
      </c>
      <c r="H36" s="525"/>
      <c r="I36" s="525"/>
      <c r="J36" s="522">
        <v>746</v>
      </c>
      <c r="K36" s="523">
        <v>853</v>
      </c>
      <c r="L36" s="526">
        <v>131396</v>
      </c>
      <c r="M36" s="527"/>
      <c r="N36" s="525">
        <v>5665</v>
      </c>
      <c r="O36" s="533" t="e">
        <f>+'LEAD RECOM INCR'!O36+#REF!</f>
        <v>#REF!</v>
      </c>
      <c r="P36" s="470" t="e">
        <f>+'LEAD RECOM INCR'!P36+#REF!</f>
        <v>#REF!</v>
      </c>
      <c r="Q36" s="530" t="e">
        <f>+'LEAD RECOM INCR'!Q36+#REF!</f>
        <v>#REF!</v>
      </c>
      <c r="R36" s="569" t="e">
        <f t="shared" si="16"/>
        <v>#REF!</v>
      </c>
      <c r="S36" s="570" t="e">
        <f t="shared" si="16"/>
        <v>#REF!</v>
      </c>
      <c r="T36" s="524" t="e">
        <f t="shared" si="17"/>
        <v>#REF!</v>
      </c>
      <c r="U36" s="533" t="e">
        <f>+'LEAD RECOM INCR'!U36+#REF!</f>
        <v>#REF!</v>
      </c>
      <c r="V36" s="470" t="e">
        <f>+'LEAD RECOM INCR'!V36+#REF!</f>
        <v>#REF!</v>
      </c>
      <c r="W36" s="530" t="e">
        <f>+'LEAD RECOM INCR'!W36+#REF!</f>
        <v>#REF!</v>
      </c>
      <c r="X36" s="533" t="e">
        <f>+'LEAD RECOM INCR'!X36+#REF!</f>
        <v>#REF!</v>
      </c>
      <c r="Y36" s="470" t="e">
        <f>+'LEAD RECOM INCR'!Y36+#REF!</f>
        <v>#REF!</v>
      </c>
      <c r="Z36" s="527" t="e">
        <f>+'LEAD RECOM INCR'!Z36+#REF!</f>
        <v>#REF!</v>
      </c>
      <c r="AA36" s="705" t="e">
        <f t="shared" si="18"/>
        <v>#REF!</v>
      </c>
      <c r="AB36" s="705" t="e">
        <f t="shared" si="18"/>
        <v>#REF!</v>
      </c>
      <c r="AC36" s="543" t="e">
        <f t="shared" si="19"/>
        <v>#REF!</v>
      </c>
      <c r="AD36" s="535"/>
      <c r="AE36" s="535"/>
      <c r="AF36" s="518" t="e">
        <f t="shared" si="4"/>
        <v>#REF!</v>
      </c>
      <c r="AG36" s="519" t="e">
        <f t="shared" si="5"/>
        <v>#REF!</v>
      </c>
    </row>
    <row r="37" spans="1:33" ht="18.75">
      <c r="A37" s="521" t="s">
        <v>42</v>
      </c>
      <c r="E37" s="522">
        <v>1100</v>
      </c>
      <c r="F37" s="523">
        <v>1137</v>
      </c>
      <c r="G37" s="524">
        <v>192864</v>
      </c>
      <c r="H37" s="525"/>
      <c r="I37" s="525"/>
      <c r="J37" s="522">
        <v>1208</v>
      </c>
      <c r="K37" s="523">
        <v>1217</v>
      </c>
      <c r="L37" s="526">
        <v>204612</v>
      </c>
      <c r="M37" s="527"/>
      <c r="N37" s="525">
        <v>8674</v>
      </c>
      <c r="O37" s="533" t="e">
        <f>+'LEAD RECOM INCR'!O37+#REF!</f>
        <v>#REF!</v>
      </c>
      <c r="P37" s="470" t="e">
        <f>+'LEAD RECOM INCR'!P37+#REF!</f>
        <v>#REF!</v>
      </c>
      <c r="Q37" s="530" t="e">
        <f>+'LEAD RECOM INCR'!Q37+#REF!</f>
        <v>#REF!</v>
      </c>
      <c r="R37" s="569" t="e">
        <f t="shared" si="16"/>
        <v>#REF!</v>
      </c>
      <c r="S37" s="570" t="e">
        <f t="shared" si="16"/>
        <v>#REF!</v>
      </c>
      <c r="T37" s="524" t="e">
        <f t="shared" si="17"/>
        <v>#REF!</v>
      </c>
      <c r="U37" s="533" t="e">
        <f>+'LEAD RECOM INCR'!U37+#REF!</f>
        <v>#REF!</v>
      </c>
      <c r="V37" s="470" t="e">
        <f>+'LEAD RECOM INCR'!V37+#REF!</f>
        <v>#REF!</v>
      </c>
      <c r="W37" s="530" t="e">
        <f>+'LEAD RECOM INCR'!W37+#REF!</f>
        <v>#REF!</v>
      </c>
      <c r="X37" s="533" t="e">
        <f>+'LEAD RECOM INCR'!X37+#REF!</f>
        <v>#REF!</v>
      </c>
      <c r="Y37" s="470" t="e">
        <f>+'LEAD RECOM INCR'!Y37+#REF!</f>
        <v>#REF!</v>
      </c>
      <c r="Z37" s="527" t="e">
        <f>+'LEAD RECOM INCR'!Z37+#REF!</f>
        <v>#REF!</v>
      </c>
      <c r="AA37" s="705" t="e">
        <f t="shared" si="18"/>
        <v>#REF!</v>
      </c>
      <c r="AB37" s="705" t="e">
        <f t="shared" si="18"/>
        <v>#REF!</v>
      </c>
      <c r="AC37" s="543" t="e">
        <f t="shared" si="19"/>
        <v>#REF!</v>
      </c>
      <c r="AD37" s="535"/>
      <c r="AE37" s="535"/>
      <c r="AF37" s="518" t="e">
        <f t="shared" si="4"/>
        <v>#REF!</v>
      </c>
      <c r="AG37" s="519" t="e">
        <f t="shared" si="5"/>
        <v>#REF!</v>
      </c>
    </row>
    <row r="38" spans="1:33" ht="18.75">
      <c r="A38" s="521" t="s">
        <v>25</v>
      </c>
      <c r="E38" s="522">
        <v>439</v>
      </c>
      <c r="F38" s="523">
        <v>677</v>
      </c>
      <c r="G38" s="524">
        <v>92774</v>
      </c>
      <c r="H38" s="525"/>
      <c r="I38" s="525"/>
      <c r="J38" s="522">
        <v>436</v>
      </c>
      <c r="K38" s="523">
        <v>674</v>
      </c>
      <c r="L38" s="526">
        <v>91408</v>
      </c>
      <c r="M38" s="527"/>
      <c r="N38" s="525">
        <v>3643</v>
      </c>
      <c r="O38" s="533" t="e">
        <f>+'LEAD RECOM INCR'!O38+#REF!</f>
        <v>#REF!</v>
      </c>
      <c r="P38" s="470" t="e">
        <f>+'LEAD RECOM INCR'!P38+#REF!</f>
        <v>#REF!</v>
      </c>
      <c r="Q38" s="530" t="e">
        <f>+'LEAD RECOM INCR'!Q38+#REF!</f>
        <v>#REF!</v>
      </c>
      <c r="R38" s="569" t="e">
        <f t="shared" si="16"/>
        <v>#REF!</v>
      </c>
      <c r="S38" s="570" t="e">
        <f t="shared" si="16"/>
        <v>#REF!</v>
      </c>
      <c r="T38" s="524" t="e">
        <f t="shared" si="17"/>
        <v>#REF!</v>
      </c>
      <c r="U38" s="533" t="e">
        <f>+'LEAD RECOM INCR'!U38+#REF!</f>
        <v>#REF!</v>
      </c>
      <c r="V38" s="470" t="e">
        <f>+'LEAD RECOM INCR'!V38+#REF!</f>
        <v>#REF!</v>
      </c>
      <c r="W38" s="530" t="e">
        <f>+'LEAD RECOM INCR'!W38+#REF!</f>
        <v>#REF!</v>
      </c>
      <c r="X38" s="533" t="e">
        <f>+'LEAD RECOM INCR'!X38+#REF!</f>
        <v>#REF!</v>
      </c>
      <c r="Y38" s="470" t="e">
        <f>+'LEAD RECOM INCR'!Y38+#REF!</f>
        <v>#REF!</v>
      </c>
      <c r="Z38" s="527" t="e">
        <f>+'LEAD RECOM INCR'!Z38+#REF!</f>
        <v>#REF!</v>
      </c>
      <c r="AA38" s="705" t="e">
        <f t="shared" si="18"/>
        <v>#REF!</v>
      </c>
      <c r="AB38" s="705" t="e">
        <f t="shared" si="18"/>
        <v>#REF!</v>
      </c>
      <c r="AC38" s="543" t="e">
        <f t="shared" si="19"/>
        <v>#REF!</v>
      </c>
      <c r="AD38" s="535"/>
      <c r="AE38" s="535"/>
      <c r="AF38" s="518" t="e">
        <f t="shared" si="4"/>
        <v>#REF!</v>
      </c>
      <c r="AG38" s="519" t="e">
        <f t="shared" si="5"/>
        <v>#REF!</v>
      </c>
    </row>
    <row r="39" spans="1:33" ht="18.75">
      <c r="A39" s="521" t="s">
        <v>43</v>
      </c>
      <c r="E39" s="522">
        <v>37</v>
      </c>
      <c r="F39" s="523">
        <v>37</v>
      </c>
      <c r="G39" s="524">
        <v>5861</v>
      </c>
      <c r="H39" s="525"/>
      <c r="I39" s="525"/>
      <c r="J39" s="522">
        <v>37</v>
      </c>
      <c r="K39" s="523">
        <v>37</v>
      </c>
      <c r="L39" s="526">
        <v>5972</v>
      </c>
      <c r="M39" s="527"/>
      <c r="N39" s="525">
        <v>306</v>
      </c>
      <c r="O39" s="533" t="e">
        <f>+'LEAD RECOM INCR'!O39+#REF!</f>
        <v>#REF!</v>
      </c>
      <c r="P39" s="470" t="e">
        <f>+'LEAD RECOM INCR'!P39+#REF!</f>
        <v>#REF!</v>
      </c>
      <c r="Q39" s="530" t="e">
        <f>+'LEAD RECOM INCR'!Q39+#REF!</f>
        <v>#REF!</v>
      </c>
      <c r="R39" s="569" t="e">
        <f t="shared" si="16"/>
        <v>#REF!</v>
      </c>
      <c r="S39" s="570" t="e">
        <f t="shared" si="16"/>
        <v>#REF!</v>
      </c>
      <c r="T39" s="524" t="e">
        <f t="shared" si="17"/>
        <v>#REF!</v>
      </c>
      <c r="U39" s="533" t="e">
        <f>+'LEAD RECOM INCR'!U39+#REF!</f>
        <v>#REF!</v>
      </c>
      <c r="V39" s="470" t="e">
        <f>+'LEAD RECOM INCR'!V39+#REF!</f>
        <v>#REF!</v>
      </c>
      <c r="W39" s="530" t="e">
        <f>+'LEAD RECOM INCR'!W39+#REF!</f>
        <v>#REF!</v>
      </c>
      <c r="X39" s="533" t="e">
        <f>+'LEAD RECOM INCR'!X39+#REF!</f>
        <v>#REF!</v>
      </c>
      <c r="Y39" s="470" t="e">
        <f>+'LEAD RECOM INCR'!Y39+#REF!</f>
        <v>#REF!</v>
      </c>
      <c r="Z39" s="527" t="e">
        <f>+'LEAD RECOM INCR'!Z39+#REF!</f>
        <v>#REF!</v>
      </c>
      <c r="AA39" s="705" t="e">
        <f t="shared" si="18"/>
        <v>#REF!</v>
      </c>
      <c r="AB39" s="705" t="e">
        <f t="shared" si="18"/>
        <v>#REF!</v>
      </c>
      <c r="AC39" s="543" t="e">
        <f t="shared" si="19"/>
        <v>#REF!</v>
      </c>
      <c r="AD39" s="535"/>
      <c r="AE39" s="535"/>
      <c r="AF39" s="518" t="e">
        <f t="shared" si="4"/>
        <v>#REF!</v>
      </c>
      <c r="AG39" s="519" t="e">
        <f t="shared" si="5"/>
        <v>#REF!</v>
      </c>
    </row>
    <row r="40" spans="1:33" ht="18.75">
      <c r="A40" s="521" t="s">
        <v>44</v>
      </c>
      <c r="E40" s="522">
        <v>737</v>
      </c>
      <c r="F40" s="523">
        <v>755</v>
      </c>
      <c r="G40" s="524">
        <v>109037</v>
      </c>
      <c r="H40" s="525"/>
      <c r="I40" s="525"/>
      <c r="J40" s="522">
        <v>733</v>
      </c>
      <c r="K40" s="523">
        <v>751</v>
      </c>
      <c r="L40" s="526">
        <v>108777</v>
      </c>
      <c r="M40" s="527"/>
      <c r="N40" s="525">
        <v>4806</v>
      </c>
      <c r="O40" s="533" t="e">
        <f>+'LEAD RECOM INCR'!O40+#REF!</f>
        <v>#REF!</v>
      </c>
      <c r="P40" s="470" t="e">
        <f>+'LEAD RECOM INCR'!P40+#REF!</f>
        <v>#REF!</v>
      </c>
      <c r="Q40" s="530" t="e">
        <f>+'LEAD RECOM INCR'!Q40+#REF!</f>
        <v>#REF!</v>
      </c>
      <c r="R40" s="569" t="e">
        <f t="shared" si="16"/>
        <v>#REF!</v>
      </c>
      <c r="S40" s="570" t="e">
        <f t="shared" si="16"/>
        <v>#REF!</v>
      </c>
      <c r="T40" s="524" t="e">
        <f t="shared" si="17"/>
        <v>#REF!</v>
      </c>
      <c r="U40" s="533" t="e">
        <f>+'LEAD RECOM INCR'!U40+#REF!</f>
        <v>#REF!</v>
      </c>
      <c r="V40" s="470" t="e">
        <f>+'LEAD RECOM INCR'!V40+#REF!</f>
        <v>#REF!</v>
      </c>
      <c r="W40" s="530" t="e">
        <f>+'LEAD RECOM INCR'!W40+#REF!</f>
        <v>#REF!</v>
      </c>
      <c r="X40" s="533" t="e">
        <f>+'LEAD RECOM INCR'!X40+#REF!</f>
        <v>#REF!</v>
      </c>
      <c r="Y40" s="470" t="e">
        <f>+'LEAD RECOM INCR'!Y40+#REF!</f>
        <v>#REF!</v>
      </c>
      <c r="Z40" s="527" t="e">
        <f>+'LEAD RECOM INCR'!Z40+#REF!</f>
        <v>#REF!</v>
      </c>
      <c r="AA40" s="705" t="e">
        <f t="shared" si="18"/>
        <v>#REF!</v>
      </c>
      <c r="AB40" s="705" t="e">
        <f t="shared" si="18"/>
        <v>#REF!</v>
      </c>
      <c r="AC40" s="543" t="e">
        <f t="shared" si="19"/>
        <v>#REF!</v>
      </c>
      <c r="AD40" s="535"/>
      <c r="AE40" s="535"/>
      <c r="AF40" s="518" t="e">
        <f t="shared" si="4"/>
        <v>#REF!</v>
      </c>
      <c r="AG40" s="519" t="e">
        <f t="shared" si="5"/>
        <v>#REF!</v>
      </c>
    </row>
    <row r="41" spans="1:33" ht="18.75">
      <c r="A41" s="521" t="s">
        <v>6</v>
      </c>
      <c r="E41" s="522">
        <v>62</v>
      </c>
      <c r="F41" s="523">
        <v>64</v>
      </c>
      <c r="G41" s="524">
        <v>20586</v>
      </c>
      <c r="H41" s="525"/>
      <c r="I41" s="525"/>
      <c r="J41" s="522">
        <v>63</v>
      </c>
      <c r="K41" s="523">
        <v>65</v>
      </c>
      <c r="L41" s="526">
        <v>20354</v>
      </c>
      <c r="M41" s="527"/>
      <c r="N41" s="525">
        <v>458</v>
      </c>
      <c r="O41" s="533" t="e">
        <f>+'LEAD RECOM INCR'!O41+#REF!</f>
        <v>#REF!</v>
      </c>
      <c r="P41" s="470" t="e">
        <f>+'LEAD RECOM INCR'!P41+#REF!</f>
        <v>#REF!</v>
      </c>
      <c r="Q41" s="530" t="e">
        <f>+'LEAD RECOM INCR'!Q41+#REF!</f>
        <v>#REF!</v>
      </c>
      <c r="R41" s="569" t="e">
        <f t="shared" si="16"/>
        <v>#REF!</v>
      </c>
      <c r="S41" s="570" t="e">
        <f t="shared" si="16"/>
        <v>#REF!</v>
      </c>
      <c r="T41" s="524" t="e">
        <f t="shared" si="17"/>
        <v>#REF!</v>
      </c>
      <c r="U41" s="533" t="e">
        <f>+'LEAD RECOM INCR'!U41+#REF!</f>
        <v>#REF!</v>
      </c>
      <c r="V41" s="470" t="e">
        <f>+'LEAD RECOM INCR'!V41+#REF!</f>
        <v>#REF!</v>
      </c>
      <c r="W41" s="530" t="e">
        <f>+'LEAD RECOM INCR'!W41+#REF!</f>
        <v>#REF!</v>
      </c>
      <c r="X41" s="533" t="e">
        <f>+'LEAD RECOM INCR'!X41+#REF!</f>
        <v>#REF!</v>
      </c>
      <c r="Y41" s="470" t="e">
        <f>+'LEAD RECOM INCR'!Y41+#REF!</f>
        <v>#REF!</v>
      </c>
      <c r="Z41" s="527" t="e">
        <f>+'LEAD RECOM INCR'!Z41+#REF!</f>
        <v>#REF!</v>
      </c>
      <c r="AA41" s="705" t="e">
        <f t="shared" si="18"/>
        <v>#REF!</v>
      </c>
      <c r="AB41" s="705" t="e">
        <f t="shared" si="18"/>
        <v>#REF!</v>
      </c>
      <c r="AC41" s="543" t="e">
        <f t="shared" si="19"/>
        <v>#REF!</v>
      </c>
      <c r="AD41" s="535"/>
      <c r="AE41" s="535"/>
      <c r="AF41" s="518" t="e">
        <f t="shared" si="4"/>
        <v>#REF!</v>
      </c>
      <c r="AG41" s="519" t="e">
        <f t="shared" si="5"/>
        <v>#REF!</v>
      </c>
    </row>
    <row r="42" spans="1:33" ht="18.75">
      <c r="A42" s="521" t="s">
        <v>109</v>
      </c>
      <c r="E42" s="522">
        <v>3</v>
      </c>
      <c r="F42" s="523">
        <v>3</v>
      </c>
      <c r="G42" s="524">
        <v>480</v>
      </c>
      <c r="H42" s="525"/>
      <c r="I42" s="525"/>
      <c r="J42" s="522">
        <v>3</v>
      </c>
      <c r="K42" s="523">
        <v>3</v>
      </c>
      <c r="L42" s="526">
        <v>542</v>
      </c>
      <c r="M42" s="527"/>
      <c r="N42" s="525">
        <v>44</v>
      </c>
      <c r="O42" s="533" t="e">
        <f>+'LEAD RECOM INCR'!O42+#REF!</f>
        <v>#REF!</v>
      </c>
      <c r="P42" s="470" t="e">
        <f>+'LEAD RECOM INCR'!P42+#REF!</f>
        <v>#REF!</v>
      </c>
      <c r="Q42" s="530" t="e">
        <f>+'LEAD RECOM INCR'!Q42+#REF!</f>
        <v>#REF!</v>
      </c>
      <c r="R42" s="569" t="e">
        <f t="shared" si="16"/>
        <v>#REF!</v>
      </c>
      <c r="S42" s="570" t="e">
        <f t="shared" si="16"/>
        <v>#REF!</v>
      </c>
      <c r="T42" s="524" t="e">
        <f t="shared" si="17"/>
        <v>#REF!</v>
      </c>
      <c r="U42" s="533" t="e">
        <f>+'LEAD RECOM INCR'!U42+#REF!</f>
        <v>#REF!</v>
      </c>
      <c r="V42" s="470" t="e">
        <f>+'LEAD RECOM INCR'!V42+#REF!</f>
        <v>#REF!</v>
      </c>
      <c r="W42" s="530" t="e">
        <f>+'LEAD RECOM INCR'!W42+#REF!</f>
        <v>#REF!</v>
      </c>
      <c r="X42" s="533" t="e">
        <f>+'LEAD RECOM INCR'!X42+#REF!</f>
        <v>#REF!</v>
      </c>
      <c r="Y42" s="470" t="e">
        <f>+'LEAD RECOM INCR'!Y42+#REF!</f>
        <v>#REF!</v>
      </c>
      <c r="Z42" s="527" t="e">
        <f>+'LEAD RECOM INCR'!Z42+#REF!</f>
        <v>#REF!</v>
      </c>
      <c r="AA42" s="705" t="e">
        <f t="shared" si="18"/>
        <v>#REF!</v>
      </c>
      <c r="AB42" s="705" t="e">
        <f t="shared" si="18"/>
        <v>#REF!</v>
      </c>
      <c r="AC42" s="543" t="e">
        <f t="shared" si="19"/>
        <v>#REF!</v>
      </c>
      <c r="AD42" s="535"/>
      <c r="AE42" s="535"/>
      <c r="AF42" s="518" t="e">
        <f t="shared" si="4"/>
        <v>#REF!</v>
      </c>
      <c r="AG42" s="519">
        <v>0</v>
      </c>
    </row>
    <row r="43" spans="1:33" ht="18">
      <c r="A43" s="476" t="s">
        <v>110</v>
      </c>
      <c r="E43" s="522">
        <v>0</v>
      </c>
      <c r="F43" s="532" t="s">
        <v>165</v>
      </c>
      <c r="G43" s="542" t="s">
        <v>167</v>
      </c>
      <c r="H43" s="525"/>
      <c r="I43" s="525"/>
      <c r="J43" s="522">
        <v>0</v>
      </c>
      <c r="K43" s="532" t="s">
        <v>165</v>
      </c>
      <c r="L43" s="568" t="s">
        <v>166</v>
      </c>
      <c r="M43" s="527"/>
      <c r="N43" s="525">
        <v>0</v>
      </c>
      <c r="O43" s="533" t="e">
        <f>+'LEAD RECOM INCR'!O43+#REF!</f>
        <v>#REF!</v>
      </c>
      <c r="P43" s="470" t="e">
        <f>+'LEAD RECOM INCR'!P43+#REF!</f>
        <v>#REF!</v>
      </c>
      <c r="Q43" s="530">
        <v>0</v>
      </c>
      <c r="R43" s="531" t="e">
        <f>+J43+O43</f>
        <v>#REF!</v>
      </c>
      <c r="S43" s="532" t="str">
        <f>+K43</f>
        <v>[41]</v>
      </c>
      <c r="T43" s="542" t="s">
        <v>166</v>
      </c>
      <c r="U43" s="533" t="e">
        <f>+'LEAD RECOM INCR'!U43+#REF!</f>
        <v>#REF!</v>
      </c>
      <c r="V43" s="470" t="e">
        <f>+'LEAD RECOM INCR'!V43+#REF!</f>
        <v>#REF!</v>
      </c>
      <c r="W43" s="530">
        <v>0</v>
      </c>
      <c r="X43" s="533" t="e">
        <f>+'LEAD RECOM INCR'!X43+#REF!</f>
        <v>#REF!</v>
      </c>
      <c r="Y43" s="470" t="e">
        <f>+'LEAD RECOM INCR'!Y43+#REF!</f>
        <v>#REF!</v>
      </c>
      <c r="Z43" s="530" t="e">
        <f>+'LEAD RECOM INCR'!Z43+#REF!</f>
        <v>#REF!</v>
      </c>
      <c r="AA43" s="522" t="e">
        <f t="shared" si="18"/>
        <v>#REF!</v>
      </c>
      <c r="AB43" s="532" t="s">
        <v>165</v>
      </c>
      <c r="AC43" s="574" t="s">
        <v>200</v>
      </c>
      <c r="AD43" s="535">
        <v>0</v>
      </c>
      <c r="AE43" s="535">
        <v>0</v>
      </c>
      <c r="AF43" s="518">
        <v>0</v>
      </c>
      <c r="AG43" s="519" t="s">
        <v>198</v>
      </c>
    </row>
    <row r="44" spans="1:33" ht="18">
      <c r="A44" s="476" t="s">
        <v>111</v>
      </c>
      <c r="E44" s="522">
        <v>0</v>
      </c>
      <c r="F44" s="523">
        <v>0</v>
      </c>
      <c r="G44" s="524">
        <v>0</v>
      </c>
      <c r="H44" s="525"/>
      <c r="I44" s="525"/>
      <c r="J44" s="522">
        <v>0</v>
      </c>
      <c r="K44" s="523">
        <v>0</v>
      </c>
      <c r="L44" s="526">
        <v>0</v>
      </c>
      <c r="M44" s="527"/>
      <c r="N44" s="525">
        <v>0</v>
      </c>
      <c r="O44" s="533" t="e">
        <f>+'LEAD RECOM INCR'!O44+#REF!</f>
        <v>#REF!</v>
      </c>
      <c r="P44" s="470" t="e">
        <f>+'LEAD RECOM INCR'!P44+#REF!</f>
        <v>#REF!</v>
      </c>
      <c r="Q44" s="530" t="e">
        <f>+'LEAD RECOM INCR'!Q44+#REF!</f>
        <v>#REF!</v>
      </c>
      <c r="R44" s="531" t="e">
        <f>+J44+O44</f>
        <v>#REF!</v>
      </c>
      <c r="S44" s="532" t="e">
        <f aca="true" t="shared" si="20" ref="S44:S51">+K44+P44</f>
        <v>#REF!</v>
      </c>
      <c r="T44" s="524" t="e">
        <f t="shared" si="17"/>
        <v>#REF!</v>
      </c>
      <c r="U44" s="533" t="e">
        <f>+'LEAD RECOM INCR'!U44+#REF!</f>
        <v>#REF!</v>
      </c>
      <c r="V44" s="470" t="e">
        <f>+'LEAD RECOM INCR'!V44+#REF!</f>
        <v>#REF!</v>
      </c>
      <c r="W44" s="530" t="e">
        <f>+'LEAD RECOM INCR'!W44+#REF!</f>
        <v>#REF!</v>
      </c>
      <c r="X44" s="533" t="e">
        <f>+'LEAD RECOM INCR'!X44+#REF!</f>
        <v>#REF!</v>
      </c>
      <c r="Y44" s="470" t="e">
        <f>+'LEAD RECOM INCR'!Y44+#REF!</f>
        <v>#REF!</v>
      </c>
      <c r="Z44" s="530" t="e">
        <f>+'LEAD RECOM INCR'!Z44+#REF!</f>
        <v>#REF!</v>
      </c>
      <c r="AA44" s="522" t="e">
        <f t="shared" si="18"/>
        <v>#REF!</v>
      </c>
      <c r="AB44" s="523" t="e">
        <f t="shared" si="18"/>
        <v>#REF!</v>
      </c>
      <c r="AC44" s="534" t="e">
        <f t="shared" si="18"/>
        <v>#REF!</v>
      </c>
      <c r="AD44" s="535" t="e">
        <f aca="true" t="shared" si="21" ref="AD44:AD51">+T44*(1+$AD$11)</f>
        <v>#REF!</v>
      </c>
      <c r="AE44" s="535">
        <f>+L44*$AE$11</f>
        <v>0</v>
      </c>
      <c r="AF44" s="518" t="e">
        <f t="shared" si="4"/>
        <v>#REF!</v>
      </c>
      <c r="AG44" s="519" t="s">
        <v>198</v>
      </c>
    </row>
    <row r="45" spans="1:33" ht="18">
      <c r="A45" s="476" t="s">
        <v>45</v>
      </c>
      <c r="E45" s="531" t="s">
        <v>20</v>
      </c>
      <c r="F45" s="523">
        <v>851</v>
      </c>
      <c r="G45" s="524">
        <v>144088</v>
      </c>
      <c r="H45" s="525"/>
      <c r="I45" s="525"/>
      <c r="J45" s="531" t="s">
        <v>20</v>
      </c>
      <c r="K45" s="523">
        <v>851</v>
      </c>
      <c r="L45" s="526">
        <v>145361</v>
      </c>
      <c r="M45" s="527"/>
      <c r="N45" s="525">
        <v>2381</v>
      </c>
      <c r="O45" s="533" t="e">
        <f>+'LEAD RECOM INCR'!O45+#REF!</f>
        <v>#REF!</v>
      </c>
      <c r="P45" s="470" t="e">
        <f>+'LEAD RECOM INCR'!P45+#REF!</f>
        <v>#REF!</v>
      </c>
      <c r="Q45" s="530" t="e">
        <f>+'LEAD RECOM INCR'!Q45+#REF!</f>
        <v>#REF!</v>
      </c>
      <c r="R45" s="531" t="str">
        <f>+J45</f>
        <v>[880]</v>
      </c>
      <c r="S45" s="532" t="e">
        <f t="shared" si="20"/>
        <v>#REF!</v>
      </c>
      <c r="T45" s="524" t="e">
        <f t="shared" si="17"/>
        <v>#REF!</v>
      </c>
      <c r="U45" s="533" t="e">
        <f>+'LEAD RECOM INCR'!U45+#REF!</f>
        <v>#REF!</v>
      </c>
      <c r="V45" s="470" t="e">
        <f>+'LEAD RECOM INCR'!V45+#REF!</f>
        <v>#REF!</v>
      </c>
      <c r="W45" s="530" t="e">
        <f>+'LEAD RECOM INCR'!W45+#REF!</f>
        <v>#REF!</v>
      </c>
      <c r="X45" s="533" t="e">
        <f>+'LEAD RECOM INCR'!X45+#REF!</f>
        <v>#REF!</v>
      </c>
      <c r="Y45" s="470" t="e">
        <f>+'LEAD RECOM INCR'!Y45+#REF!</f>
        <v>#REF!</v>
      </c>
      <c r="Z45" s="530" t="e">
        <f>+'LEAD RECOM INCR'!Z45+#REF!</f>
        <v>#REF!</v>
      </c>
      <c r="AA45" s="531" t="s">
        <v>20</v>
      </c>
      <c r="AB45" s="523" t="e">
        <f t="shared" si="18"/>
        <v>#REF!</v>
      </c>
      <c r="AC45" s="534" t="e">
        <f t="shared" si="18"/>
        <v>#REF!</v>
      </c>
      <c r="AD45" s="535" t="e">
        <f t="shared" si="21"/>
        <v>#REF!</v>
      </c>
      <c r="AE45" s="535">
        <f>+L45*$AE$11</f>
        <v>139546.56</v>
      </c>
      <c r="AF45" s="518" t="e">
        <f t="shared" si="4"/>
        <v>#REF!</v>
      </c>
      <c r="AG45" s="519" t="e">
        <f t="shared" si="5"/>
        <v>#REF!</v>
      </c>
    </row>
    <row r="46" spans="1:33" ht="18">
      <c r="A46" s="476" t="s">
        <v>134</v>
      </c>
      <c r="E46" s="522">
        <v>0</v>
      </c>
      <c r="F46" s="523">
        <v>0</v>
      </c>
      <c r="G46" s="524">
        <v>-116000</v>
      </c>
      <c r="H46" s="525"/>
      <c r="I46" s="525"/>
      <c r="J46" s="522">
        <v>0</v>
      </c>
      <c r="K46" s="523">
        <v>0</v>
      </c>
      <c r="L46" s="526">
        <v>-127710</v>
      </c>
      <c r="M46" s="527"/>
      <c r="N46" s="525">
        <v>7710</v>
      </c>
      <c r="O46" s="533" t="e">
        <f>+'LEAD RECOM INCR'!O46+#REF!</f>
        <v>#REF!</v>
      </c>
      <c r="P46" s="470" t="e">
        <f>+'LEAD RECOM INCR'!P46+#REF!</f>
        <v>#REF!</v>
      </c>
      <c r="Q46" s="530" t="e">
        <f>+'LEAD RECOM INCR'!Q46+#REF!</f>
        <v>#REF!</v>
      </c>
      <c r="R46" s="531" t="e">
        <f>+J46+O46</f>
        <v>#REF!</v>
      </c>
      <c r="S46" s="532" t="e">
        <f t="shared" si="20"/>
        <v>#REF!</v>
      </c>
      <c r="T46" s="524" t="e">
        <f t="shared" si="17"/>
        <v>#REF!</v>
      </c>
      <c r="U46" s="533" t="e">
        <f>+'LEAD RECOM INCR'!U46+#REF!</f>
        <v>#REF!</v>
      </c>
      <c r="V46" s="470" t="e">
        <f>+'LEAD RECOM INCR'!V46+#REF!</f>
        <v>#REF!</v>
      </c>
      <c r="W46" s="530" t="e">
        <f>+'LEAD RECOM INCR'!W46+#REF!</f>
        <v>#REF!</v>
      </c>
      <c r="X46" s="533" t="e">
        <f>+'LEAD RECOM INCR'!X46+#REF!</f>
        <v>#REF!</v>
      </c>
      <c r="Y46" s="470" t="e">
        <f>+'LEAD RECOM INCR'!Y46+#REF!</f>
        <v>#REF!</v>
      </c>
      <c r="Z46" s="530" t="e">
        <f>+'LEAD RECOM INCR'!Z46+#REF!</f>
        <v>#REF!</v>
      </c>
      <c r="AA46" s="522" t="e">
        <f t="shared" si="18"/>
        <v>#REF!</v>
      </c>
      <c r="AB46" s="523" t="e">
        <f t="shared" si="18"/>
        <v>#REF!</v>
      </c>
      <c r="AC46" s="534" t="e">
        <f t="shared" si="18"/>
        <v>#REF!</v>
      </c>
      <c r="AD46" s="535" t="e">
        <f t="shared" si="21"/>
        <v>#REF!</v>
      </c>
      <c r="AE46" s="535">
        <f>+L46*$AE$11</f>
        <v>-122601.59999999999</v>
      </c>
      <c r="AF46" s="518" t="e">
        <f t="shared" si="4"/>
        <v>#REF!</v>
      </c>
      <c r="AG46" s="519" t="e">
        <f t="shared" si="5"/>
        <v>#REF!</v>
      </c>
    </row>
    <row r="47" spans="1:33" ht="18">
      <c r="A47" s="476" t="s">
        <v>7</v>
      </c>
      <c r="E47" s="522">
        <v>10097</v>
      </c>
      <c r="F47" s="523">
        <v>11631</v>
      </c>
      <c r="G47" s="524">
        <v>1588565</v>
      </c>
      <c r="H47" s="525"/>
      <c r="I47" s="525"/>
      <c r="J47" s="522">
        <v>10262</v>
      </c>
      <c r="K47" s="523">
        <v>11722</v>
      </c>
      <c r="L47" s="526">
        <f>1625380+13365</f>
        <v>1638745</v>
      </c>
      <c r="M47" s="525">
        <v>0</v>
      </c>
      <c r="N47" s="467">
        <v>25655</v>
      </c>
      <c r="O47" s="533" t="e">
        <f>+'LEAD RECOM INCR'!O47+#REF!</f>
        <v>#REF!</v>
      </c>
      <c r="P47" s="470" t="e">
        <f>+'LEAD RECOM INCR'!P47+#REF!</f>
        <v>#REF!</v>
      </c>
      <c r="Q47" s="530" t="e">
        <f>+'LEAD RECOM INCR'!Q47+#REF!</f>
        <v>#REF!</v>
      </c>
      <c r="R47" s="569" t="e">
        <f>+J47+O47</f>
        <v>#REF!</v>
      </c>
      <c r="S47" s="570" t="e">
        <f t="shared" si="20"/>
        <v>#REF!</v>
      </c>
      <c r="T47" s="524" t="e">
        <f t="shared" si="17"/>
        <v>#REF!</v>
      </c>
      <c r="U47" s="533" t="e">
        <f>+'LEAD RECOM INCR'!U47+#REF!</f>
        <v>#REF!</v>
      </c>
      <c r="V47" s="470" t="e">
        <f>+'LEAD RECOM INCR'!V47+#REF!</f>
        <v>#REF!</v>
      </c>
      <c r="W47" s="530" t="e">
        <f>+'LEAD RECOM INCR'!W47+#REF!</f>
        <v>#REF!</v>
      </c>
      <c r="X47" s="533" t="e">
        <f>+'LEAD RECOM INCR'!X47+#REF!</f>
        <v>#REF!</v>
      </c>
      <c r="Y47" s="470" t="e">
        <f>+'LEAD RECOM INCR'!Y47+#REF!</f>
        <v>#REF!</v>
      </c>
      <c r="Z47" s="530" t="e">
        <f>+'LEAD RECOM INCR'!Z47+#REF!</f>
        <v>#REF!</v>
      </c>
      <c r="AA47" s="522" t="e">
        <f t="shared" si="18"/>
        <v>#REF!</v>
      </c>
      <c r="AB47" s="523" t="e">
        <f t="shared" si="18"/>
        <v>#REF!</v>
      </c>
      <c r="AC47" s="534" t="e">
        <f t="shared" si="18"/>
        <v>#REF!</v>
      </c>
      <c r="AD47" s="535" t="e">
        <f t="shared" si="21"/>
        <v>#REF!</v>
      </c>
      <c r="AE47" s="535">
        <f>+L47*$AE$11</f>
        <v>1573195.2</v>
      </c>
      <c r="AF47" s="518" t="e">
        <f t="shared" si="4"/>
        <v>#REF!</v>
      </c>
      <c r="AG47" s="519" t="e">
        <f t="shared" si="5"/>
        <v>#REF!</v>
      </c>
    </row>
    <row r="48" spans="1:33" ht="18">
      <c r="A48" s="476" t="s">
        <v>153</v>
      </c>
      <c r="E48" s="522"/>
      <c r="F48" s="523"/>
      <c r="G48" s="524">
        <v>0</v>
      </c>
      <c r="H48" s="525"/>
      <c r="I48" s="525"/>
      <c r="J48" s="522">
        <v>0</v>
      </c>
      <c r="K48" s="523">
        <v>0</v>
      </c>
      <c r="L48" s="526">
        <v>-13365</v>
      </c>
      <c r="M48" s="527"/>
      <c r="N48" s="525">
        <v>13365</v>
      </c>
      <c r="O48" s="533" t="e">
        <f>+'LEAD RECOM INCR'!O48+#REF!</f>
        <v>#REF!</v>
      </c>
      <c r="P48" s="470" t="e">
        <f>+'LEAD RECOM INCR'!P48+#REF!</f>
        <v>#REF!</v>
      </c>
      <c r="Q48" s="530" t="e">
        <f>+'LEAD RECOM INCR'!Q48+#REF!</f>
        <v>#REF!</v>
      </c>
      <c r="R48" s="531" t="e">
        <f>+J48+O48</f>
        <v>#REF!</v>
      </c>
      <c r="S48" s="532" t="e">
        <f t="shared" si="20"/>
        <v>#REF!</v>
      </c>
      <c r="T48" s="524" t="e">
        <f t="shared" si="17"/>
        <v>#REF!</v>
      </c>
      <c r="U48" s="533" t="e">
        <f>+'LEAD RECOM INCR'!U48+#REF!</f>
        <v>#REF!</v>
      </c>
      <c r="V48" s="470" t="e">
        <f>+'LEAD RECOM INCR'!V48+#REF!</f>
        <v>#REF!</v>
      </c>
      <c r="W48" s="530" t="e">
        <f>+'LEAD RECOM INCR'!W48+#REF!</f>
        <v>#REF!</v>
      </c>
      <c r="X48" s="533" t="e">
        <f>+'LEAD RECOM INCR'!X48+#REF!</f>
        <v>#REF!</v>
      </c>
      <c r="Y48" s="470" t="e">
        <f>+'LEAD RECOM INCR'!Y48+#REF!</f>
        <v>#REF!</v>
      </c>
      <c r="Z48" s="530" t="e">
        <f>+'LEAD RECOM INCR'!Z48+#REF!</f>
        <v>#REF!</v>
      </c>
      <c r="AA48" s="522" t="e">
        <f t="shared" si="18"/>
        <v>#REF!</v>
      </c>
      <c r="AB48" s="523" t="e">
        <f t="shared" si="18"/>
        <v>#REF!</v>
      </c>
      <c r="AC48" s="534" t="e">
        <f t="shared" si="18"/>
        <v>#REF!</v>
      </c>
      <c r="AD48" s="535" t="e">
        <f t="shared" si="21"/>
        <v>#REF!</v>
      </c>
      <c r="AE48" s="535">
        <v>0</v>
      </c>
      <c r="AF48" s="518" t="e">
        <f t="shared" si="4"/>
        <v>#REF!</v>
      </c>
      <c r="AG48" s="519" t="e">
        <f t="shared" si="5"/>
        <v>#REF!</v>
      </c>
    </row>
    <row r="49" spans="1:33" ht="18">
      <c r="A49" s="476" t="s">
        <v>77</v>
      </c>
      <c r="E49" s="531" t="s">
        <v>150</v>
      </c>
      <c r="F49" s="523">
        <v>1325</v>
      </c>
      <c r="G49" s="524">
        <v>211664</v>
      </c>
      <c r="H49" s="525"/>
      <c r="I49" s="525"/>
      <c r="J49" s="531" t="s">
        <v>66</v>
      </c>
      <c r="K49" s="523">
        <v>1486</v>
      </c>
      <c r="L49" s="526">
        <v>226437</v>
      </c>
      <c r="M49" s="527"/>
      <c r="N49" s="525">
        <v>9679</v>
      </c>
      <c r="O49" s="533" t="e">
        <f>+'LEAD RECOM INCR'!O49+#REF!</f>
        <v>#REF!</v>
      </c>
      <c r="P49" s="470" t="e">
        <f>+'LEAD RECOM INCR'!P49+#REF!</f>
        <v>#REF!</v>
      </c>
      <c r="Q49" s="530" t="e">
        <f>+'LEAD RECOM INCR'!Q49+#REF!</f>
        <v>#REF!</v>
      </c>
      <c r="R49" s="531" t="str">
        <f>+J49</f>
        <v>[1,519]</v>
      </c>
      <c r="S49" s="532" t="e">
        <f t="shared" si="20"/>
        <v>#REF!</v>
      </c>
      <c r="T49" s="524" t="e">
        <f t="shared" si="17"/>
        <v>#REF!</v>
      </c>
      <c r="U49" s="533" t="e">
        <f>+'LEAD RECOM INCR'!U49+#REF!</f>
        <v>#REF!</v>
      </c>
      <c r="V49" s="470" t="e">
        <f>+'LEAD RECOM INCR'!V49+#REF!</f>
        <v>#REF!</v>
      </c>
      <c r="W49" s="530" t="e">
        <f>+'LEAD RECOM INCR'!W49+#REF!</f>
        <v>#REF!</v>
      </c>
      <c r="X49" s="533" t="e">
        <f>+'LEAD RECOM INCR'!X49+#REF!</f>
        <v>#REF!</v>
      </c>
      <c r="Y49" s="470" t="e">
        <f>+'LEAD RECOM INCR'!Y49+#REF!</f>
        <v>#REF!</v>
      </c>
      <c r="Z49" s="530" t="e">
        <f>+'LEAD RECOM INCR'!Z49+#REF!</f>
        <v>#REF!</v>
      </c>
      <c r="AA49" s="531" t="s">
        <v>66</v>
      </c>
      <c r="AB49" s="523" t="e">
        <f t="shared" si="18"/>
        <v>#REF!</v>
      </c>
      <c r="AC49" s="534" t="e">
        <f t="shared" si="18"/>
        <v>#REF!</v>
      </c>
      <c r="AD49" s="535" t="e">
        <f t="shared" si="21"/>
        <v>#REF!</v>
      </c>
      <c r="AE49" s="535">
        <f>+L49*$AE$11</f>
        <v>217379.52</v>
      </c>
      <c r="AF49" s="518" t="e">
        <f t="shared" si="4"/>
        <v>#REF!</v>
      </c>
      <c r="AG49" s="519" t="e">
        <f t="shared" si="5"/>
        <v>#REF!</v>
      </c>
    </row>
    <row r="50" spans="1:33" ht="18">
      <c r="A50" s="476" t="s">
        <v>112</v>
      </c>
      <c r="E50" s="522">
        <v>0</v>
      </c>
      <c r="F50" s="523">
        <v>0</v>
      </c>
      <c r="G50" s="524">
        <v>-214402</v>
      </c>
      <c r="H50" s="525"/>
      <c r="I50" s="525"/>
      <c r="J50" s="522">
        <v>0</v>
      </c>
      <c r="K50" s="523">
        <v>0</v>
      </c>
      <c r="L50" s="526">
        <v>-226437</v>
      </c>
      <c r="M50" s="527"/>
      <c r="N50" s="525">
        <v>0</v>
      </c>
      <c r="O50" s="533" t="e">
        <f>+'LEAD RECOM INCR'!O50+#REF!</f>
        <v>#REF!</v>
      </c>
      <c r="P50" s="470" t="e">
        <f>+'LEAD RECOM INCR'!P50+#REF!</f>
        <v>#REF!</v>
      </c>
      <c r="Q50" s="530" t="e">
        <f>+'LEAD RECOM INCR'!Q50+#REF!</f>
        <v>#REF!</v>
      </c>
      <c r="R50" s="531" t="e">
        <f>+J50+O50</f>
        <v>#REF!</v>
      </c>
      <c r="S50" s="532" t="e">
        <f t="shared" si="20"/>
        <v>#REF!</v>
      </c>
      <c r="T50" s="524" t="e">
        <f t="shared" si="17"/>
        <v>#REF!</v>
      </c>
      <c r="U50" s="533" t="e">
        <f>+'LEAD RECOM INCR'!U50+#REF!</f>
        <v>#REF!</v>
      </c>
      <c r="V50" s="470" t="e">
        <f>+'LEAD RECOM INCR'!V50+#REF!</f>
        <v>#REF!</v>
      </c>
      <c r="W50" s="530" t="e">
        <f>+'LEAD RECOM INCR'!W50+#REF!</f>
        <v>#REF!</v>
      </c>
      <c r="X50" s="533" t="e">
        <f>+'LEAD RECOM INCR'!X50+#REF!</f>
        <v>#REF!</v>
      </c>
      <c r="Y50" s="470" t="e">
        <f>+'LEAD RECOM INCR'!Y50+#REF!</f>
        <v>#REF!</v>
      </c>
      <c r="Z50" s="530" t="e">
        <f>+'LEAD RECOM INCR'!Z50+#REF!</f>
        <v>#REF!</v>
      </c>
      <c r="AA50" s="522" t="e">
        <f aca="true" t="shared" si="22" ref="AA50:AC51">+X50+U50+R50</f>
        <v>#REF!</v>
      </c>
      <c r="AB50" s="523" t="e">
        <f t="shared" si="22"/>
        <v>#REF!</v>
      </c>
      <c r="AC50" s="534" t="e">
        <f t="shared" si="22"/>
        <v>#REF!</v>
      </c>
      <c r="AD50" s="535" t="e">
        <f t="shared" si="21"/>
        <v>#REF!</v>
      </c>
      <c r="AE50" s="535">
        <f>+L50*$AE$11</f>
        <v>-217379.52</v>
      </c>
      <c r="AF50" s="518" t="e">
        <f t="shared" si="4"/>
        <v>#REF!</v>
      </c>
      <c r="AG50" s="519" t="e">
        <f t="shared" si="5"/>
        <v>#REF!</v>
      </c>
    </row>
    <row r="51" spans="1:33" ht="18.75" thickBot="1">
      <c r="A51" s="467" t="s">
        <v>8</v>
      </c>
      <c r="B51" s="467"/>
      <c r="C51" s="467"/>
      <c r="D51" s="575"/>
      <c r="E51" s="522">
        <v>11</v>
      </c>
      <c r="F51" s="523">
        <v>11</v>
      </c>
      <c r="G51" s="524">
        <v>1303</v>
      </c>
      <c r="H51" s="576"/>
      <c r="I51" s="576"/>
      <c r="J51" s="522">
        <v>11</v>
      </c>
      <c r="K51" s="523">
        <v>11</v>
      </c>
      <c r="L51" s="526">
        <v>1417</v>
      </c>
      <c r="M51" s="527"/>
      <c r="N51" s="525">
        <v>142</v>
      </c>
      <c r="O51" s="533" t="e">
        <f>+'LEAD RECOM INCR'!O51+#REF!</f>
        <v>#REF!</v>
      </c>
      <c r="P51" s="470" t="e">
        <f>+'LEAD RECOM INCR'!P51+#REF!</f>
        <v>#REF!</v>
      </c>
      <c r="Q51" s="530" t="e">
        <f>+'LEAD RECOM INCR'!Q51+#REF!</f>
        <v>#REF!</v>
      </c>
      <c r="R51" s="569" t="e">
        <f>+J51+O51</f>
        <v>#REF!</v>
      </c>
      <c r="S51" s="570" t="e">
        <f t="shared" si="20"/>
        <v>#REF!</v>
      </c>
      <c r="T51" s="524" t="e">
        <f t="shared" si="17"/>
        <v>#REF!</v>
      </c>
      <c r="U51" s="533" t="e">
        <f>+'LEAD RECOM INCR'!U51+#REF!</f>
        <v>#REF!</v>
      </c>
      <c r="V51" s="470" t="e">
        <f>+'LEAD RECOM INCR'!V51+#REF!</f>
        <v>#REF!</v>
      </c>
      <c r="W51" s="530" t="e">
        <f>+'LEAD RECOM INCR'!W51+#REF!</f>
        <v>#REF!</v>
      </c>
      <c r="X51" s="533" t="e">
        <f>+'LEAD RECOM INCR'!X51+#REF!</f>
        <v>#REF!</v>
      </c>
      <c r="Y51" s="470" t="e">
        <f>+'LEAD RECOM INCR'!Y51+#REF!</f>
        <v>#REF!</v>
      </c>
      <c r="Z51" s="530" t="e">
        <f>+'LEAD RECOM INCR'!Z51+#REF!</f>
        <v>#REF!</v>
      </c>
      <c r="AA51" s="522" t="e">
        <f t="shared" si="22"/>
        <v>#REF!</v>
      </c>
      <c r="AB51" s="523" t="e">
        <f t="shared" si="22"/>
        <v>#REF!</v>
      </c>
      <c r="AC51" s="534" t="e">
        <f t="shared" si="22"/>
        <v>#REF!</v>
      </c>
      <c r="AD51" s="535" t="e">
        <f t="shared" si="21"/>
        <v>#REF!</v>
      </c>
      <c r="AE51" s="535">
        <f>+L51*$AE$11</f>
        <v>1360.32</v>
      </c>
      <c r="AF51" s="518" t="e">
        <f t="shared" si="4"/>
        <v>#REF!</v>
      </c>
      <c r="AG51" s="519" t="e">
        <f t="shared" si="5"/>
        <v>#REF!</v>
      </c>
    </row>
    <row r="52" spans="1:33" ht="18">
      <c r="A52" s="508" t="s">
        <v>36</v>
      </c>
      <c r="B52" s="508"/>
      <c r="C52" s="508"/>
      <c r="D52" s="508"/>
      <c r="E52" s="556">
        <f>SUM(E53:E54)</f>
        <v>4625</v>
      </c>
      <c r="F52" s="562">
        <f>SUM(F53:F54)</f>
        <v>4773</v>
      </c>
      <c r="G52" s="563">
        <f>SUM(G53:G54)</f>
        <v>800672</v>
      </c>
      <c r="H52" s="547">
        <f>SUM(H53:H54)</f>
        <v>0</v>
      </c>
      <c r="I52" s="547">
        <f>SUM(I53:I54)</f>
        <v>0</v>
      </c>
      <c r="J52" s="564">
        <f>+J53+J54</f>
        <v>4704</v>
      </c>
      <c r="K52" s="561">
        <f>+K53+K54</f>
        <v>4865</v>
      </c>
      <c r="L52" s="559">
        <f>+L53+L54</f>
        <v>832574</v>
      </c>
      <c r="M52" s="547">
        <v>0</v>
      </c>
      <c r="N52" s="549">
        <f aca="true" t="shared" si="23" ref="N52:Z52">+N53+N54</f>
        <v>0</v>
      </c>
      <c r="O52" s="577" t="e">
        <f t="shared" si="23"/>
        <v>#REF!</v>
      </c>
      <c r="P52" s="548" t="e">
        <f t="shared" si="23"/>
        <v>#REF!</v>
      </c>
      <c r="Q52" s="546" t="e">
        <f t="shared" si="23"/>
        <v>#REF!</v>
      </c>
      <c r="R52" s="544" t="e">
        <f t="shared" si="23"/>
        <v>#REF!</v>
      </c>
      <c r="S52" s="545" t="e">
        <f t="shared" si="23"/>
        <v>#REF!</v>
      </c>
      <c r="T52" s="546" t="e">
        <f t="shared" si="23"/>
        <v>#REF!</v>
      </c>
      <c r="U52" s="548" t="e">
        <f t="shared" si="23"/>
        <v>#REF!</v>
      </c>
      <c r="V52" s="545" t="e">
        <f t="shared" si="23"/>
        <v>#REF!</v>
      </c>
      <c r="W52" s="546" t="e">
        <f t="shared" si="23"/>
        <v>#REF!</v>
      </c>
      <c r="X52" s="544" t="e">
        <f t="shared" si="23"/>
        <v>#REF!</v>
      </c>
      <c r="Y52" s="545" t="e">
        <f t="shared" si="23"/>
        <v>#REF!</v>
      </c>
      <c r="Z52" s="546" t="e">
        <f t="shared" si="23"/>
        <v>#REF!</v>
      </c>
      <c r="AA52" s="544" t="e">
        <f>+AA53+AA54</f>
        <v>#REF!</v>
      </c>
      <c r="AB52" s="545" t="e">
        <f>+AB53+AB54</f>
        <v>#REF!</v>
      </c>
      <c r="AC52" s="547" t="e">
        <f>+AC53+AC54</f>
        <v>#REF!</v>
      </c>
      <c r="AD52" s="549">
        <f>SUM(AD53:AD54)</f>
        <v>0</v>
      </c>
      <c r="AE52" s="549">
        <f>SUM(AE53:AE54)</f>
        <v>0</v>
      </c>
      <c r="AF52" s="518" t="e">
        <f t="shared" si="4"/>
        <v>#REF!</v>
      </c>
      <c r="AG52" s="519" t="e">
        <f t="shared" si="5"/>
        <v>#REF!</v>
      </c>
    </row>
    <row r="53" spans="1:33" ht="18.75">
      <c r="A53" s="521" t="s">
        <v>9</v>
      </c>
      <c r="E53" s="522">
        <v>4625</v>
      </c>
      <c r="F53" s="523">
        <v>4773</v>
      </c>
      <c r="G53" s="524">
        <v>791903</v>
      </c>
      <c r="H53" s="525"/>
      <c r="I53" s="525"/>
      <c r="J53" s="522">
        <v>4704</v>
      </c>
      <c r="K53" s="523">
        <v>4865</v>
      </c>
      <c r="L53" s="526">
        <v>826355</v>
      </c>
      <c r="M53" s="525"/>
      <c r="N53" s="525"/>
      <c r="O53" s="533" t="e">
        <f>+'LEAD RECOM INCR'!O53+#REF!</f>
        <v>#REF!</v>
      </c>
      <c r="P53" s="470" t="e">
        <f>+'LEAD RECOM INCR'!P53+#REF!</f>
        <v>#REF!</v>
      </c>
      <c r="Q53" s="530" t="e">
        <f>+'LEAD RECOM INCR'!Q53+#REF!</f>
        <v>#REF!</v>
      </c>
      <c r="R53" s="531" t="e">
        <f aca="true" t="shared" si="24" ref="R53:S55">+J53+O53</f>
        <v>#REF!</v>
      </c>
      <c r="S53" s="532" t="e">
        <f t="shared" si="24"/>
        <v>#REF!</v>
      </c>
      <c r="T53" s="524" t="e">
        <f t="shared" si="17"/>
        <v>#REF!</v>
      </c>
      <c r="U53" s="533" t="e">
        <f>+'LEAD RECOM INCR'!U53+#REF!</f>
        <v>#REF!</v>
      </c>
      <c r="V53" s="470" t="e">
        <f>+'LEAD RECOM INCR'!V53+#REF!</f>
        <v>#REF!</v>
      </c>
      <c r="W53" s="530" t="e">
        <f>+'LEAD RECOM INCR'!W53+#REF!</f>
        <v>#REF!</v>
      </c>
      <c r="X53" s="533" t="e">
        <f>+'LEAD RECOM INCR'!X53+#REF!</f>
        <v>#REF!</v>
      </c>
      <c r="Y53" s="470" t="e">
        <f>+'LEAD RECOM INCR'!Y53+#REF!</f>
        <v>#REF!</v>
      </c>
      <c r="Z53" s="530" t="e">
        <f>+'LEAD RECOM INCR'!Z53+#REF!</f>
        <v>#REF!</v>
      </c>
      <c r="AA53" s="522" t="e">
        <f aca="true" t="shared" si="25" ref="AA53:AC55">+X53+U53+R53</f>
        <v>#REF!</v>
      </c>
      <c r="AB53" s="523" t="e">
        <f t="shared" si="25"/>
        <v>#REF!</v>
      </c>
      <c r="AC53" s="534" t="e">
        <f t="shared" si="25"/>
        <v>#REF!</v>
      </c>
      <c r="AD53" s="535"/>
      <c r="AE53" s="535"/>
      <c r="AF53" s="518" t="e">
        <f t="shared" si="4"/>
        <v>#REF!</v>
      </c>
      <c r="AG53" s="519" t="e">
        <f t="shared" si="5"/>
        <v>#REF!</v>
      </c>
    </row>
    <row r="54" spans="1:33" ht="18.75">
      <c r="A54" s="521" t="s">
        <v>113</v>
      </c>
      <c r="E54" s="522">
        <v>0</v>
      </c>
      <c r="F54" s="523">
        <v>0</v>
      </c>
      <c r="G54" s="524">
        <v>8769</v>
      </c>
      <c r="H54" s="525"/>
      <c r="I54" s="525"/>
      <c r="J54" s="522"/>
      <c r="K54" s="523"/>
      <c r="L54" s="526">
        <v>6219</v>
      </c>
      <c r="M54" s="527"/>
      <c r="N54" s="525"/>
      <c r="O54" s="533" t="e">
        <f>+'LEAD RECOM INCR'!O54+#REF!</f>
        <v>#REF!</v>
      </c>
      <c r="P54" s="470" t="e">
        <f>+'LEAD RECOM INCR'!P54+#REF!</f>
        <v>#REF!</v>
      </c>
      <c r="Q54" s="530" t="e">
        <f>+'LEAD RECOM INCR'!Q54+#REF!</f>
        <v>#REF!</v>
      </c>
      <c r="R54" s="531" t="e">
        <f t="shared" si="24"/>
        <v>#REF!</v>
      </c>
      <c r="S54" s="532" t="e">
        <f t="shared" si="24"/>
        <v>#REF!</v>
      </c>
      <c r="T54" s="524" t="e">
        <f t="shared" si="17"/>
        <v>#REF!</v>
      </c>
      <c r="U54" s="533" t="e">
        <f>+'LEAD RECOM INCR'!U54+#REF!</f>
        <v>#REF!</v>
      </c>
      <c r="V54" s="470" t="e">
        <f>+'LEAD RECOM INCR'!V54+#REF!</f>
        <v>#REF!</v>
      </c>
      <c r="W54" s="530" t="e">
        <f>+'LEAD RECOM INCR'!W54+#REF!</f>
        <v>#REF!</v>
      </c>
      <c r="X54" s="533" t="e">
        <f>+'LEAD RECOM INCR'!X54+#REF!</f>
        <v>#REF!</v>
      </c>
      <c r="Y54" s="470" t="e">
        <f>+'LEAD RECOM INCR'!Y54+#REF!</f>
        <v>#REF!</v>
      </c>
      <c r="Z54" s="530" t="e">
        <f>+'LEAD RECOM INCR'!Z54+#REF!</f>
        <v>#REF!</v>
      </c>
      <c r="AA54" s="522" t="e">
        <f t="shared" si="25"/>
        <v>#REF!</v>
      </c>
      <c r="AB54" s="523" t="e">
        <f t="shared" si="25"/>
        <v>#REF!</v>
      </c>
      <c r="AC54" s="534" t="e">
        <f t="shared" si="25"/>
        <v>#REF!</v>
      </c>
      <c r="AD54" s="535"/>
      <c r="AE54" s="535"/>
      <c r="AF54" s="518" t="e">
        <f t="shared" si="4"/>
        <v>#REF!</v>
      </c>
      <c r="AG54" s="519" t="e">
        <f t="shared" si="5"/>
        <v>#REF!</v>
      </c>
    </row>
    <row r="55" spans="1:33" ht="18">
      <c r="A55" s="476" t="s">
        <v>10</v>
      </c>
      <c r="E55" s="522">
        <v>56</v>
      </c>
      <c r="F55" s="523">
        <v>56</v>
      </c>
      <c r="G55" s="524">
        <v>9536</v>
      </c>
      <c r="H55" s="525"/>
      <c r="I55" s="525"/>
      <c r="J55" s="522">
        <v>56</v>
      </c>
      <c r="K55" s="523">
        <v>56</v>
      </c>
      <c r="L55" s="526">
        <v>9613</v>
      </c>
      <c r="M55" s="527"/>
      <c r="N55" s="525">
        <v>616</v>
      </c>
      <c r="O55" s="533" t="e">
        <f>+'LEAD RECOM INCR'!O55+#REF!</f>
        <v>#REF!</v>
      </c>
      <c r="P55" s="470" t="e">
        <f>+'LEAD RECOM INCR'!P55+#REF!</f>
        <v>#REF!</v>
      </c>
      <c r="Q55" s="530" t="e">
        <f>+'LEAD RECOM INCR'!Q55+#REF!</f>
        <v>#REF!</v>
      </c>
      <c r="R55" s="531" t="e">
        <f t="shared" si="24"/>
        <v>#REF!</v>
      </c>
      <c r="S55" s="532" t="e">
        <f t="shared" si="24"/>
        <v>#REF!</v>
      </c>
      <c r="T55" s="524" t="e">
        <f t="shared" si="17"/>
        <v>#REF!</v>
      </c>
      <c r="U55" s="533" t="e">
        <f>+'LEAD RECOM INCR'!U55+#REF!</f>
        <v>#REF!</v>
      </c>
      <c r="V55" s="470" t="e">
        <f>+'LEAD RECOM INCR'!V55+#REF!</f>
        <v>#REF!</v>
      </c>
      <c r="W55" s="530" t="e">
        <f>+'LEAD RECOM INCR'!W55+#REF!</f>
        <v>#REF!</v>
      </c>
      <c r="X55" s="533" t="e">
        <f>+'LEAD RECOM INCR'!X55+#REF!</f>
        <v>#REF!</v>
      </c>
      <c r="Y55" s="470" t="e">
        <f>+'LEAD RECOM INCR'!Y55+#REF!</f>
        <v>#REF!</v>
      </c>
      <c r="Z55" s="530" t="e">
        <f>+'LEAD RECOM INCR'!Z55+#REF!</f>
        <v>#REF!</v>
      </c>
      <c r="AA55" s="522" t="e">
        <f t="shared" si="25"/>
        <v>#REF!</v>
      </c>
      <c r="AB55" s="523" t="e">
        <f t="shared" si="25"/>
        <v>#REF!</v>
      </c>
      <c r="AC55" s="534" t="e">
        <f t="shared" si="25"/>
        <v>#REF!</v>
      </c>
      <c r="AD55" s="535" t="e">
        <f>+T55*(1+$AD$11)</f>
        <v>#REF!</v>
      </c>
      <c r="AE55" s="535">
        <f>+L55*$AE$11</f>
        <v>9228.48</v>
      </c>
      <c r="AF55" s="518" t="e">
        <f t="shared" si="4"/>
        <v>#REF!</v>
      </c>
      <c r="AG55" s="519" t="e">
        <f t="shared" si="5"/>
        <v>#REF!</v>
      </c>
    </row>
    <row r="56" spans="1:33" ht="18">
      <c r="A56" s="508" t="s">
        <v>37</v>
      </c>
      <c r="B56" s="508"/>
      <c r="C56" s="508"/>
      <c r="D56" s="508"/>
      <c r="E56" s="556">
        <f>SUM(E57)</f>
        <v>0</v>
      </c>
      <c r="F56" s="562">
        <f>SUM(F57)</f>
        <v>0</v>
      </c>
      <c r="G56" s="563">
        <f>SUM(G57)</f>
        <v>21194</v>
      </c>
      <c r="H56" s="547">
        <f>SUM(H57:H57)</f>
        <v>0</v>
      </c>
      <c r="I56" s="547">
        <f>SUM(I57:I57)</f>
        <v>0</v>
      </c>
      <c r="J56" s="556">
        <f>SUM(J57)</f>
        <v>0</v>
      </c>
      <c r="K56" s="562">
        <f>SUM(K57)</f>
        <v>0</v>
      </c>
      <c r="L56" s="566">
        <f>SUM(L57)</f>
        <v>20990</v>
      </c>
      <c r="M56" s="547">
        <f aca="true" t="shared" si="26" ref="M56:AE56">SUM(M57:M57)</f>
        <v>0</v>
      </c>
      <c r="N56" s="547">
        <f t="shared" si="26"/>
        <v>221</v>
      </c>
      <c r="O56" s="544" t="e">
        <f t="shared" si="26"/>
        <v>#REF!</v>
      </c>
      <c r="P56" s="545" t="e">
        <f t="shared" si="26"/>
        <v>#REF!</v>
      </c>
      <c r="Q56" s="546" t="e">
        <f t="shared" si="26"/>
        <v>#REF!</v>
      </c>
      <c r="R56" s="544" t="e">
        <f t="shared" si="26"/>
        <v>#REF!</v>
      </c>
      <c r="S56" s="545" t="e">
        <f t="shared" si="26"/>
        <v>#REF!</v>
      </c>
      <c r="T56" s="546" t="e">
        <f t="shared" si="26"/>
        <v>#REF!</v>
      </c>
      <c r="U56" s="548" t="e">
        <f t="shared" si="26"/>
        <v>#REF!</v>
      </c>
      <c r="V56" s="545" t="e">
        <f t="shared" si="26"/>
        <v>#REF!</v>
      </c>
      <c r="W56" s="546" t="e">
        <f t="shared" si="26"/>
        <v>#REF!</v>
      </c>
      <c r="X56" s="544" t="e">
        <f t="shared" si="26"/>
        <v>#REF!</v>
      </c>
      <c r="Y56" s="545" t="e">
        <f t="shared" si="26"/>
        <v>#REF!</v>
      </c>
      <c r="Z56" s="546" t="e">
        <f t="shared" si="26"/>
        <v>#REF!</v>
      </c>
      <c r="AA56" s="544" t="e">
        <f t="shared" si="26"/>
        <v>#REF!</v>
      </c>
      <c r="AB56" s="545" t="e">
        <f t="shared" si="26"/>
        <v>#REF!</v>
      </c>
      <c r="AC56" s="547" t="e">
        <f t="shared" si="26"/>
        <v>#REF!</v>
      </c>
      <c r="AD56" s="549" t="e">
        <f t="shared" si="26"/>
        <v>#REF!</v>
      </c>
      <c r="AE56" s="549">
        <f t="shared" si="26"/>
        <v>20150.399999999998</v>
      </c>
      <c r="AF56" s="518" t="e">
        <f t="shared" si="4"/>
        <v>#REF!</v>
      </c>
      <c r="AG56" s="519" t="e">
        <f t="shared" si="5"/>
        <v>#REF!</v>
      </c>
    </row>
    <row r="57" spans="1:33" ht="18.75">
      <c r="A57" s="521" t="s">
        <v>135</v>
      </c>
      <c r="E57" s="522">
        <v>0</v>
      </c>
      <c r="F57" s="523">
        <v>0</v>
      </c>
      <c r="G57" s="524">
        <v>21194</v>
      </c>
      <c r="H57" s="525"/>
      <c r="I57" s="525"/>
      <c r="J57" s="522">
        <v>0</v>
      </c>
      <c r="K57" s="523">
        <v>0</v>
      </c>
      <c r="L57" s="526">
        <v>20990</v>
      </c>
      <c r="M57" s="527"/>
      <c r="N57" s="525">
        <v>221</v>
      </c>
      <c r="O57" s="533" t="e">
        <f>+'LEAD RECOM INCR'!O57+#REF!</f>
        <v>#REF!</v>
      </c>
      <c r="P57" s="470" t="e">
        <f>+'LEAD RECOM INCR'!P57+#REF!</f>
        <v>#REF!</v>
      </c>
      <c r="Q57" s="530" t="e">
        <f>+'LEAD RECOM INCR'!Q57+#REF!</f>
        <v>#REF!</v>
      </c>
      <c r="R57" s="531" t="e">
        <f>+J57+O57</f>
        <v>#REF!</v>
      </c>
      <c r="S57" s="532" t="e">
        <f>+K57+P57</f>
        <v>#REF!</v>
      </c>
      <c r="T57" s="524" t="e">
        <f t="shared" si="17"/>
        <v>#REF!</v>
      </c>
      <c r="U57" s="533" t="e">
        <f>+'LEAD RECOM INCR'!U57+#REF!</f>
        <v>#REF!</v>
      </c>
      <c r="V57" s="470" t="e">
        <f>+'LEAD RECOM INCR'!V57+#REF!</f>
        <v>#REF!</v>
      </c>
      <c r="W57" s="530" t="e">
        <f>+'LEAD RECOM INCR'!W57+#REF!</f>
        <v>#REF!</v>
      </c>
      <c r="X57" s="533" t="e">
        <f>+'LEAD RECOM INCR'!X57+#REF!</f>
        <v>#REF!</v>
      </c>
      <c r="Y57" s="470" t="e">
        <f>+'LEAD RECOM INCR'!Y57+#REF!</f>
        <v>#REF!</v>
      </c>
      <c r="Z57" s="530" t="e">
        <f>+'LEAD RECOM INCR'!Z57+#REF!</f>
        <v>#REF!</v>
      </c>
      <c r="AA57" s="522" t="e">
        <f aca="true" t="shared" si="27" ref="AA57:AC59">+X57+U57+R57</f>
        <v>#REF!</v>
      </c>
      <c r="AB57" s="523" t="e">
        <f t="shared" si="27"/>
        <v>#REF!</v>
      </c>
      <c r="AC57" s="534" t="e">
        <f t="shared" si="27"/>
        <v>#REF!</v>
      </c>
      <c r="AD57" s="535" t="e">
        <f>+T57*(1+$AD$11)</f>
        <v>#REF!</v>
      </c>
      <c r="AE57" s="535">
        <f>+L57*$AE$11</f>
        <v>20150.399999999998</v>
      </c>
      <c r="AF57" s="518" t="e">
        <f t="shared" si="4"/>
        <v>#REF!</v>
      </c>
      <c r="AG57" s="519" t="e">
        <f t="shared" si="5"/>
        <v>#REF!</v>
      </c>
    </row>
    <row r="58" spans="1:33" ht="18">
      <c r="A58" s="476" t="s">
        <v>11</v>
      </c>
      <c r="E58" s="531" t="s">
        <v>176</v>
      </c>
      <c r="F58" s="532" t="s">
        <v>177</v>
      </c>
      <c r="G58" s="524">
        <v>483189</v>
      </c>
      <c r="H58" s="525"/>
      <c r="I58" s="525"/>
      <c r="J58" s="531" t="s">
        <v>178</v>
      </c>
      <c r="K58" s="532" t="s">
        <v>179</v>
      </c>
      <c r="L58" s="526">
        <v>438797</v>
      </c>
      <c r="M58" s="527"/>
      <c r="N58" s="525">
        <f>267254-207594</f>
        <v>59660</v>
      </c>
      <c r="O58" s="533" t="e">
        <f>+'LEAD RECOM INCR'!O58+#REF!</f>
        <v>#REF!</v>
      </c>
      <c r="P58" s="470" t="e">
        <f>+'LEAD RECOM INCR'!P58+#REF!</f>
        <v>#REF!</v>
      </c>
      <c r="Q58" s="530" t="e">
        <f>+'LEAD RECOM INCR'!Q58+#REF!</f>
        <v>#REF!</v>
      </c>
      <c r="R58" s="531" t="s">
        <v>178</v>
      </c>
      <c r="S58" s="532" t="s">
        <v>179</v>
      </c>
      <c r="T58" s="524" t="e">
        <f t="shared" si="17"/>
        <v>#REF!</v>
      </c>
      <c r="U58" s="578" t="s">
        <v>227</v>
      </c>
      <c r="V58" s="579" t="s">
        <v>227</v>
      </c>
      <c r="W58" s="530" t="e">
        <f>+'LEAD RECOM INCR'!W58+#REF!</f>
        <v>#REF!</v>
      </c>
      <c r="X58" s="578" t="s">
        <v>239</v>
      </c>
      <c r="Y58" s="579" t="s">
        <v>239</v>
      </c>
      <c r="Z58" s="530" t="e">
        <f>+'LEAD RECOM INCR'!Z58+#REF!</f>
        <v>#REF!</v>
      </c>
      <c r="AA58" s="531" t="s">
        <v>237</v>
      </c>
      <c r="AB58" s="532" t="s">
        <v>238</v>
      </c>
      <c r="AC58" s="534" t="e">
        <f t="shared" si="27"/>
        <v>#REF!</v>
      </c>
      <c r="AD58" s="535" t="e">
        <f>+T58*(1+$AD$11)</f>
        <v>#REF!</v>
      </c>
      <c r="AE58" s="535">
        <f>+L58*$AE$11</f>
        <v>421245.12</v>
      </c>
      <c r="AF58" s="518" t="e">
        <f t="shared" si="4"/>
        <v>#REF!</v>
      </c>
      <c r="AG58" s="519" t="e">
        <f t="shared" si="5"/>
        <v>#REF!</v>
      </c>
    </row>
    <row r="59" spans="1:33" ht="18">
      <c r="A59" s="476" t="s">
        <v>56</v>
      </c>
      <c r="D59" s="467"/>
      <c r="E59" s="522">
        <v>0</v>
      </c>
      <c r="F59" s="523">
        <v>0</v>
      </c>
      <c r="G59" s="524">
        <v>0</v>
      </c>
      <c r="H59" s="525"/>
      <c r="I59" s="525"/>
      <c r="J59" s="522">
        <v>0</v>
      </c>
      <c r="K59" s="523">
        <v>0</v>
      </c>
      <c r="L59" s="526">
        <f>SUM(G59+H59)</f>
        <v>0</v>
      </c>
      <c r="M59" s="527"/>
      <c r="N59" s="525"/>
      <c r="O59" s="522"/>
      <c r="P59" s="523"/>
      <c r="Q59" s="524"/>
      <c r="R59" s="531"/>
      <c r="S59" s="532"/>
      <c r="T59" s="524"/>
      <c r="U59" s="530"/>
      <c r="V59" s="539"/>
      <c r="W59" s="524"/>
      <c r="X59" s="540"/>
      <c r="Y59" s="539"/>
      <c r="Z59" s="524"/>
      <c r="AA59" s="522">
        <f t="shared" si="27"/>
        <v>0</v>
      </c>
      <c r="AB59" s="523">
        <f t="shared" si="27"/>
        <v>0</v>
      </c>
      <c r="AC59" s="524">
        <f t="shared" si="27"/>
        <v>0</v>
      </c>
      <c r="AD59" s="535">
        <f>+T59*(1+$AD$11)</f>
        <v>0</v>
      </c>
      <c r="AE59" s="535">
        <f>+L59*$AE$11</f>
        <v>0</v>
      </c>
      <c r="AF59" s="518">
        <f t="shared" si="4"/>
        <v>0</v>
      </c>
      <c r="AG59" s="519" t="e">
        <f t="shared" si="5"/>
        <v>#DIV/0!</v>
      </c>
    </row>
    <row r="60" spans="1:33" ht="18">
      <c r="A60" s="508" t="s">
        <v>12</v>
      </c>
      <c r="B60" s="508"/>
      <c r="C60" s="508"/>
      <c r="D60" s="508"/>
      <c r="E60" s="556">
        <f>SUM(E61:E65)</f>
        <v>31356</v>
      </c>
      <c r="F60" s="562">
        <f>SUM(F61:F65)</f>
        <v>32382</v>
      </c>
      <c r="G60" s="563">
        <f>SUM(G61:G65)</f>
        <v>5712698</v>
      </c>
      <c r="H60" s="547">
        <f>SUM(H61:H65)</f>
        <v>0</v>
      </c>
      <c r="I60" s="547">
        <f>SUM(I61:I65)</f>
        <v>0</v>
      </c>
      <c r="J60" s="556">
        <f>SUM(J61:J64)</f>
        <v>31359</v>
      </c>
      <c r="K60" s="556">
        <f aca="true" t="shared" si="28" ref="K60:AC60">SUM(K61:K64)</f>
        <v>33103</v>
      </c>
      <c r="L60" s="556">
        <f t="shared" si="28"/>
        <v>5949041</v>
      </c>
      <c r="M60" s="556">
        <f t="shared" si="28"/>
        <v>0</v>
      </c>
      <c r="N60" s="556">
        <f t="shared" si="28"/>
        <v>91009</v>
      </c>
      <c r="O60" s="564" t="e">
        <f t="shared" si="28"/>
        <v>#REF!</v>
      </c>
      <c r="P60" s="561" t="e">
        <f t="shared" si="28"/>
        <v>#REF!</v>
      </c>
      <c r="Q60" s="557" t="e">
        <f t="shared" si="28"/>
        <v>#REF!</v>
      </c>
      <c r="R60" s="564" t="e">
        <f t="shared" si="28"/>
        <v>#REF!</v>
      </c>
      <c r="S60" s="561" t="e">
        <f t="shared" si="28"/>
        <v>#REF!</v>
      </c>
      <c r="T60" s="558" t="e">
        <f t="shared" si="28"/>
        <v>#REF!</v>
      </c>
      <c r="U60" s="564" t="e">
        <f t="shared" si="28"/>
        <v>#REF!</v>
      </c>
      <c r="V60" s="561" t="e">
        <f t="shared" si="28"/>
        <v>#REF!</v>
      </c>
      <c r="W60" s="557" t="e">
        <f t="shared" si="28"/>
        <v>#REF!</v>
      </c>
      <c r="X60" s="564" t="e">
        <f t="shared" si="28"/>
        <v>#REF!</v>
      </c>
      <c r="Y60" s="561" t="e">
        <f t="shared" si="28"/>
        <v>#REF!</v>
      </c>
      <c r="Z60" s="557" t="e">
        <f t="shared" si="28"/>
        <v>#REF!</v>
      </c>
      <c r="AA60" s="564" t="e">
        <f t="shared" si="28"/>
        <v>#REF!</v>
      </c>
      <c r="AB60" s="561" t="e">
        <f t="shared" si="28"/>
        <v>#REF!</v>
      </c>
      <c r="AC60" s="557" t="e">
        <f t="shared" si="28"/>
        <v>#REF!</v>
      </c>
      <c r="AD60" s="549" t="e">
        <f>SUM(AD61:AD65)</f>
        <v>#REF!</v>
      </c>
      <c r="AE60" s="549">
        <f>SUM(AE61:AE65)</f>
        <v>5578442.88</v>
      </c>
      <c r="AF60" s="518" t="e">
        <f t="shared" si="4"/>
        <v>#REF!</v>
      </c>
      <c r="AG60" s="519" t="e">
        <f t="shared" si="5"/>
        <v>#REF!</v>
      </c>
    </row>
    <row r="61" spans="1:33" ht="18.75">
      <c r="A61" s="521" t="s">
        <v>114</v>
      </c>
      <c r="E61" s="522">
        <v>31356</v>
      </c>
      <c r="F61" s="523">
        <v>32382</v>
      </c>
      <c r="G61" s="524">
        <v>5675570</v>
      </c>
      <c r="H61" s="525"/>
      <c r="I61" s="525"/>
      <c r="J61" s="522">
        <v>31359</v>
      </c>
      <c r="K61" s="523">
        <v>33103</v>
      </c>
      <c r="L61" s="526">
        <v>5849488</v>
      </c>
      <c r="M61" s="527">
        <v>0</v>
      </c>
      <c r="N61" s="525">
        <v>139170</v>
      </c>
      <c r="O61" s="533" t="e">
        <f>+'LEAD RECOM INCR'!O61+#REF!</f>
        <v>#REF!</v>
      </c>
      <c r="P61" s="470" t="e">
        <f>+'LEAD RECOM INCR'!P61+#REF!</f>
        <v>#REF!</v>
      </c>
      <c r="Q61" s="530" t="e">
        <f>+'LEAD RECOM INCR'!Q61+#REF!</f>
        <v>#REF!</v>
      </c>
      <c r="R61" s="569" t="e">
        <f>+J61+O61</f>
        <v>#REF!</v>
      </c>
      <c r="S61" s="570" t="e">
        <f>+K61+P61</f>
        <v>#REF!</v>
      </c>
      <c r="T61" s="524" t="e">
        <f>+L61+Q61+N61</f>
        <v>#REF!</v>
      </c>
      <c r="U61" s="533" t="e">
        <f>+'LEAD RECOM INCR'!U61+#REF!</f>
        <v>#REF!</v>
      </c>
      <c r="V61" s="470" t="e">
        <f>+'LEAD RECOM INCR'!V61+#REF!</f>
        <v>#REF!</v>
      </c>
      <c r="W61" s="530" t="e">
        <f>+'LEAD RECOM INCR'!W61+#REF!</f>
        <v>#REF!</v>
      </c>
      <c r="X61" s="533" t="e">
        <f>+'LEAD RECOM INCR'!X61+#REF!</f>
        <v>#REF!</v>
      </c>
      <c r="Y61" s="470" t="e">
        <f>+'LEAD RECOM INCR'!Y61+#REF!</f>
        <v>#REF!</v>
      </c>
      <c r="Z61" s="530" t="e">
        <f>+'LEAD RECOM INCR'!Z61+#REF!</f>
        <v>#REF!</v>
      </c>
      <c r="AA61" s="522" t="e">
        <f aca="true" t="shared" si="29" ref="AA61:AC66">+X61+U61+R61</f>
        <v>#REF!</v>
      </c>
      <c r="AB61" s="523" t="e">
        <f t="shared" si="29"/>
        <v>#REF!</v>
      </c>
      <c r="AC61" s="534" t="e">
        <f t="shared" si="29"/>
        <v>#REF!</v>
      </c>
      <c r="AD61" s="535" t="e">
        <f>+T61*(1+$AD$11)</f>
        <v>#REF!</v>
      </c>
      <c r="AE61" s="535">
        <f>+L61*$AE$11</f>
        <v>5615508.4799999995</v>
      </c>
      <c r="AF61" s="518" t="e">
        <f t="shared" si="4"/>
        <v>#REF!</v>
      </c>
      <c r="AG61" s="519" t="e">
        <f t="shared" si="5"/>
        <v>#REF!</v>
      </c>
    </row>
    <row r="62" spans="1:33" ht="18">
      <c r="A62" s="476" t="s">
        <v>138</v>
      </c>
      <c r="E62" s="522"/>
      <c r="F62" s="523"/>
      <c r="G62" s="524"/>
      <c r="H62" s="525"/>
      <c r="I62" s="525"/>
      <c r="J62" s="522"/>
      <c r="K62" s="523"/>
      <c r="L62" s="526">
        <v>0</v>
      </c>
      <c r="M62" s="527"/>
      <c r="N62" s="525">
        <v>0</v>
      </c>
      <c r="O62" s="533" t="e">
        <f>+'LEAD RECOM INCR'!O62+#REF!</f>
        <v>#REF!</v>
      </c>
      <c r="P62" s="470" t="e">
        <f>+'LEAD RECOM INCR'!P62+#REF!</f>
        <v>#REF!</v>
      </c>
      <c r="Q62" s="530" t="e">
        <f>+'LEAD RECOM INCR'!Q62+#REF!</f>
        <v>#REF!</v>
      </c>
      <c r="R62" s="531" t="e">
        <f>+J62+O62</f>
        <v>#REF!</v>
      </c>
      <c r="S62" s="532" t="e">
        <f>+K62+P62</f>
        <v>#REF!</v>
      </c>
      <c r="T62" s="524" t="e">
        <f>+L62+Q62+N62</f>
        <v>#REF!</v>
      </c>
      <c r="U62" s="533" t="e">
        <f>+'LEAD RECOM INCR'!U62+#REF!</f>
        <v>#REF!</v>
      </c>
      <c r="V62" s="470" t="e">
        <f>+'LEAD RECOM INCR'!V62+#REF!</f>
        <v>#REF!</v>
      </c>
      <c r="W62" s="530" t="e">
        <f>+'LEAD RECOM INCR'!W62+#REF!</f>
        <v>#REF!</v>
      </c>
      <c r="X62" s="533" t="e">
        <f>+'LEAD RECOM INCR'!X62+#REF!</f>
        <v>#REF!</v>
      </c>
      <c r="Y62" s="470" t="e">
        <f>+'LEAD RECOM INCR'!Y62+#REF!</f>
        <v>#REF!</v>
      </c>
      <c r="Z62" s="530" t="e">
        <f>+'LEAD RECOM INCR'!Z62+#REF!</f>
        <v>#REF!</v>
      </c>
      <c r="AA62" s="522" t="e">
        <f t="shared" si="29"/>
        <v>#REF!</v>
      </c>
      <c r="AB62" s="523" t="e">
        <f t="shared" si="29"/>
        <v>#REF!</v>
      </c>
      <c r="AC62" s="534" t="e">
        <f t="shared" si="29"/>
        <v>#REF!</v>
      </c>
      <c r="AD62" s="535" t="e">
        <f>+T62*(1+$AD$11)</f>
        <v>#REF!</v>
      </c>
      <c r="AE62" s="535">
        <f>+L62*$AE$11</f>
        <v>0</v>
      </c>
      <c r="AF62" s="518" t="e">
        <f t="shared" si="4"/>
        <v>#REF!</v>
      </c>
      <c r="AG62" s="519" t="s">
        <v>198</v>
      </c>
    </row>
    <row r="63" spans="1:33" ht="18.75">
      <c r="A63" s="521" t="s">
        <v>156</v>
      </c>
      <c r="E63" s="522"/>
      <c r="F63" s="523"/>
      <c r="G63" s="524">
        <v>0</v>
      </c>
      <c r="H63" s="525"/>
      <c r="I63" s="525"/>
      <c r="J63" s="531" t="s">
        <v>151</v>
      </c>
      <c r="K63" s="532" t="s">
        <v>151</v>
      </c>
      <c r="L63" s="568" t="s">
        <v>152</v>
      </c>
      <c r="M63" s="527"/>
      <c r="N63" s="525">
        <v>0</v>
      </c>
      <c r="O63" s="533" t="e">
        <f>+'LEAD RECOM INCR'!O63+#REF!</f>
        <v>#REF!</v>
      </c>
      <c r="P63" s="470" t="e">
        <f>+'LEAD RECOM INCR'!P63+#REF!</f>
        <v>#REF!</v>
      </c>
      <c r="Q63" s="530" t="e">
        <f>+'LEAD RECOM INCR'!Q63+#REF!</f>
        <v>#REF!</v>
      </c>
      <c r="R63" s="580">
        <v>0</v>
      </c>
      <c r="S63" s="581">
        <v>0</v>
      </c>
      <c r="T63" s="582">
        <v>0</v>
      </c>
      <c r="U63" s="533" t="e">
        <f>+'LEAD RECOM INCR'!U63+#REF!</f>
        <v>#REF!</v>
      </c>
      <c r="V63" s="470" t="e">
        <f>+'LEAD RECOM INCR'!V63+#REF!</f>
        <v>#REF!</v>
      </c>
      <c r="W63" s="530" t="e">
        <f>+'LEAD RECOM INCR'!W63+#REF!</f>
        <v>#REF!</v>
      </c>
      <c r="X63" s="533" t="e">
        <f>+'LEAD RECOM INCR'!X63+#REF!</f>
        <v>#REF!</v>
      </c>
      <c r="Y63" s="470" t="e">
        <f>+'LEAD RECOM INCR'!Y63+#REF!</f>
        <v>#REF!</v>
      </c>
      <c r="Z63" s="530" t="e">
        <f>+'LEAD RECOM INCR'!Z63+#REF!</f>
        <v>#REF!</v>
      </c>
      <c r="AA63" s="580">
        <v>0</v>
      </c>
      <c r="AB63" s="581">
        <v>0</v>
      </c>
      <c r="AC63" s="583">
        <v>0</v>
      </c>
      <c r="AD63" s="584">
        <v>0</v>
      </c>
      <c r="AE63" s="535">
        <v>0</v>
      </c>
      <c r="AF63" s="518">
        <v>0</v>
      </c>
      <c r="AG63" s="519" t="s">
        <v>198</v>
      </c>
    </row>
    <row r="64" spans="1:33" ht="18.75">
      <c r="A64" s="521" t="s">
        <v>115</v>
      </c>
      <c r="E64" s="522">
        <v>0</v>
      </c>
      <c r="F64" s="523">
        <v>0</v>
      </c>
      <c r="G64" s="524">
        <v>37128</v>
      </c>
      <c r="H64" s="525"/>
      <c r="I64" s="525"/>
      <c r="J64" s="522">
        <v>0</v>
      </c>
      <c r="K64" s="523">
        <v>0</v>
      </c>
      <c r="L64" s="526">
        <v>99553</v>
      </c>
      <c r="M64" s="527"/>
      <c r="N64" s="525">
        <v>-48161</v>
      </c>
      <c r="O64" s="533" t="e">
        <f>+'LEAD RECOM INCR'!O64+#REF!</f>
        <v>#REF!</v>
      </c>
      <c r="P64" s="470" t="e">
        <f>+'LEAD RECOM INCR'!P64+#REF!</f>
        <v>#REF!</v>
      </c>
      <c r="Q64" s="530" t="e">
        <f>+'LEAD RECOM INCR'!Q64+#REF!</f>
        <v>#REF!</v>
      </c>
      <c r="R64" s="531" t="e">
        <f aca="true" t="shared" si="30" ref="R64:S66">+J64+O64</f>
        <v>#REF!</v>
      </c>
      <c r="S64" s="532" t="e">
        <f t="shared" si="30"/>
        <v>#REF!</v>
      </c>
      <c r="T64" s="524" t="e">
        <f>+L64+Q64+N64</f>
        <v>#REF!</v>
      </c>
      <c r="U64" s="533" t="e">
        <f>+'LEAD RECOM INCR'!U64+#REF!</f>
        <v>#REF!</v>
      </c>
      <c r="V64" s="470" t="e">
        <f>+'LEAD RECOM INCR'!V64+#REF!</f>
        <v>#REF!</v>
      </c>
      <c r="W64" s="530" t="e">
        <f>+'LEAD RECOM INCR'!W64+#REF!</f>
        <v>#REF!</v>
      </c>
      <c r="X64" s="533" t="e">
        <f>+'LEAD RECOM INCR'!X64+#REF!</f>
        <v>#REF!</v>
      </c>
      <c r="Y64" s="470" t="e">
        <f>+'LEAD RECOM INCR'!Y64+#REF!</f>
        <v>#REF!</v>
      </c>
      <c r="Z64" s="530" t="e">
        <f>+'LEAD RECOM INCR'!Z64+#REF!</f>
        <v>#REF!</v>
      </c>
      <c r="AA64" s="522" t="e">
        <f>+X64+U64+R64</f>
        <v>#REF!</v>
      </c>
      <c r="AB64" s="523" t="e">
        <f>+Y64+V64+S64</f>
        <v>#REF!</v>
      </c>
      <c r="AC64" s="534" t="e">
        <f>+Z64+W64+T64</f>
        <v>#REF!</v>
      </c>
      <c r="AD64" s="584"/>
      <c r="AE64" s="535"/>
      <c r="AF64" s="518" t="e">
        <f t="shared" si="4"/>
        <v>#REF!</v>
      </c>
      <c r="AG64" s="519" t="e">
        <f t="shared" si="5"/>
        <v>#REF!</v>
      </c>
    </row>
    <row r="65" spans="1:33" ht="18.75">
      <c r="A65" s="551" t="s">
        <v>231</v>
      </c>
      <c r="B65" s="551"/>
      <c r="C65" s="551"/>
      <c r="D65" s="551"/>
      <c r="E65" s="552"/>
      <c r="F65" s="553"/>
      <c r="G65" s="534">
        <v>0</v>
      </c>
      <c r="H65" s="538"/>
      <c r="I65" s="538"/>
      <c r="J65" s="552">
        <v>0</v>
      </c>
      <c r="K65" s="553">
        <v>0</v>
      </c>
      <c r="L65" s="537">
        <v>-38610</v>
      </c>
      <c r="M65" s="543"/>
      <c r="N65" s="716">
        <v>38610</v>
      </c>
      <c r="O65" s="533" t="e">
        <f>+'LEAD RECOM INCR'!O65+#REF!</f>
        <v>#REF!</v>
      </c>
      <c r="P65" s="470" t="e">
        <f>+'LEAD RECOM INCR'!P65+#REF!</f>
        <v>#REF!</v>
      </c>
      <c r="Q65" s="530" t="e">
        <f>+'LEAD RECOM INCR'!Q65+#REF!</f>
        <v>#REF!</v>
      </c>
      <c r="R65" s="531" t="e">
        <f t="shared" si="30"/>
        <v>#REF!</v>
      </c>
      <c r="S65" s="532" t="e">
        <f t="shared" si="30"/>
        <v>#REF!</v>
      </c>
      <c r="T65" s="524" t="e">
        <f>+L65+Q65+N65</f>
        <v>#REF!</v>
      </c>
      <c r="U65" s="533" t="e">
        <f>+'LEAD RECOM INCR'!U65+#REF!</f>
        <v>#REF!</v>
      </c>
      <c r="V65" s="470" t="e">
        <f>+'LEAD RECOM INCR'!V65+#REF!</f>
        <v>#REF!</v>
      </c>
      <c r="W65" s="530" t="e">
        <f>+'LEAD RECOM INCR'!W65+#REF!</f>
        <v>#REF!</v>
      </c>
      <c r="X65" s="533" t="e">
        <f>+'LEAD RECOM INCR'!X65+#REF!</f>
        <v>#REF!</v>
      </c>
      <c r="Y65" s="470" t="e">
        <f>+'LEAD RECOM INCR'!Y65+#REF!</f>
        <v>#REF!</v>
      </c>
      <c r="Z65" s="530" t="e">
        <f>+'LEAD RECOM INCR'!Z65+#REF!</f>
        <v>#REF!</v>
      </c>
      <c r="AA65" s="522" t="e">
        <f t="shared" si="29"/>
        <v>#REF!</v>
      </c>
      <c r="AB65" s="523" t="e">
        <f t="shared" si="29"/>
        <v>#REF!</v>
      </c>
      <c r="AC65" s="534" t="e">
        <f t="shared" si="29"/>
        <v>#REF!</v>
      </c>
      <c r="AD65" s="535" t="e">
        <f>+T65*(1+$AD$11)</f>
        <v>#REF!</v>
      </c>
      <c r="AE65" s="535">
        <f>+L65*$AE$11</f>
        <v>-37065.6</v>
      </c>
      <c r="AF65" s="518" t="e">
        <f t="shared" si="4"/>
        <v>#REF!</v>
      </c>
      <c r="AG65" s="519" t="e">
        <f t="shared" si="5"/>
        <v>#REF!</v>
      </c>
    </row>
    <row r="66" spans="1:33" ht="18">
      <c r="A66" s="551" t="s">
        <v>207</v>
      </c>
      <c r="B66" s="551"/>
      <c r="C66" s="551"/>
      <c r="D66" s="551"/>
      <c r="E66" s="552">
        <v>0</v>
      </c>
      <c r="F66" s="553">
        <v>0</v>
      </c>
      <c r="G66" s="534">
        <v>0</v>
      </c>
      <c r="H66" s="538"/>
      <c r="I66" s="538"/>
      <c r="J66" s="552">
        <v>0</v>
      </c>
      <c r="K66" s="553">
        <v>0</v>
      </c>
      <c r="L66" s="537">
        <v>-7920</v>
      </c>
      <c r="M66" s="543"/>
      <c r="N66" s="716">
        <v>7920</v>
      </c>
      <c r="O66" s="533" t="e">
        <f>+'LEAD RECOM INCR'!O66+#REF!</f>
        <v>#REF!</v>
      </c>
      <c r="P66" s="470" t="e">
        <f>+'LEAD RECOM INCR'!P66+#REF!</f>
        <v>#REF!</v>
      </c>
      <c r="Q66" s="530" t="e">
        <f>+'LEAD RECOM INCR'!Q66+#REF!</f>
        <v>#REF!</v>
      </c>
      <c r="R66" s="531" t="e">
        <f t="shared" si="30"/>
        <v>#REF!</v>
      </c>
      <c r="S66" s="532" t="e">
        <f t="shared" si="30"/>
        <v>#REF!</v>
      </c>
      <c r="T66" s="524" t="e">
        <f>+L66+Q66+N66</f>
        <v>#REF!</v>
      </c>
      <c r="U66" s="533" t="e">
        <f>+'LEAD RECOM INCR'!U66+#REF!</f>
        <v>#REF!</v>
      </c>
      <c r="V66" s="470" t="e">
        <f>+'LEAD RECOM INCR'!V66+#REF!</f>
        <v>#REF!</v>
      </c>
      <c r="W66" s="530" t="e">
        <f>+'LEAD RECOM INCR'!W66+#REF!</f>
        <v>#REF!</v>
      </c>
      <c r="X66" s="533" t="e">
        <f>+'LEAD RECOM INCR'!X66+#REF!</f>
        <v>#REF!</v>
      </c>
      <c r="Y66" s="470" t="e">
        <f>+'LEAD RECOM INCR'!Y66+#REF!</f>
        <v>#REF!</v>
      </c>
      <c r="Z66" s="530" t="e">
        <f>+'LEAD RECOM INCR'!Z66+#REF!</f>
        <v>#REF!</v>
      </c>
      <c r="AA66" s="522" t="e">
        <f t="shared" si="29"/>
        <v>#REF!</v>
      </c>
      <c r="AB66" s="523" t="e">
        <f t="shared" si="29"/>
        <v>#REF!</v>
      </c>
      <c r="AC66" s="534" t="e">
        <f t="shared" si="29"/>
        <v>#REF!</v>
      </c>
      <c r="AD66" s="535"/>
      <c r="AE66" s="535"/>
      <c r="AF66" s="518" t="e">
        <f t="shared" si="4"/>
        <v>#REF!</v>
      </c>
      <c r="AG66" s="519" t="e">
        <f t="shared" si="5"/>
        <v>#REF!</v>
      </c>
    </row>
    <row r="67" spans="1:33" ht="18">
      <c r="A67" s="508" t="s">
        <v>13</v>
      </c>
      <c r="B67" s="508"/>
      <c r="C67" s="508"/>
      <c r="D67" s="508"/>
      <c r="E67" s="556">
        <f>SUM(E68)</f>
        <v>8251</v>
      </c>
      <c r="F67" s="562">
        <f>SUM(F68)</f>
        <v>9655</v>
      </c>
      <c r="G67" s="563">
        <f>SUM(G68)</f>
        <v>1674918</v>
      </c>
      <c r="H67" s="547">
        <f>SUM(H68:H68)</f>
        <v>0</v>
      </c>
      <c r="I67" s="547">
        <f>SUM(I68:I68)</f>
        <v>0</v>
      </c>
      <c r="J67" s="556">
        <f>SUM(J68)</f>
        <v>8138</v>
      </c>
      <c r="K67" s="562">
        <f>SUM(K68)</f>
        <v>9469</v>
      </c>
      <c r="L67" s="566">
        <f>SUM(L68)</f>
        <v>1720207</v>
      </c>
      <c r="M67" s="547">
        <f aca="true" t="shared" si="31" ref="M67:AE67">SUM(M68:M68)</f>
        <v>0</v>
      </c>
      <c r="N67" s="547">
        <f t="shared" si="31"/>
        <v>16284</v>
      </c>
      <c r="O67" s="544" t="e">
        <f t="shared" si="31"/>
        <v>#REF!</v>
      </c>
      <c r="P67" s="545" t="e">
        <f t="shared" si="31"/>
        <v>#REF!</v>
      </c>
      <c r="Q67" s="546" t="e">
        <f t="shared" si="31"/>
        <v>#REF!</v>
      </c>
      <c r="R67" s="544" t="e">
        <f t="shared" si="31"/>
        <v>#REF!</v>
      </c>
      <c r="S67" s="545" t="e">
        <f t="shared" si="31"/>
        <v>#REF!</v>
      </c>
      <c r="T67" s="546" t="e">
        <f t="shared" si="31"/>
        <v>#REF!</v>
      </c>
      <c r="U67" s="548" t="e">
        <f t="shared" si="31"/>
        <v>#REF!</v>
      </c>
      <c r="V67" s="545" t="e">
        <f t="shared" si="31"/>
        <v>#REF!</v>
      </c>
      <c r="W67" s="546" t="e">
        <f t="shared" si="31"/>
        <v>#REF!</v>
      </c>
      <c r="X67" s="544" t="e">
        <f t="shared" si="31"/>
        <v>#REF!</v>
      </c>
      <c r="Y67" s="545" t="e">
        <f t="shared" si="31"/>
        <v>#REF!</v>
      </c>
      <c r="Z67" s="546" t="e">
        <f t="shared" si="31"/>
        <v>#REF!</v>
      </c>
      <c r="AA67" s="544" t="e">
        <f t="shared" si="31"/>
        <v>#REF!</v>
      </c>
      <c r="AB67" s="545" t="e">
        <f t="shared" si="31"/>
        <v>#REF!</v>
      </c>
      <c r="AC67" s="547" t="e">
        <f t="shared" si="31"/>
        <v>#REF!</v>
      </c>
      <c r="AD67" s="549" t="e">
        <f t="shared" si="31"/>
        <v>#REF!</v>
      </c>
      <c r="AE67" s="549">
        <f t="shared" si="31"/>
        <v>1651398.72</v>
      </c>
      <c r="AF67" s="518" t="e">
        <f t="shared" si="4"/>
        <v>#REF!</v>
      </c>
      <c r="AG67" s="519" t="e">
        <f t="shared" si="5"/>
        <v>#REF!</v>
      </c>
    </row>
    <row r="68" spans="1:33" ht="18.75">
      <c r="A68" s="521" t="s">
        <v>116</v>
      </c>
      <c r="E68" s="522">
        <v>8251</v>
      </c>
      <c r="F68" s="523">
        <v>9655</v>
      </c>
      <c r="G68" s="524">
        <v>1674918</v>
      </c>
      <c r="H68" s="525"/>
      <c r="I68" s="525"/>
      <c r="J68" s="522">
        <v>8138</v>
      </c>
      <c r="K68" s="523">
        <f>9466+3</f>
        <v>9469</v>
      </c>
      <c r="L68" s="526">
        <v>1720207</v>
      </c>
      <c r="M68" s="525">
        <v>0</v>
      </c>
      <c r="N68" s="525">
        <v>16284</v>
      </c>
      <c r="O68" s="533" t="e">
        <f>+'LEAD RECOM INCR'!O68+#REF!</f>
        <v>#REF!</v>
      </c>
      <c r="P68" s="470" t="e">
        <f>+'LEAD RECOM INCR'!P68+#REF!</f>
        <v>#REF!</v>
      </c>
      <c r="Q68" s="530" t="e">
        <f>+'LEAD RECOM INCR'!Q68+#REF!</f>
        <v>#REF!</v>
      </c>
      <c r="R68" s="531" t="e">
        <f>+J68+O68</f>
        <v>#REF!</v>
      </c>
      <c r="S68" s="532" t="e">
        <f>+K68+P68</f>
        <v>#REF!</v>
      </c>
      <c r="T68" s="524" t="e">
        <f>+L68+Q68+N68</f>
        <v>#REF!</v>
      </c>
      <c r="U68" s="533" t="e">
        <f>+'LEAD RECOM INCR'!U68+#REF!</f>
        <v>#REF!</v>
      </c>
      <c r="V68" s="470" t="e">
        <f>+'LEAD RECOM INCR'!V68+#REF!</f>
        <v>#REF!</v>
      </c>
      <c r="W68" s="530" t="e">
        <f>+'LEAD RECOM INCR'!W68+#REF!</f>
        <v>#REF!</v>
      </c>
      <c r="X68" s="533" t="e">
        <f>+'LEAD RECOM INCR'!X68+#REF!</f>
        <v>#REF!</v>
      </c>
      <c r="Y68" s="470" t="e">
        <f>+'LEAD RECOM INCR'!Y68+#REF!</f>
        <v>#REF!</v>
      </c>
      <c r="Z68" s="530" t="e">
        <f>+'LEAD RECOM INCR'!Z68+#REF!</f>
        <v>#REF!</v>
      </c>
      <c r="AA68" s="522" t="e">
        <f>+X68+U68+R68</f>
        <v>#REF!</v>
      </c>
      <c r="AB68" s="523" t="e">
        <f>+Y68+V68+S68</f>
        <v>#REF!</v>
      </c>
      <c r="AC68" s="534" t="e">
        <f>+Z68+W68+T68</f>
        <v>#REF!</v>
      </c>
      <c r="AD68" s="535" t="e">
        <f>+T68*(1+$AD$11)</f>
        <v>#REF!</v>
      </c>
      <c r="AE68" s="535">
        <f>+L68*$AE$11</f>
        <v>1651398.72</v>
      </c>
      <c r="AF68" s="518" t="e">
        <f t="shared" si="4"/>
        <v>#REF!</v>
      </c>
      <c r="AG68" s="519" t="e">
        <f t="shared" si="5"/>
        <v>#REF!</v>
      </c>
    </row>
    <row r="69" spans="1:33" ht="18">
      <c r="A69" s="508" t="s">
        <v>34</v>
      </c>
      <c r="B69" s="508"/>
      <c r="C69" s="508"/>
      <c r="D69" s="508"/>
      <c r="E69" s="556">
        <f aca="true" t="shared" si="32" ref="E69:AE69">SUM(E70:E71)</f>
        <v>5128</v>
      </c>
      <c r="F69" s="562">
        <f t="shared" si="32"/>
        <v>5095</v>
      </c>
      <c r="G69" s="563">
        <f t="shared" si="32"/>
        <v>931817</v>
      </c>
      <c r="H69" s="547">
        <f t="shared" si="32"/>
        <v>0</v>
      </c>
      <c r="I69" s="547">
        <f t="shared" si="32"/>
        <v>0</v>
      </c>
      <c r="J69" s="556">
        <f t="shared" si="32"/>
        <v>5148</v>
      </c>
      <c r="K69" s="562">
        <f t="shared" si="32"/>
        <v>5085</v>
      </c>
      <c r="L69" s="566">
        <f t="shared" si="32"/>
        <v>957888</v>
      </c>
      <c r="M69" s="547">
        <f t="shared" si="32"/>
        <v>0</v>
      </c>
      <c r="N69" s="566">
        <f t="shared" si="32"/>
        <v>0</v>
      </c>
      <c r="O69" s="544" t="e">
        <f t="shared" si="32"/>
        <v>#REF!</v>
      </c>
      <c r="P69" s="545" t="e">
        <f t="shared" si="32"/>
        <v>#REF!</v>
      </c>
      <c r="Q69" s="546" t="e">
        <f t="shared" si="32"/>
        <v>#REF!</v>
      </c>
      <c r="R69" s="544" t="e">
        <f t="shared" si="32"/>
        <v>#REF!</v>
      </c>
      <c r="S69" s="545" t="e">
        <f t="shared" si="32"/>
        <v>#REF!</v>
      </c>
      <c r="T69" s="546" t="e">
        <f t="shared" si="32"/>
        <v>#REF!</v>
      </c>
      <c r="U69" s="548" t="e">
        <f t="shared" si="32"/>
        <v>#REF!</v>
      </c>
      <c r="V69" s="545" t="e">
        <f t="shared" si="32"/>
        <v>#REF!</v>
      </c>
      <c r="W69" s="546" t="e">
        <f t="shared" si="32"/>
        <v>#REF!</v>
      </c>
      <c r="X69" s="544" t="e">
        <f t="shared" si="32"/>
        <v>#REF!</v>
      </c>
      <c r="Y69" s="545" t="e">
        <f t="shared" si="32"/>
        <v>#REF!</v>
      </c>
      <c r="Z69" s="546" t="e">
        <f t="shared" si="32"/>
        <v>#REF!</v>
      </c>
      <c r="AA69" s="544" t="e">
        <f t="shared" si="32"/>
        <v>#REF!</v>
      </c>
      <c r="AB69" s="545" t="e">
        <f t="shared" si="32"/>
        <v>#REF!</v>
      </c>
      <c r="AC69" s="547" t="e">
        <f t="shared" si="32"/>
        <v>#REF!</v>
      </c>
      <c r="AD69" s="549" t="e">
        <f t="shared" si="32"/>
        <v>#REF!</v>
      </c>
      <c r="AE69" s="549">
        <f t="shared" si="32"/>
        <v>919572.48</v>
      </c>
      <c r="AF69" s="518" t="e">
        <f t="shared" si="4"/>
        <v>#REF!</v>
      </c>
      <c r="AG69" s="519" t="e">
        <f t="shared" si="5"/>
        <v>#REF!</v>
      </c>
    </row>
    <row r="70" spans="1:33" ht="18.75">
      <c r="A70" s="521" t="s">
        <v>14</v>
      </c>
      <c r="E70" s="522">
        <v>5128</v>
      </c>
      <c r="F70" s="523">
        <v>5095</v>
      </c>
      <c r="G70" s="524">
        <v>931817</v>
      </c>
      <c r="H70" s="525"/>
      <c r="I70" s="525"/>
      <c r="J70" s="522">
        <v>5148</v>
      </c>
      <c r="K70" s="523">
        <v>5085</v>
      </c>
      <c r="L70" s="526">
        <v>957888</v>
      </c>
      <c r="M70" s="525">
        <v>0</v>
      </c>
      <c r="N70" s="525">
        <v>0</v>
      </c>
      <c r="O70" s="533" t="e">
        <f>+'LEAD RECOM INCR'!O70+#REF!</f>
        <v>#REF!</v>
      </c>
      <c r="P70" s="470" t="e">
        <f>+'LEAD RECOM INCR'!P70+#REF!</f>
        <v>#REF!</v>
      </c>
      <c r="Q70" s="530" t="e">
        <f>+'LEAD RECOM INCR'!Q70+#REF!</f>
        <v>#REF!</v>
      </c>
      <c r="R70" s="531" t="e">
        <f>+J70+O70</f>
        <v>#REF!</v>
      </c>
      <c r="S70" s="532" t="e">
        <f>+K70+P70</f>
        <v>#REF!</v>
      </c>
      <c r="T70" s="524" t="e">
        <f>+L70+Q70+N70</f>
        <v>#REF!</v>
      </c>
      <c r="U70" s="533" t="e">
        <f>+'LEAD RECOM INCR'!U70+#REF!</f>
        <v>#REF!</v>
      </c>
      <c r="V70" s="470" t="e">
        <f>+'LEAD RECOM INCR'!V70+#REF!</f>
        <v>#REF!</v>
      </c>
      <c r="W70" s="530" t="e">
        <f>+'LEAD RECOM INCR'!W70+#REF!</f>
        <v>#REF!</v>
      </c>
      <c r="X70" s="533" t="e">
        <f>+'LEAD RECOM INCR'!X70+#REF!</f>
        <v>#REF!</v>
      </c>
      <c r="Y70" s="470" t="e">
        <f>+'LEAD RECOM INCR'!Y70+#REF!</f>
        <v>#REF!</v>
      </c>
      <c r="Z70" s="530" t="e">
        <f>+'LEAD RECOM INCR'!Z70+#REF!</f>
        <v>#REF!</v>
      </c>
      <c r="AA70" s="522" t="e">
        <f aca="true" t="shared" si="33" ref="AA70:AC71">+X70+U70+R70</f>
        <v>#REF!</v>
      </c>
      <c r="AB70" s="523" t="e">
        <f t="shared" si="33"/>
        <v>#REF!</v>
      </c>
      <c r="AC70" s="534" t="e">
        <f t="shared" si="33"/>
        <v>#REF!</v>
      </c>
      <c r="AD70" s="535" t="e">
        <f>+T70*(1+$AD$11)</f>
        <v>#REF!</v>
      </c>
      <c r="AE70" s="535">
        <f>+L70*$AE$11</f>
        <v>919572.48</v>
      </c>
      <c r="AF70" s="518" t="e">
        <f t="shared" si="4"/>
        <v>#REF!</v>
      </c>
      <c r="AG70" s="519" t="e">
        <f t="shared" si="5"/>
        <v>#REF!</v>
      </c>
    </row>
    <row r="71" spans="1:33" ht="18">
      <c r="A71" s="467" t="s">
        <v>68</v>
      </c>
      <c r="B71" s="467"/>
      <c r="C71" s="467"/>
      <c r="D71" s="467"/>
      <c r="E71" s="522"/>
      <c r="F71" s="523"/>
      <c r="G71" s="524">
        <v>0</v>
      </c>
      <c r="H71" s="525"/>
      <c r="I71" s="525"/>
      <c r="J71" s="522">
        <v>0</v>
      </c>
      <c r="K71" s="523">
        <v>0</v>
      </c>
      <c r="L71" s="526">
        <v>0</v>
      </c>
      <c r="M71" s="527"/>
      <c r="N71" s="525">
        <v>0</v>
      </c>
      <c r="O71" s="533" t="e">
        <f>+'LEAD RECOM INCR'!O71+#REF!</f>
        <v>#REF!</v>
      </c>
      <c r="P71" s="470" t="e">
        <f>+'LEAD RECOM INCR'!P71+#REF!</f>
        <v>#REF!</v>
      </c>
      <c r="Q71" s="530" t="e">
        <f>+'LEAD RECOM INCR'!Q71+#REF!</f>
        <v>#REF!</v>
      </c>
      <c r="R71" s="531" t="e">
        <f>+J71+O71</f>
        <v>#REF!</v>
      </c>
      <c r="S71" s="532" t="e">
        <f>+K71+P71</f>
        <v>#REF!</v>
      </c>
      <c r="T71" s="524" t="e">
        <f>+L71+Q71+N71</f>
        <v>#REF!</v>
      </c>
      <c r="U71" s="533" t="e">
        <f>+'LEAD RECOM INCR'!U71+#REF!</f>
        <v>#REF!</v>
      </c>
      <c r="V71" s="470" t="e">
        <f>+'LEAD RECOM INCR'!V71+#REF!</f>
        <v>#REF!</v>
      </c>
      <c r="W71" s="530" t="e">
        <f>+'LEAD RECOM INCR'!W71+#REF!</f>
        <v>#REF!</v>
      </c>
      <c r="X71" s="533" t="e">
        <f>+'LEAD RECOM INCR'!X71+#REF!</f>
        <v>#REF!</v>
      </c>
      <c r="Y71" s="470" t="e">
        <f>+'LEAD RECOM INCR'!Y71+#REF!</f>
        <v>#REF!</v>
      </c>
      <c r="Z71" s="530" t="e">
        <f>+'LEAD RECOM INCR'!Z71+#REF!</f>
        <v>#REF!</v>
      </c>
      <c r="AA71" s="522" t="e">
        <f t="shared" si="33"/>
        <v>#REF!</v>
      </c>
      <c r="AB71" s="523" t="e">
        <f t="shared" si="33"/>
        <v>#REF!</v>
      </c>
      <c r="AC71" s="534" t="e">
        <f t="shared" si="33"/>
        <v>#REF!</v>
      </c>
      <c r="AD71" s="535" t="e">
        <f>+T71*(1+$AD$11)</f>
        <v>#REF!</v>
      </c>
      <c r="AE71" s="535">
        <f>+L71*$AE$11</f>
        <v>0</v>
      </c>
      <c r="AF71" s="518" t="e">
        <f t="shared" si="4"/>
        <v>#REF!</v>
      </c>
      <c r="AG71" s="519" t="s">
        <v>198</v>
      </c>
    </row>
    <row r="72" spans="1:33" ht="18">
      <c r="A72" s="508" t="s">
        <v>15</v>
      </c>
      <c r="B72" s="508"/>
      <c r="C72" s="508"/>
      <c r="D72" s="508"/>
      <c r="E72" s="556">
        <f aca="true" t="shared" si="34" ref="E72:AE72">SUM(E73:E75)</f>
        <v>41952</v>
      </c>
      <c r="F72" s="562">
        <f t="shared" si="34"/>
        <v>38845</v>
      </c>
      <c r="G72" s="563">
        <f t="shared" si="34"/>
        <v>4930121</v>
      </c>
      <c r="H72" s="547">
        <f t="shared" si="34"/>
        <v>0</v>
      </c>
      <c r="I72" s="547">
        <f t="shared" si="34"/>
        <v>0</v>
      </c>
      <c r="J72" s="556">
        <f t="shared" si="34"/>
        <v>40136</v>
      </c>
      <c r="K72" s="562">
        <f t="shared" si="34"/>
        <v>37309</v>
      </c>
      <c r="L72" s="566">
        <f t="shared" si="34"/>
        <v>5136743</v>
      </c>
      <c r="M72" s="547">
        <f t="shared" si="34"/>
        <v>0</v>
      </c>
      <c r="N72" s="547">
        <f t="shared" si="34"/>
        <v>50322</v>
      </c>
      <c r="O72" s="544" t="e">
        <f t="shared" si="34"/>
        <v>#REF!</v>
      </c>
      <c r="P72" s="545" t="e">
        <f t="shared" si="34"/>
        <v>#REF!</v>
      </c>
      <c r="Q72" s="546" t="e">
        <f t="shared" si="34"/>
        <v>#REF!</v>
      </c>
      <c r="R72" s="544" t="e">
        <f t="shared" si="34"/>
        <v>#REF!</v>
      </c>
      <c r="S72" s="545" t="e">
        <f t="shared" si="34"/>
        <v>#REF!</v>
      </c>
      <c r="T72" s="546" t="e">
        <f t="shared" si="34"/>
        <v>#REF!</v>
      </c>
      <c r="U72" s="548" t="e">
        <f t="shared" si="34"/>
        <v>#REF!</v>
      </c>
      <c r="V72" s="545" t="e">
        <f t="shared" si="34"/>
        <v>#REF!</v>
      </c>
      <c r="W72" s="546" t="e">
        <f t="shared" si="34"/>
        <v>#REF!</v>
      </c>
      <c r="X72" s="544" t="e">
        <f t="shared" si="34"/>
        <v>#REF!</v>
      </c>
      <c r="Y72" s="545" t="e">
        <f t="shared" si="34"/>
        <v>#REF!</v>
      </c>
      <c r="Z72" s="546" t="e">
        <f t="shared" si="34"/>
        <v>#REF!</v>
      </c>
      <c r="AA72" s="544" t="e">
        <f t="shared" si="34"/>
        <v>#REF!</v>
      </c>
      <c r="AB72" s="546" t="e">
        <f>SUM(AB73:AB75)</f>
        <v>#REF!</v>
      </c>
      <c r="AC72" s="546" t="e">
        <f t="shared" si="34"/>
        <v>#REF!</v>
      </c>
      <c r="AD72" s="549" t="e">
        <f t="shared" si="34"/>
        <v>#REF!</v>
      </c>
      <c r="AE72" s="549">
        <f t="shared" si="34"/>
        <v>4931273.279999999</v>
      </c>
      <c r="AF72" s="518" t="e">
        <f t="shared" si="4"/>
        <v>#REF!</v>
      </c>
      <c r="AG72" s="519" t="e">
        <f t="shared" si="5"/>
        <v>#REF!</v>
      </c>
    </row>
    <row r="73" spans="1:33" ht="18.75">
      <c r="A73" s="521" t="s">
        <v>16</v>
      </c>
      <c r="E73" s="522">
        <v>41682</v>
      </c>
      <c r="F73" s="523">
        <v>38594</v>
      </c>
      <c r="G73" s="524">
        <v>4830160</v>
      </c>
      <c r="H73" s="525"/>
      <c r="I73" s="525"/>
      <c r="J73" s="522">
        <v>39873</v>
      </c>
      <c r="K73" s="523">
        <v>37062</v>
      </c>
      <c r="L73" s="526">
        <v>4936737</v>
      </c>
      <c r="M73" s="525"/>
      <c r="N73" s="525">
        <f>50322</f>
        <v>50322</v>
      </c>
      <c r="O73" s="533" t="e">
        <f>+'LEAD RECOM INCR'!O73+#REF!</f>
        <v>#REF!</v>
      </c>
      <c r="P73" s="470" t="e">
        <f>+'LEAD RECOM INCR'!P73+#REF!</f>
        <v>#REF!</v>
      </c>
      <c r="Q73" s="530" t="e">
        <f>+'LEAD RECOM INCR'!Q73+#REF!</f>
        <v>#REF!</v>
      </c>
      <c r="R73" s="531" t="e">
        <f aca="true" t="shared" si="35" ref="R73:S75">+J73+O73</f>
        <v>#REF!</v>
      </c>
      <c r="S73" s="532" t="e">
        <f t="shared" si="35"/>
        <v>#REF!</v>
      </c>
      <c r="T73" s="524" t="e">
        <f>+L73+Q73+N73</f>
        <v>#REF!</v>
      </c>
      <c r="U73" s="533" t="e">
        <f>+'LEAD RECOM INCR'!U73+#REF!</f>
        <v>#REF!</v>
      </c>
      <c r="V73" s="470" t="e">
        <f>+'LEAD RECOM INCR'!V73+#REF!</f>
        <v>#REF!</v>
      </c>
      <c r="W73" s="530" t="e">
        <f>+'LEAD RECOM INCR'!W73+#REF!</f>
        <v>#REF!</v>
      </c>
      <c r="X73" s="533" t="e">
        <f>+'LEAD RECOM INCR'!X73+#REF!</f>
        <v>#REF!</v>
      </c>
      <c r="Y73" s="470" t="e">
        <f>+'LEAD RECOM INCR'!Y73+#REF!</f>
        <v>#REF!</v>
      </c>
      <c r="Z73" s="530" t="e">
        <f>+'LEAD RECOM INCR'!Z73+#REF!</f>
        <v>#REF!</v>
      </c>
      <c r="AA73" s="522" t="e">
        <f aca="true" t="shared" si="36" ref="AA73:AC75">+X73+U73+R73</f>
        <v>#REF!</v>
      </c>
      <c r="AB73" s="523" t="e">
        <f t="shared" si="36"/>
        <v>#REF!</v>
      </c>
      <c r="AC73" s="534" t="e">
        <f t="shared" si="36"/>
        <v>#REF!</v>
      </c>
      <c r="AD73" s="535" t="e">
        <f>+T73*(1+$AD$11)</f>
        <v>#REF!</v>
      </c>
      <c r="AE73" s="535">
        <f>+L73*$AE$11</f>
        <v>4739267.52</v>
      </c>
      <c r="AF73" s="518" t="e">
        <f t="shared" si="4"/>
        <v>#REF!</v>
      </c>
      <c r="AG73" s="519" t="e">
        <f t="shared" si="5"/>
        <v>#REF!</v>
      </c>
    </row>
    <row r="74" spans="1:33" ht="18.75">
      <c r="A74" s="521" t="s">
        <v>72</v>
      </c>
      <c r="E74" s="522">
        <v>270</v>
      </c>
      <c r="F74" s="523">
        <v>251</v>
      </c>
      <c r="G74" s="524">
        <v>99961</v>
      </c>
      <c r="H74" s="525"/>
      <c r="I74" s="525"/>
      <c r="J74" s="522">
        <v>263</v>
      </c>
      <c r="K74" s="523">
        <v>247</v>
      </c>
      <c r="L74" s="526">
        <v>200006</v>
      </c>
      <c r="M74" s="525">
        <v>0</v>
      </c>
      <c r="N74" s="525">
        <v>0</v>
      </c>
      <c r="O74" s="533" t="e">
        <f>+'LEAD RECOM INCR'!O74+#REF!</f>
        <v>#REF!</v>
      </c>
      <c r="P74" s="470" t="e">
        <f>+'LEAD RECOM INCR'!P74+#REF!</f>
        <v>#REF!</v>
      </c>
      <c r="Q74" s="530" t="e">
        <f>+'LEAD RECOM INCR'!Q74+#REF!</f>
        <v>#REF!</v>
      </c>
      <c r="R74" s="531" t="e">
        <f t="shared" si="35"/>
        <v>#REF!</v>
      </c>
      <c r="S74" s="532" t="e">
        <f t="shared" si="35"/>
        <v>#REF!</v>
      </c>
      <c r="T74" s="524" t="e">
        <f>+L74+Q74+N74</f>
        <v>#REF!</v>
      </c>
      <c r="U74" s="533" t="e">
        <f>+'LEAD RECOM INCR'!U74+#REF!</f>
        <v>#REF!</v>
      </c>
      <c r="V74" s="470" t="e">
        <f>+'LEAD RECOM INCR'!V74+#REF!</f>
        <v>#REF!</v>
      </c>
      <c r="W74" s="530" t="e">
        <f>+'LEAD RECOM INCR'!W74+#REF!</f>
        <v>#REF!</v>
      </c>
      <c r="X74" s="533" t="e">
        <f>+'LEAD RECOM INCR'!X74+#REF!</f>
        <v>#REF!</v>
      </c>
      <c r="Y74" s="470" t="e">
        <f>+'LEAD RECOM INCR'!Y74+#REF!</f>
        <v>#REF!</v>
      </c>
      <c r="Z74" s="530" t="e">
        <f>+'LEAD RECOM INCR'!Z74+#REF!</f>
        <v>#REF!</v>
      </c>
      <c r="AA74" s="522" t="e">
        <f t="shared" si="36"/>
        <v>#REF!</v>
      </c>
      <c r="AB74" s="523" t="e">
        <f t="shared" si="36"/>
        <v>#REF!</v>
      </c>
      <c r="AC74" s="534" t="e">
        <f t="shared" si="36"/>
        <v>#REF!</v>
      </c>
      <c r="AD74" s="535" t="e">
        <f>+T74*(1+$AD$11)</f>
        <v>#REF!</v>
      </c>
      <c r="AE74" s="535">
        <f>+L74*$AE$11</f>
        <v>192005.75999999998</v>
      </c>
      <c r="AF74" s="518" t="e">
        <f t="shared" si="4"/>
        <v>#REF!</v>
      </c>
      <c r="AG74" s="519" t="e">
        <f t="shared" si="5"/>
        <v>#REF!</v>
      </c>
    </row>
    <row r="75" spans="1:33" ht="18.75">
      <c r="A75" s="555" t="s">
        <v>136</v>
      </c>
      <c r="B75" s="555"/>
      <c r="C75" s="555"/>
      <c r="D75" s="555"/>
      <c r="E75" s="522">
        <v>0</v>
      </c>
      <c r="F75" s="523">
        <v>0</v>
      </c>
      <c r="G75" s="524">
        <v>0</v>
      </c>
      <c r="H75" s="525"/>
      <c r="I75" s="525"/>
      <c r="J75" s="522">
        <v>0</v>
      </c>
      <c r="K75" s="523">
        <v>0</v>
      </c>
      <c r="L75" s="526"/>
      <c r="M75" s="527"/>
      <c r="N75" s="525"/>
      <c r="O75" s="533" t="e">
        <f>+'LEAD RECOM INCR'!O75+#REF!</f>
        <v>#REF!</v>
      </c>
      <c r="P75" s="470" t="e">
        <f>+'LEAD RECOM INCR'!P75+#REF!</f>
        <v>#REF!</v>
      </c>
      <c r="Q75" s="530" t="e">
        <f>+'LEAD RECOM INCR'!Q75+#REF!</f>
        <v>#REF!</v>
      </c>
      <c r="R75" s="531" t="e">
        <f t="shared" si="35"/>
        <v>#REF!</v>
      </c>
      <c r="S75" s="532" t="e">
        <f t="shared" si="35"/>
        <v>#REF!</v>
      </c>
      <c r="T75" s="524" t="e">
        <f>+L75+Q75+N75</f>
        <v>#REF!</v>
      </c>
      <c r="U75" s="533" t="e">
        <f>+'LEAD RECOM INCR'!U75+#REF!</f>
        <v>#REF!</v>
      </c>
      <c r="V75" s="470" t="e">
        <f>+'LEAD RECOM INCR'!V75+#REF!</f>
        <v>#REF!</v>
      </c>
      <c r="W75" s="530" t="e">
        <f>+'LEAD RECOM INCR'!W75+#REF!</f>
        <v>#REF!</v>
      </c>
      <c r="X75" s="533" t="e">
        <f>+'LEAD RECOM INCR'!X75+#REF!</f>
        <v>#REF!</v>
      </c>
      <c r="Y75" s="470" t="e">
        <f>+'LEAD RECOM INCR'!Y75+#REF!</f>
        <v>#REF!</v>
      </c>
      <c r="Z75" s="530" t="e">
        <f>+'LEAD RECOM INCR'!Z75+#REF!</f>
        <v>#REF!</v>
      </c>
      <c r="AA75" s="522" t="e">
        <f t="shared" si="36"/>
        <v>#REF!</v>
      </c>
      <c r="AB75" s="523" t="e">
        <f t="shared" si="36"/>
        <v>#REF!</v>
      </c>
      <c r="AC75" s="534" t="e">
        <f t="shared" si="36"/>
        <v>#REF!</v>
      </c>
      <c r="AD75" s="535" t="e">
        <f>+T75*(1+$AD$11)</f>
        <v>#REF!</v>
      </c>
      <c r="AE75" s="584">
        <v>0</v>
      </c>
      <c r="AF75" s="518" t="e">
        <f t="shared" si="4"/>
        <v>#REF!</v>
      </c>
      <c r="AG75" s="519" t="s">
        <v>198</v>
      </c>
    </row>
    <row r="76" spans="1:33" ht="18.75">
      <c r="A76" s="476" t="s">
        <v>76</v>
      </c>
      <c r="B76" s="521"/>
      <c r="C76" s="521"/>
      <c r="D76" s="521"/>
      <c r="E76" s="531" t="s">
        <v>60</v>
      </c>
      <c r="F76" s="523">
        <v>2295</v>
      </c>
      <c r="G76" s="524">
        <v>3322</v>
      </c>
      <c r="H76" s="525"/>
      <c r="I76" s="525"/>
      <c r="J76" s="531" t="s">
        <v>67</v>
      </c>
      <c r="K76" s="523">
        <v>1914</v>
      </c>
      <c r="L76" s="526">
        <v>2414</v>
      </c>
      <c r="M76" s="527"/>
      <c r="N76" s="525">
        <v>0</v>
      </c>
      <c r="O76" s="533" t="e">
        <f>+'LEAD RECOM INCR'!O76+#REF!</f>
        <v>#REF!</v>
      </c>
      <c r="P76" s="470" t="e">
        <f>+'LEAD RECOM INCR'!P76+#REF!</f>
        <v>#REF!</v>
      </c>
      <c r="Q76" s="530">
        <v>0</v>
      </c>
      <c r="R76" s="531" t="s">
        <v>67</v>
      </c>
      <c r="S76" s="532" t="e">
        <f>+K76+P76</f>
        <v>#REF!</v>
      </c>
      <c r="T76" s="524">
        <f>+L76</f>
        <v>2414</v>
      </c>
      <c r="U76" s="533">
        <v>0</v>
      </c>
      <c r="V76" s="470" t="e">
        <f>+'LEAD RECOM INCR'!V76+#REF!</f>
        <v>#REF!</v>
      </c>
      <c r="W76" s="530">
        <v>0</v>
      </c>
      <c r="X76" s="533" t="e">
        <f>+'LEAD RECOM INCR'!X76+#REF!</f>
        <v>#REF!</v>
      </c>
      <c r="Y76" s="470" t="e">
        <f>+'LEAD RECOM INCR'!Y76+#REF!</f>
        <v>#REF!</v>
      </c>
      <c r="Z76" s="530" t="e">
        <f>+'LEAD RECOM INCR'!Z76+#REF!</f>
        <v>#REF!</v>
      </c>
      <c r="AA76" s="531" t="s">
        <v>192</v>
      </c>
      <c r="AB76" s="523" t="e">
        <f>+Y76+V76+S76</f>
        <v>#REF!</v>
      </c>
      <c r="AC76" s="534">
        <f>+T76</f>
        <v>2414</v>
      </c>
      <c r="AD76" s="535">
        <f>+T76*(1+$AD$11)</f>
        <v>2510.56</v>
      </c>
      <c r="AE76" s="535">
        <f>+L76*$AE$11</f>
        <v>2317.44</v>
      </c>
      <c r="AF76" s="518">
        <f t="shared" si="4"/>
        <v>0</v>
      </c>
      <c r="AG76" s="519">
        <f t="shared" si="5"/>
        <v>0</v>
      </c>
    </row>
    <row r="77" spans="1:33" ht="18.75" thickBot="1">
      <c r="A77" s="476" t="s">
        <v>61</v>
      </c>
      <c r="E77" s="531" t="s">
        <v>48</v>
      </c>
      <c r="F77" s="523">
        <v>724</v>
      </c>
      <c r="G77" s="524">
        <v>0</v>
      </c>
      <c r="H77" s="525"/>
      <c r="I77" s="525"/>
      <c r="J77" s="531" t="s">
        <v>149</v>
      </c>
      <c r="K77" s="523">
        <v>695</v>
      </c>
      <c r="L77" s="526">
        <f>SUM(G77+H77)</f>
        <v>0</v>
      </c>
      <c r="M77" s="527"/>
      <c r="N77" s="525">
        <v>0</v>
      </c>
      <c r="O77" s="533" t="e">
        <f>+'LEAD RECOM INCR'!O77+#REF!</f>
        <v>#REF!</v>
      </c>
      <c r="P77" s="470" t="e">
        <f>+'LEAD RECOM INCR'!P77+#REF!</f>
        <v>#REF!</v>
      </c>
      <c r="Q77" s="530" t="e">
        <f>+'LEAD RECOM INCR'!Q77+#REF!</f>
        <v>#REF!</v>
      </c>
      <c r="R77" s="531" t="s">
        <v>149</v>
      </c>
      <c r="S77" s="532" t="e">
        <f>+K77+P77</f>
        <v>#REF!</v>
      </c>
      <c r="T77" s="524" t="e">
        <f>+L77+Q77+N77</f>
        <v>#REF!</v>
      </c>
      <c r="U77" s="533">
        <v>0</v>
      </c>
      <c r="V77" s="470" t="e">
        <f>+'LEAD RECOM INCR'!V77+#REF!</f>
        <v>#REF!</v>
      </c>
      <c r="W77" s="530" t="e">
        <f>+'LEAD RECOM INCR'!W77+#REF!</f>
        <v>#REF!</v>
      </c>
      <c r="X77" s="533" t="e">
        <f>+'LEAD RECOM INCR'!X77+#REF!</f>
        <v>#REF!</v>
      </c>
      <c r="Y77" s="470" t="e">
        <f>+'LEAD RECOM INCR'!Y77+#REF!</f>
        <v>#REF!</v>
      </c>
      <c r="Z77" s="530" t="e">
        <f>+'LEAD RECOM INCR'!Z77+#REF!</f>
        <v>#REF!</v>
      </c>
      <c r="AA77" s="531" t="s">
        <v>190</v>
      </c>
      <c r="AB77" s="523" t="e">
        <f>+Y77+V77+S77</f>
        <v>#REF!</v>
      </c>
      <c r="AC77" s="534" t="e">
        <f>+Z77+W77+T77</f>
        <v>#REF!</v>
      </c>
      <c r="AD77" s="535" t="e">
        <f>+T77*(1+$AD$11)</f>
        <v>#REF!</v>
      </c>
      <c r="AE77" s="535">
        <f>+L77*$AE$11</f>
        <v>0</v>
      </c>
      <c r="AF77" s="518" t="e">
        <f aca="true" t="shared" si="37" ref="AF77:AF109">+AC77-L77</f>
        <v>#REF!</v>
      </c>
      <c r="AG77" s="519" t="s">
        <v>198</v>
      </c>
    </row>
    <row r="78" spans="1:115" ht="19.5" thickBot="1" thickTop="1">
      <c r="A78" s="585" t="s">
        <v>58</v>
      </c>
      <c r="B78" s="586"/>
      <c r="C78" s="586"/>
      <c r="D78" s="586"/>
      <c r="E78" s="587">
        <f>SUM(E12,E15:E16,E17:E18,E19:E20,E23,E26:E27,E31:E33,E43:E52,E55:E56,E58:E59,E60,E67:E67,E69,E72,E76,E77)</f>
        <v>107936</v>
      </c>
      <c r="F78" s="587">
        <f>SUM(F12,F15:F16,F17:F18,F19:F20,F23,F26:F27,F31:F33,F43:F52,F55:F56,F58:F59,F60,F67:F67,F69,F72,F76,F77)</f>
        <v>115303</v>
      </c>
      <c r="G78" s="587">
        <f>SUM(G12,G15:G16,G17:G18,G19:G20,G23,G26:G27,G31:G33,G43:G52,G55:G56,G58:G59,G60,G67:G67,G69,G72,G76,G77)</f>
        <v>18624990</v>
      </c>
      <c r="H78" s="587">
        <f>SUM(H12,H15:H16,H17:H18,H19:H20,H23,H26:H27,H31:H33,H43:H52,H55:H56,H58:H59,H60,H67:H67,H69,H72,H76,H77)</f>
        <v>0</v>
      </c>
      <c r="I78" s="587">
        <f>SUM(I12,I15:I16,I17:I18,I19:I20,I23,I26:I27,I31:I33,I43:I52,I55:I56,I58:I59,I60,I67:I67,I69,I72,I76,I77)</f>
        <v>0</v>
      </c>
      <c r="J78" s="587">
        <f aca="true" t="shared" si="38" ref="J78:AC78">SUM(J12,J15:J16,J17:J18,J19:J20,J23,J26:J27,J31:J33,J43:J52,J55:J56,J58:J59,J60,J65,J66,J67,J69,J72,J76,J77)</f>
        <v>106598</v>
      </c>
      <c r="K78" s="587">
        <f t="shared" si="38"/>
        <v>114458</v>
      </c>
      <c r="L78" s="587">
        <f t="shared" si="38"/>
        <v>19209046</v>
      </c>
      <c r="M78" s="587">
        <f t="shared" si="38"/>
        <v>0</v>
      </c>
      <c r="N78" s="587">
        <f t="shared" si="38"/>
        <v>539932</v>
      </c>
      <c r="O78" s="587" t="e">
        <f t="shared" si="38"/>
        <v>#REF!</v>
      </c>
      <c r="P78" s="587" t="e">
        <f t="shared" si="38"/>
        <v>#REF!</v>
      </c>
      <c r="Q78" s="587" t="e">
        <f t="shared" si="38"/>
        <v>#REF!</v>
      </c>
      <c r="R78" s="587" t="e">
        <f t="shared" si="38"/>
        <v>#REF!</v>
      </c>
      <c r="S78" s="587" t="e">
        <f t="shared" si="38"/>
        <v>#REF!</v>
      </c>
      <c r="T78" s="587" t="e">
        <f t="shared" si="38"/>
        <v>#REF!</v>
      </c>
      <c r="U78" s="587" t="e">
        <f t="shared" si="38"/>
        <v>#REF!</v>
      </c>
      <c r="V78" s="587" t="e">
        <f t="shared" si="38"/>
        <v>#REF!</v>
      </c>
      <c r="W78" s="587" t="e">
        <f t="shared" si="38"/>
        <v>#REF!</v>
      </c>
      <c r="X78" s="587" t="e">
        <f t="shared" si="38"/>
        <v>#REF!</v>
      </c>
      <c r="Y78" s="587" t="e">
        <f t="shared" si="38"/>
        <v>#REF!</v>
      </c>
      <c r="Z78" s="587" t="e">
        <f t="shared" si="38"/>
        <v>#REF!</v>
      </c>
      <c r="AA78" s="587" t="e">
        <f t="shared" si="38"/>
        <v>#REF!</v>
      </c>
      <c r="AB78" s="587" t="e">
        <f t="shared" si="38"/>
        <v>#REF!</v>
      </c>
      <c r="AC78" s="587" t="e">
        <f t="shared" si="38"/>
        <v>#REF!</v>
      </c>
      <c r="AD78" s="587" t="e">
        <f>SUM(AD12,AD15:AD16,AD17:AD18,AD19:AD20,AD23,AD26:AD27,AD31:AD33,AD43:AD52,AD55:AD56,AD58:AD59,AD60,AD67:AD67,AD69,AD72,AD76,AD77)</f>
        <v>#REF!</v>
      </c>
      <c r="AE78" s="587">
        <f>SUM(AE12,AE15:AE16,AE17:AE18,AE19:AE20,AE23,AE26:AE27,AE31:AE33,AE43:AE52,AE55:AE56,AE58:AE59,AE60,AE67:AE67,AE69,AE72,AE76,AE77)</f>
        <v>16724967.4</v>
      </c>
      <c r="AF78" s="518" t="e">
        <f t="shared" si="37"/>
        <v>#REF!</v>
      </c>
      <c r="AG78" s="519" t="e">
        <f aca="true" t="shared" si="39" ref="AG78:AG109">+AF78/L78</f>
        <v>#REF!</v>
      </c>
      <c r="AH78" s="588"/>
      <c r="AI78" s="588"/>
      <c r="AJ78" s="588"/>
      <c r="AK78" s="588"/>
      <c r="AL78" s="588"/>
      <c r="AM78" s="588"/>
      <c r="AN78" s="588"/>
      <c r="AO78" s="588"/>
      <c r="AP78" s="588"/>
      <c r="AQ78" s="588"/>
      <c r="AR78" s="588"/>
      <c r="AS78" s="588"/>
      <c r="AT78" s="588"/>
      <c r="AU78" s="588"/>
      <c r="AV78" s="588"/>
      <c r="AW78" s="588"/>
      <c r="AX78" s="588"/>
      <c r="AY78" s="588"/>
      <c r="AZ78" s="588"/>
      <c r="BA78" s="588"/>
      <c r="BB78" s="588"/>
      <c r="BC78" s="588"/>
      <c r="BD78" s="588"/>
      <c r="BE78" s="588"/>
      <c r="BF78" s="588"/>
      <c r="BG78" s="588"/>
      <c r="BH78" s="588"/>
      <c r="BI78" s="588"/>
      <c r="BJ78" s="588"/>
      <c r="BK78" s="588"/>
      <c r="BL78" s="588"/>
      <c r="BM78" s="588"/>
      <c r="BN78" s="588"/>
      <c r="BO78" s="588"/>
      <c r="BP78" s="588"/>
      <c r="BQ78" s="588"/>
      <c r="BR78" s="588"/>
      <c r="BS78" s="588"/>
      <c r="BT78" s="588"/>
      <c r="BU78" s="588"/>
      <c r="BV78" s="588"/>
      <c r="BW78" s="588"/>
      <c r="BX78" s="588"/>
      <c r="BY78" s="588"/>
      <c r="BZ78" s="588"/>
      <c r="CA78" s="588"/>
      <c r="CB78" s="588"/>
      <c r="CC78" s="588"/>
      <c r="CD78" s="470"/>
      <c r="CE78" s="588"/>
      <c r="CF78" s="588"/>
      <c r="CG78" s="588"/>
      <c r="CH78" s="470"/>
      <c r="CI78" s="470"/>
      <c r="CJ78" s="470"/>
      <c r="CK78" s="470"/>
      <c r="CL78" s="470"/>
      <c r="CM78" s="470"/>
      <c r="CN78" s="470"/>
      <c r="CO78" s="470"/>
      <c r="CP78" s="470"/>
      <c r="CQ78" s="470"/>
      <c r="CR78" s="470"/>
      <c r="CS78" s="470"/>
      <c r="CT78" s="470"/>
      <c r="CU78" s="470"/>
      <c r="CV78" s="470"/>
      <c r="CW78" s="470"/>
      <c r="CX78" s="470"/>
      <c r="CY78" s="470"/>
      <c r="CZ78" s="470"/>
      <c r="DA78" s="470"/>
      <c r="DB78" s="470"/>
      <c r="DC78" s="470"/>
      <c r="DD78" s="470"/>
      <c r="DE78" s="470"/>
      <c r="DF78" s="470"/>
      <c r="DG78" s="470"/>
      <c r="DH78" s="470"/>
      <c r="DI78" s="470"/>
      <c r="DJ78" s="470"/>
      <c r="DK78" s="470"/>
    </row>
    <row r="79" spans="1:33" ht="19.5" thickBot="1" thickTop="1">
      <c r="A79" s="508" t="s">
        <v>53</v>
      </c>
      <c r="B79" s="508"/>
      <c r="C79" s="508"/>
      <c r="D79" s="508"/>
      <c r="E79" s="556">
        <f>+E80+E92+E95+E96</f>
        <v>901</v>
      </c>
      <c r="F79" s="556">
        <f>+F80+F92+F95+F96</f>
        <v>918</v>
      </c>
      <c r="G79" s="556">
        <f>+G80+G92+G95+G96</f>
        <v>2536680</v>
      </c>
      <c r="H79" s="556">
        <f>+H80+H92+H95+H96</f>
        <v>0</v>
      </c>
      <c r="I79" s="556">
        <f>+I80+I92+I95+I96</f>
        <v>0</v>
      </c>
      <c r="J79" s="707">
        <f>+J80+J92+J95</f>
        <v>908</v>
      </c>
      <c r="K79" s="708">
        <f>+K80+K92+K95</f>
        <v>925</v>
      </c>
      <c r="L79" s="697">
        <f>+L80+L92+L95</f>
        <v>2216751</v>
      </c>
      <c r="M79" s="556">
        <v>0</v>
      </c>
      <c r="N79" s="556">
        <f aca="true" t="shared" si="40" ref="N79:AC79">+N80+N92+N95</f>
        <v>252451</v>
      </c>
      <c r="O79" s="590" t="e">
        <f t="shared" si="40"/>
        <v>#REF!</v>
      </c>
      <c r="P79" s="591" t="e">
        <f t="shared" si="40"/>
        <v>#REF!</v>
      </c>
      <c r="Q79" s="592" t="e">
        <f t="shared" si="40"/>
        <v>#REF!</v>
      </c>
      <c r="R79" s="590" t="e">
        <f t="shared" si="40"/>
        <v>#REF!</v>
      </c>
      <c r="S79" s="591" t="e">
        <f t="shared" si="40"/>
        <v>#REF!</v>
      </c>
      <c r="T79" s="592" t="e">
        <f t="shared" si="40"/>
        <v>#REF!</v>
      </c>
      <c r="U79" s="590" t="e">
        <f t="shared" si="40"/>
        <v>#REF!</v>
      </c>
      <c r="V79" s="591" t="e">
        <f t="shared" si="40"/>
        <v>#REF!</v>
      </c>
      <c r="W79" s="592" t="e">
        <f t="shared" si="40"/>
        <v>#REF!</v>
      </c>
      <c r="X79" s="590" t="e">
        <f t="shared" si="40"/>
        <v>#REF!</v>
      </c>
      <c r="Y79" s="591" t="e">
        <f t="shared" si="40"/>
        <v>#REF!</v>
      </c>
      <c r="Z79" s="592" t="e">
        <f t="shared" si="40"/>
        <v>#REF!</v>
      </c>
      <c r="AA79" s="590" t="e">
        <f t="shared" si="40"/>
        <v>#REF!</v>
      </c>
      <c r="AB79" s="591" t="e">
        <f t="shared" si="40"/>
        <v>#REF!</v>
      </c>
      <c r="AC79" s="592" t="e">
        <f t="shared" si="40"/>
        <v>#REF!</v>
      </c>
      <c r="AD79" s="593" t="e">
        <f>+AD80+AD92+AD95+AD96</f>
        <v>#REF!</v>
      </c>
      <c r="AE79" s="593">
        <f>+AE80+AE92+AE95+AE96</f>
        <v>2309845.44</v>
      </c>
      <c r="AF79" s="518" t="e">
        <f t="shared" si="37"/>
        <v>#REF!</v>
      </c>
      <c r="AG79" s="519" t="e">
        <f t="shared" si="39"/>
        <v>#REF!</v>
      </c>
    </row>
    <row r="80" spans="1:33" ht="18.75" thickTop="1">
      <c r="A80" s="520" t="s">
        <v>195</v>
      </c>
      <c r="B80" s="520"/>
      <c r="C80" s="520"/>
      <c r="D80" s="520"/>
      <c r="E80" s="594">
        <f aca="true" t="shared" si="41" ref="E80:L80">+E81+E84+E87+E90+E91</f>
        <v>655</v>
      </c>
      <c r="F80" s="595">
        <f t="shared" si="41"/>
        <v>672</v>
      </c>
      <c r="G80" s="596">
        <f t="shared" si="41"/>
        <v>1788688</v>
      </c>
      <c r="H80" s="596">
        <f t="shared" si="41"/>
        <v>0</v>
      </c>
      <c r="I80" s="596">
        <f t="shared" si="41"/>
        <v>0</v>
      </c>
      <c r="J80" s="591">
        <f t="shared" si="41"/>
        <v>653</v>
      </c>
      <c r="K80" s="698">
        <f t="shared" si="41"/>
        <v>672</v>
      </c>
      <c r="L80" s="697">
        <f t="shared" si="41"/>
        <v>1385658</v>
      </c>
      <c r="M80" s="556">
        <v>0</v>
      </c>
      <c r="N80" s="589">
        <f>+N81+N84+N87+N90+N91</f>
        <v>126226</v>
      </c>
      <c r="O80" s="590" t="e">
        <f aca="true" t="shared" si="42" ref="O80:AC80">+O81+O84+O87+O90+O91</f>
        <v>#REF!</v>
      </c>
      <c r="P80" s="591" t="e">
        <f t="shared" si="42"/>
        <v>#REF!</v>
      </c>
      <c r="Q80" s="592" t="e">
        <f t="shared" si="42"/>
        <v>#REF!</v>
      </c>
      <c r="R80" s="590" t="e">
        <f t="shared" si="42"/>
        <v>#REF!</v>
      </c>
      <c r="S80" s="591" t="e">
        <f t="shared" si="42"/>
        <v>#REF!</v>
      </c>
      <c r="T80" s="592" t="e">
        <f t="shared" si="42"/>
        <v>#REF!</v>
      </c>
      <c r="U80" s="590" t="e">
        <f t="shared" si="42"/>
        <v>#REF!</v>
      </c>
      <c r="V80" s="591" t="e">
        <f t="shared" si="42"/>
        <v>#REF!</v>
      </c>
      <c r="W80" s="592" t="e">
        <f t="shared" si="42"/>
        <v>#REF!</v>
      </c>
      <c r="X80" s="590" t="e">
        <f t="shared" si="42"/>
        <v>#REF!</v>
      </c>
      <c r="Y80" s="591" t="e">
        <f t="shared" si="42"/>
        <v>#REF!</v>
      </c>
      <c r="Z80" s="592" t="e">
        <f t="shared" si="42"/>
        <v>#REF!</v>
      </c>
      <c r="AA80" s="590" t="e">
        <f t="shared" si="42"/>
        <v>#REF!</v>
      </c>
      <c r="AB80" s="591" t="e">
        <f t="shared" si="42"/>
        <v>#REF!</v>
      </c>
      <c r="AC80" s="592" t="e">
        <f t="shared" si="42"/>
        <v>#REF!</v>
      </c>
      <c r="AD80" s="597" t="e">
        <f>+AD81+AD84+AD87+AD90+AD91</f>
        <v>#REF!</v>
      </c>
      <c r="AE80" s="597">
        <f>+AE81+AE84+AE87+AE90+AE91</f>
        <v>1390820.16</v>
      </c>
      <c r="AF80" s="518" t="e">
        <f t="shared" si="37"/>
        <v>#REF!</v>
      </c>
      <c r="AG80" s="519" t="e">
        <f t="shared" si="39"/>
        <v>#REF!</v>
      </c>
    </row>
    <row r="81" spans="1:33" ht="18">
      <c r="A81" s="508" t="s">
        <v>17</v>
      </c>
      <c r="B81" s="508"/>
      <c r="C81" s="508"/>
      <c r="D81" s="508"/>
      <c r="E81" s="594">
        <f>+E82+E83</f>
        <v>655</v>
      </c>
      <c r="F81" s="598">
        <f>+F82+F83</f>
        <v>672</v>
      </c>
      <c r="G81" s="599">
        <f>+G82+G83</f>
        <v>1788688</v>
      </c>
      <c r="H81" s="600">
        <f>+H82+H83</f>
        <v>0</v>
      </c>
      <c r="I81" s="600">
        <f>+I82+I83</f>
        <v>0</v>
      </c>
      <c r="J81" s="594">
        <v>653</v>
      </c>
      <c r="K81" s="598">
        <v>672</v>
      </c>
      <c r="L81" s="601">
        <f>+L82+L83</f>
        <v>134198</v>
      </c>
      <c r="M81" s="600"/>
      <c r="N81" s="602">
        <f>+N82+N83</f>
        <v>63113</v>
      </c>
      <c r="O81" s="603" t="e">
        <f aca="true" t="shared" si="43" ref="O81:AC81">+O82+O83</f>
        <v>#REF!</v>
      </c>
      <c r="P81" s="604" t="e">
        <f t="shared" si="43"/>
        <v>#REF!</v>
      </c>
      <c r="Q81" s="709" t="e">
        <f t="shared" si="43"/>
        <v>#REF!</v>
      </c>
      <c r="R81" s="604" t="e">
        <f t="shared" si="43"/>
        <v>#REF!</v>
      </c>
      <c r="S81" s="710" t="e">
        <f t="shared" si="43"/>
        <v>#REF!</v>
      </c>
      <c r="T81" s="605" t="e">
        <f t="shared" si="43"/>
        <v>#REF!</v>
      </c>
      <c r="U81" s="601" t="e">
        <f t="shared" si="43"/>
        <v>#REF!</v>
      </c>
      <c r="V81" s="601" t="e">
        <f t="shared" si="43"/>
        <v>#REF!</v>
      </c>
      <c r="W81" s="601" t="e">
        <f t="shared" si="43"/>
        <v>#REF!</v>
      </c>
      <c r="X81" s="601" t="e">
        <f t="shared" si="43"/>
        <v>#REF!</v>
      </c>
      <c r="Y81" s="601" t="e">
        <f t="shared" si="43"/>
        <v>#REF!</v>
      </c>
      <c r="Z81" s="601" t="e">
        <f t="shared" si="43"/>
        <v>#REF!</v>
      </c>
      <c r="AA81" s="601" t="e">
        <f t="shared" si="43"/>
        <v>#REF!</v>
      </c>
      <c r="AB81" s="601" t="e">
        <f t="shared" si="43"/>
        <v>#REF!</v>
      </c>
      <c r="AC81" s="601" t="e">
        <f t="shared" si="43"/>
        <v>#REF!</v>
      </c>
      <c r="AD81" s="606" t="e">
        <f>+AD82+AD83</f>
        <v>#REF!</v>
      </c>
      <c r="AE81" s="606">
        <f>+AE82+AE83</f>
        <v>189418.56</v>
      </c>
      <c r="AF81" s="518" t="e">
        <f t="shared" si="37"/>
        <v>#REF!</v>
      </c>
      <c r="AG81" s="519" t="e">
        <f t="shared" si="39"/>
        <v>#REF!</v>
      </c>
    </row>
    <row r="82" spans="1:33" ht="18.75">
      <c r="A82" s="521" t="s">
        <v>137</v>
      </c>
      <c r="E82" s="522">
        <v>655</v>
      </c>
      <c r="F82" s="523">
        <v>672</v>
      </c>
      <c r="G82" s="524">
        <v>1879923</v>
      </c>
      <c r="H82" s="525"/>
      <c r="I82" s="525"/>
      <c r="J82" s="522">
        <v>655</v>
      </c>
      <c r="K82" s="523">
        <v>672</v>
      </c>
      <c r="L82" s="526">
        <v>197311</v>
      </c>
      <c r="M82" s="525"/>
      <c r="N82" s="525"/>
      <c r="O82" s="533" t="e">
        <f>+'LEAD RECOM INCR'!O82+#REF!</f>
        <v>#REF!</v>
      </c>
      <c r="P82" s="470" t="e">
        <f>+'LEAD RECOM INCR'!P82+#REF!</f>
        <v>#REF!</v>
      </c>
      <c r="Q82" s="530" t="e">
        <f>+'LEAD RECOM INCR'!Q82+#REF!</f>
        <v>#REF!</v>
      </c>
      <c r="R82" s="607" t="e">
        <f aca="true" t="shared" si="44" ref="R82:S96">+J82+O82</f>
        <v>#REF!</v>
      </c>
      <c r="S82" s="711" t="e">
        <f t="shared" si="44"/>
        <v>#REF!</v>
      </c>
      <c r="T82" s="543" t="e">
        <f>+L82+Q82+N82</f>
        <v>#REF!</v>
      </c>
      <c r="U82" s="533" t="e">
        <f>+'LEAD RECOM INCR'!U82+#REF!</f>
        <v>#REF!</v>
      </c>
      <c r="V82" s="470" t="e">
        <f>+'LEAD RECOM INCR'!V82+#REF!</f>
        <v>#REF!</v>
      </c>
      <c r="W82" s="530" t="e">
        <f>+'LEAD RECOM INCR'!W82+#REF!</f>
        <v>#REF!</v>
      </c>
      <c r="X82" s="533" t="e">
        <f>+'LEAD RECOM INCR'!X82+#REF!</f>
        <v>#REF!</v>
      </c>
      <c r="Y82" s="470" t="e">
        <f>+'LEAD RECOM INCR'!Y82+#REF!</f>
        <v>#REF!</v>
      </c>
      <c r="Z82" s="530" t="e">
        <f>+'LEAD RECOM INCR'!Z82+#REF!</f>
        <v>#REF!</v>
      </c>
      <c r="AA82" s="522" t="e">
        <f aca="true" t="shared" si="45" ref="AA82:AC96">+X82+U82+R82</f>
        <v>#REF!</v>
      </c>
      <c r="AB82" s="523" t="e">
        <f t="shared" si="45"/>
        <v>#REF!</v>
      </c>
      <c r="AC82" s="534" t="e">
        <f t="shared" si="45"/>
        <v>#REF!</v>
      </c>
      <c r="AD82" s="535" t="e">
        <f>+T82*(1+$AD$11)</f>
        <v>#REF!</v>
      </c>
      <c r="AE82" s="535">
        <f>+L82*$AE$11</f>
        <v>189418.56</v>
      </c>
      <c r="AF82" s="518" t="e">
        <f t="shared" si="37"/>
        <v>#REF!</v>
      </c>
      <c r="AG82" s="519" t="e">
        <f t="shared" si="39"/>
        <v>#REF!</v>
      </c>
    </row>
    <row r="83" spans="1:33" ht="18">
      <c r="A83" s="476" t="s">
        <v>208</v>
      </c>
      <c r="E83" s="522"/>
      <c r="F83" s="523"/>
      <c r="G83" s="524">
        <v>-91235</v>
      </c>
      <c r="H83" s="525"/>
      <c r="I83" s="525"/>
      <c r="J83" s="522"/>
      <c r="K83" s="523"/>
      <c r="L83" s="526">
        <v>-63113</v>
      </c>
      <c r="M83" s="527"/>
      <c r="N83" s="716">
        <v>63113</v>
      </c>
      <c r="O83" s="533" t="e">
        <f>+'LEAD RECOM INCR'!O83+#REF!</f>
        <v>#REF!</v>
      </c>
      <c r="P83" s="470" t="e">
        <f>+'LEAD RECOM INCR'!P83+#REF!</f>
        <v>#REF!</v>
      </c>
      <c r="Q83" s="530" t="e">
        <f>+'LEAD RECOM INCR'!Q83+#REF!</f>
        <v>#REF!</v>
      </c>
      <c r="R83" s="578" t="e">
        <f t="shared" si="44"/>
        <v>#REF!</v>
      </c>
      <c r="S83" s="712" t="e">
        <f t="shared" si="44"/>
        <v>#REF!</v>
      </c>
      <c r="T83" s="527" t="e">
        <f>+L83+Q83+N83</f>
        <v>#REF!</v>
      </c>
      <c r="U83" s="533" t="e">
        <f>+'LEAD RECOM INCR'!U83+#REF!</f>
        <v>#REF!</v>
      </c>
      <c r="V83" s="470" t="e">
        <f>+'LEAD RECOM INCR'!V83+#REF!</f>
        <v>#REF!</v>
      </c>
      <c r="W83" s="530" t="e">
        <f>+'LEAD RECOM INCR'!W83+#REF!</f>
        <v>#REF!</v>
      </c>
      <c r="X83" s="533" t="e">
        <f>+'LEAD RECOM INCR'!X83+#REF!</f>
        <v>#REF!</v>
      </c>
      <c r="Y83" s="470" t="e">
        <f>+'LEAD RECOM INCR'!Y83+#REF!</f>
        <v>#REF!</v>
      </c>
      <c r="Z83" s="530" t="e">
        <f>+'LEAD RECOM INCR'!Z83+#REF!</f>
        <v>#REF!</v>
      </c>
      <c r="AA83" s="522" t="e">
        <f t="shared" si="45"/>
        <v>#REF!</v>
      </c>
      <c r="AB83" s="523" t="e">
        <f t="shared" si="45"/>
        <v>#REF!</v>
      </c>
      <c r="AC83" s="534" t="e">
        <f t="shared" si="45"/>
        <v>#REF!</v>
      </c>
      <c r="AD83" s="535" t="e">
        <f>+T83*(1+$AD$11)</f>
        <v>#REF!</v>
      </c>
      <c r="AE83" s="535">
        <v>0</v>
      </c>
      <c r="AF83" s="518" t="e">
        <f t="shared" si="37"/>
        <v>#REF!</v>
      </c>
      <c r="AG83" s="519" t="e">
        <f t="shared" si="39"/>
        <v>#REF!</v>
      </c>
    </row>
    <row r="84" spans="1:33" ht="18.75">
      <c r="A84" s="609" t="s">
        <v>18</v>
      </c>
      <c r="B84" s="508"/>
      <c r="C84" s="508"/>
      <c r="D84" s="508"/>
      <c r="E84" s="556">
        <f>SUM(E85)</f>
        <v>0</v>
      </c>
      <c r="F84" s="562">
        <f>SUM(F85)</f>
        <v>0</v>
      </c>
      <c r="G84" s="563">
        <f>SUM(G85)</f>
        <v>0</v>
      </c>
      <c r="H84" s="547">
        <f>+H85+H86</f>
        <v>0</v>
      </c>
      <c r="I84" s="547">
        <f>+I85+I86</f>
        <v>0</v>
      </c>
      <c r="J84" s="556">
        <v>0</v>
      </c>
      <c r="K84" s="562">
        <v>0</v>
      </c>
      <c r="L84" s="566">
        <f>+L85+L86</f>
        <v>290040</v>
      </c>
      <c r="M84" s="558"/>
      <c r="N84" s="565">
        <f aca="true" t="shared" si="46" ref="N84:AE84">+N85+N86</f>
        <v>0</v>
      </c>
      <c r="O84" s="561" t="e">
        <f t="shared" si="46"/>
        <v>#REF!</v>
      </c>
      <c r="P84" s="561" t="e">
        <f t="shared" si="46"/>
        <v>#REF!</v>
      </c>
      <c r="Q84" s="558" t="e">
        <f t="shared" si="46"/>
        <v>#REF!</v>
      </c>
      <c r="R84" s="561" t="e">
        <f t="shared" si="46"/>
        <v>#REF!</v>
      </c>
      <c r="S84" s="713" t="e">
        <f t="shared" si="46"/>
        <v>#REF!</v>
      </c>
      <c r="T84" s="559" t="e">
        <f t="shared" si="46"/>
        <v>#REF!</v>
      </c>
      <c r="U84" s="566" t="e">
        <f t="shared" si="46"/>
        <v>#REF!</v>
      </c>
      <c r="V84" s="566" t="e">
        <f t="shared" si="46"/>
        <v>#REF!</v>
      </c>
      <c r="W84" s="566" t="e">
        <f t="shared" si="46"/>
        <v>#REF!</v>
      </c>
      <c r="X84" s="566" t="e">
        <f t="shared" si="46"/>
        <v>#REF!</v>
      </c>
      <c r="Y84" s="566" t="e">
        <f t="shared" si="46"/>
        <v>#REF!</v>
      </c>
      <c r="Z84" s="566" t="e">
        <f t="shared" si="46"/>
        <v>#REF!</v>
      </c>
      <c r="AA84" s="566" t="e">
        <f t="shared" si="46"/>
        <v>#REF!</v>
      </c>
      <c r="AB84" s="566" t="e">
        <f t="shared" si="46"/>
        <v>#REF!</v>
      </c>
      <c r="AC84" s="566" t="e">
        <f t="shared" si="46"/>
        <v>#REF!</v>
      </c>
      <c r="AD84" s="549" t="e">
        <f t="shared" si="46"/>
        <v>#REF!</v>
      </c>
      <c r="AE84" s="549">
        <f t="shared" si="46"/>
        <v>278438.39999999997</v>
      </c>
      <c r="AF84" s="518" t="e">
        <f t="shared" si="37"/>
        <v>#REF!</v>
      </c>
      <c r="AG84" s="519" t="e">
        <f t="shared" si="39"/>
        <v>#REF!</v>
      </c>
    </row>
    <row r="85" spans="1:33" ht="18.75">
      <c r="A85" s="521" t="s">
        <v>117</v>
      </c>
      <c r="E85" s="522"/>
      <c r="F85" s="523"/>
      <c r="G85" s="524"/>
      <c r="H85" s="525"/>
      <c r="I85" s="525"/>
      <c r="J85" s="522"/>
      <c r="K85" s="523"/>
      <c r="L85" s="526">
        <v>290040</v>
      </c>
      <c r="M85" s="527"/>
      <c r="N85" s="655"/>
      <c r="O85" s="470" t="e">
        <f>+'LEAD RECOM INCR'!O85+#REF!</f>
        <v>#REF!</v>
      </c>
      <c r="P85" s="470" t="e">
        <f>+'LEAD RECOM INCR'!P85+#REF!</f>
        <v>#REF!</v>
      </c>
      <c r="Q85" s="527" t="e">
        <f>+'LEAD RECOM INCR'!Q85+#REF!</f>
        <v>#REF!</v>
      </c>
      <c r="R85" s="579" t="e">
        <f t="shared" si="44"/>
        <v>#REF!</v>
      </c>
      <c r="S85" s="712" t="e">
        <f t="shared" si="44"/>
        <v>#REF!</v>
      </c>
      <c r="T85" s="527" t="e">
        <f>+L85+Q85+N85</f>
        <v>#REF!</v>
      </c>
      <c r="U85" s="533" t="e">
        <f>+'LEAD RECOM INCR'!U85+#REF!</f>
        <v>#REF!</v>
      </c>
      <c r="V85" s="470" t="e">
        <f>+'LEAD RECOM INCR'!V85+#REF!</f>
        <v>#REF!</v>
      </c>
      <c r="W85" s="530" t="e">
        <f>+'LEAD RECOM INCR'!W85+#REF!</f>
        <v>#REF!</v>
      </c>
      <c r="X85" s="533" t="e">
        <f>+'LEAD RECOM INCR'!X85+#REF!</f>
        <v>#REF!</v>
      </c>
      <c r="Y85" s="470" t="e">
        <f>+'LEAD RECOM INCR'!Y85+#REF!</f>
        <v>#REF!</v>
      </c>
      <c r="Z85" s="530" t="e">
        <f>+'LEAD RECOM INCR'!Z85+#REF!</f>
        <v>#REF!</v>
      </c>
      <c r="AA85" s="522" t="e">
        <f t="shared" si="45"/>
        <v>#REF!</v>
      </c>
      <c r="AB85" s="523" t="e">
        <f t="shared" si="45"/>
        <v>#REF!</v>
      </c>
      <c r="AC85" s="534" t="e">
        <f t="shared" si="45"/>
        <v>#REF!</v>
      </c>
      <c r="AD85" s="535" t="e">
        <f>+T85*(1+$AD$11)</f>
        <v>#REF!</v>
      </c>
      <c r="AE85" s="535">
        <f>+L85*$AE$11</f>
        <v>278438.39999999997</v>
      </c>
      <c r="AF85" s="518" t="e">
        <f t="shared" si="37"/>
        <v>#REF!</v>
      </c>
      <c r="AG85" s="519" t="e">
        <f t="shared" si="39"/>
        <v>#REF!</v>
      </c>
    </row>
    <row r="86" spans="1:33" ht="18">
      <c r="A86" s="476" t="s">
        <v>138</v>
      </c>
      <c r="E86" s="522"/>
      <c r="F86" s="523"/>
      <c r="G86" s="524">
        <v>0</v>
      </c>
      <c r="H86" s="525"/>
      <c r="I86" s="525"/>
      <c r="J86" s="522"/>
      <c r="K86" s="523"/>
      <c r="L86" s="526">
        <v>0</v>
      </c>
      <c r="M86" s="527"/>
      <c r="N86" s="655"/>
      <c r="O86" s="470" t="e">
        <f>+'LEAD RECOM INCR'!O86+#REF!</f>
        <v>#REF!</v>
      </c>
      <c r="P86" s="470" t="e">
        <f>+'LEAD RECOM INCR'!P86+#REF!</f>
        <v>#REF!</v>
      </c>
      <c r="Q86" s="527" t="e">
        <f>+'LEAD RECOM INCR'!Q86+#REF!</f>
        <v>#REF!</v>
      </c>
      <c r="R86" s="579" t="e">
        <f t="shared" si="44"/>
        <v>#REF!</v>
      </c>
      <c r="S86" s="712" t="e">
        <f t="shared" si="44"/>
        <v>#REF!</v>
      </c>
      <c r="T86" s="527" t="e">
        <f>+L86+Q86+N86</f>
        <v>#REF!</v>
      </c>
      <c r="U86" s="533" t="e">
        <f>+'LEAD RECOM INCR'!U86+#REF!</f>
        <v>#REF!</v>
      </c>
      <c r="V86" s="470" t="e">
        <f>+'LEAD RECOM INCR'!V86+#REF!</f>
        <v>#REF!</v>
      </c>
      <c r="W86" s="530" t="e">
        <f>+'LEAD RECOM INCR'!W86+#REF!</f>
        <v>#REF!</v>
      </c>
      <c r="X86" s="533" t="e">
        <f>+'LEAD RECOM INCR'!X86+#REF!</f>
        <v>#REF!</v>
      </c>
      <c r="Y86" s="470" t="e">
        <f>+'LEAD RECOM INCR'!Y86+#REF!</f>
        <v>#REF!</v>
      </c>
      <c r="Z86" s="530" t="e">
        <f>+'LEAD RECOM INCR'!Z86+#REF!</f>
        <v>#REF!</v>
      </c>
      <c r="AA86" s="522" t="e">
        <f t="shared" si="45"/>
        <v>#REF!</v>
      </c>
      <c r="AB86" s="523" t="e">
        <f t="shared" si="45"/>
        <v>#REF!</v>
      </c>
      <c r="AC86" s="534" t="e">
        <f t="shared" si="45"/>
        <v>#REF!</v>
      </c>
      <c r="AD86" s="535" t="e">
        <f>+T86*(1+$AD$11)</f>
        <v>#REF!</v>
      </c>
      <c r="AE86" s="535">
        <f>+L86*$AE$11</f>
        <v>0</v>
      </c>
      <c r="AF86" s="518" t="e">
        <f t="shared" si="37"/>
        <v>#REF!</v>
      </c>
      <c r="AG86" s="519" t="s">
        <v>198</v>
      </c>
    </row>
    <row r="87" spans="1:33" ht="18.75">
      <c r="A87" s="609" t="s">
        <v>26</v>
      </c>
      <c r="B87" s="508"/>
      <c r="C87" s="508"/>
      <c r="D87" s="508"/>
      <c r="E87" s="594">
        <f>SUM(E88+E89)</f>
        <v>0</v>
      </c>
      <c r="F87" s="598">
        <f>SUM(F88+F89)</f>
        <v>0</v>
      </c>
      <c r="G87" s="599">
        <f>SUM(G88+G89)</f>
        <v>0</v>
      </c>
      <c r="H87" s="600">
        <f>SUM(H88+H89)</f>
        <v>0</v>
      </c>
      <c r="I87" s="600">
        <f>SUM(I88+I89)</f>
        <v>0</v>
      </c>
      <c r="J87" s="594">
        <v>0</v>
      </c>
      <c r="K87" s="598">
        <v>0</v>
      </c>
      <c r="L87" s="601">
        <f>+L88+L89</f>
        <v>932877</v>
      </c>
      <c r="M87" s="610"/>
      <c r="N87" s="597">
        <f>+N88+N89</f>
        <v>63113</v>
      </c>
      <c r="O87" s="596" t="e">
        <f aca="true" t="shared" si="47" ref="O87:AC87">+O88+O89</f>
        <v>#REF!</v>
      </c>
      <c r="P87" s="596" t="e">
        <f t="shared" si="47"/>
        <v>#REF!</v>
      </c>
      <c r="Q87" s="610" t="e">
        <f t="shared" si="47"/>
        <v>#REF!</v>
      </c>
      <c r="R87" s="596" t="e">
        <f t="shared" si="47"/>
        <v>#REF!</v>
      </c>
      <c r="S87" s="714" t="e">
        <f t="shared" si="47"/>
        <v>#REF!</v>
      </c>
      <c r="T87" s="605" t="e">
        <f t="shared" si="47"/>
        <v>#REF!</v>
      </c>
      <c r="U87" s="601" t="e">
        <f t="shared" si="47"/>
        <v>#REF!</v>
      </c>
      <c r="V87" s="601" t="e">
        <f t="shared" si="47"/>
        <v>#REF!</v>
      </c>
      <c r="W87" s="601" t="e">
        <f t="shared" si="47"/>
        <v>#REF!</v>
      </c>
      <c r="X87" s="601" t="e">
        <f t="shared" si="47"/>
        <v>#REF!</v>
      </c>
      <c r="Y87" s="601" t="e">
        <f t="shared" si="47"/>
        <v>#REF!</v>
      </c>
      <c r="Z87" s="601" t="e">
        <f t="shared" si="47"/>
        <v>#REF!</v>
      </c>
      <c r="AA87" s="601" t="e">
        <f t="shared" si="47"/>
        <v>#REF!</v>
      </c>
      <c r="AB87" s="601" t="e">
        <f t="shared" si="47"/>
        <v>#REF!</v>
      </c>
      <c r="AC87" s="601" t="e">
        <f t="shared" si="47"/>
        <v>#REF!</v>
      </c>
      <c r="AD87" s="606" t="e">
        <f>SUM(AD88+AD89)</f>
        <v>#REF!</v>
      </c>
      <c r="AE87" s="606">
        <f>SUM(AE88+AE89)</f>
        <v>895561.9199999999</v>
      </c>
      <c r="AF87" s="518" t="e">
        <f t="shared" si="37"/>
        <v>#REF!</v>
      </c>
      <c r="AG87" s="519" t="e">
        <f t="shared" si="39"/>
        <v>#REF!</v>
      </c>
    </row>
    <row r="88" spans="1:33" ht="18.75">
      <c r="A88" s="521" t="s">
        <v>118</v>
      </c>
      <c r="E88" s="522"/>
      <c r="F88" s="523"/>
      <c r="G88" s="524"/>
      <c r="H88" s="525"/>
      <c r="I88" s="525"/>
      <c r="J88" s="522"/>
      <c r="K88" s="523"/>
      <c r="L88" s="526">
        <v>995990</v>
      </c>
      <c r="M88" s="527"/>
      <c r="N88" s="655"/>
      <c r="O88" s="470" t="e">
        <f>+'LEAD RECOM INCR'!O88+#REF!</f>
        <v>#REF!</v>
      </c>
      <c r="P88" s="470" t="e">
        <f>+'LEAD RECOM INCR'!P88+#REF!</f>
        <v>#REF!</v>
      </c>
      <c r="Q88" s="527" t="e">
        <f>+'LEAD RECOM INCR'!Q88+#REF!</f>
        <v>#REF!</v>
      </c>
      <c r="R88" s="579" t="e">
        <f t="shared" si="44"/>
        <v>#REF!</v>
      </c>
      <c r="S88" s="712" t="e">
        <f t="shared" si="44"/>
        <v>#REF!</v>
      </c>
      <c r="T88" s="527" t="e">
        <f>+L88+Q88+N88</f>
        <v>#REF!</v>
      </c>
      <c r="U88" s="533" t="e">
        <f>+'LEAD RECOM INCR'!U88+#REF!</f>
        <v>#REF!</v>
      </c>
      <c r="V88" s="470" t="e">
        <f>+'LEAD RECOM INCR'!V88+#REF!</f>
        <v>#REF!</v>
      </c>
      <c r="W88" s="530" t="e">
        <f>+'LEAD RECOM INCR'!W88+#REF!</f>
        <v>#REF!</v>
      </c>
      <c r="X88" s="533" t="e">
        <f>+'LEAD RECOM INCR'!X88+#REF!</f>
        <v>#REF!</v>
      </c>
      <c r="Y88" s="470" t="e">
        <f>+'LEAD RECOM INCR'!Y88+#REF!</f>
        <v>#REF!</v>
      </c>
      <c r="Z88" s="530" t="e">
        <f>+'LEAD RECOM INCR'!Z88+#REF!</f>
        <v>#REF!</v>
      </c>
      <c r="AA88" s="522" t="e">
        <f t="shared" si="45"/>
        <v>#REF!</v>
      </c>
      <c r="AB88" s="523" t="e">
        <f t="shared" si="45"/>
        <v>#REF!</v>
      </c>
      <c r="AC88" s="534" t="e">
        <f t="shared" si="45"/>
        <v>#REF!</v>
      </c>
      <c r="AD88" s="535" t="e">
        <f>+T88*(1+$AD$11)</f>
        <v>#REF!</v>
      </c>
      <c r="AE88" s="535">
        <f>+L88*$AE$11</f>
        <v>956150.3999999999</v>
      </c>
      <c r="AF88" s="518" t="e">
        <f t="shared" si="37"/>
        <v>#REF!</v>
      </c>
      <c r="AG88" s="519" t="e">
        <f t="shared" si="39"/>
        <v>#REF!</v>
      </c>
    </row>
    <row r="89" spans="1:33" ht="18">
      <c r="A89" s="476" t="s">
        <v>138</v>
      </c>
      <c r="E89" s="522"/>
      <c r="F89" s="523"/>
      <c r="G89" s="524"/>
      <c r="H89" s="525"/>
      <c r="I89" s="525"/>
      <c r="J89" s="522"/>
      <c r="K89" s="523"/>
      <c r="L89" s="526">
        <v>-63113</v>
      </c>
      <c r="M89" s="527"/>
      <c r="N89" s="717">
        <v>63113</v>
      </c>
      <c r="O89" s="470" t="e">
        <f>+'LEAD RECOM INCR'!O89+#REF!</f>
        <v>#REF!</v>
      </c>
      <c r="P89" s="470" t="e">
        <f>+'LEAD RECOM INCR'!P89+#REF!</f>
        <v>#REF!</v>
      </c>
      <c r="Q89" s="527" t="e">
        <f>+'LEAD RECOM INCR'!Q89+#REF!</f>
        <v>#REF!</v>
      </c>
      <c r="R89" s="579" t="e">
        <f t="shared" si="44"/>
        <v>#REF!</v>
      </c>
      <c r="S89" s="712" t="e">
        <f t="shared" si="44"/>
        <v>#REF!</v>
      </c>
      <c r="T89" s="527" t="e">
        <f>+L89+Q89+N89</f>
        <v>#REF!</v>
      </c>
      <c r="U89" s="533" t="e">
        <f>+'LEAD RECOM INCR'!U89+#REF!</f>
        <v>#REF!</v>
      </c>
      <c r="V89" s="470" t="e">
        <f>+'LEAD RECOM INCR'!V89+#REF!</f>
        <v>#REF!</v>
      </c>
      <c r="W89" s="530" t="e">
        <f>+'LEAD RECOM INCR'!W89+#REF!</f>
        <v>#REF!</v>
      </c>
      <c r="X89" s="533" t="e">
        <f>+'LEAD RECOM INCR'!X89+#REF!</f>
        <v>#REF!</v>
      </c>
      <c r="Y89" s="470" t="e">
        <f>+'LEAD RECOM INCR'!Y89+#REF!</f>
        <v>#REF!</v>
      </c>
      <c r="Z89" s="530" t="e">
        <f>+'LEAD RECOM INCR'!Z89+#REF!</f>
        <v>#REF!</v>
      </c>
      <c r="AA89" s="522" t="e">
        <f t="shared" si="45"/>
        <v>#REF!</v>
      </c>
      <c r="AB89" s="523" t="e">
        <f t="shared" si="45"/>
        <v>#REF!</v>
      </c>
      <c r="AC89" s="534" t="e">
        <f t="shared" si="45"/>
        <v>#REF!</v>
      </c>
      <c r="AD89" s="535" t="e">
        <f>+T89*(1+$AD$11)</f>
        <v>#REF!</v>
      </c>
      <c r="AE89" s="535">
        <f>+L89*$AE$11</f>
        <v>-60588.479999999996</v>
      </c>
      <c r="AF89" s="518" t="e">
        <f t="shared" si="37"/>
        <v>#REF!</v>
      </c>
      <c r="AG89" s="519" t="e">
        <f t="shared" si="39"/>
        <v>#REF!</v>
      </c>
    </row>
    <row r="90" spans="1:33" ht="18.75">
      <c r="A90" s="521" t="s">
        <v>119</v>
      </c>
      <c r="E90" s="522"/>
      <c r="F90" s="523"/>
      <c r="G90" s="524"/>
      <c r="H90" s="525"/>
      <c r="I90" s="525"/>
      <c r="J90" s="522"/>
      <c r="K90" s="523"/>
      <c r="L90" s="526">
        <v>19800</v>
      </c>
      <c r="M90" s="527"/>
      <c r="N90" s="655"/>
      <c r="O90" s="470" t="e">
        <f>+'LEAD RECOM INCR'!O90+#REF!</f>
        <v>#REF!</v>
      </c>
      <c r="P90" s="470" t="e">
        <f>+'LEAD RECOM INCR'!P90+#REF!</f>
        <v>#REF!</v>
      </c>
      <c r="Q90" s="527" t="e">
        <f>+'LEAD RECOM INCR'!Q90+#REF!</f>
        <v>#REF!</v>
      </c>
      <c r="R90" s="579" t="e">
        <f t="shared" si="44"/>
        <v>#REF!</v>
      </c>
      <c r="S90" s="712" t="e">
        <f t="shared" si="44"/>
        <v>#REF!</v>
      </c>
      <c r="T90" s="527" t="e">
        <f>+L90+Q90+N90</f>
        <v>#REF!</v>
      </c>
      <c r="U90" s="533" t="e">
        <f>+'LEAD RECOM INCR'!U90+#REF!</f>
        <v>#REF!</v>
      </c>
      <c r="V90" s="470" t="e">
        <f>+'LEAD RECOM INCR'!V90+#REF!</f>
        <v>#REF!</v>
      </c>
      <c r="W90" s="530" t="e">
        <f>+'LEAD RECOM INCR'!W90+#REF!</f>
        <v>#REF!</v>
      </c>
      <c r="X90" s="533" t="e">
        <f>+'LEAD RECOM INCR'!X90+#REF!</f>
        <v>#REF!</v>
      </c>
      <c r="Y90" s="470" t="e">
        <f>+'LEAD RECOM INCR'!Y90+#REF!</f>
        <v>#REF!</v>
      </c>
      <c r="Z90" s="530" t="e">
        <f>+'LEAD RECOM INCR'!Z90+#REF!</f>
        <v>#REF!</v>
      </c>
      <c r="AA90" s="522" t="e">
        <f t="shared" si="45"/>
        <v>#REF!</v>
      </c>
      <c r="AB90" s="523" t="e">
        <f t="shared" si="45"/>
        <v>#REF!</v>
      </c>
      <c r="AC90" s="534" t="e">
        <f t="shared" si="45"/>
        <v>#REF!</v>
      </c>
      <c r="AD90" s="535" t="e">
        <f>+T90*(1+$AD$11)</f>
        <v>#REF!</v>
      </c>
      <c r="AE90" s="535">
        <f>+L90*$AE$11</f>
        <v>19008</v>
      </c>
      <c r="AF90" s="518" t="e">
        <f t="shared" si="37"/>
        <v>#REF!</v>
      </c>
      <c r="AG90" s="519" t="e">
        <f t="shared" si="39"/>
        <v>#REF!</v>
      </c>
    </row>
    <row r="91" spans="1:33" ht="18">
      <c r="A91" s="476" t="s">
        <v>139</v>
      </c>
      <c r="E91" s="522">
        <v>0</v>
      </c>
      <c r="F91" s="523">
        <v>0</v>
      </c>
      <c r="G91" s="524">
        <v>0</v>
      </c>
      <c r="H91" s="525"/>
      <c r="I91" s="525"/>
      <c r="J91" s="522"/>
      <c r="K91" s="523"/>
      <c r="L91" s="526">
        <v>8743</v>
      </c>
      <c r="M91" s="527"/>
      <c r="N91" s="655"/>
      <c r="O91" s="470" t="e">
        <f>+'LEAD RECOM INCR'!O91+#REF!</f>
        <v>#REF!</v>
      </c>
      <c r="P91" s="470" t="e">
        <f>+'LEAD RECOM INCR'!P91+#REF!</f>
        <v>#REF!</v>
      </c>
      <c r="Q91" s="527" t="e">
        <f>+'LEAD RECOM INCR'!Q91+#REF!</f>
        <v>#REF!</v>
      </c>
      <c r="R91" s="579" t="e">
        <f t="shared" si="44"/>
        <v>#REF!</v>
      </c>
      <c r="S91" s="712" t="e">
        <f t="shared" si="44"/>
        <v>#REF!</v>
      </c>
      <c r="T91" s="527" t="e">
        <f>+L91+Q91+N91</f>
        <v>#REF!</v>
      </c>
      <c r="U91" s="533" t="e">
        <f>+'LEAD RECOM INCR'!U91+#REF!</f>
        <v>#REF!</v>
      </c>
      <c r="V91" s="470" t="e">
        <f>+'LEAD RECOM INCR'!V91+#REF!</f>
        <v>#REF!</v>
      </c>
      <c r="W91" s="530" t="e">
        <f>+'LEAD RECOM INCR'!W91+#REF!</f>
        <v>#REF!</v>
      </c>
      <c r="X91" s="533" t="e">
        <f>+'LEAD RECOM INCR'!X91+#REF!</f>
        <v>#REF!</v>
      </c>
      <c r="Y91" s="470" t="e">
        <f>+'LEAD RECOM INCR'!Y91+#REF!</f>
        <v>#REF!</v>
      </c>
      <c r="Z91" s="530" t="e">
        <f>+'LEAD RECOM INCR'!Z91+#REF!</f>
        <v>#REF!</v>
      </c>
      <c r="AA91" s="522" t="e">
        <f t="shared" si="45"/>
        <v>#REF!</v>
      </c>
      <c r="AB91" s="523" t="e">
        <f t="shared" si="45"/>
        <v>#REF!</v>
      </c>
      <c r="AC91" s="534" t="e">
        <f t="shared" si="45"/>
        <v>#REF!</v>
      </c>
      <c r="AD91" s="535" t="e">
        <f>+T91*(1+$AD$11)</f>
        <v>#REF!</v>
      </c>
      <c r="AE91" s="535">
        <f>+L91*$AE$11</f>
        <v>8393.279999999999</v>
      </c>
      <c r="AF91" s="518" t="e">
        <f t="shared" si="37"/>
        <v>#REF!</v>
      </c>
      <c r="AG91" s="519" t="e">
        <f t="shared" si="39"/>
        <v>#REF!</v>
      </c>
    </row>
    <row r="92" spans="1:33" ht="18.75">
      <c r="A92" s="609" t="s">
        <v>196</v>
      </c>
      <c r="B92" s="508"/>
      <c r="C92" s="508"/>
      <c r="D92" s="508"/>
      <c r="E92" s="556">
        <f>SUM(E93)</f>
        <v>202</v>
      </c>
      <c r="F92" s="562">
        <f>SUM(F93)</f>
        <v>202</v>
      </c>
      <c r="G92" s="563">
        <f>SUM(G93+G94)</f>
        <v>385691</v>
      </c>
      <c r="H92" s="547">
        <f>SUM(H93:H94)</f>
        <v>0</v>
      </c>
      <c r="I92" s="547">
        <f>SUM(I93:I94)</f>
        <v>0</v>
      </c>
      <c r="J92" s="556">
        <v>202</v>
      </c>
      <c r="K92" s="562">
        <v>202</v>
      </c>
      <c r="L92" s="566">
        <f>+L93+L94</f>
        <v>432471</v>
      </c>
      <c r="M92" s="547"/>
      <c r="N92" s="565">
        <f>+N93+N94</f>
        <v>126225</v>
      </c>
      <c r="O92" s="561" t="e">
        <f aca="true" t="shared" si="48" ref="O92:AC92">+O93+O94</f>
        <v>#REF!</v>
      </c>
      <c r="P92" s="561" t="e">
        <f t="shared" si="48"/>
        <v>#REF!</v>
      </c>
      <c r="Q92" s="558" t="e">
        <f t="shared" si="48"/>
        <v>#REF!</v>
      </c>
      <c r="R92" s="561" t="e">
        <f t="shared" si="48"/>
        <v>#REF!</v>
      </c>
      <c r="S92" s="713" t="e">
        <f t="shared" si="48"/>
        <v>#REF!</v>
      </c>
      <c r="T92" s="559" t="e">
        <f t="shared" si="48"/>
        <v>#REF!</v>
      </c>
      <c r="U92" s="566" t="e">
        <f t="shared" si="48"/>
        <v>#REF!</v>
      </c>
      <c r="V92" s="566" t="e">
        <f t="shared" si="48"/>
        <v>#REF!</v>
      </c>
      <c r="W92" s="566" t="e">
        <f t="shared" si="48"/>
        <v>#REF!</v>
      </c>
      <c r="X92" s="566" t="e">
        <f t="shared" si="48"/>
        <v>#REF!</v>
      </c>
      <c r="Y92" s="566" t="e">
        <f t="shared" si="48"/>
        <v>#REF!</v>
      </c>
      <c r="Z92" s="566" t="e">
        <f t="shared" si="48"/>
        <v>#REF!</v>
      </c>
      <c r="AA92" s="566" t="e">
        <f t="shared" si="48"/>
        <v>#REF!</v>
      </c>
      <c r="AB92" s="566" t="e">
        <f t="shared" si="48"/>
        <v>#REF!</v>
      </c>
      <c r="AC92" s="566" t="e">
        <f t="shared" si="48"/>
        <v>#REF!</v>
      </c>
      <c r="AD92" s="549" t="e">
        <f>SUM(AD93:AD94)</f>
        <v>#REF!</v>
      </c>
      <c r="AE92" s="549">
        <f>SUM(AE93:AE94)</f>
        <v>536348.16</v>
      </c>
      <c r="AF92" s="518" t="e">
        <f t="shared" si="37"/>
        <v>#REF!</v>
      </c>
      <c r="AG92" s="519" t="e">
        <f t="shared" si="39"/>
        <v>#REF!</v>
      </c>
    </row>
    <row r="93" spans="1:33" ht="18.75">
      <c r="A93" s="521" t="s">
        <v>120</v>
      </c>
      <c r="E93" s="522">
        <v>202</v>
      </c>
      <c r="F93" s="523">
        <v>202</v>
      </c>
      <c r="G93" s="524">
        <v>472191</v>
      </c>
      <c r="H93" s="525"/>
      <c r="I93" s="525"/>
      <c r="J93" s="522">
        <v>202</v>
      </c>
      <c r="K93" s="523">
        <v>202</v>
      </c>
      <c r="L93" s="526">
        <v>558696</v>
      </c>
      <c r="M93" s="527"/>
      <c r="N93" s="525"/>
      <c r="O93" s="533" t="e">
        <f>+'LEAD RECOM INCR'!O93+#REF!</f>
        <v>#REF!</v>
      </c>
      <c r="P93" s="470" t="e">
        <f>+'LEAD RECOM INCR'!P93+#REF!</f>
        <v>#REF!</v>
      </c>
      <c r="Q93" s="715" t="e">
        <f>+'LEAD RECOM INCR'!Q93+#REF!</f>
        <v>#REF!</v>
      </c>
      <c r="R93" s="579" t="e">
        <f t="shared" si="44"/>
        <v>#REF!</v>
      </c>
      <c r="S93" s="608" t="e">
        <f t="shared" si="44"/>
        <v>#REF!</v>
      </c>
      <c r="T93" s="524" t="e">
        <f>+L93+Q93+N93</f>
        <v>#REF!</v>
      </c>
      <c r="U93" s="533" t="e">
        <f>+'LEAD RECOM INCR'!U93+#REF!</f>
        <v>#REF!</v>
      </c>
      <c r="V93" s="470" t="e">
        <f>+'LEAD RECOM INCR'!V93+#REF!</f>
        <v>#REF!</v>
      </c>
      <c r="W93" s="530" t="e">
        <f>+'LEAD RECOM INCR'!W93+#REF!</f>
        <v>#REF!</v>
      </c>
      <c r="X93" s="533" t="e">
        <f>+'LEAD RECOM INCR'!X93+#REF!</f>
        <v>#REF!</v>
      </c>
      <c r="Y93" s="470" t="e">
        <f>+'LEAD RECOM INCR'!Y93+#REF!</f>
        <v>#REF!</v>
      </c>
      <c r="Z93" s="530" t="e">
        <f>+'LEAD RECOM INCR'!Z93+#REF!</f>
        <v>#REF!</v>
      </c>
      <c r="AA93" s="522" t="e">
        <f t="shared" si="45"/>
        <v>#REF!</v>
      </c>
      <c r="AB93" s="523" t="e">
        <f t="shared" si="45"/>
        <v>#REF!</v>
      </c>
      <c r="AC93" s="534" t="e">
        <f t="shared" si="45"/>
        <v>#REF!</v>
      </c>
      <c r="AD93" s="535" t="e">
        <f>+T93*(1+$AD$11)</f>
        <v>#REF!</v>
      </c>
      <c r="AE93" s="535">
        <f>+L93*$AE$11</f>
        <v>536348.16</v>
      </c>
      <c r="AF93" s="518" t="e">
        <f t="shared" si="37"/>
        <v>#REF!</v>
      </c>
      <c r="AG93" s="519" t="e">
        <f t="shared" si="39"/>
        <v>#REF!</v>
      </c>
    </row>
    <row r="94" spans="1:33" ht="18">
      <c r="A94" s="476" t="s">
        <v>121</v>
      </c>
      <c r="E94" s="522"/>
      <c r="F94" s="523"/>
      <c r="G94" s="524">
        <v>-86500</v>
      </c>
      <c r="H94" s="525"/>
      <c r="I94" s="525"/>
      <c r="J94" s="522"/>
      <c r="K94" s="523"/>
      <c r="L94" s="526">
        <v>-126225</v>
      </c>
      <c r="M94" s="527"/>
      <c r="N94" s="716">
        <v>126225</v>
      </c>
      <c r="O94" s="533" t="e">
        <f>+'LEAD RECOM INCR'!O94+#REF!</f>
        <v>#REF!</v>
      </c>
      <c r="P94" s="470" t="e">
        <f>+'LEAD RECOM INCR'!P94+#REF!</f>
        <v>#REF!</v>
      </c>
      <c r="Q94" s="715" t="e">
        <f>+'LEAD RECOM INCR'!Q94+#REF!</f>
        <v>#REF!</v>
      </c>
      <c r="R94" s="579" t="e">
        <f t="shared" si="44"/>
        <v>#REF!</v>
      </c>
      <c r="S94" s="608" t="e">
        <f t="shared" si="44"/>
        <v>#REF!</v>
      </c>
      <c r="T94" s="524" t="e">
        <f>+L94+Q94+N94</f>
        <v>#REF!</v>
      </c>
      <c r="U94" s="533" t="e">
        <f>+'LEAD RECOM INCR'!U94+#REF!</f>
        <v>#REF!</v>
      </c>
      <c r="V94" s="470" t="e">
        <f>+'LEAD RECOM INCR'!V94+#REF!</f>
        <v>#REF!</v>
      </c>
      <c r="W94" s="530" t="e">
        <f>+'LEAD RECOM INCR'!W94+#REF!</f>
        <v>#REF!</v>
      </c>
      <c r="X94" s="533" t="e">
        <f>+'LEAD RECOM INCR'!X94+#REF!</f>
        <v>#REF!</v>
      </c>
      <c r="Y94" s="470" t="e">
        <f>+'LEAD RECOM INCR'!Y94+#REF!</f>
        <v>#REF!</v>
      </c>
      <c r="Z94" s="530" t="e">
        <f>+'LEAD RECOM INCR'!Z94+#REF!</f>
        <v>#REF!</v>
      </c>
      <c r="AA94" s="522" t="e">
        <f t="shared" si="45"/>
        <v>#REF!</v>
      </c>
      <c r="AB94" s="523" t="e">
        <f t="shared" si="45"/>
        <v>#REF!</v>
      </c>
      <c r="AC94" s="534" t="e">
        <f t="shared" si="45"/>
        <v>#REF!</v>
      </c>
      <c r="AD94" s="535" t="e">
        <f>+T94*(1+$AD$11)</f>
        <v>#REF!</v>
      </c>
      <c r="AE94" s="535">
        <v>0</v>
      </c>
      <c r="AF94" s="518" t="e">
        <f t="shared" si="37"/>
        <v>#REF!</v>
      </c>
      <c r="AG94" s="519" t="e">
        <f t="shared" si="39"/>
        <v>#REF!</v>
      </c>
    </row>
    <row r="95" spans="1:33" ht="18">
      <c r="A95" s="476" t="s">
        <v>197</v>
      </c>
      <c r="E95" s="522">
        <v>44</v>
      </c>
      <c r="F95" s="523">
        <v>44</v>
      </c>
      <c r="G95" s="524">
        <v>381566</v>
      </c>
      <c r="H95" s="525"/>
      <c r="I95" s="525"/>
      <c r="J95" s="522">
        <v>53</v>
      </c>
      <c r="K95" s="523">
        <v>51</v>
      </c>
      <c r="L95" s="526">
        <v>398622</v>
      </c>
      <c r="M95" s="527"/>
      <c r="N95" s="525"/>
      <c r="O95" s="533" t="e">
        <f>+'LEAD RECOM INCR'!O95+#REF!</f>
        <v>#REF!</v>
      </c>
      <c r="P95" s="470" t="e">
        <f>+'LEAD RECOM INCR'!P95+#REF!</f>
        <v>#REF!</v>
      </c>
      <c r="Q95" s="715" t="e">
        <f>+'LEAD RECOM INCR'!Q95+#REF!</f>
        <v>#REF!</v>
      </c>
      <c r="R95" s="579" t="e">
        <f t="shared" si="44"/>
        <v>#REF!</v>
      </c>
      <c r="S95" s="608" t="e">
        <f t="shared" si="44"/>
        <v>#REF!</v>
      </c>
      <c r="T95" s="524" t="e">
        <f>+L95+Q95+N95</f>
        <v>#REF!</v>
      </c>
      <c r="U95" s="533" t="e">
        <f>+'LEAD RECOM INCR'!U95+#REF!</f>
        <v>#REF!</v>
      </c>
      <c r="V95" s="470" t="e">
        <f>+'LEAD RECOM INCR'!V95+#REF!</f>
        <v>#REF!</v>
      </c>
      <c r="W95" s="530" t="e">
        <f>+'LEAD RECOM INCR'!W95+#REF!</f>
        <v>#REF!</v>
      </c>
      <c r="X95" s="533" t="e">
        <f>+'LEAD RECOM INCR'!X95+#REF!</f>
        <v>#REF!</v>
      </c>
      <c r="Y95" s="470" t="e">
        <f>+'LEAD RECOM INCR'!Y95+#REF!</f>
        <v>#REF!</v>
      </c>
      <c r="Z95" s="530" t="e">
        <f>+'LEAD RECOM INCR'!Z95+#REF!</f>
        <v>#REF!</v>
      </c>
      <c r="AA95" s="522" t="e">
        <f t="shared" si="45"/>
        <v>#REF!</v>
      </c>
      <c r="AB95" s="523" t="e">
        <f t="shared" si="45"/>
        <v>#REF!</v>
      </c>
      <c r="AC95" s="534" t="e">
        <f t="shared" si="45"/>
        <v>#REF!</v>
      </c>
      <c r="AD95" s="535" t="e">
        <f>+T95*(1+$AD$11)</f>
        <v>#REF!</v>
      </c>
      <c r="AE95" s="535">
        <f>+L95*$AE$11</f>
        <v>382677.12</v>
      </c>
      <c r="AF95" s="518" t="e">
        <f t="shared" si="37"/>
        <v>#REF!</v>
      </c>
      <c r="AG95" s="519" t="e">
        <f t="shared" si="39"/>
        <v>#REF!</v>
      </c>
    </row>
    <row r="96" spans="1:33" ht="18.75" thickBot="1">
      <c r="A96" s="467" t="s">
        <v>164</v>
      </c>
      <c r="E96" s="533"/>
      <c r="F96" s="470"/>
      <c r="G96" s="527">
        <v>-19265</v>
      </c>
      <c r="H96" s="525"/>
      <c r="I96" s="525"/>
      <c r="J96" s="533"/>
      <c r="K96" s="470"/>
      <c r="L96" s="526">
        <v>0</v>
      </c>
      <c r="M96" s="527"/>
      <c r="N96" s="525">
        <v>0</v>
      </c>
      <c r="O96" s="533" t="e">
        <f>+'LEAD RECOM INCR'!O96+#REF!</f>
        <v>#REF!</v>
      </c>
      <c r="P96" s="470" t="e">
        <f>+'LEAD RECOM INCR'!P96+#REF!</f>
        <v>#REF!</v>
      </c>
      <c r="Q96" s="530" t="e">
        <f>+'LEAD RECOM INCR'!Q96+#REF!</f>
        <v>#REF!</v>
      </c>
      <c r="R96" s="578" t="e">
        <f t="shared" si="44"/>
        <v>#REF!</v>
      </c>
      <c r="S96" s="579" t="e">
        <f t="shared" si="44"/>
        <v>#REF!</v>
      </c>
      <c r="T96" s="524" t="e">
        <f>+L96+Q96+N96</f>
        <v>#REF!</v>
      </c>
      <c r="U96" s="533" t="e">
        <f>+'LEAD RECOM INCR'!U96+#REF!</f>
        <v>#REF!</v>
      </c>
      <c r="V96" s="470" t="e">
        <f>+'LEAD RECOM INCR'!V96+#REF!</f>
        <v>#REF!</v>
      </c>
      <c r="W96" s="530" t="e">
        <f>+'LEAD RECOM INCR'!W96+#REF!</f>
        <v>#REF!</v>
      </c>
      <c r="X96" s="533" t="e">
        <f>+'LEAD RECOM INCR'!X96+#REF!</f>
        <v>#REF!</v>
      </c>
      <c r="Y96" s="470" t="e">
        <f>+'LEAD RECOM INCR'!Y96+#REF!</f>
        <v>#REF!</v>
      </c>
      <c r="Z96" s="530" t="e">
        <f>+'LEAD RECOM INCR'!Z96+#REF!</f>
        <v>#REF!</v>
      </c>
      <c r="AA96" s="522" t="e">
        <f t="shared" si="45"/>
        <v>#REF!</v>
      </c>
      <c r="AB96" s="523" t="e">
        <f t="shared" si="45"/>
        <v>#REF!</v>
      </c>
      <c r="AC96" s="534" t="e">
        <f t="shared" si="45"/>
        <v>#REF!</v>
      </c>
      <c r="AD96" s="535" t="e">
        <f>+T96*(1+$AD$11)</f>
        <v>#REF!</v>
      </c>
      <c r="AE96" s="535">
        <f>+L96*$AE$11</f>
        <v>0</v>
      </c>
      <c r="AF96" s="518" t="e">
        <f t="shared" si="37"/>
        <v>#REF!</v>
      </c>
      <c r="AG96" s="519" t="s">
        <v>198</v>
      </c>
    </row>
    <row r="97" spans="1:33" ht="19.5" thickBot="1" thickTop="1">
      <c r="A97" s="585" t="s">
        <v>78</v>
      </c>
      <c r="B97" s="586"/>
      <c r="C97" s="586"/>
      <c r="D97" s="586"/>
      <c r="E97" s="611">
        <f aca="true" t="shared" si="49" ref="E97:AE97">+E78+E79</f>
        <v>108837</v>
      </c>
      <c r="F97" s="611">
        <f t="shared" si="49"/>
        <v>116221</v>
      </c>
      <c r="G97" s="611">
        <f t="shared" si="49"/>
        <v>21161670</v>
      </c>
      <c r="H97" s="612">
        <f t="shared" si="49"/>
        <v>0</v>
      </c>
      <c r="I97" s="612">
        <f t="shared" si="49"/>
        <v>0</v>
      </c>
      <c r="J97" s="587">
        <f t="shared" si="49"/>
        <v>107506</v>
      </c>
      <c r="K97" s="587">
        <f t="shared" si="49"/>
        <v>115383</v>
      </c>
      <c r="L97" s="613">
        <f t="shared" si="49"/>
        <v>21425797</v>
      </c>
      <c r="M97" s="614">
        <f t="shared" si="49"/>
        <v>0</v>
      </c>
      <c r="N97" s="614">
        <f t="shared" si="49"/>
        <v>792383</v>
      </c>
      <c r="O97" s="615" t="e">
        <f t="shared" si="49"/>
        <v>#REF!</v>
      </c>
      <c r="P97" s="616" t="e">
        <f t="shared" si="49"/>
        <v>#REF!</v>
      </c>
      <c r="Q97" s="612" t="e">
        <f t="shared" si="49"/>
        <v>#REF!</v>
      </c>
      <c r="R97" s="615" t="e">
        <f t="shared" si="49"/>
        <v>#REF!</v>
      </c>
      <c r="S97" s="612" t="e">
        <f t="shared" si="49"/>
        <v>#REF!</v>
      </c>
      <c r="T97" s="614" t="e">
        <f t="shared" si="49"/>
        <v>#REF!</v>
      </c>
      <c r="U97" s="614" t="e">
        <f t="shared" si="49"/>
        <v>#REF!</v>
      </c>
      <c r="V97" s="614" t="e">
        <f t="shared" si="49"/>
        <v>#REF!</v>
      </c>
      <c r="W97" s="614" t="e">
        <f t="shared" si="49"/>
        <v>#REF!</v>
      </c>
      <c r="X97" s="614" t="e">
        <f t="shared" si="49"/>
        <v>#REF!</v>
      </c>
      <c r="Y97" s="614" t="e">
        <f t="shared" si="49"/>
        <v>#REF!</v>
      </c>
      <c r="Z97" s="614" t="e">
        <f t="shared" si="49"/>
        <v>#REF!</v>
      </c>
      <c r="AA97" s="614" t="e">
        <f t="shared" si="49"/>
        <v>#REF!</v>
      </c>
      <c r="AB97" s="614" t="e">
        <f t="shared" si="49"/>
        <v>#REF!</v>
      </c>
      <c r="AC97" s="614" t="e">
        <f t="shared" si="49"/>
        <v>#REF!</v>
      </c>
      <c r="AD97" s="614" t="e">
        <f t="shared" si="49"/>
        <v>#REF!</v>
      </c>
      <c r="AE97" s="614">
        <f t="shared" si="49"/>
        <v>19034812.84</v>
      </c>
      <c r="AF97" s="518" t="e">
        <f t="shared" si="37"/>
        <v>#REF!</v>
      </c>
      <c r="AG97" s="519" t="e">
        <f t="shared" si="39"/>
        <v>#REF!</v>
      </c>
    </row>
    <row r="98" spans="1:33" ht="18.75" thickTop="1">
      <c r="A98" s="617" t="s">
        <v>54</v>
      </c>
      <c r="B98" s="617"/>
      <c r="C98" s="617"/>
      <c r="D98" s="617"/>
      <c r="E98" s="522"/>
      <c r="F98" s="523"/>
      <c r="G98" s="524"/>
      <c r="H98" s="618"/>
      <c r="I98" s="618"/>
      <c r="J98" s="522"/>
      <c r="K98" s="523"/>
      <c r="L98" s="526"/>
      <c r="M98" s="527"/>
      <c r="N98" s="618">
        <v>0</v>
      </c>
      <c r="O98" s="533" t="e">
        <f>+'LEAD RECOM INCR'!O98+#REF!</f>
        <v>#REF!</v>
      </c>
      <c r="P98" s="470" t="e">
        <f>+'LEAD RECOM INCR'!P98+#REF!</f>
        <v>#REF!</v>
      </c>
      <c r="Q98" s="530" t="e">
        <f>+'LEAD RECOM INCR'!Q98+#REF!</f>
        <v>#REF!</v>
      </c>
      <c r="R98" s="531" t="e">
        <f aca="true" t="shared" si="50" ref="R98:S106">+J98+O98</f>
        <v>#REF!</v>
      </c>
      <c r="S98" s="532" t="e">
        <f t="shared" si="50"/>
        <v>#REF!</v>
      </c>
      <c r="T98" s="524">
        <v>0</v>
      </c>
      <c r="U98" s="533" t="e">
        <f>+'LEAD RECOM INCR'!U98+#REF!</f>
        <v>#REF!</v>
      </c>
      <c r="V98" s="470" t="e">
        <f>+'LEAD RECOM INCR'!V98+#REF!</f>
        <v>#REF!</v>
      </c>
      <c r="W98" s="530" t="e">
        <f>+'LEAD RECOM INCR'!W98+#REF!</f>
        <v>#REF!</v>
      </c>
      <c r="X98" s="533" t="e">
        <f>+'LEAD RECOM INCR'!X98+#REF!</f>
        <v>#REF!</v>
      </c>
      <c r="Y98" s="470" t="e">
        <f>+'LEAD RECOM INCR'!Y98+#REF!</f>
        <v>#REF!</v>
      </c>
      <c r="Z98" s="530" t="e">
        <f>+'LEAD RECOM INCR'!Z98+#REF!</f>
        <v>#REF!</v>
      </c>
      <c r="AA98" s="522" t="e">
        <f aca="true" t="shared" si="51" ref="AA98:AC105">+X98+U98+R98</f>
        <v>#REF!</v>
      </c>
      <c r="AB98" s="523" t="e">
        <f t="shared" si="51"/>
        <v>#REF!</v>
      </c>
      <c r="AC98" s="524" t="e">
        <f t="shared" si="51"/>
        <v>#REF!</v>
      </c>
      <c r="AD98" s="535">
        <f aca="true" t="shared" si="52" ref="AD98:AD106">+T98*(1+$AD$11)</f>
        <v>0</v>
      </c>
      <c r="AE98" s="535">
        <f>+L98*$AE$11</f>
        <v>0</v>
      </c>
      <c r="AF98" s="518" t="e">
        <f t="shared" si="37"/>
        <v>#REF!</v>
      </c>
      <c r="AG98" s="519" t="s">
        <v>198</v>
      </c>
    </row>
    <row r="99" spans="1:33" ht="18">
      <c r="A99" s="467" t="s">
        <v>140</v>
      </c>
      <c r="B99" s="467"/>
      <c r="C99" s="467"/>
      <c r="D99" s="467"/>
      <c r="E99" s="522"/>
      <c r="F99" s="523"/>
      <c r="G99" s="524">
        <v>0</v>
      </c>
      <c r="H99" s="525"/>
      <c r="I99" s="525">
        <v>0</v>
      </c>
      <c r="J99" s="522">
        <v>0</v>
      </c>
      <c r="K99" s="523">
        <v>0</v>
      </c>
      <c r="L99" s="526">
        <f>SUM(G99+H99)</f>
        <v>0</v>
      </c>
      <c r="M99" s="527"/>
      <c r="N99" s="525">
        <v>0</v>
      </c>
      <c r="O99" s="533" t="e">
        <f>+'LEAD RECOM INCR'!O99+#REF!</f>
        <v>#REF!</v>
      </c>
      <c r="P99" s="470" t="e">
        <f>+'LEAD RECOM INCR'!P99+#REF!</f>
        <v>#REF!</v>
      </c>
      <c r="Q99" s="530" t="e">
        <f>+'LEAD RECOM INCR'!Q99+#REF!</f>
        <v>#REF!</v>
      </c>
      <c r="R99" s="531" t="e">
        <f t="shared" si="50"/>
        <v>#REF!</v>
      </c>
      <c r="S99" s="532" t="e">
        <f t="shared" si="50"/>
        <v>#REF!</v>
      </c>
      <c r="T99" s="524" t="e">
        <f aca="true" t="shared" si="53" ref="T99:T106">+L99+Q99+N99</f>
        <v>#REF!</v>
      </c>
      <c r="U99" s="533" t="e">
        <f>+'LEAD RECOM INCR'!U99+#REF!</f>
        <v>#REF!</v>
      </c>
      <c r="V99" s="470" t="e">
        <f>+'LEAD RECOM INCR'!V99+#REF!</f>
        <v>#REF!</v>
      </c>
      <c r="W99" s="530" t="e">
        <f>+'LEAD RECOM INCR'!W99+#REF!</f>
        <v>#REF!</v>
      </c>
      <c r="X99" s="533" t="e">
        <f>+'LEAD RECOM INCR'!X99+#REF!</f>
        <v>#REF!</v>
      </c>
      <c r="Y99" s="470" t="e">
        <f>+'LEAD RECOM INCR'!Y99+#REF!</f>
        <v>#REF!</v>
      </c>
      <c r="Z99" s="530" t="e">
        <f>+'LEAD RECOM INCR'!Z99+#REF!</f>
        <v>#REF!</v>
      </c>
      <c r="AA99" s="522" t="e">
        <f t="shared" si="51"/>
        <v>#REF!</v>
      </c>
      <c r="AB99" s="523" t="e">
        <f t="shared" si="51"/>
        <v>#REF!</v>
      </c>
      <c r="AC99" s="524" t="e">
        <f t="shared" si="51"/>
        <v>#REF!</v>
      </c>
      <c r="AD99" s="535" t="e">
        <f t="shared" si="52"/>
        <v>#REF!</v>
      </c>
      <c r="AE99" s="535">
        <f>+L99*$AE$11</f>
        <v>0</v>
      </c>
      <c r="AF99" s="518" t="e">
        <f t="shared" si="37"/>
        <v>#REF!</v>
      </c>
      <c r="AG99" s="519" t="e">
        <f t="shared" si="39"/>
        <v>#REF!</v>
      </c>
    </row>
    <row r="100" spans="1:33" ht="18">
      <c r="A100" s="467" t="s">
        <v>71</v>
      </c>
      <c r="B100" s="467"/>
      <c r="C100" s="567"/>
      <c r="D100" s="467"/>
      <c r="E100" s="522"/>
      <c r="F100" s="523"/>
      <c r="G100" s="524">
        <v>0</v>
      </c>
      <c r="H100" s="525"/>
      <c r="I100" s="525"/>
      <c r="J100" s="522">
        <v>0</v>
      </c>
      <c r="K100" s="523">
        <v>0</v>
      </c>
      <c r="L100" s="526">
        <f>SUM(G100+H100)</f>
        <v>0</v>
      </c>
      <c r="M100" s="527"/>
      <c r="N100" s="525">
        <v>0</v>
      </c>
      <c r="O100" s="533" t="e">
        <f>+'LEAD RECOM INCR'!O100+#REF!</f>
        <v>#REF!</v>
      </c>
      <c r="P100" s="470" t="e">
        <f>+'LEAD RECOM INCR'!P100+#REF!</f>
        <v>#REF!</v>
      </c>
      <c r="Q100" s="530" t="e">
        <f>+'LEAD RECOM INCR'!Q100+#REF!</f>
        <v>#REF!</v>
      </c>
      <c r="R100" s="531" t="e">
        <f t="shared" si="50"/>
        <v>#REF!</v>
      </c>
      <c r="S100" s="532" t="e">
        <f t="shared" si="50"/>
        <v>#REF!</v>
      </c>
      <c r="T100" s="524" t="e">
        <f t="shared" si="53"/>
        <v>#REF!</v>
      </c>
      <c r="U100" s="533" t="e">
        <f>+'LEAD RECOM INCR'!U100+#REF!</f>
        <v>#REF!</v>
      </c>
      <c r="V100" s="470" t="e">
        <f>+'LEAD RECOM INCR'!V100+#REF!</f>
        <v>#REF!</v>
      </c>
      <c r="W100" s="530" t="e">
        <f>+'LEAD RECOM INCR'!W100+#REF!</f>
        <v>#REF!</v>
      </c>
      <c r="X100" s="533" t="e">
        <f>+'LEAD RECOM INCR'!X100+#REF!</f>
        <v>#REF!</v>
      </c>
      <c r="Y100" s="470" t="e">
        <f>+'LEAD RECOM INCR'!Y100+#REF!</f>
        <v>#REF!</v>
      </c>
      <c r="Z100" s="530" t="e">
        <f>+'LEAD RECOM INCR'!Z100+#REF!</f>
        <v>#REF!</v>
      </c>
      <c r="AA100" s="522" t="e">
        <f t="shared" si="51"/>
        <v>#REF!</v>
      </c>
      <c r="AB100" s="523" t="e">
        <f t="shared" si="51"/>
        <v>#REF!</v>
      </c>
      <c r="AC100" s="524" t="e">
        <f t="shared" si="51"/>
        <v>#REF!</v>
      </c>
      <c r="AD100" s="535" t="e">
        <f t="shared" si="52"/>
        <v>#REF!</v>
      </c>
      <c r="AE100" s="535">
        <f>+L100*$AE$11</f>
        <v>0</v>
      </c>
      <c r="AF100" s="518" t="e">
        <f t="shared" si="37"/>
        <v>#REF!</v>
      </c>
      <c r="AG100" s="519" t="e">
        <f t="shared" si="39"/>
        <v>#REF!</v>
      </c>
    </row>
    <row r="101" spans="1:33" ht="18">
      <c r="A101" s="467" t="s">
        <v>69</v>
      </c>
      <c r="B101" s="467"/>
      <c r="C101" s="467"/>
      <c r="D101" s="467"/>
      <c r="E101" s="522"/>
      <c r="F101" s="523"/>
      <c r="G101" s="524">
        <v>0</v>
      </c>
      <c r="H101" s="525"/>
      <c r="I101" s="525"/>
      <c r="J101" s="522">
        <v>0</v>
      </c>
      <c r="K101" s="523">
        <v>0</v>
      </c>
      <c r="L101" s="526">
        <f>SUM(G101+H101)</f>
        <v>0</v>
      </c>
      <c r="M101" s="527"/>
      <c r="N101" s="525">
        <v>0</v>
      </c>
      <c r="O101" s="533" t="e">
        <f>+'LEAD RECOM INCR'!O101+#REF!</f>
        <v>#REF!</v>
      </c>
      <c r="P101" s="470" t="e">
        <f>+'LEAD RECOM INCR'!P101+#REF!</f>
        <v>#REF!</v>
      </c>
      <c r="Q101" s="530" t="e">
        <f>+'LEAD RECOM INCR'!Q101+#REF!</f>
        <v>#REF!</v>
      </c>
      <c r="R101" s="531" t="e">
        <f t="shared" si="50"/>
        <v>#REF!</v>
      </c>
      <c r="S101" s="532" t="e">
        <f t="shared" si="50"/>
        <v>#REF!</v>
      </c>
      <c r="T101" s="524" t="e">
        <f t="shared" si="53"/>
        <v>#REF!</v>
      </c>
      <c r="U101" s="533" t="e">
        <f>+'LEAD RECOM INCR'!U101+#REF!</f>
        <v>#REF!</v>
      </c>
      <c r="V101" s="470" t="e">
        <f>+'LEAD RECOM INCR'!V101+#REF!</f>
        <v>#REF!</v>
      </c>
      <c r="W101" s="530" t="e">
        <f>+'LEAD RECOM INCR'!W101+#REF!</f>
        <v>#REF!</v>
      </c>
      <c r="X101" s="533" t="e">
        <f>+'LEAD RECOM INCR'!X101+#REF!</f>
        <v>#REF!</v>
      </c>
      <c r="Y101" s="470" t="e">
        <f>+'LEAD RECOM INCR'!Y101+#REF!</f>
        <v>#REF!</v>
      </c>
      <c r="Z101" s="530" t="e">
        <f>+'LEAD RECOM INCR'!Z101+#REF!</f>
        <v>#REF!</v>
      </c>
      <c r="AA101" s="522" t="e">
        <f t="shared" si="51"/>
        <v>#REF!</v>
      </c>
      <c r="AB101" s="523" t="e">
        <f t="shared" si="51"/>
        <v>#REF!</v>
      </c>
      <c r="AC101" s="524" t="e">
        <f t="shared" si="51"/>
        <v>#REF!</v>
      </c>
      <c r="AD101" s="535" t="e">
        <f t="shared" si="52"/>
        <v>#REF!</v>
      </c>
      <c r="AE101" s="535">
        <f>+L101*$AE$11</f>
        <v>0</v>
      </c>
      <c r="AF101" s="518" t="e">
        <f t="shared" si="37"/>
        <v>#REF!</v>
      </c>
      <c r="AG101" s="519" t="e">
        <f t="shared" si="39"/>
        <v>#REF!</v>
      </c>
    </row>
    <row r="102" spans="1:34" ht="18">
      <c r="A102" s="567" t="s">
        <v>70</v>
      </c>
      <c r="B102" s="467"/>
      <c r="C102" s="467"/>
      <c r="D102" s="467"/>
      <c r="E102" s="522"/>
      <c r="F102" s="523"/>
      <c r="G102" s="524">
        <v>0</v>
      </c>
      <c r="H102" s="525"/>
      <c r="I102" s="525"/>
      <c r="J102" s="522">
        <v>0</v>
      </c>
      <c r="K102" s="523">
        <v>0</v>
      </c>
      <c r="L102" s="526">
        <f>SUM(G102+H102)</f>
        <v>0</v>
      </c>
      <c r="M102" s="527"/>
      <c r="N102" s="525">
        <v>0</v>
      </c>
      <c r="O102" s="533" t="e">
        <f>+'LEAD RECOM INCR'!O102+#REF!</f>
        <v>#REF!</v>
      </c>
      <c r="P102" s="470" t="e">
        <f>+'LEAD RECOM INCR'!P102+#REF!</f>
        <v>#REF!</v>
      </c>
      <c r="Q102" s="530" t="e">
        <f>+'LEAD RECOM INCR'!Q102+#REF!</f>
        <v>#REF!</v>
      </c>
      <c r="R102" s="531" t="e">
        <f t="shared" si="50"/>
        <v>#REF!</v>
      </c>
      <c r="S102" s="532" t="e">
        <f t="shared" si="50"/>
        <v>#REF!</v>
      </c>
      <c r="T102" s="524" t="e">
        <f t="shared" si="53"/>
        <v>#REF!</v>
      </c>
      <c r="U102" s="533" t="e">
        <f>+'LEAD RECOM INCR'!U102+#REF!</f>
        <v>#REF!</v>
      </c>
      <c r="V102" s="470" t="e">
        <f>+'LEAD RECOM INCR'!V102+#REF!</f>
        <v>#REF!</v>
      </c>
      <c r="W102" s="530" t="e">
        <f>+'LEAD RECOM INCR'!W102+#REF!</f>
        <v>#REF!</v>
      </c>
      <c r="X102" s="533" t="e">
        <f>+'LEAD RECOM INCR'!X102+#REF!</f>
        <v>#REF!</v>
      </c>
      <c r="Y102" s="470" t="e">
        <f>+'LEAD RECOM INCR'!Y102+#REF!</f>
        <v>#REF!</v>
      </c>
      <c r="Z102" s="530" t="e">
        <f>+'LEAD RECOM INCR'!Z102+#REF!</f>
        <v>#REF!</v>
      </c>
      <c r="AA102" s="522" t="e">
        <f t="shared" si="51"/>
        <v>#REF!</v>
      </c>
      <c r="AB102" s="523" t="e">
        <f t="shared" si="51"/>
        <v>#REF!</v>
      </c>
      <c r="AC102" s="524" t="e">
        <f t="shared" si="51"/>
        <v>#REF!</v>
      </c>
      <c r="AD102" s="535" t="e">
        <f t="shared" si="52"/>
        <v>#REF!</v>
      </c>
      <c r="AE102" s="535">
        <f>+L102*$AE$11</f>
        <v>0</v>
      </c>
      <c r="AF102" s="518" t="e">
        <f t="shared" si="37"/>
        <v>#REF!</v>
      </c>
      <c r="AG102" s="519" t="e">
        <f t="shared" si="39"/>
        <v>#REF!</v>
      </c>
      <c r="AH102" s="470"/>
    </row>
    <row r="103" spans="1:34" ht="18">
      <c r="A103" s="467" t="s">
        <v>122</v>
      </c>
      <c r="B103" s="467"/>
      <c r="C103" s="467"/>
      <c r="D103" s="467"/>
      <c r="E103" s="522"/>
      <c r="F103" s="523"/>
      <c r="G103" s="524">
        <v>-1291563</v>
      </c>
      <c r="H103" s="525"/>
      <c r="I103" s="525"/>
      <c r="J103" s="522">
        <v>0</v>
      </c>
      <c r="K103" s="523">
        <v>0</v>
      </c>
      <c r="L103" s="526">
        <v>-1255000</v>
      </c>
      <c r="M103" s="527"/>
      <c r="N103" s="525">
        <v>1255000</v>
      </c>
      <c r="O103" s="533" t="e">
        <f>+'LEAD RECOM INCR'!O103+#REF!</f>
        <v>#REF!</v>
      </c>
      <c r="P103" s="470" t="e">
        <f>+'LEAD RECOM INCR'!P103+#REF!</f>
        <v>#REF!</v>
      </c>
      <c r="Q103" s="530" t="e">
        <f>+'LEAD RECOM INCR'!Q103+#REF!</f>
        <v>#REF!</v>
      </c>
      <c r="R103" s="531" t="e">
        <f t="shared" si="50"/>
        <v>#REF!</v>
      </c>
      <c r="S103" s="532" t="e">
        <f t="shared" si="50"/>
        <v>#REF!</v>
      </c>
      <c r="T103" s="524" t="e">
        <f t="shared" si="53"/>
        <v>#REF!</v>
      </c>
      <c r="U103" s="533" t="e">
        <f>+'LEAD RECOM INCR'!U103+#REF!</f>
        <v>#REF!</v>
      </c>
      <c r="V103" s="470" t="e">
        <f>+'LEAD RECOM INCR'!V103+#REF!</f>
        <v>#REF!</v>
      </c>
      <c r="W103" s="530" t="e">
        <f>+'LEAD RECOM INCR'!W103+#REF!</f>
        <v>#REF!</v>
      </c>
      <c r="X103" s="533" t="e">
        <f>+'LEAD RECOM INCR'!X103+#REF!</f>
        <v>#REF!</v>
      </c>
      <c r="Y103" s="470" t="e">
        <f>+'LEAD RECOM INCR'!Y103+#REF!</f>
        <v>#REF!</v>
      </c>
      <c r="Z103" s="530" t="e">
        <f>+'LEAD RECOM INCR'!Z103+#REF!</f>
        <v>#REF!</v>
      </c>
      <c r="AA103" s="522" t="e">
        <f t="shared" si="51"/>
        <v>#REF!</v>
      </c>
      <c r="AB103" s="523" t="e">
        <f t="shared" si="51"/>
        <v>#REF!</v>
      </c>
      <c r="AC103" s="534" t="e">
        <f t="shared" si="51"/>
        <v>#REF!</v>
      </c>
      <c r="AD103" s="535" t="e">
        <f t="shared" si="52"/>
        <v>#REF!</v>
      </c>
      <c r="AE103" s="535">
        <v>0</v>
      </c>
      <c r="AF103" s="518" t="e">
        <f t="shared" si="37"/>
        <v>#REF!</v>
      </c>
      <c r="AG103" s="519" t="e">
        <f t="shared" si="39"/>
        <v>#REF!</v>
      </c>
      <c r="AH103" s="470"/>
    </row>
    <row r="104" spans="1:33" ht="18">
      <c r="A104" s="467" t="s">
        <v>141</v>
      </c>
      <c r="B104" s="467"/>
      <c r="C104" s="467"/>
      <c r="D104" s="467"/>
      <c r="E104" s="522"/>
      <c r="F104" s="523"/>
      <c r="G104" s="524">
        <v>-2500</v>
      </c>
      <c r="H104" s="525"/>
      <c r="I104" s="525"/>
      <c r="J104" s="522">
        <v>0</v>
      </c>
      <c r="K104" s="523">
        <v>0</v>
      </c>
      <c r="L104" s="526">
        <v>0</v>
      </c>
      <c r="M104" s="527"/>
      <c r="N104" s="525">
        <v>0</v>
      </c>
      <c r="O104" s="533" t="e">
        <f>+'LEAD RECOM INCR'!O104+#REF!</f>
        <v>#REF!</v>
      </c>
      <c r="P104" s="470" t="e">
        <f>+'LEAD RECOM INCR'!P104+#REF!</f>
        <v>#REF!</v>
      </c>
      <c r="Q104" s="530" t="e">
        <f>+'LEAD RECOM INCR'!Q104+#REF!</f>
        <v>#REF!</v>
      </c>
      <c r="R104" s="531" t="e">
        <f t="shared" si="50"/>
        <v>#REF!</v>
      </c>
      <c r="S104" s="532" t="e">
        <f t="shared" si="50"/>
        <v>#REF!</v>
      </c>
      <c r="T104" s="524" t="e">
        <f t="shared" si="53"/>
        <v>#REF!</v>
      </c>
      <c r="U104" s="533" t="e">
        <f>+'LEAD RECOM INCR'!U104+#REF!</f>
        <v>#REF!</v>
      </c>
      <c r="V104" s="470" t="e">
        <f>+'LEAD RECOM INCR'!V104+#REF!</f>
        <v>#REF!</v>
      </c>
      <c r="W104" s="530" t="e">
        <f>+'LEAD RECOM INCR'!W104+#REF!</f>
        <v>#REF!</v>
      </c>
      <c r="X104" s="533" t="e">
        <f>+'LEAD RECOM INCR'!X104+#REF!</f>
        <v>#REF!</v>
      </c>
      <c r="Y104" s="470" t="e">
        <f>+'LEAD RECOM INCR'!Y104+#REF!</f>
        <v>#REF!</v>
      </c>
      <c r="Z104" s="530" t="e">
        <f>+'LEAD RECOM INCR'!Z104+#REF!</f>
        <v>#REF!</v>
      </c>
      <c r="AA104" s="522" t="e">
        <f t="shared" si="51"/>
        <v>#REF!</v>
      </c>
      <c r="AB104" s="523" t="e">
        <f t="shared" si="51"/>
        <v>#REF!</v>
      </c>
      <c r="AC104" s="524" t="e">
        <f t="shared" si="51"/>
        <v>#REF!</v>
      </c>
      <c r="AD104" s="535" t="e">
        <f t="shared" si="52"/>
        <v>#REF!</v>
      </c>
      <c r="AE104" s="535">
        <f>+L104*$AE$11</f>
        <v>0</v>
      </c>
      <c r="AF104" s="518" t="e">
        <f t="shared" si="37"/>
        <v>#REF!</v>
      </c>
      <c r="AG104" s="519" t="s">
        <v>198</v>
      </c>
    </row>
    <row r="105" spans="1:33" ht="18">
      <c r="A105" s="467" t="s">
        <v>157</v>
      </c>
      <c r="B105" s="467"/>
      <c r="C105" s="467"/>
      <c r="D105" s="467"/>
      <c r="E105" s="522"/>
      <c r="F105" s="523"/>
      <c r="G105" s="524">
        <v>0</v>
      </c>
      <c r="H105" s="525"/>
      <c r="I105" s="525"/>
      <c r="J105" s="522">
        <v>0</v>
      </c>
      <c r="K105" s="523">
        <v>0</v>
      </c>
      <c r="L105" s="526"/>
      <c r="M105" s="527"/>
      <c r="N105" s="525"/>
      <c r="O105" s="533" t="e">
        <f>+'LEAD RECOM INCR'!O105+#REF!</f>
        <v>#REF!</v>
      </c>
      <c r="P105" s="470" t="e">
        <f>+'LEAD RECOM INCR'!P105+#REF!</f>
        <v>#REF!</v>
      </c>
      <c r="Q105" s="530" t="e">
        <f>+'LEAD RECOM INCR'!Q105+#REF!</f>
        <v>#REF!</v>
      </c>
      <c r="R105" s="531" t="e">
        <f t="shared" si="50"/>
        <v>#REF!</v>
      </c>
      <c r="S105" s="532" t="e">
        <f t="shared" si="50"/>
        <v>#REF!</v>
      </c>
      <c r="T105" s="524" t="e">
        <f t="shared" si="53"/>
        <v>#REF!</v>
      </c>
      <c r="U105" s="533" t="e">
        <f>+'LEAD RECOM INCR'!U105+#REF!</f>
        <v>#REF!</v>
      </c>
      <c r="V105" s="470" t="e">
        <f>+'LEAD RECOM INCR'!V105+#REF!</f>
        <v>#REF!</v>
      </c>
      <c r="W105" s="530" t="e">
        <f>+'LEAD RECOM INCR'!W105+#REF!</f>
        <v>#REF!</v>
      </c>
      <c r="X105" s="533" t="e">
        <f>+'LEAD RECOM INCR'!X105+#REF!</f>
        <v>#REF!</v>
      </c>
      <c r="Y105" s="470" t="e">
        <f>+'LEAD RECOM INCR'!Y105+#REF!</f>
        <v>#REF!</v>
      </c>
      <c r="Z105" s="530" t="e">
        <f>+'LEAD RECOM INCR'!Z105+#REF!</f>
        <v>#REF!</v>
      </c>
      <c r="AA105" s="522" t="e">
        <f t="shared" si="51"/>
        <v>#REF!</v>
      </c>
      <c r="AB105" s="523" t="e">
        <f t="shared" si="51"/>
        <v>#REF!</v>
      </c>
      <c r="AC105" s="524" t="e">
        <f t="shared" si="51"/>
        <v>#REF!</v>
      </c>
      <c r="AD105" s="535" t="e">
        <f t="shared" si="52"/>
        <v>#REF!</v>
      </c>
      <c r="AE105" s="535">
        <v>0</v>
      </c>
      <c r="AF105" s="518" t="e">
        <f t="shared" si="37"/>
        <v>#REF!</v>
      </c>
      <c r="AG105" s="519" t="s">
        <v>198</v>
      </c>
    </row>
    <row r="106" spans="1:33" ht="18.75" thickBot="1">
      <c r="A106" s="467" t="s">
        <v>216</v>
      </c>
      <c r="B106" s="467"/>
      <c r="C106" s="467"/>
      <c r="D106" s="467"/>
      <c r="E106" s="522"/>
      <c r="F106" s="523"/>
      <c r="G106" s="524">
        <v>-102000</v>
      </c>
      <c r="H106" s="525"/>
      <c r="I106" s="525"/>
      <c r="J106" s="522">
        <v>0</v>
      </c>
      <c r="K106" s="523">
        <v>0</v>
      </c>
      <c r="L106" s="526">
        <v>-159780</v>
      </c>
      <c r="M106" s="527"/>
      <c r="N106" s="716">
        <v>159780</v>
      </c>
      <c r="O106" s="533" t="e">
        <f>+'LEAD RECOM INCR'!O106+#REF!</f>
        <v>#REF!</v>
      </c>
      <c r="P106" s="470" t="e">
        <f>+'LEAD RECOM INCR'!P106+#REF!</f>
        <v>#REF!</v>
      </c>
      <c r="Q106" s="530" t="e">
        <f>+'LEAD RECOM INCR'!Q106+#REF!</f>
        <v>#REF!</v>
      </c>
      <c r="R106" s="531" t="e">
        <f t="shared" si="50"/>
        <v>#REF!</v>
      </c>
      <c r="S106" s="532" t="e">
        <f t="shared" si="50"/>
        <v>#REF!</v>
      </c>
      <c r="T106" s="524" t="e">
        <f t="shared" si="53"/>
        <v>#REF!</v>
      </c>
      <c r="U106" s="533" t="e">
        <f>+'LEAD RECOM INCR'!U106+#REF!</f>
        <v>#REF!</v>
      </c>
      <c r="V106" s="470" t="e">
        <f>+'LEAD RECOM INCR'!V106+#REF!</f>
        <v>#REF!</v>
      </c>
      <c r="W106" s="530" t="e">
        <f>+'LEAD RECOM INCR'!W106+#REF!</f>
        <v>#REF!</v>
      </c>
      <c r="X106" s="533" t="e">
        <f>+'LEAD RECOM INCR'!X106+#REF!</f>
        <v>#REF!</v>
      </c>
      <c r="Y106" s="470" t="e">
        <f>+'LEAD RECOM INCR'!Y106+#REF!</f>
        <v>#REF!</v>
      </c>
      <c r="Z106" s="530" t="e">
        <f>+'LEAD RECOM INCR'!Z106+#REF!</f>
        <v>#REF!</v>
      </c>
      <c r="AA106" s="522" t="e">
        <f>SUM(R106+U106+X106)</f>
        <v>#REF!</v>
      </c>
      <c r="AB106" s="523" t="e">
        <f>SUM(S106+V106+Y106)</f>
        <v>#REF!</v>
      </c>
      <c r="AC106" s="524" t="e">
        <f>SUM(T106+W106+Z106)</f>
        <v>#REF!</v>
      </c>
      <c r="AD106" s="535" t="e">
        <f t="shared" si="52"/>
        <v>#REF!</v>
      </c>
      <c r="AE106" s="535">
        <v>0</v>
      </c>
      <c r="AF106" s="518" t="e">
        <f t="shared" si="37"/>
        <v>#REF!</v>
      </c>
      <c r="AG106" s="519" t="e">
        <f t="shared" si="39"/>
        <v>#REF!</v>
      </c>
    </row>
    <row r="107" spans="1:33" ht="19.5" thickBot="1" thickTop="1">
      <c r="A107" s="585" t="s">
        <v>79</v>
      </c>
      <c r="B107" s="619"/>
      <c r="C107" s="619"/>
      <c r="D107" s="619"/>
      <c r="E107" s="620">
        <f aca="true" t="shared" si="54" ref="E107:AE107">SUM(E99:E106)</f>
        <v>0</v>
      </c>
      <c r="F107" s="621">
        <f t="shared" si="54"/>
        <v>0</v>
      </c>
      <c r="G107" s="622">
        <f t="shared" si="54"/>
        <v>-1396063</v>
      </c>
      <c r="H107" s="622">
        <f t="shared" si="54"/>
        <v>0</v>
      </c>
      <c r="I107" s="622">
        <f t="shared" si="54"/>
        <v>0</v>
      </c>
      <c r="J107" s="620">
        <f t="shared" si="54"/>
        <v>0</v>
      </c>
      <c r="K107" s="621">
        <f t="shared" si="54"/>
        <v>0</v>
      </c>
      <c r="L107" s="623">
        <f t="shared" si="54"/>
        <v>-1414780</v>
      </c>
      <c r="M107" s="622">
        <f t="shared" si="54"/>
        <v>0</v>
      </c>
      <c r="N107" s="622">
        <f t="shared" si="54"/>
        <v>1414780</v>
      </c>
      <c r="O107" s="620" t="e">
        <f t="shared" si="54"/>
        <v>#REF!</v>
      </c>
      <c r="P107" s="621" t="e">
        <f t="shared" si="54"/>
        <v>#REF!</v>
      </c>
      <c r="Q107" s="624" t="e">
        <f t="shared" si="54"/>
        <v>#REF!</v>
      </c>
      <c r="R107" s="620" t="e">
        <f t="shared" si="54"/>
        <v>#REF!</v>
      </c>
      <c r="S107" s="621" t="e">
        <f t="shared" si="54"/>
        <v>#REF!</v>
      </c>
      <c r="T107" s="624" t="e">
        <f t="shared" si="54"/>
        <v>#REF!</v>
      </c>
      <c r="U107" s="625" t="e">
        <f t="shared" si="54"/>
        <v>#REF!</v>
      </c>
      <c r="V107" s="621" t="e">
        <f t="shared" si="54"/>
        <v>#REF!</v>
      </c>
      <c r="W107" s="624" t="e">
        <f t="shared" si="54"/>
        <v>#REF!</v>
      </c>
      <c r="X107" s="620" t="e">
        <f t="shared" si="54"/>
        <v>#REF!</v>
      </c>
      <c r="Y107" s="621" t="e">
        <f t="shared" si="54"/>
        <v>#REF!</v>
      </c>
      <c r="Z107" s="624" t="e">
        <f t="shared" si="54"/>
        <v>#REF!</v>
      </c>
      <c r="AA107" s="624" t="e">
        <f t="shared" si="54"/>
        <v>#REF!</v>
      </c>
      <c r="AB107" s="624" t="e">
        <f t="shared" si="54"/>
        <v>#REF!</v>
      </c>
      <c r="AC107" s="624" t="e">
        <f t="shared" si="54"/>
        <v>#REF!</v>
      </c>
      <c r="AD107" s="626" t="e">
        <f t="shared" si="54"/>
        <v>#REF!</v>
      </c>
      <c r="AE107" s="626">
        <f t="shared" si="54"/>
        <v>0</v>
      </c>
      <c r="AF107" s="518" t="e">
        <f t="shared" si="37"/>
        <v>#REF!</v>
      </c>
      <c r="AG107" s="519" t="e">
        <f t="shared" si="39"/>
        <v>#REF!</v>
      </c>
    </row>
    <row r="108" spans="1:33" ht="10.5" customHeight="1" thickBot="1" thickTop="1">
      <c r="A108" s="627"/>
      <c r="B108" s="628"/>
      <c r="C108" s="628"/>
      <c r="D108" s="628"/>
      <c r="E108" s="522"/>
      <c r="F108" s="523"/>
      <c r="G108" s="524"/>
      <c r="H108" s="629"/>
      <c r="I108" s="629"/>
      <c r="J108" s="522"/>
      <c r="K108" s="523"/>
      <c r="L108" s="526"/>
      <c r="M108" s="527"/>
      <c r="N108" s="629"/>
      <c r="O108" s="522"/>
      <c r="P108" s="523"/>
      <c r="Q108" s="524"/>
      <c r="R108" s="531"/>
      <c r="S108" s="532"/>
      <c r="T108" s="524"/>
      <c r="U108" s="522"/>
      <c r="V108" s="539"/>
      <c r="W108" s="524"/>
      <c r="X108" s="540"/>
      <c r="Y108" s="539"/>
      <c r="Z108" s="524"/>
      <c r="AA108" s="522"/>
      <c r="AB108" s="523"/>
      <c r="AC108" s="524"/>
      <c r="AD108" s="554"/>
      <c r="AE108" s="554"/>
      <c r="AF108" s="518">
        <f t="shared" si="37"/>
        <v>0</v>
      </c>
      <c r="AG108" s="519" t="s">
        <v>198</v>
      </c>
    </row>
    <row r="109" spans="1:33" ht="19.5" thickBot="1" thickTop="1">
      <c r="A109" s="585" t="s">
        <v>80</v>
      </c>
      <c r="B109" s="630"/>
      <c r="C109" s="630"/>
      <c r="D109" s="630"/>
      <c r="E109" s="614">
        <f aca="true" t="shared" si="55" ref="E109:AE109">+E97+E107</f>
        <v>108837</v>
      </c>
      <c r="F109" s="614">
        <f t="shared" si="55"/>
        <v>116221</v>
      </c>
      <c r="G109" s="614">
        <f t="shared" si="55"/>
        <v>19765607</v>
      </c>
      <c r="H109" s="631">
        <f t="shared" si="55"/>
        <v>0</v>
      </c>
      <c r="I109" s="631">
        <f t="shared" si="55"/>
        <v>0</v>
      </c>
      <c r="J109" s="614">
        <f t="shared" si="55"/>
        <v>107506</v>
      </c>
      <c r="K109" s="614">
        <f t="shared" si="55"/>
        <v>115383</v>
      </c>
      <c r="L109" s="632">
        <f t="shared" si="55"/>
        <v>20011017</v>
      </c>
      <c r="M109" s="631">
        <f t="shared" si="55"/>
        <v>0</v>
      </c>
      <c r="N109" s="631">
        <f t="shared" si="55"/>
        <v>2207163</v>
      </c>
      <c r="O109" s="631" t="e">
        <f t="shared" si="55"/>
        <v>#REF!</v>
      </c>
      <c r="P109" s="633" t="e">
        <f t="shared" si="55"/>
        <v>#REF!</v>
      </c>
      <c r="Q109" s="634" t="e">
        <f t="shared" si="55"/>
        <v>#REF!</v>
      </c>
      <c r="R109" s="634" t="e">
        <f t="shared" si="55"/>
        <v>#REF!</v>
      </c>
      <c r="S109" s="634" t="e">
        <f t="shared" si="55"/>
        <v>#REF!</v>
      </c>
      <c r="T109" s="634" t="e">
        <f t="shared" si="55"/>
        <v>#REF!</v>
      </c>
      <c r="U109" s="631" t="e">
        <f t="shared" si="55"/>
        <v>#REF!</v>
      </c>
      <c r="V109" s="633" t="e">
        <f t="shared" si="55"/>
        <v>#REF!</v>
      </c>
      <c r="W109" s="634" t="e">
        <f t="shared" si="55"/>
        <v>#REF!</v>
      </c>
      <c r="X109" s="631" t="e">
        <f t="shared" si="55"/>
        <v>#REF!</v>
      </c>
      <c r="Y109" s="633" t="e">
        <f t="shared" si="55"/>
        <v>#REF!</v>
      </c>
      <c r="Z109" s="634" t="e">
        <f t="shared" si="55"/>
        <v>#REF!</v>
      </c>
      <c r="AA109" s="631" t="e">
        <f t="shared" si="55"/>
        <v>#REF!</v>
      </c>
      <c r="AB109" s="633" t="e">
        <f t="shared" si="55"/>
        <v>#REF!</v>
      </c>
      <c r="AC109" s="635" t="e">
        <f t="shared" si="55"/>
        <v>#REF!</v>
      </c>
      <c r="AD109" s="636" t="e">
        <f t="shared" si="55"/>
        <v>#REF!</v>
      </c>
      <c r="AE109" s="636">
        <f t="shared" si="55"/>
        <v>19034812.84</v>
      </c>
      <c r="AF109" s="637" t="e">
        <f t="shared" si="37"/>
        <v>#REF!</v>
      </c>
      <c r="AG109" s="638" t="e">
        <f t="shared" si="39"/>
        <v>#REF!</v>
      </c>
    </row>
    <row r="110" spans="1:32" ht="18.75" thickTop="1">
      <c r="A110" s="617" t="s">
        <v>81</v>
      </c>
      <c r="B110" s="617"/>
      <c r="C110" s="617"/>
      <c r="D110" s="617"/>
      <c r="E110" s="522"/>
      <c r="F110" s="523"/>
      <c r="G110" s="524"/>
      <c r="H110" s="618"/>
      <c r="I110" s="618"/>
      <c r="J110" s="522"/>
      <c r="K110" s="523"/>
      <c r="L110" s="526"/>
      <c r="M110" s="527"/>
      <c r="N110" s="618" t="s">
        <v>198</v>
      </c>
      <c r="O110" s="522"/>
      <c r="P110" s="523"/>
      <c r="Q110" s="524"/>
      <c r="R110" s="531"/>
      <c r="S110" s="532"/>
      <c r="T110" s="524"/>
      <c r="U110" s="533" t="e">
        <f>+'LEAD RECOM INCR'!U110+#REF!</f>
        <v>#REF!</v>
      </c>
      <c r="V110" s="470" t="e">
        <f>+'LEAD RECOM INCR'!V110+#REF!</f>
        <v>#REF!</v>
      </c>
      <c r="W110" s="530" t="e">
        <f>+'LEAD RECOM INCR'!W110+#REF!</f>
        <v>#REF!</v>
      </c>
      <c r="X110" s="533" t="e">
        <f>+'LEAD RECOM INCR'!X110+#REF!</f>
        <v>#REF!</v>
      </c>
      <c r="Y110" s="470" t="e">
        <f>+'LEAD RECOM INCR'!Y110+#REF!</f>
        <v>#REF!</v>
      </c>
      <c r="Z110" s="530" t="e">
        <f>+'LEAD RECOM INCR'!Z110+#REF!</f>
        <v>#REF!</v>
      </c>
      <c r="AA110" s="522"/>
      <c r="AB110" s="523"/>
      <c r="AC110" s="524"/>
      <c r="AD110" s="535">
        <f>+T110*(1+$AD$11)</f>
        <v>0</v>
      </c>
      <c r="AE110" s="535">
        <f>+L110*$AE$11</f>
        <v>0</v>
      </c>
      <c r="AF110" s="470"/>
    </row>
    <row r="111" spans="1:32" ht="18.75" thickBot="1">
      <c r="A111" s="639" t="s">
        <v>142</v>
      </c>
      <c r="B111" s="467"/>
      <c r="C111" s="467"/>
      <c r="D111" s="467"/>
      <c r="E111" s="522"/>
      <c r="F111" s="523">
        <v>239</v>
      </c>
      <c r="G111" s="524">
        <v>38610</v>
      </c>
      <c r="H111" s="525"/>
      <c r="I111" s="525"/>
      <c r="J111" s="522"/>
      <c r="K111" s="523">
        <v>239</v>
      </c>
      <c r="L111" s="526">
        <v>39000</v>
      </c>
      <c r="M111" s="527"/>
      <c r="N111" s="525">
        <v>-39000</v>
      </c>
      <c r="O111" s="533" t="e">
        <f>+'LEAD RECOM INCR'!O111+#REF!</f>
        <v>#REF!</v>
      </c>
      <c r="P111" s="470" t="e">
        <f>+'LEAD RECOM INCR'!P111+#REF!</f>
        <v>#REF!</v>
      </c>
      <c r="Q111" s="530" t="e">
        <f>+'LEAD RECOM INCR'!Q111+#REF!</f>
        <v>#REF!</v>
      </c>
      <c r="R111" s="531" t="e">
        <f>+J111+O111</f>
        <v>#REF!</v>
      </c>
      <c r="S111" s="532" t="e">
        <f>+K111+P111</f>
        <v>#REF!</v>
      </c>
      <c r="T111" s="524" t="e">
        <f>+L111+Q111+N111</f>
        <v>#REF!</v>
      </c>
      <c r="U111" s="533" t="e">
        <f>+'LEAD RECOM INCR'!U111+#REF!</f>
        <v>#REF!</v>
      </c>
      <c r="V111" s="470" t="e">
        <f>+'LEAD RECOM INCR'!V111+#REF!</f>
        <v>#REF!</v>
      </c>
      <c r="W111" s="530" t="e">
        <f>+'LEAD RECOM INCR'!W111+#REF!</f>
        <v>#REF!</v>
      </c>
      <c r="X111" s="533" t="e">
        <f>+'LEAD RECOM INCR'!X111+#REF!</f>
        <v>#REF!</v>
      </c>
      <c r="Y111" s="470" t="e">
        <f>+'LEAD RECOM INCR'!Y111+#REF!</f>
        <v>#REF!</v>
      </c>
      <c r="Z111" s="530" t="e">
        <f>+'LEAD RECOM INCR'!Z111+#REF!</f>
        <v>#REF!</v>
      </c>
      <c r="AA111" s="522" t="e">
        <f>+X111+U111+R111</f>
        <v>#REF!</v>
      </c>
      <c r="AB111" s="523" t="e">
        <f>+Y111+V111+S111</f>
        <v>#REF!</v>
      </c>
      <c r="AC111" s="524" t="e">
        <f>+Z111+W111+T111</f>
        <v>#REF!</v>
      </c>
      <c r="AD111" s="535" t="e">
        <f>+T111*(1+$AD$11)</f>
        <v>#REF!</v>
      </c>
      <c r="AE111" s="535">
        <f>+L111*$AE$11</f>
        <v>37440</v>
      </c>
      <c r="AF111" s="470"/>
    </row>
    <row r="112" spans="1:31" ht="19.5" thickBot="1" thickTop="1">
      <c r="A112" s="923" t="s">
        <v>102</v>
      </c>
      <c r="B112" s="924"/>
      <c r="C112" s="924"/>
      <c r="D112" s="924"/>
      <c r="E112" s="640">
        <f aca="true" t="shared" si="56" ref="E112:AC112">E111</f>
        <v>0</v>
      </c>
      <c r="F112" s="641">
        <f t="shared" si="56"/>
        <v>239</v>
      </c>
      <c r="G112" s="642">
        <f t="shared" si="56"/>
        <v>38610</v>
      </c>
      <c r="H112" s="643">
        <f t="shared" si="56"/>
        <v>0</v>
      </c>
      <c r="I112" s="643">
        <f t="shared" si="56"/>
        <v>0</v>
      </c>
      <c r="J112" s="640">
        <f t="shared" si="56"/>
        <v>0</v>
      </c>
      <c r="K112" s="641">
        <f t="shared" si="56"/>
        <v>239</v>
      </c>
      <c r="L112" s="644">
        <f t="shared" si="56"/>
        <v>39000</v>
      </c>
      <c r="M112" s="644"/>
      <c r="N112" s="644">
        <f t="shared" si="56"/>
        <v>-39000</v>
      </c>
      <c r="O112" s="640" t="e">
        <f t="shared" si="56"/>
        <v>#REF!</v>
      </c>
      <c r="P112" s="641" t="e">
        <f t="shared" si="56"/>
        <v>#REF!</v>
      </c>
      <c r="Q112" s="642" t="e">
        <f t="shared" si="56"/>
        <v>#REF!</v>
      </c>
      <c r="R112" s="642" t="e">
        <f t="shared" si="56"/>
        <v>#REF!</v>
      </c>
      <c r="S112" s="642" t="e">
        <f t="shared" si="56"/>
        <v>#REF!</v>
      </c>
      <c r="T112" s="642" t="e">
        <f t="shared" si="56"/>
        <v>#REF!</v>
      </c>
      <c r="U112" s="640" t="e">
        <f t="shared" si="56"/>
        <v>#REF!</v>
      </c>
      <c r="V112" s="641" t="e">
        <f t="shared" si="56"/>
        <v>#REF!</v>
      </c>
      <c r="W112" s="642" t="e">
        <f t="shared" si="56"/>
        <v>#REF!</v>
      </c>
      <c r="X112" s="640" t="e">
        <f t="shared" si="56"/>
        <v>#REF!</v>
      </c>
      <c r="Y112" s="641" t="e">
        <f t="shared" si="56"/>
        <v>#REF!</v>
      </c>
      <c r="Z112" s="642" t="e">
        <f t="shared" si="56"/>
        <v>#REF!</v>
      </c>
      <c r="AA112" s="642" t="e">
        <f t="shared" si="56"/>
        <v>#REF!</v>
      </c>
      <c r="AB112" s="642" t="e">
        <f t="shared" si="56"/>
        <v>#REF!</v>
      </c>
      <c r="AC112" s="642" t="e">
        <f t="shared" si="56"/>
        <v>#REF!</v>
      </c>
      <c r="AD112" s="643"/>
      <c r="AE112" s="643"/>
    </row>
    <row r="113" spans="1:32" s="648" customFormat="1" ht="19.5" thickBot="1" thickTop="1">
      <c r="A113" s="585" t="s">
        <v>88</v>
      </c>
      <c r="B113" s="586"/>
      <c r="C113" s="586"/>
      <c r="D113" s="586"/>
      <c r="E113" s="614">
        <f aca="true" t="shared" si="57" ref="E113:AE113">E109+E112</f>
        <v>108837</v>
      </c>
      <c r="F113" s="614">
        <f t="shared" si="57"/>
        <v>116460</v>
      </c>
      <c r="G113" s="614">
        <f t="shared" si="57"/>
        <v>19804217</v>
      </c>
      <c r="H113" s="645">
        <f t="shared" si="57"/>
        <v>0</v>
      </c>
      <c r="I113" s="645">
        <f t="shared" si="57"/>
        <v>0</v>
      </c>
      <c r="J113" s="614">
        <f t="shared" si="57"/>
        <v>107506</v>
      </c>
      <c r="K113" s="614">
        <f t="shared" si="57"/>
        <v>115622</v>
      </c>
      <c r="L113" s="632">
        <f t="shared" si="57"/>
        <v>20050017</v>
      </c>
      <c r="M113" s="645">
        <f t="shared" si="57"/>
        <v>0</v>
      </c>
      <c r="N113" s="645">
        <f t="shared" si="57"/>
        <v>2168163</v>
      </c>
      <c r="O113" s="645" t="e">
        <f t="shared" si="57"/>
        <v>#REF!</v>
      </c>
      <c r="P113" s="646" t="e">
        <f t="shared" si="57"/>
        <v>#REF!</v>
      </c>
      <c r="Q113" s="647" t="e">
        <f t="shared" si="57"/>
        <v>#REF!</v>
      </c>
      <c r="R113" s="647" t="e">
        <f t="shared" si="57"/>
        <v>#REF!</v>
      </c>
      <c r="S113" s="647" t="e">
        <f t="shared" si="57"/>
        <v>#REF!</v>
      </c>
      <c r="T113" s="647" t="e">
        <f t="shared" si="57"/>
        <v>#REF!</v>
      </c>
      <c r="U113" s="645" t="e">
        <f t="shared" si="57"/>
        <v>#REF!</v>
      </c>
      <c r="V113" s="646" t="e">
        <f t="shared" si="57"/>
        <v>#REF!</v>
      </c>
      <c r="W113" s="647" t="e">
        <f t="shared" si="57"/>
        <v>#REF!</v>
      </c>
      <c r="X113" s="645" t="e">
        <f t="shared" si="57"/>
        <v>#REF!</v>
      </c>
      <c r="Y113" s="646" t="e">
        <f t="shared" si="57"/>
        <v>#REF!</v>
      </c>
      <c r="Z113" s="647" t="e">
        <f t="shared" si="57"/>
        <v>#REF!</v>
      </c>
      <c r="AA113" s="647" t="e">
        <f t="shared" si="57"/>
        <v>#REF!</v>
      </c>
      <c r="AB113" s="647" t="e">
        <f t="shared" si="57"/>
        <v>#REF!</v>
      </c>
      <c r="AC113" s="647" t="e">
        <f t="shared" si="57"/>
        <v>#REF!</v>
      </c>
      <c r="AD113" s="614" t="e">
        <f t="shared" si="57"/>
        <v>#REF!</v>
      </c>
      <c r="AE113" s="614">
        <f t="shared" si="57"/>
        <v>19034812.84</v>
      </c>
      <c r="AF113" s="588"/>
    </row>
    <row r="114" spans="1:31" ht="18.75" thickTop="1">
      <c r="A114" s="476" t="s">
        <v>31</v>
      </c>
      <c r="E114" s="522"/>
      <c r="F114" s="523"/>
      <c r="G114" s="524"/>
      <c r="H114" s="525"/>
      <c r="I114" s="525"/>
      <c r="J114" s="522"/>
      <c r="K114" s="523"/>
      <c r="L114" s="526"/>
      <c r="M114" s="527"/>
      <c r="N114" s="525"/>
      <c r="O114" s="522"/>
      <c r="P114" s="523"/>
      <c r="Q114" s="524"/>
      <c r="R114" s="531"/>
      <c r="S114" s="532">
        <v>0</v>
      </c>
      <c r="T114" s="524" t="s">
        <v>198</v>
      </c>
      <c r="U114" s="522"/>
      <c r="V114" s="539"/>
      <c r="W114" s="524"/>
      <c r="X114" s="540"/>
      <c r="Y114" s="539"/>
      <c r="Z114" s="524"/>
      <c r="AA114" s="522"/>
      <c r="AB114" s="523"/>
      <c r="AC114" s="524"/>
      <c r="AD114" s="554"/>
      <c r="AE114" s="554"/>
    </row>
    <row r="115" spans="1:31" ht="18">
      <c r="A115" s="476" t="s">
        <v>89</v>
      </c>
      <c r="E115" s="522">
        <v>0</v>
      </c>
      <c r="F115" s="523">
        <v>0</v>
      </c>
      <c r="G115" s="524">
        <v>168300</v>
      </c>
      <c r="H115" s="525"/>
      <c r="I115" s="525"/>
      <c r="J115" s="522">
        <v>0</v>
      </c>
      <c r="K115" s="523">
        <v>0</v>
      </c>
      <c r="L115" s="526">
        <f>SUM(G115+H115)</f>
        <v>168300</v>
      </c>
      <c r="M115" s="527"/>
      <c r="N115" s="525">
        <v>0</v>
      </c>
      <c r="O115" s="533" t="e">
        <f>+'LEAD RECOM INCR'!O115+#REF!</f>
        <v>#REF!</v>
      </c>
      <c r="P115" s="470" t="e">
        <f>+'LEAD RECOM INCR'!P115+#REF!</f>
        <v>#REF!</v>
      </c>
      <c r="Q115" s="530" t="e">
        <f>+'LEAD RECOM INCR'!Q115+#REF!</f>
        <v>#REF!</v>
      </c>
      <c r="R115" s="531" t="e">
        <f aca="true" t="shared" si="58" ref="R115:T124">+J115+O115</f>
        <v>#REF!</v>
      </c>
      <c r="S115" s="532" t="e">
        <f t="shared" si="58"/>
        <v>#REF!</v>
      </c>
      <c r="T115" s="524" t="e">
        <f t="shared" si="58"/>
        <v>#REF!</v>
      </c>
      <c r="U115" s="533" t="e">
        <f>+'LEAD RECOM INCR'!U115+#REF!</f>
        <v>#REF!</v>
      </c>
      <c r="V115" s="470" t="e">
        <f>+'LEAD RECOM INCR'!V115+#REF!</f>
        <v>#REF!</v>
      </c>
      <c r="W115" s="530" t="e">
        <f>+'LEAD RECOM INCR'!W115+#REF!</f>
        <v>#REF!</v>
      </c>
      <c r="X115" s="533" t="e">
        <f>+'LEAD RECOM INCR'!X115+#REF!</f>
        <v>#REF!</v>
      </c>
      <c r="Y115" s="470" t="e">
        <f>+'LEAD RECOM INCR'!Y115+#REF!</f>
        <v>#REF!</v>
      </c>
      <c r="Z115" s="530" t="e">
        <f>+'LEAD RECOM INCR'!Z115+#REF!</f>
        <v>#REF!</v>
      </c>
      <c r="AA115" s="522" t="e">
        <f aca="true" t="shared" si="59" ref="AA115:AC124">+X115+U115+R115</f>
        <v>#REF!</v>
      </c>
      <c r="AB115" s="523" t="e">
        <f t="shared" si="59"/>
        <v>#REF!</v>
      </c>
      <c r="AC115" s="524" t="e">
        <f t="shared" si="59"/>
        <v>#REF!</v>
      </c>
      <c r="AD115" s="554"/>
      <c r="AE115" s="554"/>
    </row>
    <row r="116" spans="1:31" ht="18">
      <c r="A116" s="476" t="s">
        <v>123</v>
      </c>
      <c r="E116" s="522">
        <v>0</v>
      </c>
      <c r="F116" s="523">
        <v>0</v>
      </c>
      <c r="G116" s="524">
        <v>9500</v>
      </c>
      <c r="H116" s="525"/>
      <c r="I116" s="525"/>
      <c r="J116" s="522">
        <v>0</v>
      </c>
      <c r="K116" s="523">
        <v>0</v>
      </c>
      <c r="L116" s="526">
        <f>SUM(G116+H116)</f>
        <v>9500</v>
      </c>
      <c r="M116" s="527"/>
      <c r="N116" s="525">
        <v>0</v>
      </c>
      <c r="O116" s="533" t="e">
        <f>+'LEAD RECOM INCR'!O116+#REF!</f>
        <v>#REF!</v>
      </c>
      <c r="P116" s="470" t="e">
        <f>+'LEAD RECOM INCR'!P116+#REF!</f>
        <v>#REF!</v>
      </c>
      <c r="Q116" s="530" t="e">
        <f>+'LEAD RECOM INCR'!Q116+#REF!</f>
        <v>#REF!</v>
      </c>
      <c r="R116" s="531" t="e">
        <f t="shared" si="58"/>
        <v>#REF!</v>
      </c>
      <c r="S116" s="532" t="e">
        <f t="shared" si="58"/>
        <v>#REF!</v>
      </c>
      <c r="T116" s="524" t="e">
        <f t="shared" si="58"/>
        <v>#REF!</v>
      </c>
      <c r="U116" s="533" t="e">
        <f>+'LEAD RECOM INCR'!U116+#REF!</f>
        <v>#REF!</v>
      </c>
      <c r="V116" s="470" t="e">
        <f>+'LEAD RECOM INCR'!V116+#REF!</f>
        <v>#REF!</v>
      </c>
      <c r="W116" s="530" t="e">
        <f>+'LEAD RECOM INCR'!W116+#REF!</f>
        <v>#REF!</v>
      </c>
      <c r="X116" s="533" t="e">
        <f>+'LEAD RECOM INCR'!X116+#REF!</f>
        <v>#REF!</v>
      </c>
      <c r="Y116" s="470" t="e">
        <f>+'LEAD RECOM INCR'!Y116+#REF!</f>
        <v>#REF!</v>
      </c>
      <c r="Z116" s="530" t="e">
        <f>+'LEAD RECOM INCR'!Z116+#REF!</f>
        <v>#REF!</v>
      </c>
      <c r="AA116" s="522" t="e">
        <f t="shared" si="59"/>
        <v>#REF!</v>
      </c>
      <c r="AB116" s="523" t="e">
        <f t="shared" si="59"/>
        <v>#REF!</v>
      </c>
      <c r="AC116" s="524" t="e">
        <f t="shared" si="59"/>
        <v>#REF!</v>
      </c>
      <c r="AD116" s="554"/>
      <c r="AE116" s="554"/>
    </row>
    <row r="117" spans="1:31" ht="18">
      <c r="A117" s="476" t="s">
        <v>126</v>
      </c>
      <c r="E117" s="522">
        <v>0</v>
      </c>
      <c r="F117" s="523">
        <v>0</v>
      </c>
      <c r="G117" s="524">
        <v>53625</v>
      </c>
      <c r="H117" s="525"/>
      <c r="I117" s="525"/>
      <c r="J117" s="522">
        <v>0</v>
      </c>
      <c r="K117" s="523">
        <v>0</v>
      </c>
      <c r="L117" s="526">
        <v>43950</v>
      </c>
      <c r="M117" s="527"/>
      <c r="N117" s="525">
        <v>0</v>
      </c>
      <c r="O117" s="533" t="e">
        <f>+'LEAD RECOM INCR'!O117+#REF!</f>
        <v>#REF!</v>
      </c>
      <c r="P117" s="470" t="e">
        <f>+'LEAD RECOM INCR'!P117+#REF!</f>
        <v>#REF!</v>
      </c>
      <c r="Q117" s="530" t="e">
        <f>+'LEAD RECOM INCR'!Q117+#REF!</f>
        <v>#REF!</v>
      </c>
      <c r="R117" s="531" t="e">
        <f t="shared" si="58"/>
        <v>#REF!</v>
      </c>
      <c r="S117" s="532" t="e">
        <f t="shared" si="58"/>
        <v>#REF!</v>
      </c>
      <c r="T117" s="524" t="e">
        <f t="shared" si="58"/>
        <v>#REF!</v>
      </c>
      <c r="U117" s="533" t="e">
        <f>+'LEAD RECOM INCR'!U117+#REF!</f>
        <v>#REF!</v>
      </c>
      <c r="V117" s="470" t="e">
        <f>+'LEAD RECOM INCR'!V117+#REF!</f>
        <v>#REF!</v>
      </c>
      <c r="W117" s="530" t="e">
        <f>+'LEAD RECOM INCR'!W117+#REF!</f>
        <v>#REF!</v>
      </c>
      <c r="X117" s="533" t="e">
        <f>+'LEAD RECOM INCR'!X117+#REF!</f>
        <v>#REF!</v>
      </c>
      <c r="Y117" s="470" t="e">
        <f>+'LEAD RECOM INCR'!Y117+#REF!</f>
        <v>#REF!</v>
      </c>
      <c r="Z117" s="530" t="e">
        <f>+'LEAD RECOM INCR'!Z117+#REF!</f>
        <v>#REF!</v>
      </c>
      <c r="AA117" s="522" t="e">
        <f t="shared" si="59"/>
        <v>#REF!</v>
      </c>
      <c r="AB117" s="523" t="e">
        <f t="shared" si="59"/>
        <v>#REF!</v>
      </c>
      <c r="AC117" s="524" t="e">
        <f t="shared" si="59"/>
        <v>#REF!</v>
      </c>
      <c r="AD117" s="554"/>
      <c r="AE117" s="554"/>
    </row>
    <row r="118" spans="1:31" ht="18">
      <c r="A118" s="476" t="s">
        <v>124</v>
      </c>
      <c r="E118" s="522">
        <v>0</v>
      </c>
      <c r="F118" s="523">
        <v>0</v>
      </c>
      <c r="G118" s="524">
        <v>64000</v>
      </c>
      <c r="H118" s="525"/>
      <c r="I118" s="525"/>
      <c r="J118" s="522">
        <v>0</v>
      </c>
      <c r="K118" s="523">
        <v>0</v>
      </c>
      <c r="L118" s="526">
        <v>49734</v>
      </c>
      <c r="M118" s="527"/>
      <c r="N118" s="525">
        <v>0</v>
      </c>
      <c r="O118" s="533" t="e">
        <f>+'LEAD RECOM INCR'!O118+#REF!</f>
        <v>#REF!</v>
      </c>
      <c r="P118" s="470" t="e">
        <f>+'LEAD RECOM INCR'!P118+#REF!</f>
        <v>#REF!</v>
      </c>
      <c r="Q118" s="530" t="e">
        <f>+'LEAD RECOM INCR'!Q118+#REF!</f>
        <v>#REF!</v>
      </c>
      <c r="R118" s="531" t="e">
        <f t="shared" si="58"/>
        <v>#REF!</v>
      </c>
      <c r="S118" s="532" t="e">
        <f t="shared" si="58"/>
        <v>#REF!</v>
      </c>
      <c r="T118" s="524" t="e">
        <f t="shared" si="58"/>
        <v>#REF!</v>
      </c>
      <c r="U118" s="533" t="e">
        <f>+'LEAD RECOM INCR'!U118+#REF!</f>
        <v>#REF!</v>
      </c>
      <c r="V118" s="470" t="e">
        <f>+'LEAD RECOM INCR'!V118+#REF!</f>
        <v>#REF!</v>
      </c>
      <c r="W118" s="530" t="e">
        <f>+'LEAD RECOM INCR'!W118+#REF!</f>
        <v>#REF!</v>
      </c>
      <c r="X118" s="533" t="e">
        <f>+'LEAD RECOM INCR'!X118+#REF!</f>
        <v>#REF!</v>
      </c>
      <c r="Y118" s="470" t="e">
        <f>+'LEAD RECOM INCR'!Y118+#REF!</f>
        <v>#REF!</v>
      </c>
      <c r="Z118" s="530" t="e">
        <f>+'LEAD RECOM INCR'!Z118+#REF!</f>
        <v>#REF!</v>
      </c>
      <c r="AA118" s="522" t="e">
        <f t="shared" si="59"/>
        <v>#REF!</v>
      </c>
      <c r="AB118" s="523" t="e">
        <f t="shared" si="59"/>
        <v>#REF!</v>
      </c>
      <c r="AC118" s="524" t="e">
        <f t="shared" si="59"/>
        <v>#REF!</v>
      </c>
      <c r="AD118" s="554"/>
      <c r="AE118" s="554"/>
    </row>
    <row r="119" spans="1:31" ht="18">
      <c r="A119" s="476" t="s">
        <v>143</v>
      </c>
      <c r="E119" s="522">
        <v>0</v>
      </c>
      <c r="F119" s="523">
        <v>0</v>
      </c>
      <c r="G119" s="524">
        <v>548623</v>
      </c>
      <c r="H119" s="525"/>
      <c r="I119" s="525"/>
      <c r="J119" s="522">
        <v>0</v>
      </c>
      <c r="K119" s="523">
        <v>0</v>
      </c>
      <c r="L119" s="526">
        <v>531063</v>
      </c>
      <c r="M119" s="527"/>
      <c r="N119" s="525">
        <v>0</v>
      </c>
      <c r="O119" s="533" t="e">
        <f>+'LEAD RECOM INCR'!O119+#REF!</f>
        <v>#REF!</v>
      </c>
      <c r="P119" s="470" t="e">
        <f>+'LEAD RECOM INCR'!P119+#REF!</f>
        <v>#REF!</v>
      </c>
      <c r="Q119" s="530" t="e">
        <f>+'LEAD RECOM INCR'!Q119+#REF!</f>
        <v>#REF!</v>
      </c>
      <c r="R119" s="531" t="e">
        <f t="shared" si="58"/>
        <v>#REF!</v>
      </c>
      <c r="S119" s="532" t="e">
        <f t="shared" si="58"/>
        <v>#REF!</v>
      </c>
      <c r="T119" s="524" t="e">
        <f t="shared" si="58"/>
        <v>#REF!</v>
      </c>
      <c r="U119" s="533" t="e">
        <f>+'LEAD RECOM INCR'!U119+#REF!</f>
        <v>#REF!</v>
      </c>
      <c r="V119" s="470" t="e">
        <f>+'LEAD RECOM INCR'!V119+#REF!</f>
        <v>#REF!</v>
      </c>
      <c r="W119" s="530" t="e">
        <f>+'LEAD RECOM INCR'!W119+#REF!</f>
        <v>#REF!</v>
      </c>
      <c r="X119" s="533" t="e">
        <f>+'LEAD RECOM INCR'!X119+#REF!</f>
        <v>#REF!</v>
      </c>
      <c r="Y119" s="470" t="e">
        <f>+'LEAD RECOM INCR'!Y119+#REF!</f>
        <v>#REF!</v>
      </c>
      <c r="Z119" s="530" t="e">
        <f>+'LEAD RECOM INCR'!Z119+#REF!</f>
        <v>#REF!</v>
      </c>
      <c r="AA119" s="522" t="e">
        <f t="shared" si="59"/>
        <v>#REF!</v>
      </c>
      <c r="AB119" s="523" t="e">
        <f t="shared" si="59"/>
        <v>#REF!</v>
      </c>
      <c r="AC119" s="524" t="e">
        <f t="shared" si="59"/>
        <v>#REF!</v>
      </c>
      <c r="AD119" s="554"/>
      <c r="AE119" s="554"/>
    </row>
    <row r="120" spans="1:31" ht="18">
      <c r="A120" s="476" t="s">
        <v>144</v>
      </c>
      <c r="E120" s="522">
        <v>0</v>
      </c>
      <c r="F120" s="523">
        <v>0</v>
      </c>
      <c r="G120" s="524">
        <v>116000</v>
      </c>
      <c r="H120" s="525"/>
      <c r="I120" s="525"/>
      <c r="J120" s="522">
        <v>0</v>
      </c>
      <c r="K120" s="523">
        <v>0</v>
      </c>
      <c r="L120" s="526">
        <v>120000</v>
      </c>
      <c r="M120" s="527"/>
      <c r="N120" s="525">
        <v>0</v>
      </c>
      <c r="O120" s="533" t="e">
        <f>+'LEAD RECOM INCR'!O120+#REF!</f>
        <v>#REF!</v>
      </c>
      <c r="P120" s="470" t="e">
        <f>+'LEAD RECOM INCR'!P120+#REF!</f>
        <v>#REF!</v>
      </c>
      <c r="Q120" s="530" t="e">
        <f>+'LEAD RECOM INCR'!Q120+#REF!</f>
        <v>#REF!</v>
      </c>
      <c r="R120" s="531" t="e">
        <f t="shared" si="58"/>
        <v>#REF!</v>
      </c>
      <c r="S120" s="532" t="e">
        <f t="shared" si="58"/>
        <v>#REF!</v>
      </c>
      <c r="T120" s="524" t="e">
        <f t="shared" si="58"/>
        <v>#REF!</v>
      </c>
      <c r="U120" s="533" t="e">
        <f>+'LEAD RECOM INCR'!U120+#REF!</f>
        <v>#REF!</v>
      </c>
      <c r="V120" s="470" t="e">
        <f>+'LEAD RECOM INCR'!V120+#REF!</f>
        <v>#REF!</v>
      </c>
      <c r="W120" s="530" t="e">
        <f>+'LEAD RECOM INCR'!W120+#REF!</f>
        <v>#REF!</v>
      </c>
      <c r="X120" s="533" t="e">
        <f>+'LEAD RECOM INCR'!X120+#REF!</f>
        <v>#REF!</v>
      </c>
      <c r="Y120" s="470" t="e">
        <f>+'LEAD RECOM INCR'!Y120+#REF!</f>
        <v>#REF!</v>
      </c>
      <c r="Z120" s="530" t="e">
        <f>+'LEAD RECOM INCR'!Z120+#REF!</f>
        <v>#REF!</v>
      </c>
      <c r="AA120" s="522" t="e">
        <f t="shared" si="59"/>
        <v>#REF!</v>
      </c>
      <c r="AB120" s="523" t="e">
        <f t="shared" si="59"/>
        <v>#REF!</v>
      </c>
      <c r="AC120" s="524" t="e">
        <f t="shared" si="59"/>
        <v>#REF!</v>
      </c>
      <c r="AD120" s="554"/>
      <c r="AE120" s="554"/>
    </row>
    <row r="121" spans="1:31" ht="18">
      <c r="A121" s="476" t="s">
        <v>125</v>
      </c>
      <c r="E121" s="522">
        <v>0</v>
      </c>
      <c r="F121" s="523">
        <v>0</v>
      </c>
      <c r="G121" s="524">
        <v>214402</v>
      </c>
      <c r="H121" s="525"/>
      <c r="I121" s="525"/>
      <c r="J121" s="522">
        <v>0</v>
      </c>
      <c r="K121" s="523">
        <v>0</v>
      </c>
      <c r="L121" s="526">
        <v>240697</v>
      </c>
      <c r="M121" s="527"/>
      <c r="N121" s="525">
        <v>-1384</v>
      </c>
      <c r="O121" s="533" t="e">
        <f>+'LEAD RECOM INCR'!O121+#REF!</f>
        <v>#REF!</v>
      </c>
      <c r="P121" s="470" t="e">
        <f>+'LEAD RECOM INCR'!P121+#REF!</f>
        <v>#REF!</v>
      </c>
      <c r="Q121" s="530" t="e">
        <f>+'LEAD RECOM INCR'!Q121+#REF!</f>
        <v>#REF!</v>
      </c>
      <c r="R121" s="531" t="e">
        <f t="shared" si="58"/>
        <v>#REF!</v>
      </c>
      <c r="S121" s="532" t="e">
        <f t="shared" si="58"/>
        <v>#REF!</v>
      </c>
      <c r="T121" s="524" t="e">
        <f>+L121+Q121+N121</f>
        <v>#REF!</v>
      </c>
      <c r="U121" s="533" t="e">
        <f>+'LEAD RECOM INCR'!U121+#REF!</f>
        <v>#REF!</v>
      </c>
      <c r="V121" s="470" t="e">
        <f>+'LEAD RECOM INCR'!V121+#REF!</f>
        <v>#REF!</v>
      </c>
      <c r="W121" s="530" t="e">
        <f>+'LEAD RECOM INCR'!W121+#REF!</f>
        <v>#REF!</v>
      </c>
      <c r="X121" s="533" t="e">
        <f>+'LEAD RECOM INCR'!X121+#REF!</f>
        <v>#REF!</v>
      </c>
      <c r="Y121" s="470" t="e">
        <f>+'LEAD RECOM INCR'!Y121+#REF!</f>
        <v>#REF!</v>
      </c>
      <c r="Z121" s="530" t="e">
        <f>+'LEAD RECOM INCR'!Z121+#REF!</f>
        <v>#REF!</v>
      </c>
      <c r="AA121" s="522" t="e">
        <f t="shared" si="59"/>
        <v>#REF!</v>
      </c>
      <c r="AB121" s="523" t="e">
        <f t="shared" si="59"/>
        <v>#REF!</v>
      </c>
      <c r="AC121" s="524" t="e">
        <f t="shared" si="59"/>
        <v>#REF!</v>
      </c>
      <c r="AD121" s="554"/>
      <c r="AE121" s="554"/>
    </row>
    <row r="122" spans="1:31" ht="18">
      <c r="A122" s="467" t="s">
        <v>68</v>
      </c>
      <c r="E122" s="522"/>
      <c r="F122" s="523"/>
      <c r="G122" s="524"/>
      <c r="H122" s="525"/>
      <c r="I122" s="525"/>
      <c r="J122" s="522"/>
      <c r="K122" s="523"/>
      <c r="L122" s="526">
        <v>120000</v>
      </c>
      <c r="M122" s="527"/>
      <c r="N122" s="525">
        <v>-120000</v>
      </c>
      <c r="O122" s="533" t="e">
        <f>+'LEAD RECOM INCR'!O122+#REF!</f>
        <v>#REF!</v>
      </c>
      <c r="P122" s="470" t="e">
        <f>+'LEAD RECOM INCR'!P122+#REF!</f>
        <v>#REF!</v>
      </c>
      <c r="Q122" s="530" t="e">
        <f>+'LEAD RECOM INCR'!Q122+#REF!</f>
        <v>#REF!</v>
      </c>
      <c r="R122" s="531" t="e">
        <f t="shared" si="58"/>
        <v>#REF!</v>
      </c>
      <c r="S122" s="532" t="e">
        <f t="shared" si="58"/>
        <v>#REF!</v>
      </c>
      <c r="T122" s="524" t="e">
        <f>+L122+Q122+N122</f>
        <v>#REF!</v>
      </c>
      <c r="U122" s="533" t="e">
        <f>+'LEAD RECOM INCR'!U122+#REF!</f>
        <v>#REF!</v>
      </c>
      <c r="V122" s="470" t="e">
        <f>+'LEAD RECOM INCR'!V122+#REF!</f>
        <v>#REF!</v>
      </c>
      <c r="W122" s="530" t="e">
        <f>+'LEAD RECOM INCR'!W122+#REF!</f>
        <v>#REF!</v>
      </c>
      <c r="X122" s="533" t="e">
        <f>+'LEAD RECOM INCR'!X122+#REF!</f>
        <v>#REF!</v>
      </c>
      <c r="Y122" s="470" t="e">
        <f>+'LEAD RECOM INCR'!Y122+#REF!</f>
        <v>#REF!</v>
      </c>
      <c r="Z122" s="530" t="e">
        <f>+'LEAD RECOM INCR'!Z122+#REF!</f>
        <v>#REF!</v>
      </c>
      <c r="AA122" s="522" t="e">
        <f t="shared" si="59"/>
        <v>#REF!</v>
      </c>
      <c r="AB122" s="523" t="e">
        <f t="shared" si="59"/>
        <v>#REF!</v>
      </c>
      <c r="AC122" s="524" t="e">
        <f t="shared" si="59"/>
        <v>#REF!</v>
      </c>
      <c r="AD122" s="554"/>
      <c r="AE122" s="554"/>
    </row>
    <row r="123" spans="1:31" ht="18">
      <c r="A123" s="476" t="s">
        <v>19</v>
      </c>
      <c r="E123" s="531" t="s">
        <v>154</v>
      </c>
      <c r="F123" s="523">
        <v>1107</v>
      </c>
      <c r="G123" s="524">
        <v>201673</v>
      </c>
      <c r="H123" s="525"/>
      <c r="I123" s="525"/>
      <c r="J123" s="531" t="s">
        <v>155</v>
      </c>
      <c r="K123" s="523">
        <v>1152</v>
      </c>
      <c r="L123" s="526">
        <v>212078</v>
      </c>
      <c r="M123" s="527"/>
      <c r="N123" s="525">
        <v>0</v>
      </c>
      <c r="O123" s="533" t="e">
        <f>+'LEAD RECOM INCR'!O123+#REF!</f>
        <v>#REF!</v>
      </c>
      <c r="P123" s="470" t="e">
        <f>+'LEAD RECOM INCR'!P123+#REF!</f>
        <v>#REF!</v>
      </c>
      <c r="Q123" s="530" t="e">
        <f>+'LEAD RECOM INCR'!Q123+#REF!</f>
        <v>#REF!</v>
      </c>
      <c r="R123" s="531" t="s">
        <v>155</v>
      </c>
      <c r="S123" s="532" t="e">
        <f t="shared" si="58"/>
        <v>#REF!</v>
      </c>
      <c r="T123" s="524" t="e">
        <f t="shared" si="58"/>
        <v>#REF!</v>
      </c>
      <c r="U123" s="533">
        <v>0</v>
      </c>
      <c r="V123" s="470" t="e">
        <f>+'LEAD RECOM INCR'!V123+#REF!</f>
        <v>#REF!</v>
      </c>
      <c r="W123" s="530" t="e">
        <f>+'LEAD RECOM INCR'!W123+#REF!</f>
        <v>#REF!</v>
      </c>
      <c r="X123" s="533" t="e">
        <f>+'LEAD RECOM INCR'!X123+#REF!</f>
        <v>#REF!</v>
      </c>
      <c r="Y123" s="470" t="e">
        <f>+'LEAD RECOM INCR'!Y123+#REF!</f>
        <v>#REF!</v>
      </c>
      <c r="Z123" s="530" t="e">
        <f>+'LEAD RECOM INCR'!Z123+#REF!</f>
        <v>#REF!</v>
      </c>
      <c r="AA123" s="531" t="s">
        <v>194</v>
      </c>
      <c r="AB123" s="523" t="e">
        <f t="shared" si="59"/>
        <v>#REF!</v>
      </c>
      <c r="AC123" s="534" t="e">
        <f t="shared" si="59"/>
        <v>#REF!</v>
      </c>
      <c r="AD123" s="535"/>
      <c r="AE123" s="535"/>
    </row>
    <row r="124" spans="1:31" ht="18.75" thickBot="1">
      <c r="A124" s="476" t="s">
        <v>145</v>
      </c>
      <c r="E124" s="522">
        <v>0</v>
      </c>
      <c r="F124" s="523">
        <v>0</v>
      </c>
      <c r="G124" s="524">
        <v>625000</v>
      </c>
      <c r="H124" s="525"/>
      <c r="I124" s="525"/>
      <c r="J124" s="522">
        <v>0</v>
      </c>
      <c r="K124" s="523">
        <v>0</v>
      </c>
      <c r="L124" s="526">
        <v>625000</v>
      </c>
      <c r="M124" s="527"/>
      <c r="N124" s="525">
        <v>50000</v>
      </c>
      <c r="O124" s="533" t="e">
        <f>+'LEAD RECOM INCR'!O124+#REF!</f>
        <v>#REF!</v>
      </c>
      <c r="P124" s="470" t="e">
        <f>+'LEAD RECOM INCR'!P124+#REF!</f>
        <v>#REF!</v>
      </c>
      <c r="Q124" s="530" t="e">
        <f>+'LEAD RECOM INCR'!Q124+#REF!</f>
        <v>#REF!</v>
      </c>
      <c r="R124" s="531" t="e">
        <f>+J124+O124</f>
        <v>#REF!</v>
      </c>
      <c r="S124" s="532" t="e">
        <f t="shared" si="58"/>
        <v>#REF!</v>
      </c>
      <c r="T124" s="524" t="e">
        <f>+L124+Q124+N124</f>
        <v>#REF!</v>
      </c>
      <c r="U124" s="533" t="e">
        <f>+'LEAD RECOM INCR'!U124+#REF!</f>
        <v>#REF!</v>
      </c>
      <c r="V124" s="470" t="e">
        <f>+'LEAD RECOM INCR'!V124+#REF!</f>
        <v>#REF!</v>
      </c>
      <c r="W124" s="530" t="e">
        <f>+'LEAD RECOM INCR'!W124+#REF!</f>
        <v>#REF!</v>
      </c>
      <c r="X124" s="533" t="e">
        <f>+'LEAD RECOM INCR'!X124+#REF!</f>
        <v>#REF!</v>
      </c>
      <c r="Y124" s="470" t="e">
        <f>+'LEAD RECOM INCR'!Y124+#REF!</f>
        <v>#REF!</v>
      </c>
      <c r="Z124" s="530" t="e">
        <f>+'LEAD RECOM INCR'!Z124+#REF!</f>
        <v>#REF!</v>
      </c>
      <c r="AA124" s="522" t="e">
        <f t="shared" si="59"/>
        <v>#REF!</v>
      </c>
      <c r="AB124" s="523" t="e">
        <f t="shared" si="59"/>
        <v>#REF!</v>
      </c>
      <c r="AC124" s="524" t="e">
        <f t="shared" si="59"/>
        <v>#REF!</v>
      </c>
      <c r="AD124" s="554"/>
      <c r="AE124" s="554"/>
    </row>
    <row r="125" spans="1:31" ht="19.5" thickBot="1" thickTop="1">
      <c r="A125" s="585" t="s">
        <v>33</v>
      </c>
      <c r="B125" s="619"/>
      <c r="C125" s="619"/>
      <c r="D125" s="619"/>
      <c r="E125" s="626" t="s">
        <v>154</v>
      </c>
      <c r="F125" s="626">
        <f>SUM(F115:F124)</f>
        <v>1107</v>
      </c>
      <c r="G125" s="626">
        <f>SUM(G115:G124)</f>
        <v>2001123</v>
      </c>
      <c r="H125" s="622">
        <f>SUM(H115:H124)</f>
        <v>0</v>
      </c>
      <c r="I125" s="622">
        <f>SUM(I115:I124)</f>
        <v>0</v>
      </c>
      <c r="J125" s="626" t="s">
        <v>155</v>
      </c>
      <c r="K125" s="626">
        <f aca="true" t="shared" si="60" ref="K125:Q125">SUM(K115:K124)</f>
        <v>1152</v>
      </c>
      <c r="L125" s="649">
        <f t="shared" si="60"/>
        <v>2120322</v>
      </c>
      <c r="M125" s="622">
        <f t="shared" si="60"/>
        <v>0</v>
      </c>
      <c r="N125" s="622">
        <f t="shared" si="60"/>
        <v>-71384</v>
      </c>
      <c r="O125" s="620" t="e">
        <f t="shared" si="60"/>
        <v>#REF!</v>
      </c>
      <c r="P125" s="621" t="e">
        <f t="shared" si="60"/>
        <v>#REF!</v>
      </c>
      <c r="Q125" s="624" t="e">
        <f t="shared" si="60"/>
        <v>#REF!</v>
      </c>
      <c r="R125" s="624" t="s">
        <v>154</v>
      </c>
      <c r="S125" s="624" t="e">
        <f aca="true" t="shared" si="61" ref="S125:Z125">SUM(S115:S124)</f>
        <v>#REF!</v>
      </c>
      <c r="T125" s="624" t="e">
        <f t="shared" si="61"/>
        <v>#REF!</v>
      </c>
      <c r="U125" s="621" t="e">
        <f t="shared" si="61"/>
        <v>#REF!</v>
      </c>
      <c r="V125" s="621" t="e">
        <f t="shared" si="61"/>
        <v>#REF!</v>
      </c>
      <c r="W125" s="624" t="e">
        <f t="shared" si="61"/>
        <v>#REF!</v>
      </c>
      <c r="X125" s="620" t="e">
        <f t="shared" si="61"/>
        <v>#REF!</v>
      </c>
      <c r="Y125" s="621" t="e">
        <f t="shared" si="61"/>
        <v>#REF!</v>
      </c>
      <c r="Z125" s="624" t="e">
        <f t="shared" si="61"/>
        <v>#REF!</v>
      </c>
      <c r="AA125" s="624" t="s">
        <v>155</v>
      </c>
      <c r="AB125" s="624" t="e">
        <f>SUM(AB115:AB124)</f>
        <v>#REF!</v>
      </c>
      <c r="AC125" s="624" t="e">
        <f>SUM(AC115:AC124)</f>
        <v>#REF!</v>
      </c>
      <c r="AD125" s="626">
        <f>SUM(AD115:AD124)</f>
        <v>0</v>
      </c>
      <c r="AE125" s="626">
        <f>SUM(AE115:AE124)</f>
        <v>0</v>
      </c>
    </row>
    <row r="126" spans="1:31" ht="18.75" thickTop="1">
      <c r="A126" s="617" t="s">
        <v>172</v>
      </c>
      <c r="B126" s="467"/>
      <c r="C126" s="467"/>
      <c r="D126" s="467"/>
      <c r="E126" s="650"/>
      <c r="F126" s="651"/>
      <c r="G126" s="652"/>
      <c r="H126" s="525"/>
      <c r="I126" s="525"/>
      <c r="J126" s="650"/>
      <c r="K126" s="651"/>
      <c r="L126" s="653"/>
      <c r="M126" s="525"/>
      <c r="N126" s="525"/>
      <c r="O126" s="531"/>
      <c r="P126" s="532"/>
      <c r="Q126" s="542"/>
      <c r="R126" s="579"/>
      <c r="S126" s="654"/>
      <c r="T126" s="542"/>
      <c r="U126" s="531"/>
      <c r="V126" s="532"/>
      <c r="W126" s="542"/>
      <c r="X126" s="531"/>
      <c r="Y126" s="532"/>
      <c r="Z126" s="542"/>
      <c r="AA126" s="579"/>
      <c r="AB126" s="654"/>
      <c r="AC126" s="542"/>
      <c r="AD126" s="655"/>
      <c r="AE126" s="655"/>
    </row>
    <row r="127" spans="1:31" ht="18">
      <c r="A127" s="467" t="s">
        <v>173</v>
      </c>
      <c r="B127" s="467"/>
      <c r="C127" s="467"/>
      <c r="D127" s="467"/>
      <c r="E127" s="531"/>
      <c r="F127" s="532"/>
      <c r="G127" s="542"/>
      <c r="H127" s="525"/>
      <c r="I127" s="525"/>
      <c r="J127" s="531"/>
      <c r="K127" s="532"/>
      <c r="L127" s="568">
        <v>139650</v>
      </c>
      <c r="M127" s="525"/>
      <c r="N127" s="525">
        <v>0</v>
      </c>
      <c r="O127" s="533" t="e">
        <f>+'LEAD RECOM INCR'!O127+#REF!</f>
        <v>#REF!</v>
      </c>
      <c r="P127" s="470" t="e">
        <f>+'LEAD RECOM INCR'!P127+#REF!</f>
        <v>#REF!</v>
      </c>
      <c r="Q127" s="530" t="e">
        <f>+'LEAD RECOM INCR'!Q127+#REF!</f>
        <v>#REF!</v>
      </c>
      <c r="R127" s="579" t="e">
        <f aca="true" t="shared" si="62" ref="R127:T129">+J127+O127</f>
        <v>#REF!</v>
      </c>
      <c r="S127" s="654" t="e">
        <f t="shared" si="62"/>
        <v>#REF!</v>
      </c>
      <c r="T127" s="542" t="e">
        <f t="shared" si="62"/>
        <v>#REF!</v>
      </c>
      <c r="U127" s="533" t="e">
        <f>+'LEAD RECOM INCR'!U127+#REF!</f>
        <v>#REF!</v>
      </c>
      <c r="V127" s="470" t="e">
        <f>+'LEAD RECOM INCR'!V127+#REF!</f>
        <v>#REF!</v>
      </c>
      <c r="W127" s="530" t="e">
        <f>+'LEAD RECOM INCR'!W127+#REF!</f>
        <v>#REF!</v>
      </c>
      <c r="X127" s="533" t="e">
        <f>+'LEAD RECOM INCR'!X127+#REF!</f>
        <v>#REF!</v>
      </c>
      <c r="Y127" s="470" t="e">
        <f>+'LEAD RECOM INCR'!Y127+#REF!</f>
        <v>#REF!</v>
      </c>
      <c r="Z127" s="530" t="e">
        <f>+'LEAD RECOM INCR'!Z127+#REF!</f>
        <v>#REF!</v>
      </c>
      <c r="AA127" s="579" t="e">
        <f aca="true" t="shared" si="63" ref="AA127:AC129">+X127+U127+R127</f>
        <v>#REF!</v>
      </c>
      <c r="AB127" s="654" t="e">
        <f t="shared" si="63"/>
        <v>#REF!</v>
      </c>
      <c r="AC127" s="542" t="e">
        <f t="shared" si="63"/>
        <v>#REF!</v>
      </c>
      <c r="AD127" s="655"/>
      <c r="AE127" s="655"/>
    </row>
    <row r="128" spans="1:31" ht="18">
      <c r="A128" s="467" t="s">
        <v>174</v>
      </c>
      <c r="B128" s="467"/>
      <c r="C128" s="467"/>
      <c r="D128" s="467"/>
      <c r="E128" s="531"/>
      <c r="F128" s="532"/>
      <c r="G128" s="542"/>
      <c r="H128" s="525"/>
      <c r="I128" s="525"/>
      <c r="J128" s="531"/>
      <c r="K128" s="532"/>
      <c r="L128" s="568">
        <v>75000</v>
      </c>
      <c r="M128" s="525"/>
      <c r="N128" s="525">
        <v>0</v>
      </c>
      <c r="O128" s="533" t="e">
        <f>+'LEAD RECOM INCR'!O128+#REF!</f>
        <v>#REF!</v>
      </c>
      <c r="P128" s="470" t="e">
        <f>+'LEAD RECOM INCR'!P128+#REF!</f>
        <v>#REF!</v>
      </c>
      <c r="Q128" s="530" t="e">
        <f>+'LEAD RECOM INCR'!Q128+#REF!</f>
        <v>#REF!</v>
      </c>
      <c r="R128" s="579" t="e">
        <f t="shared" si="62"/>
        <v>#REF!</v>
      </c>
      <c r="S128" s="654" t="e">
        <f t="shared" si="62"/>
        <v>#REF!</v>
      </c>
      <c r="T128" s="542" t="e">
        <f t="shared" si="62"/>
        <v>#REF!</v>
      </c>
      <c r="U128" s="533" t="e">
        <f>+'LEAD RECOM INCR'!U128+#REF!</f>
        <v>#REF!</v>
      </c>
      <c r="V128" s="470" t="e">
        <f>+'LEAD RECOM INCR'!V128+#REF!</f>
        <v>#REF!</v>
      </c>
      <c r="W128" s="530" t="e">
        <f>+'LEAD RECOM INCR'!W128+#REF!</f>
        <v>#REF!</v>
      </c>
      <c r="X128" s="533" t="e">
        <f>+'LEAD RECOM INCR'!X128+#REF!</f>
        <v>#REF!</v>
      </c>
      <c r="Y128" s="470" t="e">
        <f>+'LEAD RECOM INCR'!Y128+#REF!</f>
        <v>#REF!</v>
      </c>
      <c r="Z128" s="530" t="e">
        <f>+'LEAD RECOM INCR'!Z128+#REF!</f>
        <v>#REF!</v>
      </c>
      <c r="AA128" s="579" t="e">
        <f t="shared" si="63"/>
        <v>#REF!</v>
      </c>
      <c r="AB128" s="654" t="e">
        <f t="shared" si="63"/>
        <v>#REF!</v>
      </c>
      <c r="AC128" s="542" t="e">
        <f t="shared" si="63"/>
        <v>#REF!</v>
      </c>
      <c r="AD128" s="655"/>
      <c r="AE128" s="655"/>
    </row>
    <row r="129" spans="1:31" ht="18.75" thickBot="1">
      <c r="A129" s="628" t="s">
        <v>175</v>
      </c>
      <c r="B129" s="467"/>
      <c r="C129" s="467"/>
      <c r="D129" s="467"/>
      <c r="E129" s="656"/>
      <c r="F129" s="657"/>
      <c r="G129" s="658"/>
      <c r="H129" s="525"/>
      <c r="I129" s="525"/>
      <c r="J129" s="656"/>
      <c r="K129" s="657"/>
      <c r="L129" s="659">
        <v>48171</v>
      </c>
      <c r="M129" s="527"/>
      <c r="N129" s="525">
        <v>0</v>
      </c>
      <c r="O129" s="533" t="e">
        <f>+'LEAD RECOM INCR'!O129+#REF!</f>
        <v>#REF!</v>
      </c>
      <c r="P129" s="470" t="e">
        <f>+'LEAD RECOM INCR'!P129+#REF!</f>
        <v>#REF!</v>
      </c>
      <c r="Q129" s="530" t="e">
        <f>+'LEAD RECOM INCR'!Q129+#REF!</f>
        <v>#REF!</v>
      </c>
      <c r="R129" s="531" t="e">
        <f t="shared" si="62"/>
        <v>#REF!</v>
      </c>
      <c r="S129" s="532" t="e">
        <f t="shared" si="62"/>
        <v>#REF!</v>
      </c>
      <c r="T129" s="542" t="e">
        <f t="shared" si="62"/>
        <v>#REF!</v>
      </c>
      <c r="U129" s="533" t="e">
        <f>+'LEAD RECOM INCR'!U129+#REF!</f>
        <v>#REF!</v>
      </c>
      <c r="V129" s="470" t="e">
        <f>+'LEAD RECOM INCR'!V129+#REF!</f>
        <v>#REF!</v>
      </c>
      <c r="W129" s="530" t="e">
        <f>+'LEAD RECOM INCR'!W129+#REF!</f>
        <v>#REF!</v>
      </c>
      <c r="X129" s="533" t="e">
        <f>+'LEAD RECOM INCR'!X129+#REF!</f>
        <v>#REF!</v>
      </c>
      <c r="Y129" s="470" t="e">
        <f>+'LEAD RECOM INCR'!Y129+#REF!</f>
        <v>#REF!</v>
      </c>
      <c r="Z129" s="530" t="e">
        <f>+'LEAD RECOM INCR'!Z129+#REF!</f>
        <v>#REF!</v>
      </c>
      <c r="AA129" s="531" t="e">
        <f t="shared" si="63"/>
        <v>#REF!</v>
      </c>
      <c r="AB129" s="532" t="e">
        <f t="shared" si="63"/>
        <v>#REF!</v>
      </c>
      <c r="AC129" s="542" t="e">
        <f t="shared" si="63"/>
        <v>#REF!</v>
      </c>
      <c r="AD129" s="655"/>
      <c r="AE129" s="655"/>
    </row>
    <row r="130" spans="1:31" ht="19.5" thickBot="1" thickTop="1">
      <c r="A130" s="923" t="s">
        <v>102</v>
      </c>
      <c r="B130" s="924"/>
      <c r="C130" s="924"/>
      <c r="D130" s="924"/>
      <c r="E130" s="660"/>
      <c r="F130" s="661"/>
      <c r="G130" s="662"/>
      <c r="H130" s="643"/>
      <c r="I130" s="643"/>
      <c r="J130" s="663">
        <f aca="true" t="shared" si="64" ref="J130:AC130">SUM(J127:J129)</f>
        <v>0</v>
      </c>
      <c r="K130" s="663">
        <f t="shared" si="64"/>
        <v>0</v>
      </c>
      <c r="L130" s="663">
        <f t="shared" si="64"/>
        <v>262821</v>
      </c>
      <c r="M130" s="663">
        <f t="shared" si="64"/>
        <v>0</v>
      </c>
      <c r="N130" s="663">
        <f t="shared" si="64"/>
        <v>0</v>
      </c>
      <c r="O130" s="663" t="e">
        <f t="shared" si="64"/>
        <v>#REF!</v>
      </c>
      <c r="P130" s="663" t="e">
        <f t="shared" si="64"/>
        <v>#REF!</v>
      </c>
      <c r="Q130" s="663" t="e">
        <f t="shared" si="64"/>
        <v>#REF!</v>
      </c>
      <c r="R130" s="663" t="e">
        <f t="shared" si="64"/>
        <v>#REF!</v>
      </c>
      <c r="S130" s="663" t="e">
        <f t="shared" si="64"/>
        <v>#REF!</v>
      </c>
      <c r="T130" s="663" t="e">
        <f t="shared" si="64"/>
        <v>#REF!</v>
      </c>
      <c r="U130" s="663" t="e">
        <f t="shared" si="64"/>
        <v>#REF!</v>
      </c>
      <c r="V130" s="663" t="e">
        <f t="shared" si="64"/>
        <v>#REF!</v>
      </c>
      <c r="W130" s="663" t="e">
        <f t="shared" si="64"/>
        <v>#REF!</v>
      </c>
      <c r="X130" s="663" t="e">
        <f t="shared" si="64"/>
        <v>#REF!</v>
      </c>
      <c r="Y130" s="663" t="e">
        <f t="shared" si="64"/>
        <v>#REF!</v>
      </c>
      <c r="Z130" s="663" t="e">
        <f t="shared" si="64"/>
        <v>#REF!</v>
      </c>
      <c r="AA130" s="663" t="e">
        <f t="shared" si="64"/>
        <v>#REF!</v>
      </c>
      <c r="AB130" s="663" t="e">
        <f t="shared" si="64"/>
        <v>#REF!</v>
      </c>
      <c r="AC130" s="664" t="e">
        <f t="shared" si="64"/>
        <v>#REF!</v>
      </c>
      <c r="AD130" s="664"/>
      <c r="AE130" s="664"/>
    </row>
    <row r="131" spans="1:31" ht="19.5" thickBot="1" thickTop="1">
      <c r="A131" s="665" t="s">
        <v>21</v>
      </c>
      <c r="B131" s="630"/>
      <c r="C131" s="630"/>
      <c r="D131" s="630"/>
      <c r="E131" s="614">
        <f>SUM(E113,E125)</f>
        <v>108837</v>
      </c>
      <c r="F131" s="614">
        <f>SUM(F113,F125)</f>
        <v>117567</v>
      </c>
      <c r="G131" s="614">
        <f>SUM(G113,G125)</f>
        <v>21805340</v>
      </c>
      <c r="H131" s="645">
        <f>SUM(H113,H125)</f>
        <v>0</v>
      </c>
      <c r="I131" s="645">
        <f>SUM(I113,I125)</f>
        <v>0</v>
      </c>
      <c r="J131" s="614">
        <f aca="true" t="shared" si="65" ref="J131:AE131">SUM(J113,J125,J130)</f>
        <v>107506</v>
      </c>
      <c r="K131" s="614">
        <f t="shared" si="65"/>
        <v>116774</v>
      </c>
      <c r="L131" s="614">
        <f t="shared" si="65"/>
        <v>22433160</v>
      </c>
      <c r="M131" s="614">
        <f t="shared" si="65"/>
        <v>0</v>
      </c>
      <c r="N131" s="614">
        <f t="shared" si="65"/>
        <v>2096779</v>
      </c>
      <c r="O131" s="614" t="e">
        <f t="shared" si="65"/>
        <v>#REF!</v>
      </c>
      <c r="P131" s="614" t="e">
        <f t="shared" si="65"/>
        <v>#REF!</v>
      </c>
      <c r="Q131" s="614" t="e">
        <f t="shared" si="65"/>
        <v>#REF!</v>
      </c>
      <c r="R131" s="614" t="e">
        <f t="shared" si="65"/>
        <v>#REF!</v>
      </c>
      <c r="S131" s="614" t="e">
        <f t="shared" si="65"/>
        <v>#REF!</v>
      </c>
      <c r="T131" s="614" t="e">
        <f t="shared" si="65"/>
        <v>#REF!</v>
      </c>
      <c r="U131" s="614" t="e">
        <f t="shared" si="65"/>
        <v>#REF!</v>
      </c>
      <c r="V131" s="614" t="e">
        <f t="shared" si="65"/>
        <v>#REF!</v>
      </c>
      <c r="W131" s="614" t="e">
        <f t="shared" si="65"/>
        <v>#REF!</v>
      </c>
      <c r="X131" s="614" t="e">
        <f t="shared" si="65"/>
        <v>#REF!</v>
      </c>
      <c r="Y131" s="614" t="e">
        <f t="shared" si="65"/>
        <v>#REF!</v>
      </c>
      <c r="Z131" s="614" t="e">
        <f t="shared" si="65"/>
        <v>#REF!</v>
      </c>
      <c r="AA131" s="614" t="e">
        <f t="shared" si="65"/>
        <v>#REF!</v>
      </c>
      <c r="AB131" s="614" t="e">
        <f t="shared" si="65"/>
        <v>#REF!</v>
      </c>
      <c r="AC131" s="614" t="e">
        <f t="shared" si="65"/>
        <v>#REF!</v>
      </c>
      <c r="AD131" s="614" t="e">
        <f t="shared" si="65"/>
        <v>#REF!</v>
      </c>
      <c r="AE131" s="614">
        <f t="shared" si="65"/>
        <v>19034812.84</v>
      </c>
    </row>
    <row r="132" spans="1:31" ht="18.75" thickTop="1">
      <c r="A132" s="467" t="s">
        <v>46</v>
      </c>
      <c r="B132" s="467"/>
      <c r="C132" s="467"/>
      <c r="D132" s="467"/>
      <c r="E132" s="522"/>
      <c r="F132" s="523"/>
      <c r="G132" s="524"/>
      <c r="H132" s="525"/>
      <c r="I132" s="525"/>
      <c r="J132" s="522"/>
      <c r="K132" s="523"/>
      <c r="L132" s="526"/>
      <c r="M132" s="527"/>
      <c r="N132" s="525"/>
      <c r="O132" s="522"/>
      <c r="P132" s="523"/>
      <c r="Q132" s="524"/>
      <c r="R132" s="531"/>
      <c r="S132" s="532"/>
      <c r="T132" s="524"/>
      <c r="U132" s="522"/>
      <c r="V132" s="539"/>
      <c r="W132" s="524"/>
      <c r="X132" s="540"/>
      <c r="Y132" s="539"/>
      <c r="Z132" s="524"/>
      <c r="AA132" s="531"/>
      <c r="AB132" s="523"/>
      <c r="AC132" s="524"/>
      <c r="AD132" s="554"/>
      <c r="AE132" s="554"/>
    </row>
    <row r="133" spans="1:31" ht="18">
      <c r="A133" s="467" t="s">
        <v>62</v>
      </c>
      <c r="B133" s="467"/>
      <c r="C133" s="467"/>
      <c r="D133" s="467"/>
      <c r="E133" s="531" t="s">
        <v>63</v>
      </c>
      <c r="F133" s="523">
        <v>250</v>
      </c>
      <c r="G133" s="524">
        <v>49415</v>
      </c>
      <c r="H133" s="525"/>
      <c r="I133" s="525"/>
      <c r="J133" s="531" t="s">
        <v>63</v>
      </c>
      <c r="K133" s="523">
        <v>250</v>
      </c>
      <c r="L133" s="526">
        <f>SUM(G133+H133)</f>
        <v>49415</v>
      </c>
      <c r="M133" s="527"/>
      <c r="N133" s="525">
        <v>0</v>
      </c>
      <c r="O133" s="533" t="e">
        <f>+'LEAD RECOM INCR'!O133+#REF!</f>
        <v>#REF!</v>
      </c>
      <c r="P133" s="470" t="e">
        <f>+'LEAD RECOM INCR'!P133+#REF!</f>
        <v>#REF!</v>
      </c>
      <c r="Q133" s="530" t="e">
        <f>+'LEAD RECOM INCR'!Q133+#REF!</f>
        <v>#REF!</v>
      </c>
      <c r="R133" s="531" t="s">
        <v>63</v>
      </c>
      <c r="S133" s="532" t="e">
        <f aca="true" t="shared" si="66" ref="S133:T135">+K133+P133</f>
        <v>#REF!</v>
      </c>
      <c r="T133" s="524" t="e">
        <f t="shared" si="66"/>
        <v>#REF!</v>
      </c>
      <c r="U133" s="533" t="e">
        <f>+'LEAD RECOM INCR'!U133+#REF!</f>
        <v>#REF!</v>
      </c>
      <c r="V133" s="470" t="e">
        <f>+'LEAD RECOM INCR'!V133+#REF!</f>
        <v>#REF!</v>
      </c>
      <c r="W133" s="530" t="e">
        <f>+'LEAD RECOM INCR'!W133+#REF!</f>
        <v>#REF!</v>
      </c>
      <c r="X133" s="533" t="e">
        <f>+'LEAD RECOM INCR'!X133+#REF!</f>
        <v>#REF!</v>
      </c>
      <c r="Y133" s="470" t="e">
        <f>+'LEAD RECOM INCR'!Y133+#REF!</f>
        <v>#REF!</v>
      </c>
      <c r="Z133" s="530" t="e">
        <f>+'LEAD RECOM INCR'!Z133+#REF!</f>
        <v>#REF!</v>
      </c>
      <c r="AA133" s="531" t="s">
        <v>63</v>
      </c>
      <c r="AB133" s="523" t="e">
        <f aca="true" t="shared" si="67" ref="AA133:AC135">+Y133+V133+S133</f>
        <v>#REF!</v>
      </c>
      <c r="AC133" s="524" t="e">
        <f t="shared" si="67"/>
        <v>#REF!</v>
      </c>
      <c r="AD133" s="554"/>
      <c r="AE133" s="554"/>
    </row>
    <row r="134" spans="1:31" ht="18">
      <c r="A134" s="467" t="s">
        <v>47</v>
      </c>
      <c r="B134" s="467"/>
      <c r="C134" s="467"/>
      <c r="D134" s="467"/>
      <c r="E134" s="531" t="s">
        <v>55</v>
      </c>
      <c r="F134" s="523">
        <v>775</v>
      </c>
      <c r="G134" s="524">
        <v>114000</v>
      </c>
      <c r="H134" s="525"/>
      <c r="I134" s="525"/>
      <c r="J134" s="531" t="s">
        <v>75</v>
      </c>
      <c r="K134" s="523">
        <v>760</v>
      </c>
      <c r="L134" s="526">
        <f>SUM(G134+H134)</f>
        <v>114000</v>
      </c>
      <c r="M134" s="527"/>
      <c r="N134" s="525">
        <v>0</v>
      </c>
      <c r="O134" s="533" t="e">
        <f>+'LEAD RECOM INCR'!O134+#REF!</f>
        <v>#REF!</v>
      </c>
      <c r="P134" s="470" t="e">
        <f>+'LEAD RECOM INCR'!P134+#REF!</f>
        <v>#REF!</v>
      </c>
      <c r="Q134" s="530" t="e">
        <f>+'LEAD RECOM INCR'!Q134+#REF!</f>
        <v>#REF!</v>
      </c>
      <c r="R134" s="531" t="s">
        <v>75</v>
      </c>
      <c r="S134" s="532" t="e">
        <f t="shared" si="66"/>
        <v>#REF!</v>
      </c>
      <c r="T134" s="524" t="e">
        <f t="shared" si="66"/>
        <v>#REF!</v>
      </c>
      <c r="U134" s="533" t="e">
        <f>+'LEAD RECOM INCR'!U134+#REF!</f>
        <v>#REF!</v>
      </c>
      <c r="V134" s="470" t="e">
        <f>+'LEAD RECOM INCR'!V134+#REF!</f>
        <v>#REF!</v>
      </c>
      <c r="W134" s="530" t="e">
        <f>+'LEAD RECOM INCR'!W134+#REF!</f>
        <v>#REF!</v>
      </c>
      <c r="X134" s="533" t="e">
        <f>+'LEAD RECOM INCR'!X134+#REF!</f>
        <v>#REF!</v>
      </c>
      <c r="Y134" s="470" t="e">
        <f>+'LEAD RECOM INCR'!Y134+#REF!</f>
        <v>#REF!</v>
      </c>
      <c r="Z134" s="530" t="e">
        <f>+'LEAD RECOM INCR'!Z134+#REF!</f>
        <v>#REF!</v>
      </c>
      <c r="AA134" s="531" t="s">
        <v>75</v>
      </c>
      <c r="AB134" s="523" t="e">
        <f t="shared" si="67"/>
        <v>#REF!</v>
      </c>
      <c r="AC134" s="524" t="e">
        <f t="shared" si="67"/>
        <v>#REF!</v>
      </c>
      <c r="AD134" s="554"/>
      <c r="AE134" s="554"/>
    </row>
    <row r="135" spans="1:31" ht="18.75" thickBot="1">
      <c r="A135" s="467" t="s">
        <v>158</v>
      </c>
      <c r="B135" s="467"/>
      <c r="C135" s="467"/>
      <c r="D135" s="467"/>
      <c r="E135" s="531"/>
      <c r="F135" s="523"/>
      <c r="G135" s="524"/>
      <c r="H135" s="525"/>
      <c r="I135" s="525"/>
      <c r="J135" s="531"/>
      <c r="K135" s="523"/>
      <c r="L135" s="526">
        <v>11450</v>
      </c>
      <c r="M135" s="527"/>
      <c r="N135" s="525">
        <v>0</v>
      </c>
      <c r="O135" s="533" t="e">
        <f>+'LEAD RECOM INCR'!O135+#REF!</f>
        <v>#REF!</v>
      </c>
      <c r="P135" s="470" t="e">
        <f>+'LEAD RECOM INCR'!P135+#REF!</f>
        <v>#REF!</v>
      </c>
      <c r="Q135" s="530" t="e">
        <f>+'LEAD RECOM INCR'!Q135+#REF!</f>
        <v>#REF!</v>
      </c>
      <c r="R135" s="579" t="e">
        <f>+J135+O135</f>
        <v>#REF!</v>
      </c>
      <c r="S135" s="654" t="e">
        <f t="shared" si="66"/>
        <v>#REF!</v>
      </c>
      <c r="T135" s="524" t="e">
        <f t="shared" si="66"/>
        <v>#REF!</v>
      </c>
      <c r="U135" s="533" t="e">
        <f>+'LEAD RECOM INCR'!U135+#REF!</f>
        <v>#REF!</v>
      </c>
      <c r="V135" s="470" t="e">
        <f>+'LEAD RECOM INCR'!V135+#REF!</f>
        <v>#REF!</v>
      </c>
      <c r="W135" s="530" t="e">
        <f>+'LEAD RECOM INCR'!W135+#REF!</f>
        <v>#REF!</v>
      </c>
      <c r="X135" s="533" t="e">
        <f>+'LEAD RECOM INCR'!X135+#REF!</f>
        <v>#REF!</v>
      </c>
      <c r="Y135" s="470" t="e">
        <f>+'LEAD RECOM INCR'!Y135+#REF!</f>
        <v>#REF!</v>
      </c>
      <c r="Z135" s="530" t="e">
        <f>+'LEAD RECOM INCR'!Z135+#REF!</f>
        <v>#REF!</v>
      </c>
      <c r="AA135" s="579" t="e">
        <f t="shared" si="67"/>
        <v>#REF!</v>
      </c>
      <c r="AB135" s="666" t="e">
        <f t="shared" si="67"/>
        <v>#REF!</v>
      </c>
      <c r="AC135" s="524" t="e">
        <f t="shared" si="67"/>
        <v>#REF!</v>
      </c>
      <c r="AD135" s="554"/>
      <c r="AE135" s="554"/>
    </row>
    <row r="136" spans="1:31" ht="19.5" thickBot="1" thickTop="1">
      <c r="A136" s="585" t="s">
        <v>90</v>
      </c>
      <c r="B136" s="619"/>
      <c r="C136" s="619"/>
      <c r="D136" s="667"/>
      <c r="E136" s="668" t="s">
        <v>82</v>
      </c>
      <c r="F136" s="669">
        <f>SUM(F133:F135)</f>
        <v>1025</v>
      </c>
      <c r="G136" s="670">
        <f>SUM(G133:G135)</f>
        <v>163415</v>
      </c>
      <c r="H136" s="671">
        <f>SUM(H133:H134)</f>
        <v>0</v>
      </c>
      <c r="I136" s="671">
        <f>SUM(I133:I134)</f>
        <v>0</v>
      </c>
      <c r="J136" s="668" t="s">
        <v>182</v>
      </c>
      <c r="K136" s="669">
        <f aca="true" t="shared" si="68" ref="K136:Q136">SUM(K133:K135)</f>
        <v>1010</v>
      </c>
      <c r="L136" s="672">
        <f t="shared" si="68"/>
        <v>174865</v>
      </c>
      <c r="M136" s="673">
        <f t="shared" si="68"/>
        <v>0</v>
      </c>
      <c r="N136" s="673">
        <f t="shared" si="68"/>
        <v>0</v>
      </c>
      <c r="O136" s="669" t="e">
        <f t="shared" si="68"/>
        <v>#REF!</v>
      </c>
      <c r="P136" s="669" t="e">
        <f t="shared" si="68"/>
        <v>#REF!</v>
      </c>
      <c r="Q136" s="674" t="e">
        <f t="shared" si="68"/>
        <v>#REF!</v>
      </c>
      <c r="R136" s="675" t="s">
        <v>82</v>
      </c>
      <c r="S136" s="669" t="e">
        <f aca="true" t="shared" si="69" ref="S136:Z136">SUM(S133:S135)</f>
        <v>#REF!</v>
      </c>
      <c r="T136" s="674" t="e">
        <f t="shared" si="69"/>
        <v>#REF!</v>
      </c>
      <c r="U136" s="675" t="e">
        <f t="shared" si="69"/>
        <v>#REF!</v>
      </c>
      <c r="V136" s="669" t="e">
        <f t="shared" si="69"/>
        <v>#REF!</v>
      </c>
      <c r="W136" s="674" t="e">
        <f t="shared" si="69"/>
        <v>#REF!</v>
      </c>
      <c r="X136" s="669" t="e">
        <f t="shared" si="69"/>
        <v>#REF!</v>
      </c>
      <c r="Y136" s="669" t="e">
        <f t="shared" si="69"/>
        <v>#REF!</v>
      </c>
      <c r="Z136" s="669" t="e">
        <f t="shared" si="69"/>
        <v>#REF!</v>
      </c>
      <c r="AA136" s="669" t="s">
        <v>159</v>
      </c>
      <c r="AB136" s="669" t="e">
        <f>SUM(AB133:AB135)</f>
        <v>#REF!</v>
      </c>
      <c r="AC136" s="674" t="e">
        <f>SUM(AC133:AC135)</f>
        <v>#REF!</v>
      </c>
      <c r="AD136" s="673">
        <f>SUM(AD133:AD135)</f>
        <v>0</v>
      </c>
      <c r="AE136" s="673">
        <f>SUM(AE133:AE135)</f>
        <v>0</v>
      </c>
    </row>
    <row r="137" spans="1:31" ht="18" customHeight="1" thickBot="1" thickTop="1">
      <c r="A137" s="676" t="s">
        <v>32</v>
      </c>
      <c r="B137" s="677"/>
      <c r="C137" s="677"/>
      <c r="D137" s="677"/>
      <c r="E137" s="614">
        <f aca="true" t="shared" si="70" ref="E137:AE137">SUM(E131,E136)</f>
        <v>108837</v>
      </c>
      <c r="F137" s="614">
        <f t="shared" si="70"/>
        <v>118592</v>
      </c>
      <c r="G137" s="614">
        <f t="shared" si="70"/>
        <v>21968755</v>
      </c>
      <c r="H137" s="614">
        <f t="shared" si="70"/>
        <v>0</v>
      </c>
      <c r="I137" s="614">
        <f t="shared" si="70"/>
        <v>0</v>
      </c>
      <c r="J137" s="614">
        <f t="shared" si="70"/>
        <v>107506</v>
      </c>
      <c r="K137" s="614">
        <f t="shared" si="70"/>
        <v>117784</v>
      </c>
      <c r="L137" s="632">
        <f t="shared" si="70"/>
        <v>22608025</v>
      </c>
      <c r="M137" s="614">
        <f t="shared" si="70"/>
        <v>0</v>
      </c>
      <c r="N137" s="614">
        <f t="shared" si="70"/>
        <v>2096779</v>
      </c>
      <c r="O137" s="645" t="e">
        <f t="shared" si="70"/>
        <v>#REF!</v>
      </c>
      <c r="P137" s="646" t="e">
        <f t="shared" si="70"/>
        <v>#REF!</v>
      </c>
      <c r="Q137" s="647" t="e">
        <f t="shared" si="70"/>
        <v>#REF!</v>
      </c>
      <c r="R137" s="615" t="e">
        <f t="shared" si="70"/>
        <v>#REF!</v>
      </c>
      <c r="S137" s="616" t="e">
        <f t="shared" si="70"/>
        <v>#REF!</v>
      </c>
      <c r="T137" s="612" t="e">
        <f t="shared" si="70"/>
        <v>#REF!</v>
      </c>
      <c r="U137" s="645" t="e">
        <f t="shared" si="70"/>
        <v>#REF!</v>
      </c>
      <c r="V137" s="646" t="e">
        <f t="shared" si="70"/>
        <v>#REF!</v>
      </c>
      <c r="W137" s="647" t="e">
        <f t="shared" si="70"/>
        <v>#REF!</v>
      </c>
      <c r="X137" s="645" t="e">
        <f t="shared" si="70"/>
        <v>#REF!</v>
      </c>
      <c r="Y137" s="646" t="e">
        <f t="shared" si="70"/>
        <v>#REF!</v>
      </c>
      <c r="Z137" s="647" t="e">
        <f t="shared" si="70"/>
        <v>#REF!</v>
      </c>
      <c r="AA137" s="647" t="e">
        <f t="shared" si="70"/>
        <v>#REF!</v>
      </c>
      <c r="AB137" s="647" t="e">
        <f t="shared" si="70"/>
        <v>#REF!</v>
      </c>
      <c r="AC137" s="647" t="e">
        <f t="shared" si="70"/>
        <v>#REF!</v>
      </c>
      <c r="AD137" s="614" t="e">
        <f t="shared" si="70"/>
        <v>#REF!</v>
      </c>
      <c r="AE137" s="614">
        <f t="shared" si="70"/>
        <v>19034812.84</v>
      </c>
    </row>
    <row r="138" spans="1:31" ht="18.75" thickTop="1">
      <c r="A138" s="476" t="s">
        <v>86</v>
      </c>
      <c r="E138" s="522"/>
      <c r="F138" s="523"/>
      <c r="G138" s="524"/>
      <c r="H138" s="525"/>
      <c r="I138" s="525"/>
      <c r="J138" s="522"/>
      <c r="K138" s="523"/>
      <c r="L138" s="526"/>
      <c r="M138" s="527"/>
      <c r="N138" s="525"/>
      <c r="O138" s="522"/>
      <c r="P138" s="523"/>
      <c r="Q138" s="524"/>
      <c r="R138" s="531"/>
      <c r="S138" s="532"/>
      <c r="T138" s="524"/>
      <c r="U138" s="522"/>
      <c r="V138" s="539"/>
      <c r="W138" s="524"/>
      <c r="X138" s="540"/>
      <c r="Y138" s="539"/>
      <c r="Z138" s="524"/>
      <c r="AA138" s="522"/>
      <c r="AB138" s="523"/>
      <c r="AC138" s="666"/>
      <c r="AD138" s="554"/>
      <c r="AE138" s="554"/>
    </row>
    <row r="139" spans="1:31" ht="18">
      <c r="A139" s="476" t="s">
        <v>127</v>
      </c>
      <c r="E139" s="522">
        <v>0</v>
      </c>
      <c r="F139" s="523">
        <v>0</v>
      </c>
      <c r="G139" s="542" t="s">
        <v>64</v>
      </c>
      <c r="H139" s="525"/>
      <c r="I139" s="525"/>
      <c r="J139" s="531">
        <v>0</v>
      </c>
      <c r="K139" s="532">
        <v>0</v>
      </c>
      <c r="L139" s="568" t="s">
        <v>93</v>
      </c>
      <c r="M139" s="525"/>
      <c r="N139" s="525"/>
      <c r="O139" s="522"/>
      <c r="P139" s="523"/>
      <c r="Q139" s="524"/>
      <c r="R139" s="531"/>
      <c r="S139" s="532"/>
      <c r="T139" s="542"/>
      <c r="U139" s="608"/>
      <c r="V139" s="532"/>
      <c r="W139" s="542"/>
      <c r="X139" s="531"/>
      <c r="Y139" s="532"/>
      <c r="Z139" s="542"/>
      <c r="AA139" s="522"/>
      <c r="AB139" s="523"/>
      <c r="AC139" s="654"/>
      <c r="AD139" s="655"/>
      <c r="AE139" s="655"/>
    </row>
    <row r="140" spans="1:31" ht="18">
      <c r="A140" s="467" t="s">
        <v>83</v>
      </c>
      <c r="E140" s="522"/>
      <c r="F140" s="523"/>
      <c r="G140" s="524"/>
      <c r="H140" s="525"/>
      <c r="I140" s="525"/>
      <c r="J140" s="531">
        <v>0</v>
      </c>
      <c r="K140" s="532">
        <v>0</v>
      </c>
      <c r="L140" s="568" t="s">
        <v>64</v>
      </c>
      <c r="M140" s="527"/>
      <c r="N140" s="525"/>
      <c r="O140" s="522"/>
      <c r="P140" s="523"/>
      <c r="Q140" s="524"/>
      <c r="R140" s="531"/>
      <c r="S140" s="532"/>
      <c r="T140" s="524"/>
      <c r="U140" s="608"/>
      <c r="V140" s="532"/>
      <c r="W140" s="542"/>
      <c r="X140" s="531"/>
      <c r="Y140" s="532"/>
      <c r="Z140" s="542"/>
      <c r="AA140" s="522"/>
      <c r="AB140" s="523"/>
      <c r="AC140" s="654"/>
      <c r="AD140" s="655"/>
      <c r="AE140" s="655"/>
    </row>
    <row r="141" spans="1:31" ht="18">
      <c r="A141" s="925" t="s">
        <v>94</v>
      </c>
      <c r="B141" s="926"/>
      <c r="C141" s="926"/>
      <c r="D141" s="927"/>
      <c r="E141" s="522"/>
      <c r="F141" s="523"/>
      <c r="G141" s="524"/>
      <c r="H141" s="525"/>
      <c r="I141" s="525"/>
      <c r="J141" s="531">
        <v>0</v>
      </c>
      <c r="K141" s="532">
        <v>0</v>
      </c>
      <c r="L141" s="568" t="s">
        <v>95</v>
      </c>
      <c r="M141" s="527"/>
      <c r="N141" s="525"/>
      <c r="O141" s="522"/>
      <c r="P141" s="523"/>
      <c r="Q141" s="524"/>
      <c r="R141" s="531"/>
      <c r="S141" s="532"/>
      <c r="T141" s="524"/>
      <c r="U141" s="608"/>
      <c r="V141" s="532"/>
      <c r="W141" s="542"/>
      <c r="X141" s="531"/>
      <c r="Y141" s="532"/>
      <c r="Z141" s="542"/>
      <c r="AA141" s="522"/>
      <c r="AB141" s="523"/>
      <c r="AC141" s="654"/>
      <c r="AD141" s="655"/>
      <c r="AE141" s="655"/>
    </row>
    <row r="142" spans="1:31" ht="18">
      <c r="A142" s="467" t="s">
        <v>84</v>
      </c>
      <c r="E142" s="522"/>
      <c r="F142" s="523"/>
      <c r="G142" s="524"/>
      <c r="H142" s="525"/>
      <c r="I142" s="525"/>
      <c r="J142" s="531" t="s">
        <v>91</v>
      </c>
      <c r="K142" s="532">
        <v>0</v>
      </c>
      <c r="L142" s="568" t="s">
        <v>92</v>
      </c>
      <c r="M142" s="527"/>
      <c r="N142" s="525"/>
      <c r="O142" s="522"/>
      <c r="P142" s="523"/>
      <c r="Q142" s="524"/>
      <c r="R142" s="531"/>
      <c r="S142" s="532"/>
      <c r="T142" s="524"/>
      <c r="U142" s="608"/>
      <c r="V142" s="532"/>
      <c r="W142" s="542"/>
      <c r="X142" s="531"/>
      <c r="Y142" s="532"/>
      <c r="Z142" s="542"/>
      <c r="AA142" s="531"/>
      <c r="AB142" s="532"/>
      <c r="AC142" s="654"/>
      <c r="AD142" s="655"/>
      <c r="AE142" s="655"/>
    </row>
    <row r="143" spans="1:31" ht="18">
      <c r="A143" s="467" t="s">
        <v>85</v>
      </c>
      <c r="E143" s="522"/>
      <c r="F143" s="523"/>
      <c r="G143" s="524"/>
      <c r="H143" s="525"/>
      <c r="I143" s="525"/>
      <c r="J143" s="531" t="s">
        <v>97</v>
      </c>
      <c r="K143" s="532" t="s">
        <v>98</v>
      </c>
      <c r="L143" s="568" t="s">
        <v>99</v>
      </c>
      <c r="M143" s="527"/>
      <c r="N143" s="525"/>
      <c r="O143" s="522"/>
      <c r="P143" s="523"/>
      <c r="Q143" s="524"/>
      <c r="R143" s="531"/>
      <c r="S143" s="532"/>
      <c r="T143" s="524"/>
      <c r="U143" s="608"/>
      <c r="V143" s="532"/>
      <c r="W143" s="542"/>
      <c r="X143" s="531"/>
      <c r="Y143" s="532"/>
      <c r="Z143" s="542"/>
      <c r="AA143" s="531"/>
      <c r="AB143" s="532"/>
      <c r="AC143" s="654"/>
      <c r="AD143" s="655"/>
      <c r="AE143" s="655"/>
    </row>
    <row r="144" spans="1:31" ht="13.5" customHeight="1">
      <c r="A144" s="467" t="s">
        <v>96</v>
      </c>
      <c r="E144" s="522"/>
      <c r="F144" s="523"/>
      <c r="G144" s="524"/>
      <c r="H144" s="525"/>
      <c r="I144" s="525"/>
      <c r="J144" s="531">
        <v>0</v>
      </c>
      <c r="K144" s="532">
        <v>0</v>
      </c>
      <c r="L144" s="568" t="s">
        <v>95</v>
      </c>
      <c r="M144" s="527"/>
      <c r="N144" s="525"/>
      <c r="O144" s="522"/>
      <c r="P144" s="523"/>
      <c r="Q144" s="524"/>
      <c r="R144" s="531"/>
      <c r="S144" s="532"/>
      <c r="T144" s="524"/>
      <c r="U144" s="608"/>
      <c r="V144" s="532"/>
      <c r="W144" s="542"/>
      <c r="X144" s="531"/>
      <c r="Y144" s="532"/>
      <c r="Z144" s="542"/>
      <c r="AA144" s="522"/>
      <c r="AB144" s="523"/>
      <c r="AC144" s="654"/>
      <c r="AD144" s="655"/>
      <c r="AE144" s="655"/>
    </row>
    <row r="145" spans="1:31" ht="13.5" customHeight="1">
      <c r="A145" s="476" t="s">
        <v>101</v>
      </c>
      <c r="E145" s="522"/>
      <c r="F145" s="523"/>
      <c r="G145" s="524"/>
      <c r="H145" s="525"/>
      <c r="I145" s="525"/>
      <c r="J145" s="531"/>
      <c r="K145" s="532"/>
      <c r="L145" s="568">
        <v>0</v>
      </c>
      <c r="M145" s="527"/>
      <c r="N145" s="525"/>
      <c r="O145" s="522"/>
      <c r="P145" s="523"/>
      <c r="Q145" s="524"/>
      <c r="R145" s="531"/>
      <c r="S145" s="532"/>
      <c r="T145" s="524"/>
      <c r="U145" s="608"/>
      <c r="V145" s="532"/>
      <c r="W145" s="542"/>
      <c r="X145" s="531"/>
      <c r="Y145" s="532"/>
      <c r="Z145" s="542"/>
      <c r="AA145" s="522"/>
      <c r="AB145" s="523"/>
      <c r="AC145" s="666"/>
      <c r="AD145" s="554"/>
      <c r="AE145" s="554"/>
    </row>
    <row r="146" spans="1:31" ht="18">
      <c r="A146" s="476" t="s">
        <v>128</v>
      </c>
      <c r="E146" s="522"/>
      <c r="F146" s="523"/>
      <c r="G146" s="524"/>
      <c r="H146" s="525"/>
      <c r="I146" s="525"/>
      <c r="J146" s="531"/>
      <c r="K146" s="532"/>
      <c r="L146" s="568">
        <v>0</v>
      </c>
      <c r="M146" s="527"/>
      <c r="N146" s="525"/>
      <c r="O146" s="522"/>
      <c r="P146" s="523"/>
      <c r="Q146" s="524"/>
      <c r="R146" s="531"/>
      <c r="S146" s="532"/>
      <c r="T146" s="524"/>
      <c r="U146" s="608"/>
      <c r="V146" s="532"/>
      <c r="W146" s="542"/>
      <c r="X146" s="531"/>
      <c r="Y146" s="532"/>
      <c r="Z146" s="542"/>
      <c r="AA146" s="522"/>
      <c r="AB146" s="523"/>
      <c r="AC146" s="666"/>
      <c r="AD146" s="554"/>
      <c r="AE146" s="554"/>
    </row>
    <row r="147" spans="1:31" ht="18">
      <c r="A147" s="476" t="s">
        <v>129</v>
      </c>
      <c r="E147" s="522"/>
      <c r="F147" s="523"/>
      <c r="G147" s="524"/>
      <c r="H147" s="525"/>
      <c r="I147" s="525"/>
      <c r="J147" s="531"/>
      <c r="K147" s="532"/>
      <c r="L147" s="568">
        <v>0</v>
      </c>
      <c r="M147" s="527"/>
      <c r="N147" s="525"/>
      <c r="O147" s="522"/>
      <c r="P147" s="523"/>
      <c r="Q147" s="524"/>
      <c r="R147" s="531"/>
      <c r="S147" s="532"/>
      <c r="T147" s="524"/>
      <c r="U147" s="608"/>
      <c r="V147" s="532"/>
      <c r="W147" s="542"/>
      <c r="X147" s="531"/>
      <c r="Y147" s="532"/>
      <c r="Z147" s="542"/>
      <c r="AA147" s="522"/>
      <c r="AB147" s="523"/>
      <c r="AC147" s="666"/>
      <c r="AD147" s="554"/>
      <c r="AE147" s="554"/>
    </row>
    <row r="148" spans="1:31" ht="18">
      <c r="A148" s="476" t="s">
        <v>147</v>
      </c>
      <c r="E148" s="522"/>
      <c r="F148" s="523"/>
      <c r="G148" s="524"/>
      <c r="H148" s="525"/>
      <c r="I148" s="525"/>
      <c r="J148" s="531"/>
      <c r="K148" s="532"/>
      <c r="L148" s="568">
        <v>0</v>
      </c>
      <c r="M148" s="527"/>
      <c r="N148" s="525"/>
      <c r="O148" s="522"/>
      <c r="P148" s="523"/>
      <c r="Q148" s="524"/>
      <c r="R148" s="531"/>
      <c r="S148" s="532"/>
      <c r="T148" s="524"/>
      <c r="U148" s="608"/>
      <c r="V148" s="532"/>
      <c r="W148" s="542"/>
      <c r="X148" s="531"/>
      <c r="Y148" s="532"/>
      <c r="Z148" s="542"/>
      <c r="AA148" s="522"/>
      <c r="AB148" s="523"/>
      <c r="AC148" s="666"/>
      <c r="AD148" s="554"/>
      <c r="AE148" s="554"/>
    </row>
    <row r="149" spans="1:31" ht="18.75" thickBot="1">
      <c r="A149" s="476" t="s">
        <v>146</v>
      </c>
      <c r="E149" s="656"/>
      <c r="F149" s="657"/>
      <c r="G149" s="658"/>
      <c r="H149" s="525"/>
      <c r="I149" s="525"/>
      <c r="J149" s="678"/>
      <c r="K149" s="679"/>
      <c r="L149" s="680">
        <v>0</v>
      </c>
      <c r="M149" s="527"/>
      <c r="N149" s="525"/>
      <c r="O149" s="522"/>
      <c r="P149" s="523"/>
      <c r="Q149" s="524"/>
      <c r="R149" s="531"/>
      <c r="S149" s="532"/>
      <c r="T149" s="524"/>
      <c r="U149" s="608"/>
      <c r="V149" s="532"/>
      <c r="W149" s="542"/>
      <c r="X149" s="531"/>
      <c r="Y149" s="532"/>
      <c r="Z149" s="542"/>
      <c r="AA149" s="522"/>
      <c r="AB149" s="523"/>
      <c r="AC149" s="666"/>
      <c r="AD149" s="554"/>
      <c r="AE149" s="554"/>
    </row>
    <row r="150" spans="1:31" ht="15" customHeight="1" thickBot="1" thickTop="1">
      <c r="A150" s="681" t="s">
        <v>87</v>
      </c>
      <c r="B150" s="682"/>
      <c r="C150" s="682"/>
      <c r="D150" s="682"/>
      <c r="E150" s="640"/>
      <c r="F150" s="641"/>
      <c r="G150" s="642"/>
      <c r="H150" s="683">
        <f>SUM(H139:H149)</f>
        <v>0</v>
      </c>
      <c r="I150" s="643">
        <f>SUM(I139:I149)</f>
        <v>0</v>
      </c>
      <c r="J150" s="640" t="s">
        <v>100</v>
      </c>
      <c r="K150" s="641" t="s">
        <v>98</v>
      </c>
      <c r="L150" s="644" t="s">
        <v>103</v>
      </c>
      <c r="M150" s="643">
        <f aca="true" t="shared" si="71" ref="M150:S150">SUM(M139:M149)</f>
        <v>0</v>
      </c>
      <c r="N150" s="643">
        <f t="shared" si="71"/>
        <v>0</v>
      </c>
      <c r="O150" s="640">
        <f t="shared" si="71"/>
        <v>0</v>
      </c>
      <c r="P150" s="641">
        <f t="shared" si="71"/>
        <v>0</v>
      </c>
      <c r="Q150" s="642">
        <f t="shared" si="71"/>
        <v>0</v>
      </c>
      <c r="R150" s="640">
        <f t="shared" si="71"/>
        <v>0</v>
      </c>
      <c r="S150" s="641">
        <f t="shared" si="71"/>
        <v>0</v>
      </c>
      <c r="T150" s="642">
        <v>0</v>
      </c>
      <c r="U150" s="642">
        <v>0</v>
      </c>
      <c r="V150" s="642">
        <v>0</v>
      </c>
      <c r="W150" s="642">
        <v>0</v>
      </c>
      <c r="X150" s="640">
        <v>0</v>
      </c>
      <c r="Y150" s="641">
        <v>0</v>
      </c>
      <c r="Z150" s="642">
        <f>SUM(Z139:Z149)</f>
        <v>0</v>
      </c>
      <c r="AA150" s="640">
        <v>0</v>
      </c>
      <c r="AB150" s="641">
        <v>0</v>
      </c>
      <c r="AC150" s="684">
        <v>0</v>
      </c>
      <c r="AD150" s="643"/>
      <c r="AE150" s="643"/>
    </row>
    <row r="151" spans="1:31" ht="18.75" thickTop="1">
      <c r="A151" s="928"/>
      <c r="B151" s="929"/>
      <c r="C151" s="929"/>
      <c r="D151" s="929"/>
      <c r="E151" s="470"/>
      <c r="F151" s="470"/>
      <c r="G151" s="470"/>
      <c r="H151" s="475"/>
      <c r="I151" s="475"/>
      <c r="J151" s="470"/>
      <c r="K151" s="470"/>
      <c r="L151" s="470"/>
      <c r="P151" s="470"/>
      <c r="Q151" s="470"/>
      <c r="R151" s="470"/>
      <c r="S151" s="470"/>
      <c r="T151" s="470"/>
      <c r="W151" s="470"/>
      <c r="Z151" s="470"/>
      <c r="AA151" s="470"/>
      <c r="AB151" s="470"/>
      <c r="AC151" s="470"/>
      <c r="AD151" s="470"/>
      <c r="AE151" s="470"/>
    </row>
    <row r="152" spans="1:31" ht="18">
      <c r="A152" s="919"/>
      <c r="B152" s="920"/>
      <c r="C152" s="920"/>
      <c r="D152" s="920"/>
      <c r="E152" s="470"/>
      <c r="F152" s="470"/>
      <c r="G152" s="470"/>
      <c r="H152" s="475"/>
      <c r="I152" s="475"/>
      <c r="J152" s="470"/>
      <c r="K152" s="470"/>
      <c r="L152" s="470"/>
      <c r="M152" s="470"/>
      <c r="N152" s="470"/>
      <c r="Q152" s="470"/>
      <c r="R152" s="470"/>
      <c r="S152" s="470"/>
      <c r="T152" s="470"/>
      <c r="W152" s="470"/>
      <c r="Z152" s="470"/>
      <c r="AA152" s="470"/>
      <c r="AB152" s="470"/>
      <c r="AC152" s="470"/>
      <c r="AD152" s="470"/>
      <c r="AE152" s="470"/>
    </row>
    <row r="153" spans="1:31" ht="18">
      <c r="A153" s="685"/>
      <c r="B153" s="686"/>
      <c r="C153" s="686"/>
      <c r="D153" s="686"/>
      <c r="E153" s="470"/>
      <c r="F153" s="470"/>
      <c r="G153" s="470"/>
      <c r="H153" s="475"/>
      <c r="I153" s="475"/>
      <c r="J153" s="470"/>
      <c r="K153" s="470"/>
      <c r="L153" s="470"/>
      <c r="M153" s="470"/>
      <c r="N153" s="470"/>
      <c r="R153" s="470"/>
      <c r="S153" s="470"/>
      <c r="T153" s="470"/>
      <c r="W153" s="470"/>
      <c r="Z153" s="470"/>
      <c r="AA153" s="470"/>
      <c r="AB153" s="470"/>
      <c r="AC153" s="470"/>
      <c r="AD153" s="470"/>
      <c r="AE153" s="470"/>
    </row>
    <row r="154" spans="1:31" ht="18">
      <c r="A154" s="921"/>
      <c r="B154" s="922"/>
      <c r="C154" s="922"/>
      <c r="D154" s="922"/>
      <c r="E154" s="470"/>
      <c r="F154" s="470"/>
      <c r="G154" s="470"/>
      <c r="H154" s="475"/>
      <c r="I154" s="475"/>
      <c r="J154" s="470"/>
      <c r="K154" s="470"/>
      <c r="L154" s="470"/>
      <c r="M154" s="470"/>
      <c r="N154" s="470"/>
      <c r="Q154" s="470"/>
      <c r="R154" s="470"/>
      <c r="S154" s="470"/>
      <c r="T154" s="470"/>
      <c r="W154" s="470"/>
      <c r="Z154" s="470"/>
      <c r="AA154" s="470"/>
      <c r="AB154" s="470"/>
      <c r="AC154" s="470"/>
      <c r="AD154" s="470"/>
      <c r="AE154" s="470"/>
    </row>
    <row r="155" spans="1:31" ht="18">
      <c r="A155" s="687"/>
      <c r="B155" s="688"/>
      <c r="C155" s="688"/>
      <c r="D155" s="688"/>
      <c r="E155" s="470"/>
      <c r="F155" s="470"/>
      <c r="G155" s="470"/>
      <c r="H155" s="475"/>
      <c r="I155" s="475"/>
      <c r="J155" s="470"/>
      <c r="K155" s="470"/>
      <c r="L155" s="470"/>
      <c r="M155" s="470"/>
      <c r="N155" s="470"/>
      <c r="R155" s="470"/>
      <c r="S155" s="470"/>
      <c r="T155" s="470"/>
      <c r="W155" s="470"/>
      <c r="Z155" s="470"/>
      <c r="AA155" s="470"/>
      <c r="AB155" s="470"/>
      <c r="AC155" s="470"/>
      <c r="AD155" s="470"/>
      <c r="AE155" s="470"/>
    </row>
    <row r="156" spans="1:31" ht="18">
      <c r="A156" s="689"/>
      <c r="B156" s="688"/>
      <c r="C156" s="688"/>
      <c r="D156" s="688"/>
      <c r="E156" s="470"/>
      <c r="F156" s="470"/>
      <c r="G156" s="470"/>
      <c r="H156" s="475"/>
      <c r="I156" s="475"/>
      <c r="J156" s="470"/>
      <c r="K156" s="470"/>
      <c r="L156" s="470"/>
      <c r="M156" s="470"/>
      <c r="N156" s="470"/>
      <c r="R156" s="470"/>
      <c r="S156" s="470"/>
      <c r="T156" s="470"/>
      <c r="W156" s="470"/>
      <c r="Z156" s="470"/>
      <c r="AA156" s="470"/>
      <c r="AB156" s="470"/>
      <c r="AC156" s="470"/>
      <c r="AD156" s="470"/>
      <c r="AE156" s="470"/>
    </row>
    <row r="157" spans="1:31" ht="18">
      <c r="A157" s="689"/>
      <c r="B157" s="688"/>
      <c r="C157" s="688"/>
      <c r="D157" s="688"/>
      <c r="E157" s="470"/>
      <c r="F157" s="470"/>
      <c r="G157" s="470"/>
      <c r="H157" s="475"/>
      <c r="I157" s="475"/>
      <c r="J157" s="470"/>
      <c r="K157" s="470"/>
      <c r="L157" s="470"/>
      <c r="M157" s="470"/>
      <c r="N157" s="470"/>
      <c r="R157" s="470"/>
      <c r="S157" s="470"/>
      <c r="T157" s="470"/>
      <c r="W157" s="470"/>
      <c r="Z157" s="470"/>
      <c r="AA157" s="470"/>
      <c r="AB157" s="470"/>
      <c r="AC157" s="470"/>
      <c r="AD157" s="470"/>
      <c r="AE157" s="470"/>
    </row>
    <row r="158" spans="1:14" ht="18">
      <c r="A158" s="690"/>
      <c r="B158" s="691"/>
      <c r="E158" s="470"/>
      <c r="F158" s="470"/>
      <c r="G158" s="470"/>
      <c r="H158" s="475"/>
      <c r="I158" s="475"/>
      <c r="J158" s="470"/>
      <c r="K158" s="470"/>
      <c r="L158" s="470"/>
      <c r="M158" s="470"/>
      <c r="N158" s="470"/>
    </row>
    <row r="159" spans="1:14" ht="18">
      <c r="A159" s="692"/>
      <c r="B159" s="691"/>
      <c r="E159" s="470"/>
      <c r="F159" s="470"/>
      <c r="G159" s="470"/>
      <c r="H159" s="475"/>
      <c r="I159" s="475"/>
      <c r="J159" s="470"/>
      <c r="K159" s="470"/>
      <c r="L159" s="470"/>
      <c r="M159" s="470"/>
      <c r="N159" s="470"/>
    </row>
    <row r="160" spans="1:14" ht="18">
      <c r="A160" s="692"/>
      <c r="B160" s="691"/>
      <c r="E160" s="470"/>
      <c r="F160" s="470"/>
      <c r="G160" s="470"/>
      <c r="H160" s="475"/>
      <c r="I160" s="475"/>
      <c r="J160" s="470"/>
      <c r="K160" s="470"/>
      <c r="L160" s="470"/>
      <c r="M160" s="470"/>
      <c r="N160" s="470"/>
    </row>
    <row r="161" spans="1:14" ht="18">
      <c r="A161" s="692"/>
      <c r="B161" s="691"/>
      <c r="E161" s="470"/>
      <c r="F161" s="470"/>
      <c r="G161" s="470"/>
      <c r="H161" s="475"/>
      <c r="I161" s="475"/>
      <c r="J161" s="470"/>
      <c r="K161" s="470"/>
      <c r="L161" s="470"/>
      <c r="M161" s="470"/>
      <c r="N161" s="470"/>
    </row>
    <row r="162" spans="1:14" ht="18">
      <c r="A162" s="692"/>
      <c r="B162" s="691"/>
      <c r="E162" s="470"/>
      <c r="F162" s="470"/>
      <c r="G162" s="470"/>
      <c r="H162" s="475"/>
      <c r="I162" s="475"/>
      <c r="J162" s="470"/>
      <c r="K162" s="470"/>
      <c r="L162" s="470"/>
      <c r="M162" s="470"/>
      <c r="N162" s="470"/>
    </row>
    <row r="163" spans="1:14" ht="18">
      <c r="A163" s="692"/>
      <c r="B163" s="691"/>
      <c r="E163" s="470"/>
      <c r="F163" s="470"/>
      <c r="G163" s="470"/>
      <c r="H163" s="475"/>
      <c r="I163" s="475"/>
      <c r="J163" s="470"/>
      <c r="K163" s="470"/>
      <c r="L163" s="470"/>
      <c r="M163" s="470"/>
      <c r="N163" s="470"/>
    </row>
    <row r="164" spans="1:14" ht="18">
      <c r="A164" s="692"/>
      <c r="B164" s="691"/>
      <c r="E164" s="470"/>
      <c r="F164" s="470"/>
      <c r="G164" s="470"/>
      <c r="H164" s="475"/>
      <c r="I164" s="475"/>
      <c r="J164" s="470"/>
      <c r="K164" s="470"/>
      <c r="L164" s="470"/>
      <c r="M164" s="470"/>
      <c r="N164" s="470"/>
    </row>
    <row r="165" spans="1:14" ht="18">
      <c r="A165" s="692"/>
      <c r="B165" s="691"/>
      <c r="E165" s="470"/>
      <c r="F165" s="470"/>
      <c r="G165" s="470"/>
      <c r="H165" s="475"/>
      <c r="I165" s="475"/>
      <c r="J165" s="470"/>
      <c r="K165" s="470"/>
      <c r="L165" s="470"/>
      <c r="M165" s="470"/>
      <c r="N165" s="470"/>
    </row>
    <row r="166" spans="1:14" ht="18">
      <c r="A166" s="692"/>
      <c r="B166" s="691"/>
      <c r="E166" s="470"/>
      <c r="F166" s="470"/>
      <c r="G166" s="470"/>
      <c r="H166" s="475"/>
      <c r="I166" s="475"/>
      <c r="J166" s="470"/>
      <c r="K166" s="470"/>
      <c r="L166" s="470"/>
      <c r="M166" s="470"/>
      <c r="N166" s="470"/>
    </row>
    <row r="167" spans="1:14" ht="18">
      <c r="A167" s="692"/>
      <c r="B167" s="691"/>
      <c r="E167" s="470"/>
      <c r="F167" s="470"/>
      <c r="G167" s="470"/>
      <c r="H167" s="475"/>
      <c r="I167" s="475"/>
      <c r="J167" s="470"/>
      <c r="K167" s="470"/>
      <c r="L167" s="470"/>
      <c r="M167" s="470"/>
      <c r="N167" s="470"/>
    </row>
    <row r="168" spans="1:14" ht="18">
      <c r="A168" s="692"/>
      <c r="B168" s="691"/>
      <c r="E168" s="470"/>
      <c r="F168" s="470"/>
      <c r="G168" s="470"/>
      <c r="H168" s="475"/>
      <c r="I168" s="475"/>
      <c r="J168" s="470"/>
      <c r="K168" s="470"/>
      <c r="L168" s="470"/>
      <c r="M168" s="470"/>
      <c r="N168" s="470"/>
    </row>
    <row r="169" spans="1:14" ht="18">
      <c r="A169" s="692"/>
      <c r="B169" s="691"/>
      <c r="E169" s="470"/>
      <c r="F169" s="470"/>
      <c r="G169" s="470"/>
      <c r="H169" s="475"/>
      <c r="I169" s="475"/>
      <c r="J169" s="470"/>
      <c r="K169" s="470"/>
      <c r="L169" s="470"/>
      <c r="M169" s="470"/>
      <c r="N169" s="470"/>
    </row>
    <row r="170" spans="1:14" ht="18">
      <c r="A170" s="692"/>
      <c r="B170" s="691"/>
      <c r="E170" s="470"/>
      <c r="F170" s="470"/>
      <c r="G170" s="470"/>
      <c r="H170" s="475"/>
      <c r="I170" s="475"/>
      <c r="J170" s="470"/>
      <c r="K170" s="470"/>
      <c r="L170" s="470"/>
      <c r="M170" s="470"/>
      <c r="N170" s="470"/>
    </row>
    <row r="171" spans="1:14" ht="18">
      <c r="A171" s="692"/>
      <c r="B171" s="691"/>
      <c r="E171" s="470"/>
      <c r="F171" s="470"/>
      <c r="G171" s="470"/>
      <c r="H171" s="475"/>
      <c r="I171" s="475"/>
      <c r="J171" s="470"/>
      <c r="K171" s="470"/>
      <c r="L171" s="470"/>
      <c r="M171" s="470"/>
      <c r="N171" s="470"/>
    </row>
    <row r="172" spans="1:14" ht="18">
      <c r="A172" s="692"/>
      <c r="B172" s="691"/>
      <c r="E172" s="470"/>
      <c r="F172" s="470"/>
      <c r="G172" s="470"/>
      <c r="H172" s="475"/>
      <c r="I172" s="475"/>
      <c r="J172" s="470"/>
      <c r="K172" s="470"/>
      <c r="L172" s="470"/>
      <c r="M172" s="470"/>
      <c r="N172" s="470"/>
    </row>
    <row r="173" spans="1:14" ht="18">
      <c r="A173" s="692"/>
      <c r="B173" s="691"/>
      <c r="E173" s="470"/>
      <c r="F173" s="470"/>
      <c r="G173" s="470"/>
      <c r="H173" s="475"/>
      <c r="I173" s="475"/>
      <c r="J173" s="470"/>
      <c r="K173" s="470"/>
      <c r="L173" s="470"/>
      <c r="M173" s="470"/>
      <c r="N173" s="470"/>
    </row>
    <row r="174" spans="1:14" ht="18">
      <c r="A174" s="693"/>
      <c r="B174" s="691"/>
      <c r="E174" s="470"/>
      <c r="F174" s="470"/>
      <c r="G174" s="470"/>
      <c r="H174" s="475"/>
      <c r="I174" s="475"/>
      <c r="J174" s="470"/>
      <c r="K174" s="470"/>
      <c r="L174" s="470"/>
      <c r="M174" s="470"/>
      <c r="N174" s="470"/>
    </row>
    <row r="175" spans="1:14" ht="18">
      <c r="A175" s="693"/>
      <c r="B175" s="691"/>
      <c r="E175" s="470"/>
      <c r="F175" s="470"/>
      <c r="G175" s="470"/>
      <c r="H175" s="475"/>
      <c r="I175" s="475"/>
      <c r="J175" s="470"/>
      <c r="K175" s="470"/>
      <c r="L175" s="470"/>
      <c r="M175" s="470"/>
      <c r="N175" s="470"/>
    </row>
    <row r="176" spans="1:14" ht="18">
      <c r="A176" s="693"/>
      <c r="B176" s="691"/>
      <c r="E176" s="470"/>
      <c r="F176" s="470"/>
      <c r="G176" s="470"/>
      <c r="H176" s="475"/>
      <c r="I176" s="475"/>
      <c r="J176" s="470"/>
      <c r="K176" s="470"/>
      <c r="L176" s="470"/>
      <c r="M176" s="470"/>
      <c r="N176" s="470"/>
    </row>
    <row r="177" spans="1:14" ht="18">
      <c r="A177" s="693"/>
      <c r="B177" s="691"/>
      <c r="E177" s="470"/>
      <c r="F177" s="470"/>
      <c r="G177" s="470"/>
      <c r="H177" s="475"/>
      <c r="I177" s="475"/>
      <c r="J177" s="470"/>
      <c r="K177" s="470"/>
      <c r="L177" s="470"/>
      <c r="M177" s="470"/>
      <c r="N177" s="470"/>
    </row>
    <row r="178" spans="1:14" ht="18">
      <c r="A178" s="693"/>
      <c r="B178" s="691"/>
      <c r="E178" s="470"/>
      <c r="F178" s="470"/>
      <c r="G178" s="470"/>
      <c r="H178" s="475"/>
      <c r="I178" s="475"/>
      <c r="J178" s="470"/>
      <c r="K178" s="470"/>
      <c r="L178" s="470"/>
      <c r="M178" s="470"/>
      <c r="N178" s="470"/>
    </row>
    <row r="179" spans="1:14" ht="18">
      <c r="A179" s="693"/>
      <c r="B179" s="691"/>
      <c r="E179" s="470"/>
      <c r="F179" s="470"/>
      <c r="G179" s="470"/>
      <c r="H179" s="475"/>
      <c r="I179" s="475"/>
      <c r="J179" s="470"/>
      <c r="K179" s="470"/>
      <c r="L179" s="470"/>
      <c r="M179" s="470"/>
      <c r="N179" s="470"/>
    </row>
    <row r="180" spans="1:14" ht="18">
      <c r="A180" s="693"/>
      <c r="B180" s="691"/>
      <c r="E180" s="470"/>
      <c r="F180" s="470"/>
      <c r="G180" s="470"/>
      <c r="H180" s="475"/>
      <c r="I180" s="475"/>
      <c r="J180" s="470"/>
      <c r="K180" s="470"/>
      <c r="L180" s="470"/>
      <c r="M180" s="470"/>
      <c r="N180" s="470"/>
    </row>
    <row r="181" spans="1:14" ht="18">
      <c r="A181" s="693"/>
      <c r="B181" s="691"/>
      <c r="E181" s="470"/>
      <c r="F181" s="470"/>
      <c r="G181" s="470"/>
      <c r="H181" s="475"/>
      <c r="I181" s="475"/>
      <c r="J181" s="470"/>
      <c r="K181" s="470"/>
      <c r="L181" s="470"/>
      <c r="M181" s="470"/>
      <c r="N181" s="470"/>
    </row>
    <row r="182" spans="1:14" ht="18">
      <c r="A182" s="693"/>
      <c r="B182" s="691"/>
      <c r="E182" s="470"/>
      <c r="F182" s="470"/>
      <c r="G182" s="470"/>
      <c r="H182" s="475"/>
      <c r="I182" s="475"/>
      <c r="J182" s="470"/>
      <c r="K182" s="470"/>
      <c r="L182" s="470"/>
      <c r="M182" s="470"/>
      <c r="N182" s="470"/>
    </row>
    <row r="183" spans="1:14" ht="18">
      <c r="A183" s="693"/>
      <c r="B183" s="691"/>
      <c r="E183" s="470"/>
      <c r="F183" s="470"/>
      <c r="G183" s="470"/>
      <c r="H183" s="475"/>
      <c r="I183" s="475"/>
      <c r="J183" s="470"/>
      <c r="K183" s="470"/>
      <c r="L183" s="470"/>
      <c r="M183" s="470"/>
      <c r="N183" s="470"/>
    </row>
    <row r="184" spans="1:14" ht="18">
      <c r="A184" s="693"/>
      <c r="B184" s="691"/>
      <c r="E184" s="470"/>
      <c r="F184" s="470"/>
      <c r="G184" s="470"/>
      <c r="H184" s="475"/>
      <c r="I184" s="475"/>
      <c r="J184" s="470"/>
      <c r="K184" s="470"/>
      <c r="L184" s="470"/>
      <c r="M184" s="470"/>
      <c r="N184" s="470"/>
    </row>
    <row r="185" spans="1:14" ht="18">
      <c r="A185" s="693"/>
      <c r="B185" s="691"/>
      <c r="E185" s="470"/>
      <c r="F185" s="470"/>
      <c r="G185" s="470"/>
      <c r="H185" s="475"/>
      <c r="I185" s="475"/>
      <c r="J185" s="470"/>
      <c r="K185" s="470"/>
      <c r="L185" s="470"/>
      <c r="M185" s="470"/>
      <c r="N185" s="470"/>
    </row>
    <row r="186" spans="1:14" ht="18">
      <c r="A186" s="693"/>
      <c r="B186" s="691"/>
      <c r="E186" s="470"/>
      <c r="F186" s="470"/>
      <c r="G186" s="470"/>
      <c r="H186" s="475"/>
      <c r="I186" s="475"/>
      <c r="J186" s="470"/>
      <c r="K186" s="470"/>
      <c r="L186" s="470"/>
      <c r="M186" s="470"/>
      <c r="N186" s="470"/>
    </row>
    <row r="187" spans="1:14" ht="18">
      <c r="A187" s="693"/>
      <c r="B187" s="691"/>
      <c r="E187" s="470"/>
      <c r="F187" s="470"/>
      <c r="G187" s="470"/>
      <c r="H187" s="475"/>
      <c r="I187" s="475"/>
      <c r="J187" s="470"/>
      <c r="K187" s="470"/>
      <c r="L187" s="470"/>
      <c r="M187" s="470"/>
      <c r="N187" s="470"/>
    </row>
    <row r="188" spans="1:14" ht="18">
      <c r="A188" s="693"/>
      <c r="B188" s="691"/>
      <c r="E188" s="470"/>
      <c r="F188" s="470"/>
      <c r="G188" s="470"/>
      <c r="H188" s="475"/>
      <c r="I188" s="475"/>
      <c r="J188" s="470"/>
      <c r="K188" s="470"/>
      <c r="L188" s="470"/>
      <c r="M188" s="470"/>
      <c r="N188" s="470"/>
    </row>
    <row r="189" spans="1:14" ht="18">
      <c r="A189" s="693"/>
      <c r="B189" s="691"/>
      <c r="E189" s="470"/>
      <c r="F189" s="470"/>
      <c r="G189" s="470"/>
      <c r="H189" s="475"/>
      <c r="I189" s="475"/>
      <c r="J189" s="470"/>
      <c r="K189" s="470"/>
      <c r="L189" s="470"/>
      <c r="M189" s="470"/>
      <c r="N189" s="470"/>
    </row>
    <row r="190" spans="1:14" ht="18">
      <c r="A190" s="693"/>
      <c r="B190" s="691"/>
      <c r="E190" s="470"/>
      <c r="F190" s="470"/>
      <c r="G190" s="470"/>
      <c r="H190" s="475"/>
      <c r="I190" s="475"/>
      <c r="J190" s="470"/>
      <c r="K190" s="470"/>
      <c r="L190" s="470"/>
      <c r="M190" s="470"/>
      <c r="N190" s="470"/>
    </row>
    <row r="191" spans="1:14" ht="18">
      <c r="A191" s="693"/>
      <c r="B191" s="691"/>
      <c r="E191" s="470"/>
      <c r="F191" s="470"/>
      <c r="G191" s="470"/>
      <c r="H191" s="475"/>
      <c r="I191" s="475"/>
      <c r="J191" s="470"/>
      <c r="K191" s="470"/>
      <c r="L191" s="470"/>
      <c r="M191" s="470"/>
      <c r="N191" s="470"/>
    </row>
    <row r="192" spans="1:14" ht="18">
      <c r="A192" s="693"/>
      <c r="B192" s="691"/>
      <c r="E192" s="470"/>
      <c r="F192" s="470"/>
      <c r="G192" s="470"/>
      <c r="H192" s="475"/>
      <c r="I192" s="475"/>
      <c r="J192" s="470"/>
      <c r="K192" s="470"/>
      <c r="L192" s="470"/>
      <c r="M192" s="470"/>
      <c r="N192" s="470"/>
    </row>
    <row r="193" spans="1:14" ht="18">
      <c r="A193" s="693"/>
      <c r="B193" s="691"/>
      <c r="E193" s="470"/>
      <c r="F193" s="470"/>
      <c r="G193" s="470"/>
      <c r="H193" s="475"/>
      <c r="I193" s="475"/>
      <c r="J193" s="470"/>
      <c r="K193" s="470"/>
      <c r="L193" s="470"/>
      <c r="M193" s="470"/>
      <c r="N193" s="470"/>
    </row>
    <row r="194" spans="1:14" ht="18">
      <c r="A194" s="693"/>
      <c r="B194" s="691"/>
      <c r="E194" s="470"/>
      <c r="F194" s="470"/>
      <c r="G194" s="470"/>
      <c r="H194" s="475"/>
      <c r="I194" s="475"/>
      <c r="J194" s="470"/>
      <c r="K194" s="470"/>
      <c r="L194" s="470"/>
      <c r="M194" s="470"/>
      <c r="N194" s="470"/>
    </row>
    <row r="195" spans="1:14" ht="18">
      <c r="A195" s="693"/>
      <c r="B195" s="691"/>
      <c r="E195" s="470"/>
      <c r="F195" s="470"/>
      <c r="G195" s="470"/>
      <c r="H195" s="475"/>
      <c r="I195" s="475"/>
      <c r="J195" s="470"/>
      <c r="K195" s="470"/>
      <c r="L195" s="470"/>
      <c r="M195" s="470"/>
      <c r="N195" s="470"/>
    </row>
    <row r="196" spans="1:14" ht="18">
      <c r="A196" s="693"/>
      <c r="B196" s="691"/>
      <c r="E196" s="470"/>
      <c r="F196" s="470"/>
      <c r="G196" s="470"/>
      <c r="H196" s="475"/>
      <c r="I196" s="475"/>
      <c r="J196" s="470"/>
      <c r="K196" s="470"/>
      <c r="L196" s="470"/>
      <c r="M196" s="470"/>
      <c r="N196" s="470"/>
    </row>
    <row r="197" spans="1:14" ht="18">
      <c r="A197" s="693"/>
      <c r="B197" s="691"/>
      <c r="E197" s="470"/>
      <c r="F197" s="470"/>
      <c r="G197" s="470"/>
      <c r="H197" s="475"/>
      <c r="I197" s="475"/>
      <c r="J197" s="470"/>
      <c r="K197" s="470"/>
      <c r="L197" s="470"/>
      <c r="M197" s="470"/>
      <c r="N197" s="470"/>
    </row>
    <row r="198" spans="1:14" ht="18">
      <c r="A198" s="693"/>
      <c r="B198" s="691"/>
      <c r="E198" s="470"/>
      <c r="F198" s="470"/>
      <c r="G198" s="470"/>
      <c r="H198" s="475"/>
      <c r="I198" s="475"/>
      <c r="J198" s="470"/>
      <c r="K198" s="470"/>
      <c r="L198" s="470"/>
      <c r="M198" s="470"/>
      <c r="N198" s="470"/>
    </row>
    <row r="199" spans="1:14" ht="18">
      <c r="A199" s="693"/>
      <c r="B199" s="691"/>
      <c r="E199" s="470"/>
      <c r="F199" s="470"/>
      <c r="G199" s="470"/>
      <c r="H199" s="475"/>
      <c r="I199" s="475"/>
      <c r="J199" s="470"/>
      <c r="K199" s="470"/>
      <c r="L199" s="470"/>
      <c r="M199" s="470"/>
      <c r="N199" s="470"/>
    </row>
    <row r="200" spans="1:14" ht="18">
      <c r="A200" s="693"/>
      <c r="B200" s="691"/>
      <c r="E200" s="470"/>
      <c r="F200" s="470"/>
      <c r="G200" s="470"/>
      <c r="H200" s="475"/>
      <c r="I200" s="475"/>
      <c r="J200" s="470"/>
      <c r="K200" s="470"/>
      <c r="L200" s="470"/>
      <c r="M200" s="470"/>
      <c r="N200" s="470"/>
    </row>
    <row r="201" spans="1:14" ht="18">
      <c r="A201" s="693"/>
      <c r="B201" s="691"/>
      <c r="E201" s="470"/>
      <c r="F201" s="470"/>
      <c r="G201" s="470"/>
      <c r="H201" s="475"/>
      <c r="I201" s="475"/>
      <c r="J201" s="470"/>
      <c r="K201" s="470"/>
      <c r="L201" s="470"/>
      <c r="M201" s="470"/>
      <c r="N201" s="470"/>
    </row>
    <row r="202" spans="1:14" ht="18">
      <c r="A202" s="693"/>
      <c r="B202" s="691"/>
      <c r="E202" s="470"/>
      <c r="F202" s="470"/>
      <c r="G202" s="470"/>
      <c r="H202" s="475"/>
      <c r="I202" s="475"/>
      <c r="J202" s="470"/>
      <c r="K202" s="470"/>
      <c r="L202" s="470"/>
      <c r="M202" s="470"/>
      <c r="N202" s="470"/>
    </row>
    <row r="203" spans="1:14" ht="18">
      <c r="A203" s="693"/>
      <c r="B203" s="691"/>
      <c r="E203" s="470"/>
      <c r="F203" s="470"/>
      <c r="G203" s="470"/>
      <c r="H203" s="475"/>
      <c r="I203" s="475"/>
      <c r="J203" s="470"/>
      <c r="K203" s="470"/>
      <c r="L203" s="470"/>
      <c r="M203" s="470"/>
      <c r="N203" s="470"/>
    </row>
    <row r="204" spans="1:14" ht="18">
      <c r="A204" s="693"/>
      <c r="E204" s="470"/>
      <c r="F204" s="470"/>
      <c r="G204" s="470"/>
      <c r="H204" s="475"/>
      <c r="I204" s="475"/>
      <c r="J204" s="470"/>
      <c r="K204" s="470"/>
      <c r="L204" s="470"/>
      <c r="M204" s="470"/>
      <c r="N204" s="470"/>
    </row>
    <row r="205" spans="1:14" ht="18">
      <c r="A205" s="693"/>
      <c r="E205" s="470"/>
      <c r="F205" s="470"/>
      <c r="G205" s="470"/>
      <c r="H205" s="475"/>
      <c r="I205" s="475"/>
      <c r="J205" s="470"/>
      <c r="K205" s="470"/>
      <c r="L205" s="470"/>
      <c r="M205" s="470"/>
      <c r="N205" s="470"/>
    </row>
    <row r="206" spans="1:14" ht="18">
      <c r="A206" s="693"/>
      <c r="E206" s="470"/>
      <c r="F206" s="470"/>
      <c r="G206" s="470"/>
      <c r="H206" s="475"/>
      <c r="I206" s="475"/>
      <c r="J206" s="470"/>
      <c r="K206" s="470"/>
      <c r="L206" s="470"/>
      <c r="M206" s="470"/>
      <c r="N206" s="470"/>
    </row>
    <row r="207" spans="1:14" ht="18">
      <c r="A207" s="693"/>
      <c r="E207" s="470"/>
      <c r="F207" s="470"/>
      <c r="G207" s="470"/>
      <c r="H207" s="475"/>
      <c r="I207" s="475"/>
      <c r="J207" s="470"/>
      <c r="K207" s="470"/>
      <c r="L207" s="470"/>
      <c r="M207" s="470"/>
      <c r="N207" s="470"/>
    </row>
    <row r="208" spans="1:14" ht="18">
      <c r="A208" s="693"/>
      <c r="E208" s="470"/>
      <c r="F208" s="470"/>
      <c r="G208" s="470"/>
      <c r="H208" s="475"/>
      <c r="I208" s="475"/>
      <c r="J208" s="470"/>
      <c r="K208" s="470"/>
      <c r="L208" s="470"/>
      <c r="M208" s="470"/>
      <c r="N208" s="470"/>
    </row>
    <row r="209" spans="1:14" ht="18">
      <c r="A209" s="693"/>
      <c r="E209" s="470"/>
      <c r="F209" s="470"/>
      <c r="G209" s="470"/>
      <c r="H209" s="475"/>
      <c r="I209" s="475"/>
      <c r="J209" s="470"/>
      <c r="K209" s="470"/>
      <c r="L209" s="470"/>
      <c r="M209" s="470"/>
      <c r="N209" s="470"/>
    </row>
    <row r="210" spans="1:14" ht="18">
      <c r="A210" s="693"/>
      <c r="E210" s="470"/>
      <c r="F210" s="470"/>
      <c r="G210" s="470"/>
      <c r="H210" s="475"/>
      <c r="I210" s="475"/>
      <c r="J210" s="470"/>
      <c r="K210" s="470"/>
      <c r="L210" s="470"/>
      <c r="M210" s="470"/>
      <c r="N210" s="470"/>
    </row>
    <row r="211" spans="1:14" ht="18">
      <c r="A211" s="693"/>
      <c r="E211" s="470"/>
      <c r="F211" s="470"/>
      <c r="G211" s="470"/>
      <c r="H211" s="475"/>
      <c r="I211" s="475"/>
      <c r="J211" s="470"/>
      <c r="K211" s="470"/>
      <c r="L211" s="470"/>
      <c r="M211" s="470"/>
      <c r="N211" s="470"/>
    </row>
    <row r="212" spans="1:14" ht="18">
      <c r="A212" s="693"/>
      <c r="E212" s="470"/>
      <c r="F212" s="470"/>
      <c r="G212" s="470"/>
      <c r="H212" s="475"/>
      <c r="I212" s="475"/>
      <c r="J212" s="470"/>
      <c r="K212" s="470"/>
      <c r="L212" s="470"/>
      <c r="M212" s="470"/>
      <c r="N212" s="470"/>
    </row>
    <row r="213" spans="1:14" ht="18">
      <c r="A213" s="693"/>
      <c r="E213" s="470"/>
      <c r="F213" s="470"/>
      <c r="G213" s="470"/>
      <c r="H213" s="475"/>
      <c r="I213" s="475"/>
      <c r="J213" s="470"/>
      <c r="K213" s="470"/>
      <c r="L213" s="470"/>
      <c r="M213" s="470"/>
      <c r="N213" s="470"/>
    </row>
    <row r="214" spans="1:14" ht="18">
      <c r="A214" s="693"/>
      <c r="E214" s="470"/>
      <c r="F214" s="470"/>
      <c r="G214" s="470"/>
      <c r="H214" s="475"/>
      <c r="I214" s="475"/>
      <c r="J214" s="470"/>
      <c r="K214" s="470"/>
      <c r="L214" s="470"/>
      <c r="M214" s="470"/>
      <c r="N214" s="470"/>
    </row>
    <row r="215" spans="5:14" ht="18">
      <c r="E215" s="470"/>
      <c r="F215" s="470"/>
      <c r="G215" s="470"/>
      <c r="H215" s="475"/>
      <c r="I215" s="475"/>
      <c r="J215" s="470"/>
      <c r="K215" s="470"/>
      <c r="L215" s="470"/>
      <c r="M215" s="470"/>
      <c r="N215" s="470"/>
    </row>
    <row r="216" spans="5:14" ht="18">
      <c r="E216" s="470"/>
      <c r="F216" s="470"/>
      <c r="G216" s="470"/>
      <c r="H216" s="475"/>
      <c r="I216" s="475"/>
      <c r="J216" s="470"/>
      <c r="K216" s="470"/>
      <c r="L216" s="470"/>
      <c r="M216" s="470"/>
      <c r="N216" s="470"/>
    </row>
    <row r="217" spans="5:14" ht="18">
      <c r="E217" s="470"/>
      <c r="F217" s="470"/>
      <c r="G217" s="470"/>
      <c r="H217" s="475"/>
      <c r="I217" s="475"/>
      <c r="J217" s="470"/>
      <c r="K217" s="470"/>
      <c r="L217" s="470"/>
      <c r="M217" s="470"/>
      <c r="N217" s="470"/>
    </row>
    <row r="218" spans="5:14" ht="18">
      <c r="E218" s="470"/>
      <c r="F218" s="470"/>
      <c r="G218" s="470"/>
      <c r="H218" s="475"/>
      <c r="I218" s="475"/>
      <c r="J218" s="470"/>
      <c r="K218" s="470"/>
      <c r="L218" s="470"/>
      <c r="M218" s="470"/>
      <c r="N218" s="470"/>
    </row>
    <row r="219" spans="5:14" ht="18">
      <c r="E219" s="470"/>
      <c r="F219" s="470"/>
      <c r="G219" s="470"/>
      <c r="H219" s="475"/>
      <c r="I219" s="475"/>
      <c r="J219" s="470"/>
      <c r="K219" s="470"/>
      <c r="L219" s="470"/>
      <c r="M219" s="470"/>
      <c r="N219" s="470"/>
    </row>
    <row r="220" spans="5:14" ht="18">
      <c r="E220" s="470"/>
      <c r="F220" s="470"/>
      <c r="G220" s="470"/>
      <c r="H220" s="475"/>
      <c r="I220" s="475"/>
      <c r="J220" s="470"/>
      <c r="K220" s="470"/>
      <c r="L220" s="470"/>
      <c r="M220" s="470"/>
      <c r="N220" s="470"/>
    </row>
    <row r="221" spans="5:14" ht="18">
      <c r="E221" s="470"/>
      <c r="F221" s="470"/>
      <c r="G221" s="470"/>
      <c r="H221" s="475"/>
      <c r="I221" s="475"/>
      <c r="J221" s="470"/>
      <c r="K221" s="470"/>
      <c r="L221" s="470"/>
      <c r="M221" s="470"/>
      <c r="N221" s="470"/>
    </row>
    <row r="222" spans="5:14" ht="18">
      <c r="E222" s="470"/>
      <c r="F222" s="470"/>
      <c r="G222" s="470"/>
      <c r="H222" s="475"/>
      <c r="I222" s="475"/>
      <c r="J222" s="470"/>
      <c r="K222" s="470"/>
      <c r="L222" s="470"/>
      <c r="M222" s="470"/>
      <c r="N222" s="470"/>
    </row>
    <row r="223" spans="5:14" ht="18">
      <c r="E223" s="470"/>
      <c r="F223" s="470"/>
      <c r="G223" s="470"/>
      <c r="H223" s="475"/>
      <c r="I223" s="475"/>
      <c r="J223" s="470"/>
      <c r="K223" s="470"/>
      <c r="L223" s="470"/>
      <c r="M223" s="470"/>
      <c r="N223" s="470"/>
    </row>
    <row r="224" spans="5:14" ht="18">
      <c r="E224" s="470"/>
      <c r="F224" s="470"/>
      <c r="G224" s="470"/>
      <c r="H224" s="475"/>
      <c r="I224" s="475"/>
      <c r="J224" s="470"/>
      <c r="K224" s="470"/>
      <c r="L224" s="470"/>
      <c r="M224" s="470"/>
      <c r="N224" s="470"/>
    </row>
    <row r="225" spans="1:14" ht="18">
      <c r="A225" s="694"/>
      <c r="E225" s="470"/>
      <c r="F225" s="470"/>
      <c r="G225" s="470"/>
      <c r="H225" s="475"/>
      <c r="I225" s="475"/>
      <c r="J225" s="470"/>
      <c r="K225" s="470"/>
      <c r="L225" s="470"/>
      <c r="M225" s="470"/>
      <c r="N225" s="470"/>
    </row>
    <row r="226" spans="5:14" ht="18">
      <c r="E226" s="470"/>
      <c r="F226" s="470"/>
      <c r="G226" s="470"/>
      <c r="H226" s="475"/>
      <c r="I226" s="475"/>
      <c r="J226" s="470"/>
      <c r="K226" s="470"/>
      <c r="L226" s="470"/>
      <c r="M226" s="470"/>
      <c r="N226" s="470"/>
    </row>
    <row r="227" spans="5:14" ht="18">
      <c r="E227" s="470"/>
      <c r="F227" s="470"/>
      <c r="G227" s="470"/>
      <c r="H227" s="475"/>
      <c r="I227" s="475"/>
      <c r="J227" s="470"/>
      <c r="K227" s="470"/>
      <c r="L227" s="470"/>
      <c r="M227" s="470"/>
      <c r="N227" s="470"/>
    </row>
    <row r="228" spans="1:14" ht="18">
      <c r="A228" s="695"/>
      <c r="E228" s="470"/>
      <c r="F228" s="470"/>
      <c r="G228" s="470"/>
      <c r="H228" s="475"/>
      <c r="I228" s="475"/>
      <c r="J228" s="470"/>
      <c r="K228" s="470"/>
      <c r="L228" s="470"/>
      <c r="M228" s="470"/>
      <c r="N228" s="470"/>
    </row>
    <row r="229" spans="5:14" ht="18">
      <c r="E229" s="470"/>
      <c r="F229" s="470"/>
      <c r="G229" s="470"/>
      <c r="H229" s="475"/>
      <c r="I229" s="475"/>
      <c r="J229" s="470"/>
      <c r="K229" s="470"/>
      <c r="L229" s="470"/>
      <c r="M229" s="470"/>
      <c r="N229" s="470"/>
    </row>
    <row r="230" spans="5:14" ht="18">
      <c r="E230" s="470"/>
      <c r="F230" s="470"/>
      <c r="G230" s="470"/>
      <c r="H230" s="475"/>
      <c r="I230" s="475"/>
      <c r="J230" s="470"/>
      <c r="K230" s="470"/>
      <c r="L230" s="470"/>
      <c r="M230" s="470"/>
      <c r="N230" s="470"/>
    </row>
    <row r="231" spans="5:14" ht="18">
      <c r="E231" s="470"/>
      <c r="F231" s="470"/>
      <c r="G231" s="470"/>
      <c r="H231" s="475"/>
      <c r="I231" s="475"/>
      <c r="J231" s="470"/>
      <c r="K231" s="470"/>
      <c r="L231" s="470"/>
      <c r="M231" s="470"/>
      <c r="N231" s="470"/>
    </row>
    <row r="232" spans="5:14" ht="18">
      <c r="E232" s="470"/>
      <c r="F232" s="470"/>
      <c r="G232" s="470"/>
      <c r="H232" s="475"/>
      <c r="I232" s="475"/>
      <c r="J232" s="470"/>
      <c r="K232" s="470"/>
      <c r="L232" s="470"/>
      <c r="M232" s="470"/>
      <c r="N232" s="470"/>
    </row>
    <row r="233" spans="5:14" ht="18">
      <c r="E233" s="470"/>
      <c r="F233" s="470"/>
      <c r="G233" s="470"/>
      <c r="H233" s="475"/>
      <c r="I233" s="475"/>
      <c r="J233" s="470"/>
      <c r="K233" s="470"/>
      <c r="L233" s="470"/>
      <c r="M233" s="470"/>
      <c r="N233" s="470"/>
    </row>
    <row r="234" spans="5:14" ht="18">
      <c r="E234" s="470"/>
      <c r="F234" s="470"/>
      <c r="G234" s="470"/>
      <c r="H234" s="475"/>
      <c r="I234" s="475"/>
      <c r="J234" s="470"/>
      <c r="K234" s="470"/>
      <c r="L234" s="470"/>
      <c r="M234" s="470"/>
      <c r="N234" s="470"/>
    </row>
    <row r="235" spans="5:14" ht="18">
      <c r="E235" s="470"/>
      <c r="F235" s="470"/>
      <c r="G235" s="470"/>
      <c r="H235" s="475"/>
      <c r="I235" s="475"/>
      <c r="J235" s="470"/>
      <c r="K235" s="470"/>
      <c r="L235" s="470"/>
      <c r="M235" s="470"/>
      <c r="N235" s="470"/>
    </row>
    <row r="236" spans="5:14" ht="18">
      <c r="E236" s="470"/>
      <c r="F236" s="470"/>
      <c r="G236" s="470"/>
      <c r="H236" s="475"/>
      <c r="I236" s="475"/>
      <c r="J236" s="470"/>
      <c r="K236" s="470"/>
      <c r="L236" s="470"/>
      <c r="M236" s="470"/>
      <c r="N236" s="470"/>
    </row>
    <row r="237" spans="5:14" ht="18">
      <c r="E237" s="470"/>
      <c r="F237" s="470"/>
      <c r="G237" s="470"/>
      <c r="H237" s="475"/>
      <c r="I237" s="475"/>
      <c r="J237" s="470"/>
      <c r="K237" s="470"/>
      <c r="L237" s="470"/>
      <c r="M237" s="470"/>
      <c r="N237" s="470"/>
    </row>
    <row r="238" spans="5:14" ht="18">
      <c r="E238" s="470"/>
      <c r="F238" s="470"/>
      <c r="G238" s="470"/>
      <c r="H238" s="475"/>
      <c r="I238" s="475"/>
      <c r="J238" s="470"/>
      <c r="K238" s="470"/>
      <c r="L238" s="470"/>
      <c r="M238" s="470"/>
      <c r="N238" s="470"/>
    </row>
    <row r="239" spans="5:14" ht="18">
      <c r="E239" s="470"/>
      <c r="F239" s="470"/>
      <c r="G239" s="470"/>
      <c r="H239" s="475"/>
      <c r="I239" s="475"/>
      <c r="J239" s="470"/>
      <c r="K239" s="470"/>
      <c r="L239" s="470"/>
      <c r="M239" s="470"/>
      <c r="N239" s="470"/>
    </row>
    <row r="240" spans="5:14" ht="18">
      <c r="E240" s="470"/>
      <c r="F240" s="470"/>
      <c r="G240" s="470"/>
      <c r="H240" s="475"/>
      <c r="I240" s="475"/>
      <c r="J240" s="470"/>
      <c r="K240" s="470"/>
      <c r="L240" s="470"/>
      <c r="M240" s="470"/>
      <c r="N240" s="470"/>
    </row>
    <row r="241" spans="1:14" ht="18">
      <c r="A241" s="696"/>
      <c r="E241" s="470"/>
      <c r="F241" s="470"/>
      <c r="G241" s="470"/>
      <c r="H241" s="475"/>
      <c r="I241" s="475"/>
      <c r="J241" s="470"/>
      <c r="K241" s="470"/>
      <c r="L241" s="470"/>
      <c r="M241" s="470"/>
      <c r="N241" s="470"/>
    </row>
    <row r="242" spans="1:14" ht="18">
      <c r="A242" s="696"/>
      <c r="E242" s="470"/>
      <c r="F242" s="470"/>
      <c r="G242" s="470"/>
      <c r="H242" s="475"/>
      <c r="I242" s="475"/>
      <c r="J242" s="470"/>
      <c r="K242" s="470"/>
      <c r="L242" s="470"/>
      <c r="M242" s="470"/>
      <c r="N242" s="470"/>
    </row>
    <row r="243" spans="5:14" ht="18">
      <c r="E243" s="470"/>
      <c r="F243" s="470"/>
      <c r="G243" s="470"/>
      <c r="H243" s="475"/>
      <c r="I243" s="475"/>
      <c r="J243" s="470"/>
      <c r="K243" s="470"/>
      <c r="L243" s="470"/>
      <c r="M243" s="470"/>
      <c r="N243" s="470"/>
    </row>
    <row r="244" spans="5:14" ht="18">
      <c r="E244" s="470"/>
      <c r="F244" s="470"/>
      <c r="G244" s="470"/>
      <c r="H244" s="475"/>
      <c r="I244" s="475"/>
      <c r="J244" s="470"/>
      <c r="K244" s="470"/>
      <c r="L244" s="470"/>
      <c r="M244" s="470"/>
      <c r="N244" s="470"/>
    </row>
    <row r="245" spans="5:14" ht="18">
      <c r="E245" s="470"/>
      <c r="F245" s="470"/>
      <c r="G245" s="470"/>
      <c r="H245" s="475"/>
      <c r="I245" s="475"/>
      <c r="J245" s="470"/>
      <c r="K245" s="470"/>
      <c r="L245" s="470"/>
      <c r="M245" s="470"/>
      <c r="N245" s="470"/>
    </row>
    <row r="246" spans="5:14" ht="18">
      <c r="E246" s="470"/>
      <c r="F246" s="470"/>
      <c r="G246" s="470"/>
      <c r="H246" s="475"/>
      <c r="I246" s="475"/>
      <c r="J246" s="470"/>
      <c r="K246" s="470"/>
      <c r="L246" s="470"/>
      <c r="M246" s="470"/>
      <c r="N246" s="470"/>
    </row>
    <row r="247" spans="5:14" ht="18">
      <c r="E247" s="470"/>
      <c r="F247" s="470"/>
      <c r="G247" s="470"/>
      <c r="H247" s="475"/>
      <c r="I247" s="475"/>
      <c r="J247" s="470"/>
      <c r="K247" s="470"/>
      <c r="L247" s="470"/>
      <c r="M247" s="470"/>
      <c r="N247" s="470"/>
    </row>
    <row r="248" spans="5:14" ht="18">
      <c r="E248" s="470"/>
      <c r="F248" s="470"/>
      <c r="G248" s="470"/>
      <c r="H248" s="475"/>
      <c r="I248" s="475"/>
      <c r="J248" s="470"/>
      <c r="K248" s="470"/>
      <c r="L248" s="470"/>
      <c r="M248" s="470"/>
      <c r="N248" s="470"/>
    </row>
    <row r="249" spans="5:14" ht="18">
      <c r="E249" s="470"/>
      <c r="F249" s="470"/>
      <c r="G249" s="470"/>
      <c r="H249" s="475"/>
      <c r="I249" s="475"/>
      <c r="J249" s="470"/>
      <c r="K249" s="470"/>
      <c r="L249" s="470"/>
      <c r="M249" s="470"/>
      <c r="N249" s="470"/>
    </row>
    <row r="250" spans="5:14" ht="18">
      <c r="E250" s="470"/>
      <c r="F250" s="470"/>
      <c r="G250" s="470"/>
      <c r="H250" s="475"/>
      <c r="I250" s="475"/>
      <c r="J250" s="470"/>
      <c r="K250" s="470"/>
      <c r="L250" s="470"/>
      <c r="M250" s="470"/>
      <c r="N250" s="470"/>
    </row>
    <row r="251" spans="5:14" ht="18">
      <c r="E251" s="470"/>
      <c r="F251" s="470"/>
      <c r="G251" s="470"/>
      <c r="H251" s="475"/>
      <c r="I251" s="475"/>
      <c r="J251" s="470"/>
      <c r="K251" s="470"/>
      <c r="L251" s="470"/>
      <c r="M251" s="470"/>
      <c r="N251" s="470"/>
    </row>
    <row r="252" spans="5:14" ht="18">
      <c r="E252" s="470"/>
      <c r="F252" s="470"/>
      <c r="G252" s="470"/>
      <c r="H252" s="475"/>
      <c r="I252" s="475"/>
      <c r="J252" s="470"/>
      <c r="K252" s="470"/>
      <c r="L252" s="470"/>
      <c r="M252" s="470"/>
      <c r="N252" s="470"/>
    </row>
    <row r="253" spans="5:14" ht="18">
      <c r="E253" s="470"/>
      <c r="F253" s="470"/>
      <c r="G253" s="470"/>
      <c r="H253" s="475"/>
      <c r="I253" s="475"/>
      <c r="J253" s="470"/>
      <c r="K253" s="470"/>
      <c r="L253" s="470"/>
      <c r="M253" s="470"/>
      <c r="N253" s="470"/>
    </row>
    <row r="254" spans="5:14" ht="18">
      <c r="E254" s="470"/>
      <c r="F254" s="470"/>
      <c r="G254" s="470"/>
      <c r="H254" s="475"/>
      <c r="I254" s="475"/>
      <c r="J254" s="470"/>
      <c r="K254" s="470"/>
      <c r="L254" s="470"/>
      <c r="M254" s="470"/>
      <c r="N254" s="470"/>
    </row>
    <row r="255" spans="5:14" ht="18">
      <c r="E255" s="470"/>
      <c r="F255" s="470"/>
      <c r="G255" s="470"/>
      <c r="H255" s="475"/>
      <c r="I255" s="475"/>
      <c r="J255" s="470"/>
      <c r="K255" s="470"/>
      <c r="L255" s="470"/>
      <c r="M255" s="470"/>
      <c r="N255" s="470"/>
    </row>
    <row r="256" spans="5:14" ht="18">
      <c r="E256" s="470"/>
      <c r="F256" s="470"/>
      <c r="G256" s="470"/>
      <c r="H256" s="475"/>
      <c r="I256" s="475"/>
      <c r="J256" s="470"/>
      <c r="K256" s="470"/>
      <c r="L256" s="470"/>
      <c r="M256" s="470"/>
      <c r="N256" s="470"/>
    </row>
    <row r="257" spans="5:14" ht="18">
      <c r="E257" s="470"/>
      <c r="F257" s="470"/>
      <c r="G257" s="470"/>
      <c r="H257" s="475"/>
      <c r="I257" s="475"/>
      <c r="J257" s="470"/>
      <c r="K257" s="470"/>
      <c r="L257" s="470"/>
      <c r="M257" s="470"/>
      <c r="N257" s="470"/>
    </row>
    <row r="258" spans="5:14" ht="18">
      <c r="E258" s="470"/>
      <c r="F258" s="470"/>
      <c r="G258" s="470"/>
      <c r="H258" s="475"/>
      <c r="I258" s="475"/>
      <c r="J258" s="470"/>
      <c r="K258" s="470"/>
      <c r="L258" s="470"/>
      <c r="M258" s="470"/>
      <c r="N258" s="470"/>
    </row>
    <row r="259" spans="5:14" ht="18">
      <c r="E259" s="470"/>
      <c r="F259" s="470"/>
      <c r="G259" s="470"/>
      <c r="H259" s="475"/>
      <c r="I259" s="475"/>
      <c r="J259" s="470"/>
      <c r="K259" s="470"/>
      <c r="L259" s="470"/>
      <c r="M259" s="470"/>
      <c r="N259" s="470"/>
    </row>
    <row r="260" spans="5:14" ht="18">
      <c r="E260" s="470"/>
      <c r="F260" s="470"/>
      <c r="G260" s="470"/>
      <c r="H260" s="475"/>
      <c r="I260" s="475"/>
      <c r="J260" s="470"/>
      <c r="K260" s="470"/>
      <c r="L260" s="470"/>
      <c r="M260" s="470"/>
      <c r="N260" s="470"/>
    </row>
    <row r="261" spans="5:14" ht="18">
      <c r="E261" s="470"/>
      <c r="F261" s="470"/>
      <c r="G261" s="470"/>
      <c r="H261" s="475"/>
      <c r="I261" s="475"/>
      <c r="J261" s="470"/>
      <c r="K261" s="470"/>
      <c r="L261" s="470"/>
      <c r="M261" s="470"/>
      <c r="N261" s="470"/>
    </row>
    <row r="262" spans="5:14" ht="18">
      <c r="E262" s="470"/>
      <c r="F262" s="470"/>
      <c r="G262" s="470"/>
      <c r="H262" s="475"/>
      <c r="I262" s="475"/>
      <c r="J262" s="470"/>
      <c r="K262" s="470"/>
      <c r="L262" s="470"/>
      <c r="M262" s="470"/>
      <c r="N262" s="470"/>
    </row>
    <row r="263" spans="5:14" ht="18">
      <c r="E263" s="470"/>
      <c r="F263" s="470"/>
      <c r="G263" s="470"/>
      <c r="H263" s="475"/>
      <c r="I263" s="475"/>
      <c r="J263" s="470"/>
      <c r="K263" s="470"/>
      <c r="L263" s="470"/>
      <c r="M263" s="470"/>
      <c r="N263" s="470"/>
    </row>
    <row r="264" spans="5:14" ht="18">
      <c r="E264" s="470"/>
      <c r="F264" s="470"/>
      <c r="G264" s="470"/>
      <c r="H264" s="475"/>
      <c r="I264" s="475"/>
      <c r="J264" s="470"/>
      <c r="K264" s="470"/>
      <c r="L264" s="470"/>
      <c r="M264" s="470"/>
      <c r="N264" s="470"/>
    </row>
    <row r="265" spans="5:14" ht="18">
      <c r="E265" s="470"/>
      <c r="F265" s="470"/>
      <c r="G265" s="470"/>
      <c r="H265" s="475"/>
      <c r="I265" s="475"/>
      <c r="J265" s="470"/>
      <c r="K265" s="470"/>
      <c r="L265" s="470"/>
      <c r="M265" s="470"/>
      <c r="N265" s="470"/>
    </row>
    <row r="266" spans="5:14" ht="18">
      <c r="E266" s="470"/>
      <c r="F266" s="470"/>
      <c r="G266" s="470"/>
      <c r="H266" s="475"/>
      <c r="I266" s="475"/>
      <c r="J266" s="470"/>
      <c r="K266" s="470"/>
      <c r="L266" s="470"/>
      <c r="M266" s="470"/>
      <c r="N266" s="470"/>
    </row>
    <row r="267" spans="5:14" ht="18">
      <c r="E267" s="470"/>
      <c r="F267" s="470"/>
      <c r="G267" s="470"/>
      <c r="H267" s="475"/>
      <c r="I267" s="475"/>
      <c r="J267" s="470"/>
      <c r="K267" s="470"/>
      <c r="L267" s="470"/>
      <c r="M267" s="470"/>
      <c r="N267" s="470"/>
    </row>
    <row r="268" spans="5:14" ht="18">
      <c r="E268" s="470"/>
      <c r="F268" s="470"/>
      <c r="G268" s="470"/>
      <c r="H268" s="475"/>
      <c r="I268" s="475"/>
      <c r="J268" s="470"/>
      <c r="K268" s="470"/>
      <c r="L268" s="470"/>
      <c r="M268" s="470"/>
      <c r="N268" s="470"/>
    </row>
    <row r="269" spans="5:14" ht="18">
      <c r="E269" s="470"/>
      <c r="F269" s="470"/>
      <c r="G269" s="470"/>
      <c r="H269" s="475"/>
      <c r="I269" s="475"/>
      <c r="J269" s="470"/>
      <c r="K269" s="470"/>
      <c r="L269" s="470"/>
      <c r="M269" s="470"/>
      <c r="N269" s="470"/>
    </row>
    <row r="270" spans="5:14" ht="18">
      <c r="E270" s="470"/>
      <c r="F270" s="470"/>
      <c r="G270" s="470"/>
      <c r="H270" s="475"/>
      <c r="I270" s="475"/>
      <c r="J270" s="470"/>
      <c r="K270" s="470"/>
      <c r="L270" s="470"/>
      <c r="M270" s="470"/>
      <c r="N270" s="470"/>
    </row>
    <row r="271" spans="5:14" ht="18">
      <c r="E271" s="470"/>
      <c r="F271" s="470"/>
      <c r="G271" s="470"/>
      <c r="H271" s="475"/>
      <c r="I271" s="475"/>
      <c r="J271" s="470"/>
      <c r="K271" s="470"/>
      <c r="L271" s="470"/>
      <c r="M271" s="470"/>
      <c r="N271" s="470"/>
    </row>
    <row r="272" spans="5:14" ht="18">
      <c r="E272" s="470"/>
      <c r="F272" s="470"/>
      <c r="G272" s="470"/>
      <c r="H272" s="475"/>
      <c r="I272" s="475"/>
      <c r="J272" s="470"/>
      <c r="K272" s="470"/>
      <c r="L272" s="470"/>
      <c r="M272" s="470"/>
      <c r="N272" s="470"/>
    </row>
    <row r="273" spans="5:14" ht="18">
      <c r="E273" s="470"/>
      <c r="F273" s="470"/>
      <c r="G273" s="470"/>
      <c r="H273" s="475"/>
      <c r="I273" s="475"/>
      <c r="J273" s="470"/>
      <c r="K273" s="470"/>
      <c r="L273" s="470"/>
      <c r="M273" s="470"/>
      <c r="N273" s="470"/>
    </row>
    <row r="274" spans="5:14" ht="18">
      <c r="E274" s="470"/>
      <c r="F274" s="470"/>
      <c r="G274" s="470"/>
      <c r="H274" s="475"/>
      <c r="I274" s="475"/>
      <c r="J274" s="470"/>
      <c r="K274" s="470"/>
      <c r="L274" s="470"/>
      <c r="M274" s="470"/>
      <c r="N274" s="470"/>
    </row>
    <row r="275" spans="5:14" ht="18">
      <c r="E275" s="470"/>
      <c r="F275" s="470"/>
      <c r="G275" s="470"/>
      <c r="H275" s="475"/>
      <c r="I275" s="475"/>
      <c r="J275" s="470"/>
      <c r="K275" s="470"/>
      <c r="L275" s="470"/>
      <c r="M275" s="470"/>
      <c r="N275" s="470"/>
    </row>
    <row r="276" spans="5:14" ht="18">
      <c r="E276" s="470"/>
      <c r="F276" s="470"/>
      <c r="G276" s="470"/>
      <c r="H276" s="475"/>
      <c r="I276" s="475"/>
      <c r="J276" s="470"/>
      <c r="K276" s="470"/>
      <c r="L276" s="470"/>
      <c r="M276" s="470"/>
      <c r="N276" s="470"/>
    </row>
    <row r="277" spans="5:14" ht="18">
      <c r="E277" s="470"/>
      <c r="F277" s="470"/>
      <c r="G277" s="470"/>
      <c r="H277" s="475"/>
      <c r="I277" s="475"/>
      <c r="J277" s="470"/>
      <c r="K277" s="470"/>
      <c r="L277" s="470"/>
      <c r="M277" s="470"/>
      <c r="N277" s="470"/>
    </row>
    <row r="278" spans="5:14" ht="18">
      <c r="E278" s="470"/>
      <c r="F278" s="470"/>
      <c r="G278" s="470"/>
      <c r="H278" s="475"/>
      <c r="I278" s="475"/>
      <c r="J278" s="470"/>
      <c r="K278" s="470"/>
      <c r="L278" s="470"/>
      <c r="M278" s="470"/>
      <c r="N278" s="470"/>
    </row>
    <row r="279" spans="5:14" ht="18">
      <c r="E279" s="470"/>
      <c r="F279" s="470"/>
      <c r="G279" s="470"/>
      <c r="H279" s="475"/>
      <c r="I279" s="475"/>
      <c r="J279" s="470"/>
      <c r="K279" s="470"/>
      <c r="L279" s="470"/>
      <c r="M279" s="470"/>
      <c r="N279" s="470"/>
    </row>
    <row r="280" spans="5:14" ht="18">
      <c r="E280" s="470"/>
      <c r="F280" s="470"/>
      <c r="G280" s="470"/>
      <c r="H280" s="475"/>
      <c r="I280" s="475"/>
      <c r="J280" s="470"/>
      <c r="K280" s="470"/>
      <c r="L280" s="470"/>
      <c r="M280" s="470"/>
      <c r="N280" s="470"/>
    </row>
    <row r="281" spans="5:14" ht="18">
      <c r="E281" s="470"/>
      <c r="F281" s="470"/>
      <c r="G281" s="470"/>
      <c r="H281" s="475"/>
      <c r="I281" s="475"/>
      <c r="J281" s="470"/>
      <c r="K281" s="470"/>
      <c r="L281" s="470"/>
      <c r="M281" s="470"/>
      <c r="N281" s="470"/>
    </row>
    <row r="282" spans="5:14" ht="18">
      <c r="E282" s="470"/>
      <c r="F282" s="470"/>
      <c r="G282" s="470"/>
      <c r="H282" s="475"/>
      <c r="I282" s="475"/>
      <c r="J282" s="470"/>
      <c r="K282" s="470"/>
      <c r="L282" s="470"/>
      <c r="M282" s="470"/>
      <c r="N282" s="470"/>
    </row>
    <row r="283" spans="5:14" ht="18">
      <c r="E283" s="470"/>
      <c r="F283" s="470"/>
      <c r="G283" s="470"/>
      <c r="H283" s="475"/>
      <c r="I283" s="475"/>
      <c r="J283" s="470"/>
      <c r="K283" s="470"/>
      <c r="L283" s="470"/>
      <c r="M283" s="470"/>
      <c r="N283" s="470"/>
    </row>
    <row r="284" spans="5:14" ht="18">
      <c r="E284" s="470"/>
      <c r="F284" s="470"/>
      <c r="G284" s="470"/>
      <c r="H284" s="475"/>
      <c r="I284" s="475"/>
      <c r="J284" s="470"/>
      <c r="K284" s="470"/>
      <c r="L284" s="470"/>
      <c r="M284" s="470"/>
      <c r="N284" s="470"/>
    </row>
    <row r="285" spans="5:14" ht="18">
      <c r="E285" s="470"/>
      <c r="F285" s="470"/>
      <c r="G285" s="470"/>
      <c r="H285" s="475"/>
      <c r="I285" s="475"/>
      <c r="J285" s="470"/>
      <c r="K285" s="470"/>
      <c r="L285" s="470"/>
      <c r="M285" s="470"/>
      <c r="N285" s="470"/>
    </row>
    <row r="286" spans="5:14" ht="18">
      <c r="E286" s="470"/>
      <c r="F286" s="470"/>
      <c r="G286" s="470"/>
      <c r="H286" s="475"/>
      <c r="I286" s="475"/>
      <c r="J286" s="470"/>
      <c r="K286" s="470"/>
      <c r="L286" s="470"/>
      <c r="M286" s="470"/>
      <c r="N286" s="470"/>
    </row>
    <row r="287" spans="5:14" ht="18">
      <c r="E287" s="470"/>
      <c r="F287" s="470"/>
      <c r="G287" s="470"/>
      <c r="H287" s="475"/>
      <c r="I287" s="475"/>
      <c r="J287" s="470"/>
      <c r="K287" s="470"/>
      <c r="L287" s="470"/>
      <c r="M287" s="470"/>
      <c r="N287" s="470"/>
    </row>
    <row r="288" spans="5:14" ht="18">
      <c r="E288" s="470"/>
      <c r="F288" s="470"/>
      <c r="G288" s="470"/>
      <c r="H288" s="475"/>
      <c r="I288" s="475"/>
      <c r="J288" s="470"/>
      <c r="K288" s="470"/>
      <c r="L288" s="470"/>
      <c r="M288" s="470"/>
      <c r="N288" s="470"/>
    </row>
    <row r="289" spans="5:14" ht="18">
      <c r="E289" s="470"/>
      <c r="F289" s="470"/>
      <c r="G289" s="470"/>
      <c r="H289" s="475"/>
      <c r="I289" s="475"/>
      <c r="J289" s="470"/>
      <c r="K289" s="470"/>
      <c r="L289" s="470"/>
      <c r="M289" s="470"/>
      <c r="N289" s="470"/>
    </row>
    <row r="290" spans="5:14" ht="18">
      <c r="E290" s="470"/>
      <c r="F290" s="470"/>
      <c r="G290" s="470"/>
      <c r="H290" s="475"/>
      <c r="I290" s="475"/>
      <c r="J290" s="470"/>
      <c r="K290" s="470"/>
      <c r="L290" s="470"/>
      <c r="M290" s="470"/>
      <c r="N290" s="470"/>
    </row>
    <row r="291" spans="5:14" ht="18">
      <c r="E291" s="470"/>
      <c r="F291" s="470"/>
      <c r="G291" s="470"/>
      <c r="H291" s="475"/>
      <c r="I291" s="475"/>
      <c r="J291" s="470"/>
      <c r="K291" s="470"/>
      <c r="L291" s="470"/>
      <c r="M291" s="470"/>
      <c r="N291" s="470"/>
    </row>
    <row r="292" spans="5:14" ht="18">
      <c r="E292" s="470"/>
      <c r="F292" s="470"/>
      <c r="G292" s="470"/>
      <c r="H292" s="475"/>
      <c r="I292" s="475"/>
      <c r="J292" s="470"/>
      <c r="K292" s="470"/>
      <c r="L292" s="470"/>
      <c r="M292" s="470"/>
      <c r="N292" s="470"/>
    </row>
    <row r="293" spans="5:14" ht="18">
      <c r="E293" s="470"/>
      <c r="F293" s="470"/>
      <c r="G293" s="470"/>
      <c r="H293" s="475"/>
      <c r="I293" s="475"/>
      <c r="J293" s="470"/>
      <c r="K293" s="470"/>
      <c r="L293" s="470"/>
      <c r="M293" s="470"/>
      <c r="N293" s="470"/>
    </row>
    <row r="294" spans="5:14" ht="18">
      <c r="E294" s="470"/>
      <c r="F294" s="470"/>
      <c r="G294" s="470"/>
      <c r="H294" s="475"/>
      <c r="I294" s="475"/>
      <c r="J294" s="470"/>
      <c r="K294" s="470"/>
      <c r="L294" s="470"/>
      <c r="M294" s="470"/>
      <c r="N294" s="470"/>
    </row>
    <row r="295" spans="5:14" ht="18">
      <c r="E295" s="470"/>
      <c r="F295" s="470"/>
      <c r="G295" s="470"/>
      <c r="H295" s="475"/>
      <c r="I295" s="475"/>
      <c r="J295" s="470"/>
      <c r="K295" s="470"/>
      <c r="L295" s="470"/>
      <c r="M295" s="470"/>
      <c r="N295" s="470"/>
    </row>
    <row r="296" spans="5:14" ht="18">
      <c r="E296" s="470"/>
      <c r="F296" s="470"/>
      <c r="G296" s="470"/>
      <c r="H296" s="475"/>
      <c r="I296" s="475"/>
      <c r="J296" s="470"/>
      <c r="K296" s="470"/>
      <c r="L296" s="470"/>
      <c r="M296" s="470"/>
      <c r="N296" s="470"/>
    </row>
    <row r="297" spans="5:14" ht="18">
      <c r="E297" s="470"/>
      <c r="F297" s="470"/>
      <c r="G297" s="470"/>
      <c r="H297" s="475"/>
      <c r="I297" s="475"/>
      <c r="J297" s="470"/>
      <c r="K297" s="470"/>
      <c r="L297" s="470"/>
      <c r="M297" s="470"/>
      <c r="N297" s="470"/>
    </row>
    <row r="298" spans="5:14" ht="18">
      <c r="E298" s="470"/>
      <c r="F298" s="470"/>
      <c r="G298" s="470"/>
      <c r="H298" s="475"/>
      <c r="I298" s="475"/>
      <c r="J298" s="470"/>
      <c r="K298" s="470"/>
      <c r="L298" s="470"/>
      <c r="M298" s="470"/>
      <c r="N298" s="470"/>
    </row>
    <row r="299" spans="5:14" ht="18">
      <c r="E299" s="470"/>
      <c r="F299" s="470"/>
      <c r="G299" s="470"/>
      <c r="H299" s="475"/>
      <c r="I299" s="475"/>
      <c r="J299" s="470"/>
      <c r="K299" s="470"/>
      <c r="L299" s="470"/>
      <c r="M299" s="470"/>
      <c r="N299" s="470"/>
    </row>
    <row r="300" spans="5:14" ht="18">
      <c r="E300" s="470"/>
      <c r="F300" s="470"/>
      <c r="G300" s="470"/>
      <c r="H300" s="475"/>
      <c r="I300" s="475"/>
      <c r="J300" s="470"/>
      <c r="K300" s="470"/>
      <c r="L300" s="470"/>
      <c r="M300" s="470"/>
      <c r="N300" s="470"/>
    </row>
    <row r="301" spans="5:14" ht="18">
      <c r="E301" s="470"/>
      <c r="F301" s="470"/>
      <c r="G301" s="470"/>
      <c r="H301" s="475"/>
      <c r="I301" s="475"/>
      <c r="J301" s="470"/>
      <c r="K301" s="470"/>
      <c r="L301" s="470"/>
      <c r="M301" s="470"/>
      <c r="N301" s="470"/>
    </row>
    <row r="302" spans="5:14" ht="18">
      <c r="E302" s="470"/>
      <c r="F302" s="470"/>
      <c r="G302" s="470"/>
      <c r="H302" s="475"/>
      <c r="I302" s="475"/>
      <c r="J302" s="470"/>
      <c r="K302" s="470"/>
      <c r="L302" s="470"/>
      <c r="M302" s="470"/>
      <c r="N302" s="470"/>
    </row>
    <row r="303" spans="5:14" ht="18">
      <c r="E303" s="470"/>
      <c r="F303" s="470"/>
      <c r="G303" s="470"/>
      <c r="H303" s="475"/>
      <c r="I303" s="475"/>
      <c r="J303" s="470"/>
      <c r="K303" s="470"/>
      <c r="L303" s="470"/>
      <c r="M303" s="470"/>
      <c r="N303" s="470"/>
    </row>
    <row r="304" spans="5:14" ht="18">
      <c r="E304" s="470"/>
      <c r="F304" s="470"/>
      <c r="G304" s="470"/>
      <c r="H304" s="475"/>
      <c r="I304" s="475"/>
      <c r="J304" s="470"/>
      <c r="K304" s="470"/>
      <c r="L304" s="470"/>
      <c r="M304" s="470"/>
      <c r="N304" s="470"/>
    </row>
    <row r="305" spans="5:14" ht="18">
      <c r="E305" s="470"/>
      <c r="F305" s="470"/>
      <c r="G305" s="470"/>
      <c r="H305" s="475"/>
      <c r="I305" s="475"/>
      <c r="J305" s="470"/>
      <c r="K305" s="470"/>
      <c r="L305" s="470"/>
      <c r="M305" s="470"/>
      <c r="N305" s="470"/>
    </row>
    <row r="306" spans="5:14" ht="18">
      <c r="E306" s="470"/>
      <c r="F306" s="470"/>
      <c r="G306" s="470"/>
      <c r="H306" s="475"/>
      <c r="I306" s="475"/>
      <c r="J306" s="470"/>
      <c r="K306" s="470"/>
      <c r="L306" s="470"/>
      <c r="M306" s="470"/>
      <c r="N306" s="470"/>
    </row>
    <row r="307" spans="5:14" ht="18">
      <c r="E307" s="470"/>
      <c r="F307" s="470"/>
      <c r="G307" s="470"/>
      <c r="H307" s="475"/>
      <c r="I307" s="475"/>
      <c r="J307" s="470"/>
      <c r="K307" s="470"/>
      <c r="L307" s="470"/>
      <c r="M307" s="470"/>
      <c r="N307" s="470"/>
    </row>
    <row r="308" spans="5:14" ht="18">
      <c r="E308" s="470"/>
      <c r="F308" s="470"/>
      <c r="G308" s="470"/>
      <c r="H308" s="475"/>
      <c r="I308" s="475"/>
      <c r="J308" s="470"/>
      <c r="K308" s="470"/>
      <c r="L308" s="470"/>
      <c r="M308" s="470"/>
      <c r="N308" s="470"/>
    </row>
    <row r="309" spans="5:14" ht="18">
      <c r="E309" s="470"/>
      <c r="F309" s="470"/>
      <c r="G309" s="470"/>
      <c r="H309" s="475"/>
      <c r="I309" s="475"/>
      <c r="J309" s="470"/>
      <c r="K309" s="470"/>
      <c r="L309" s="470"/>
      <c r="M309" s="470"/>
      <c r="N309" s="470"/>
    </row>
    <row r="310" spans="5:14" ht="18">
      <c r="E310" s="470"/>
      <c r="F310" s="470"/>
      <c r="G310" s="470"/>
      <c r="H310" s="475"/>
      <c r="I310" s="475"/>
      <c r="J310" s="470"/>
      <c r="K310" s="470"/>
      <c r="L310" s="470"/>
      <c r="M310" s="470"/>
      <c r="N310" s="470"/>
    </row>
    <row r="311" spans="5:14" ht="18">
      <c r="E311" s="470"/>
      <c r="F311" s="470"/>
      <c r="G311" s="470"/>
      <c r="H311" s="475"/>
      <c r="I311" s="475"/>
      <c r="J311" s="470"/>
      <c r="K311" s="470"/>
      <c r="L311" s="470"/>
      <c r="M311" s="470"/>
      <c r="N311" s="470"/>
    </row>
    <row r="312" spans="5:14" ht="18">
      <c r="E312" s="470"/>
      <c r="F312" s="470"/>
      <c r="G312" s="470"/>
      <c r="H312" s="475"/>
      <c r="I312" s="475"/>
      <c r="J312" s="470"/>
      <c r="K312" s="470"/>
      <c r="L312" s="470"/>
      <c r="M312" s="470"/>
      <c r="N312" s="470"/>
    </row>
    <row r="313" spans="5:14" ht="18">
      <c r="E313" s="470"/>
      <c r="F313" s="470"/>
      <c r="G313" s="470"/>
      <c r="H313" s="475"/>
      <c r="I313" s="475"/>
      <c r="J313" s="470"/>
      <c r="K313" s="470"/>
      <c r="L313" s="470"/>
      <c r="M313" s="470"/>
      <c r="N313" s="470"/>
    </row>
    <row r="314" spans="5:14" ht="18">
      <c r="E314" s="470"/>
      <c r="F314" s="470"/>
      <c r="G314" s="470"/>
      <c r="H314" s="475"/>
      <c r="I314" s="475"/>
      <c r="J314" s="470"/>
      <c r="K314" s="470"/>
      <c r="L314" s="470"/>
      <c r="M314" s="470"/>
      <c r="N314" s="470"/>
    </row>
    <row r="315" spans="5:14" ht="18">
      <c r="E315" s="470"/>
      <c r="F315" s="470"/>
      <c r="G315" s="470"/>
      <c r="H315" s="475"/>
      <c r="I315" s="475"/>
      <c r="J315" s="470"/>
      <c r="K315" s="470"/>
      <c r="L315" s="470"/>
      <c r="M315" s="470"/>
      <c r="N315" s="470"/>
    </row>
    <row r="316" spans="5:14" ht="18">
      <c r="E316" s="470"/>
      <c r="F316" s="470"/>
      <c r="G316" s="470"/>
      <c r="H316" s="475"/>
      <c r="I316" s="475"/>
      <c r="J316" s="470"/>
      <c r="K316" s="470"/>
      <c r="L316" s="470"/>
      <c r="M316" s="470"/>
      <c r="N316" s="470"/>
    </row>
    <row r="317" spans="5:14" ht="18">
      <c r="E317" s="470"/>
      <c r="F317" s="470"/>
      <c r="G317" s="470"/>
      <c r="H317" s="475"/>
      <c r="I317" s="475"/>
      <c r="J317" s="470"/>
      <c r="K317" s="470"/>
      <c r="L317" s="470"/>
      <c r="M317" s="470"/>
      <c r="N317" s="470"/>
    </row>
    <row r="318" spans="5:14" ht="18">
      <c r="E318" s="470"/>
      <c r="F318" s="470"/>
      <c r="G318" s="470"/>
      <c r="H318" s="475"/>
      <c r="I318" s="475"/>
      <c r="J318" s="470"/>
      <c r="K318" s="470"/>
      <c r="L318" s="470"/>
      <c r="M318" s="470"/>
      <c r="N318" s="470"/>
    </row>
    <row r="319" spans="5:14" ht="18">
      <c r="E319" s="470"/>
      <c r="F319" s="470"/>
      <c r="G319" s="470"/>
      <c r="H319" s="475"/>
      <c r="I319" s="475"/>
      <c r="J319" s="470"/>
      <c r="K319" s="470"/>
      <c r="L319" s="470"/>
      <c r="M319" s="470"/>
      <c r="N319" s="470"/>
    </row>
    <row r="320" spans="5:14" ht="18">
      <c r="E320" s="470"/>
      <c r="F320" s="470"/>
      <c r="G320" s="470"/>
      <c r="H320" s="475"/>
      <c r="I320" s="475"/>
      <c r="J320" s="470"/>
      <c r="K320" s="470"/>
      <c r="L320" s="470"/>
      <c r="M320" s="470"/>
      <c r="N320" s="470"/>
    </row>
    <row r="321" spans="5:14" ht="18">
      <c r="E321" s="470"/>
      <c r="F321" s="470"/>
      <c r="G321" s="470"/>
      <c r="H321" s="475"/>
      <c r="I321" s="475"/>
      <c r="J321" s="470"/>
      <c r="K321" s="470"/>
      <c r="L321" s="470"/>
      <c r="M321" s="470"/>
      <c r="N321" s="470"/>
    </row>
    <row r="322" spans="5:14" ht="18">
      <c r="E322" s="470"/>
      <c r="F322" s="470"/>
      <c r="G322" s="470"/>
      <c r="H322" s="475"/>
      <c r="I322" s="475"/>
      <c r="J322" s="470"/>
      <c r="K322" s="470"/>
      <c r="L322" s="470"/>
      <c r="M322" s="470"/>
      <c r="N322" s="470"/>
    </row>
    <row r="323" spans="5:14" ht="18">
      <c r="E323" s="470"/>
      <c r="F323" s="470"/>
      <c r="G323" s="470"/>
      <c r="H323" s="475"/>
      <c r="I323" s="475"/>
      <c r="J323" s="470"/>
      <c r="K323" s="470"/>
      <c r="L323" s="470"/>
      <c r="M323" s="470"/>
      <c r="N323" s="470"/>
    </row>
    <row r="324" spans="5:14" ht="18">
      <c r="E324" s="470"/>
      <c r="F324" s="470"/>
      <c r="G324" s="470"/>
      <c r="H324" s="475"/>
      <c r="I324" s="475"/>
      <c r="J324" s="470"/>
      <c r="K324" s="470"/>
      <c r="L324" s="470"/>
      <c r="M324" s="470"/>
      <c r="N324" s="470"/>
    </row>
    <row r="325" spans="5:14" ht="18">
      <c r="E325" s="470"/>
      <c r="F325" s="470"/>
      <c r="G325" s="470"/>
      <c r="H325" s="475"/>
      <c r="I325" s="475"/>
      <c r="J325" s="470"/>
      <c r="K325" s="470"/>
      <c r="L325" s="470"/>
      <c r="M325" s="470"/>
      <c r="N325" s="470"/>
    </row>
    <row r="326" spans="5:14" ht="18">
      <c r="E326" s="470"/>
      <c r="F326" s="470"/>
      <c r="G326" s="470"/>
      <c r="H326" s="475"/>
      <c r="I326" s="475"/>
      <c r="J326" s="470"/>
      <c r="K326" s="470"/>
      <c r="L326" s="470"/>
      <c r="M326" s="470"/>
      <c r="N326" s="470"/>
    </row>
    <row r="327" spans="5:14" ht="18">
      <c r="E327" s="470"/>
      <c r="F327" s="470"/>
      <c r="G327" s="470"/>
      <c r="H327" s="475"/>
      <c r="I327" s="475"/>
      <c r="J327" s="470"/>
      <c r="K327" s="470"/>
      <c r="L327" s="470"/>
      <c r="M327" s="470"/>
      <c r="N327" s="470"/>
    </row>
    <row r="328" spans="5:14" ht="18">
      <c r="E328" s="470"/>
      <c r="F328" s="470"/>
      <c r="G328" s="470"/>
      <c r="H328" s="475"/>
      <c r="I328" s="475"/>
      <c r="J328" s="470"/>
      <c r="K328" s="470"/>
      <c r="L328" s="470"/>
      <c r="M328" s="470"/>
      <c r="N328" s="470"/>
    </row>
    <row r="329" spans="5:14" ht="18">
      <c r="E329" s="470"/>
      <c r="F329" s="470"/>
      <c r="G329" s="470"/>
      <c r="H329" s="475"/>
      <c r="I329" s="475"/>
      <c r="J329" s="470"/>
      <c r="K329" s="470"/>
      <c r="L329" s="470"/>
      <c r="M329" s="470"/>
      <c r="N329" s="470"/>
    </row>
    <row r="330" spans="5:14" ht="18">
      <c r="E330" s="470"/>
      <c r="F330" s="470"/>
      <c r="G330" s="470"/>
      <c r="H330" s="475"/>
      <c r="I330" s="475"/>
      <c r="J330" s="470"/>
      <c r="K330" s="470"/>
      <c r="L330" s="470"/>
      <c r="M330" s="470"/>
      <c r="N330" s="470"/>
    </row>
    <row r="331" spans="5:14" ht="18">
      <c r="E331" s="470"/>
      <c r="F331" s="470"/>
      <c r="G331" s="470"/>
      <c r="H331" s="475"/>
      <c r="I331" s="475"/>
      <c r="J331" s="470"/>
      <c r="K331" s="470"/>
      <c r="L331" s="470"/>
      <c r="M331" s="470"/>
      <c r="N331" s="470"/>
    </row>
    <row r="332" spans="5:14" ht="18">
      <c r="E332" s="470"/>
      <c r="F332" s="470"/>
      <c r="G332" s="470"/>
      <c r="H332" s="475"/>
      <c r="I332" s="475"/>
      <c r="J332" s="470"/>
      <c r="K332" s="470"/>
      <c r="L332" s="470"/>
      <c r="M332" s="470"/>
      <c r="N332" s="470"/>
    </row>
    <row r="333" spans="5:14" ht="18">
      <c r="E333" s="470"/>
      <c r="F333" s="470"/>
      <c r="G333" s="470"/>
      <c r="H333" s="475"/>
      <c r="I333" s="475"/>
      <c r="J333" s="470"/>
      <c r="K333" s="470"/>
      <c r="L333" s="470"/>
      <c r="M333" s="470"/>
      <c r="N333" s="470"/>
    </row>
    <row r="334" spans="5:14" ht="18">
      <c r="E334" s="470"/>
      <c r="F334" s="470"/>
      <c r="G334" s="470"/>
      <c r="H334" s="475"/>
      <c r="I334" s="475"/>
      <c r="J334" s="470"/>
      <c r="K334" s="470"/>
      <c r="L334" s="470"/>
      <c r="M334" s="470"/>
      <c r="N334" s="470"/>
    </row>
    <row r="335" spans="5:14" ht="18">
      <c r="E335" s="470"/>
      <c r="F335" s="470"/>
      <c r="G335" s="470"/>
      <c r="H335" s="475"/>
      <c r="I335" s="475"/>
      <c r="J335" s="470"/>
      <c r="K335" s="470"/>
      <c r="L335" s="470"/>
      <c r="M335" s="470"/>
      <c r="N335" s="470"/>
    </row>
    <row r="336" spans="5:14" ht="18">
      <c r="E336" s="470"/>
      <c r="F336" s="470"/>
      <c r="G336" s="470"/>
      <c r="H336" s="475"/>
      <c r="I336" s="475"/>
      <c r="J336" s="470"/>
      <c r="K336" s="470"/>
      <c r="L336" s="470"/>
      <c r="M336" s="470"/>
      <c r="N336" s="470"/>
    </row>
    <row r="337" spans="5:14" ht="18">
      <c r="E337" s="470"/>
      <c r="F337" s="470"/>
      <c r="G337" s="470"/>
      <c r="H337" s="475"/>
      <c r="I337" s="475"/>
      <c r="J337" s="470"/>
      <c r="K337" s="470"/>
      <c r="L337" s="470"/>
      <c r="M337" s="470"/>
      <c r="N337" s="470"/>
    </row>
    <row r="338" spans="5:14" ht="18">
      <c r="E338" s="470"/>
      <c r="F338" s="470"/>
      <c r="G338" s="470"/>
      <c r="H338" s="475"/>
      <c r="I338" s="475"/>
      <c r="J338" s="470"/>
      <c r="K338" s="470"/>
      <c r="L338" s="470"/>
      <c r="M338" s="470"/>
      <c r="N338" s="470"/>
    </row>
    <row r="339" spans="5:14" ht="18">
      <c r="E339" s="470"/>
      <c r="F339" s="470"/>
      <c r="G339" s="470"/>
      <c r="H339" s="475"/>
      <c r="I339" s="475"/>
      <c r="J339" s="470"/>
      <c r="K339" s="470"/>
      <c r="L339" s="470"/>
      <c r="M339" s="470"/>
      <c r="N339" s="470"/>
    </row>
    <row r="340" spans="5:14" ht="18">
      <c r="E340" s="470"/>
      <c r="F340" s="470"/>
      <c r="G340" s="470"/>
      <c r="H340" s="475"/>
      <c r="I340" s="475"/>
      <c r="J340" s="470"/>
      <c r="K340" s="470"/>
      <c r="L340" s="470"/>
      <c r="M340" s="470"/>
      <c r="N340" s="470"/>
    </row>
    <row r="341" spans="5:14" ht="18">
      <c r="E341" s="470"/>
      <c r="F341" s="470"/>
      <c r="G341" s="470"/>
      <c r="H341" s="475"/>
      <c r="I341" s="475"/>
      <c r="J341" s="470"/>
      <c r="K341" s="470"/>
      <c r="L341" s="470"/>
      <c r="M341" s="470"/>
      <c r="N341" s="470"/>
    </row>
    <row r="342" spans="5:14" ht="18">
      <c r="E342" s="470"/>
      <c r="F342" s="470"/>
      <c r="G342" s="470"/>
      <c r="H342" s="475"/>
      <c r="I342" s="475"/>
      <c r="J342" s="470"/>
      <c r="K342" s="470"/>
      <c r="L342" s="470"/>
      <c r="M342" s="470"/>
      <c r="N342" s="470"/>
    </row>
    <row r="343" spans="5:14" ht="18">
      <c r="E343" s="470"/>
      <c r="F343" s="470"/>
      <c r="G343" s="470"/>
      <c r="H343" s="475"/>
      <c r="I343" s="475"/>
      <c r="J343" s="470"/>
      <c r="K343" s="470"/>
      <c r="L343" s="470"/>
      <c r="M343" s="470"/>
      <c r="N343" s="470"/>
    </row>
    <row r="344" spans="5:14" ht="18">
      <c r="E344" s="470"/>
      <c r="F344" s="470"/>
      <c r="G344" s="470"/>
      <c r="H344" s="475"/>
      <c r="I344" s="475"/>
      <c r="J344" s="470"/>
      <c r="K344" s="470"/>
      <c r="L344" s="470"/>
      <c r="M344" s="470"/>
      <c r="N344" s="470"/>
    </row>
    <row r="345" spans="5:14" ht="18">
      <c r="E345" s="470"/>
      <c r="F345" s="470"/>
      <c r="G345" s="470"/>
      <c r="H345" s="475"/>
      <c r="I345" s="475"/>
      <c r="J345" s="470"/>
      <c r="K345" s="470"/>
      <c r="L345" s="470"/>
      <c r="M345" s="470"/>
      <c r="N345" s="470"/>
    </row>
    <row r="346" spans="5:14" ht="18">
      <c r="E346" s="470"/>
      <c r="F346" s="470"/>
      <c r="G346" s="470"/>
      <c r="H346" s="475"/>
      <c r="I346" s="475"/>
      <c r="J346" s="470"/>
      <c r="K346" s="470"/>
      <c r="L346" s="470"/>
      <c r="M346" s="470"/>
      <c r="N346" s="470"/>
    </row>
    <row r="347" spans="5:14" ht="18">
      <c r="E347" s="470"/>
      <c r="F347" s="470"/>
      <c r="G347" s="470"/>
      <c r="H347" s="475"/>
      <c r="I347" s="475"/>
      <c r="J347" s="470"/>
      <c r="K347" s="470"/>
      <c r="L347" s="470"/>
      <c r="M347" s="470"/>
      <c r="N347" s="470"/>
    </row>
    <row r="348" spans="5:14" ht="18">
      <c r="E348" s="470"/>
      <c r="F348" s="470"/>
      <c r="G348" s="470"/>
      <c r="H348" s="475"/>
      <c r="I348" s="475"/>
      <c r="J348" s="470"/>
      <c r="K348" s="470"/>
      <c r="L348" s="470"/>
      <c r="M348" s="470"/>
      <c r="N348" s="470"/>
    </row>
    <row r="349" spans="5:14" ht="18">
      <c r="E349" s="470"/>
      <c r="F349" s="470"/>
      <c r="G349" s="470"/>
      <c r="H349" s="475"/>
      <c r="I349" s="475"/>
      <c r="J349" s="470"/>
      <c r="K349" s="470"/>
      <c r="L349" s="470"/>
      <c r="M349" s="470"/>
      <c r="N349" s="470"/>
    </row>
    <row r="350" spans="5:14" ht="18">
      <c r="E350" s="470"/>
      <c r="F350" s="470"/>
      <c r="G350" s="470"/>
      <c r="H350" s="475"/>
      <c r="I350" s="475"/>
      <c r="J350" s="470"/>
      <c r="K350" s="470"/>
      <c r="L350" s="470"/>
      <c r="M350" s="470"/>
      <c r="N350" s="470"/>
    </row>
    <row r="351" spans="5:14" ht="18">
      <c r="E351" s="470"/>
      <c r="F351" s="470"/>
      <c r="G351" s="470"/>
      <c r="H351" s="475"/>
      <c r="I351" s="475"/>
      <c r="J351" s="470"/>
      <c r="K351" s="470"/>
      <c r="L351" s="470"/>
      <c r="M351" s="470"/>
      <c r="N351" s="470"/>
    </row>
    <row r="352" spans="5:14" ht="18">
      <c r="E352" s="470"/>
      <c r="F352" s="470"/>
      <c r="G352" s="470"/>
      <c r="H352" s="475"/>
      <c r="I352" s="475"/>
      <c r="J352" s="470"/>
      <c r="K352" s="470"/>
      <c r="L352" s="470"/>
      <c r="M352" s="470"/>
      <c r="N352" s="470"/>
    </row>
    <row r="353" spans="5:14" ht="18">
      <c r="E353" s="470"/>
      <c r="F353" s="470"/>
      <c r="G353" s="470"/>
      <c r="H353" s="475"/>
      <c r="I353" s="475"/>
      <c r="J353" s="470"/>
      <c r="K353" s="470"/>
      <c r="L353" s="470"/>
      <c r="M353" s="470"/>
      <c r="N353" s="470"/>
    </row>
    <row r="354" spans="5:14" ht="18">
      <c r="E354" s="470"/>
      <c r="F354" s="470"/>
      <c r="G354" s="470"/>
      <c r="H354" s="475"/>
      <c r="I354" s="475"/>
      <c r="J354" s="470"/>
      <c r="K354" s="470"/>
      <c r="L354" s="470"/>
      <c r="M354" s="470"/>
      <c r="N354" s="470"/>
    </row>
    <row r="355" spans="5:14" ht="18">
      <c r="E355" s="470"/>
      <c r="F355" s="470"/>
      <c r="G355" s="470"/>
      <c r="H355" s="475"/>
      <c r="I355" s="475"/>
      <c r="J355" s="470"/>
      <c r="K355" s="470"/>
      <c r="L355" s="470"/>
      <c r="M355" s="470"/>
      <c r="N355" s="470"/>
    </row>
    <row r="356" spans="5:14" ht="18">
      <c r="E356" s="470"/>
      <c r="F356" s="470"/>
      <c r="G356" s="470"/>
      <c r="H356" s="475"/>
      <c r="I356" s="475"/>
      <c r="J356" s="470"/>
      <c r="K356" s="470"/>
      <c r="L356" s="470"/>
      <c r="M356" s="470"/>
      <c r="N356" s="470"/>
    </row>
    <row r="357" spans="5:14" ht="18">
      <c r="E357" s="470"/>
      <c r="F357" s="470"/>
      <c r="G357" s="470"/>
      <c r="H357" s="475"/>
      <c r="I357" s="475"/>
      <c r="J357" s="470"/>
      <c r="K357" s="470"/>
      <c r="L357" s="470"/>
      <c r="M357" s="470"/>
      <c r="N357" s="470"/>
    </row>
    <row r="358" spans="5:14" ht="18">
      <c r="E358" s="470"/>
      <c r="F358" s="470"/>
      <c r="G358" s="470"/>
      <c r="H358" s="475"/>
      <c r="I358" s="475"/>
      <c r="J358" s="470"/>
      <c r="K358" s="470"/>
      <c r="L358" s="470"/>
      <c r="M358" s="470"/>
      <c r="N358" s="470"/>
    </row>
    <row r="359" spans="5:14" ht="18">
      <c r="E359" s="470"/>
      <c r="F359" s="470"/>
      <c r="G359" s="470"/>
      <c r="H359" s="475"/>
      <c r="I359" s="475"/>
      <c r="J359" s="470"/>
      <c r="K359" s="470"/>
      <c r="L359" s="470"/>
      <c r="M359" s="470"/>
      <c r="N359" s="470"/>
    </row>
    <row r="360" spans="5:14" ht="18">
      <c r="E360" s="470"/>
      <c r="F360" s="470"/>
      <c r="G360" s="470"/>
      <c r="H360" s="475"/>
      <c r="I360" s="475"/>
      <c r="J360" s="470"/>
      <c r="K360" s="470"/>
      <c r="L360" s="470"/>
      <c r="M360" s="470"/>
      <c r="N360" s="470"/>
    </row>
    <row r="361" spans="5:14" ht="18">
      <c r="E361" s="470"/>
      <c r="F361" s="470"/>
      <c r="G361" s="470"/>
      <c r="H361" s="475"/>
      <c r="I361" s="475"/>
      <c r="J361" s="470"/>
      <c r="K361" s="470"/>
      <c r="L361" s="470"/>
      <c r="M361" s="470"/>
      <c r="N361" s="470"/>
    </row>
    <row r="362" spans="5:14" ht="18">
      <c r="E362" s="470"/>
      <c r="F362" s="470"/>
      <c r="G362" s="470"/>
      <c r="H362" s="475"/>
      <c r="I362" s="475"/>
      <c r="J362" s="470"/>
      <c r="K362" s="470"/>
      <c r="L362" s="470"/>
      <c r="M362" s="470"/>
      <c r="N362" s="470"/>
    </row>
    <row r="363" spans="5:14" ht="18">
      <c r="E363" s="470"/>
      <c r="F363" s="470"/>
      <c r="G363" s="470"/>
      <c r="H363" s="475"/>
      <c r="I363" s="475"/>
      <c r="J363" s="470"/>
      <c r="K363" s="470"/>
      <c r="L363" s="470"/>
      <c r="M363" s="470"/>
      <c r="N363" s="470"/>
    </row>
    <row r="364" spans="5:14" ht="18">
      <c r="E364" s="470"/>
      <c r="F364" s="470"/>
      <c r="G364" s="470"/>
      <c r="H364" s="475"/>
      <c r="I364" s="475"/>
      <c r="J364" s="470"/>
      <c r="K364" s="470"/>
      <c r="L364" s="470"/>
      <c r="M364" s="470"/>
      <c r="N364" s="470"/>
    </row>
    <row r="365" spans="5:14" ht="18">
      <c r="E365" s="470"/>
      <c r="F365" s="470"/>
      <c r="G365" s="470"/>
      <c r="H365" s="475"/>
      <c r="I365" s="475"/>
      <c r="J365" s="470"/>
      <c r="K365" s="470"/>
      <c r="L365" s="470"/>
      <c r="M365" s="470"/>
      <c r="N365" s="470"/>
    </row>
    <row r="366" spans="5:14" ht="18">
      <c r="E366" s="470"/>
      <c r="F366" s="470"/>
      <c r="G366" s="470"/>
      <c r="H366" s="475"/>
      <c r="I366" s="475"/>
      <c r="J366" s="470"/>
      <c r="K366" s="470"/>
      <c r="L366" s="470"/>
      <c r="M366" s="470"/>
      <c r="N366" s="470"/>
    </row>
    <row r="367" spans="5:14" ht="18">
      <c r="E367" s="470"/>
      <c r="F367" s="470"/>
      <c r="G367" s="470"/>
      <c r="H367" s="475"/>
      <c r="I367" s="475"/>
      <c r="J367" s="470"/>
      <c r="K367" s="470"/>
      <c r="L367" s="470"/>
      <c r="M367" s="470"/>
      <c r="N367" s="470"/>
    </row>
    <row r="368" spans="5:14" ht="18">
      <c r="E368" s="470"/>
      <c r="F368" s="470"/>
      <c r="G368" s="470"/>
      <c r="H368" s="475"/>
      <c r="I368" s="475"/>
      <c r="J368" s="470"/>
      <c r="K368" s="470"/>
      <c r="L368" s="470"/>
      <c r="M368" s="470"/>
      <c r="N368" s="470"/>
    </row>
    <row r="369" spans="5:14" ht="18">
      <c r="E369" s="470"/>
      <c r="F369" s="470"/>
      <c r="G369" s="470"/>
      <c r="H369" s="475"/>
      <c r="I369" s="475"/>
      <c r="J369" s="470"/>
      <c r="K369" s="470"/>
      <c r="L369" s="470"/>
      <c r="M369" s="470"/>
      <c r="N369" s="470"/>
    </row>
    <row r="370" spans="5:14" ht="18">
      <c r="E370" s="470"/>
      <c r="F370" s="470"/>
      <c r="G370" s="470"/>
      <c r="H370" s="475"/>
      <c r="I370" s="475"/>
      <c r="J370" s="470"/>
      <c r="K370" s="470"/>
      <c r="L370" s="470"/>
      <c r="M370" s="470"/>
      <c r="N370" s="470"/>
    </row>
    <row r="371" spans="5:14" ht="18">
      <c r="E371" s="470"/>
      <c r="F371" s="470"/>
      <c r="G371" s="470"/>
      <c r="H371" s="475"/>
      <c r="I371" s="475"/>
      <c r="J371" s="470"/>
      <c r="K371" s="470"/>
      <c r="L371" s="470"/>
      <c r="M371" s="470"/>
      <c r="N371" s="470"/>
    </row>
    <row r="372" spans="5:14" ht="18">
      <c r="E372" s="470"/>
      <c r="F372" s="470"/>
      <c r="G372" s="470"/>
      <c r="H372" s="475"/>
      <c r="I372" s="475"/>
      <c r="J372" s="470"/>
      <c r="K372" s="470"/>
      <c r="L372" s="470"/>
      <c r="M372" s="470"/>
      <c r="N372" s="470"/>
    </row>
    <row r="373" spans="5:14" ht="18">
      <c r="E373" s="470"/>
      <c r="F373" s="470"/>
      <c r="G373" s="470"/>
      <c r="H373" s="475"/>
      <c r="I373" s="475"/>
      <c r="J373" s="470"/>
      <c r="K373" s="470"/>
      <c r="L373" s="470"/>
      <c r="M373" s="470"/>
      <c r="N373" s="470"/>
    </row>
    <row r="374" spans="5:14" ht="18">
      <c r="E374" s="470"/>
      <c r="F374" s="470"/>
      <c r="G374" s="470"/>
      <c r="H374" s="475"/>
      <c r="I374" s="475"/>
      <c r="J374" s="470"/>
      <c r="K374" s="470"/>
      <c r="L374" s="470"/>
      <c r="M374" s="470"/>
      <c r="N374" s="470"/>
    </row>
    <row r="375" spans="5:14" ht="18">
      <c r="E375" s="470"/>
      <c r="F375" s="470"/>
      <c r="G375" s="470"/>
      <c r="H375" s="475"/>
      <c r="I375" s="475"/>
      <c r="J375" s="470"/>
      <c r="K375" s="470"/>
      <c r="L375" s="470"/>
      <c r="M375" s="470"/>
      <c r="N375" s="470"/>
    </row>
    <row r="376" spans="5:14" ht="18">
      <c r="E376" s="470"/>
      <c r="F376" s="470"/>
      <c r="G376" s="470"/>
      <c r="H376" s="475"/>
      <c r="I376" s="475"/>
      <c r="J376" s="470"/>
      <c r="K376" s="470"/>
      <c r="L376" s="470"/>
      <c r="M376" s="470"/>
      <c r="N376" s="470"/>
    </row>
    <row r="377" spans="5:14" ht="18">
      <c r="E377" s="470"/>
      <c r="F377" s="470"/>
      <c r="G377" s="470"/>
      <c r="H377" s="475"/>
      <c r="I377" s="475"/>
      <c r="J377" s="470"/>
      <c r="K377" s="470"/>
      <c r="L377" s="470"/>
      <c r="M377" s="470"/>
      <c r="N377" s="470"/>
    </row>
    <row r="378" spans="5:14" ht="18">
      <c r="E378" s="470"/>
      <c r="F378" s="470"/>
      <c r="G378" s="470"/>
      <c r="H378" s="475"/>
      <c r="I378" s="475"/>
      <c r="J378" s="470"/>
      <c r="K378" s="470"/>
      <c r="L378" s="470"/>
      <c r="M378" s="470"/>
      <c r="N378" s="470"/>
    </row>
    <row r="379" spans="5:14" ht="18">
      <c r="E379" s="470"/>
      <c r="F379" s="470"/>
      <c r="G379" s="470"/>
      <c r="H379" s="475"/>
      <c r="I379" s="475"/>
      <c r="J379" s="470"/>
      <c r="K379" s="470"/>
      <c r="L379" s="470"/>
      <c r="M379" s="470"/>
      <c r="N379" s="470"/>
    </row>
    <row r="380" spans="5:14" ht="18">
      <c r="E380" s="470"/>
      <c r="F380" s="470"/>
      <c r="G380" s="470"/>
      <c r="H380" s="475"/>
      <c r="I380" s="475"/>
      <c r="J380" s="470"/>
      <c r="K380" s="470"/>
      <c r="L380" s="470"/>
      <c r="M380" s="470"/>
      <c r="N380" s="470"/>
    </row>
    <row r="381" spans="5:14" ht="18">
      <c r="E381" s="470"/>
      <c r="F381" s="470"/>
      <c r="G381" s="470"/>
      <c r="H381" s="475"/>
      <c r="I381" s="475"/>
      <c r="J381" s="470"/>
      <c r="K381" s="470"/>
      <c r="L381" s="470"/>
      <c r="M381" s="470"/>
      <c r="N381" s="470"/>
    </row>
    <row r="382" spans="5:14" ht="18">
      <c r="E382" s="470"/>
      <c r="F382" s="470"/>
      <c r="G382" s="470"/>
      <c r="H382" s="475"/>
      <c r="I382" s="475"/>
      <c r="J382" s="470"/>
      <c r="K382" s="470"/>
      <c r="L382" s="470"/>
      <c r="M382" s="470"/>
      <c r="N382" s="470"/>
    </row>
    <row r="383" spans="5:14" ht="18">
      <c r="E383" s="470"/>
      <c r="F383" s="470"/>
      <c r="G383" s="470"/>
      <c r="H383" s="475"/>
      <c r="I383" s="475"/>
      <c r="J383" s="470"/>
      <c r="K383" s="470"/>
      <c r="L383" s="470"/>
      <c r="M383" s="470"/>
      <c r="N383" s="470"/>
    </row>
    <row r="384" spans="5:14" ht="18">
      <c r="E384" s="470"/>
      <c r="F384" s="470"/>
      <c r="G384" s="470"/>
      <c r="H384" s="475"/>
      <c r="I384" s="475"/>
      <c r="J384" s="470"/>
      <c r="K384" s="470"/>
      <c r="L384" s="470"/>
      <c r="M384" s="470"/>
      <c r="N384" s="470"/>
    </row>
    <row r="385" spans="5:14" ht="18">
      <c r="E385" s="470"/>
      <c r="F385" s="470"/>
      <c r="G385" s="470"/>
      <c r="H385" s="475"/>
      <c r="I385" s="475"/>
      <c r="J385" s="470"/>
      <c r="K385" s="470"/>
      <c r="L385" s="470"/>
      <c r="M385" s="470"/>
      <c r="N385" s="470"/>
    </row>
    <row r="386" spans="5:14" ht="18">
      <c r="E386" s="470"/>
      <c r="F386" s="470"/>
      <c r="G386" s="470"/>
      <c r="H386" s="475"/>
      <c r="I386" s="475"/>
      <c r="J386" s="470"/>
      <c r="K386" s="470"/>
      <c r="L386" s="470"/>
      <c r="M386" s="470"/>
      <c r="N386" s="470"/>
    </row>
    <row r="387" spans="5:14" ht="18">
      <c r="E387" s="470"/>
      <c r="F387" s="470"/>
      <c r="G387" s="470"/>
      <c r="H387" s="475"/>
      <c r="I387" s="475"/>
      <c r="J387" s="470"/>
      <c r="K387" s="470"/>
      <c r="L387" s="470"/>
      <c r="M387" s="470"/>
      <c r="N387" s="470"/>
    </row>
    <row r="388" spans="5:14" ht="18">
      <c r="E388" s="470"/>
      <c r="F388" s="470"/>
      <c r="G388" s="470"/>
      <c r="H388" s="475"/>
      <c r="I388" s="475"/>
      <c r="J388" s="470"/>
      <c r="K388" s="470"/>
      <c r="L388" s="470"/>
      <c r="M388" s="470"/>
      <c r="N388" s="470"/>
    </row>
    <row r="389" spans="5:14" ht="18">
      <c r="E389" s="470"/>
      <c r="F389" s="470"/>
      <c r="G389" s="470"/>
      <c r="H389" s="475"/>
      <c r="I389" s="475"/>
      <c r="J389" s="470"/>
      <c r="K389" s="470"/>
      <c r="L389" s="470"/>
      <c r="M389" s="470"/>
      <c r="N389" s="470"/>
    </row>
    <row r="390" spans="5:14" ht="18">
      <c r="E390" s="470"/>
      <c r="F390" s="470"/>
      <c r="G390" s="470"/>
      <c r="H390" s="475"/>
      <c r="I390" s="475"/>
      <c r="J390" s="470"/>
      <c r="K390" s="470"/>
      <c r="L390" s="470"/>
      <c r="M390" s="470"/>
      <c r="N390" s="470"/>
    </row>
    <row r="391" spans="5:14" ht="18">
      <c r="E391" s="470"/>
      <c r="F391" s="470"/>
      <c r="G391" s="470"/>
      <c r="H391" s="475"/>
      <c r="I391" s="475"/>
      <c r="J391" s="470"/>
      <c r="K391" s="470"/>
      <c r="L391" s="470"/>
      <c r="M391" s="470"/>
      <c r="N391" s="470"/>
    </row>
    <row r="392" spans="5:14" ht="18">
      <c r="E392" s="470"/>
      <c r="F392" s="470"/>
      <c r="G392" s="470"/>
      <c r="H392" s="475"/>
      <c r="I392" s="475"/>
      <c r="J392" s="470"/>
      <c r="K392" s="470"/>
      <c r="L392" s="470"/>
      <c r="M392" s="470"/>
      <c r="N392" s="470"/>
    </row>
    <row r="393" spans="5:14" ht="18">
      <c r="E393" s="470"/>
      <c r="F393" s="470"/>
      <c r="G393" s="470"/>
      <c r="H393" s="475"/>
      <c r="I393" s="475"/>
      <c r="J393" s="470"/>
      <c r="K393" s="470"/>
      <c r="L393" s="470"/>
      <c r="M393" s="470"/>
      <c r="N393" s="470"/>
    </row>
    <row r="394" spans="5:14" ht="18">
      <c r="E394" s="470"/>
      <c r="F394" s="470"/>
      <c r="G394" s="470"/>
      <c r="H394" s="475"/>
      <c r="I394" s="475"/>
      <c r="J394" s="470"/>
      <c r="K394" s="470"/>
      <c r="L394" s="470"/>
      <c r="M394" s="470"/>
      <c r="N394" s="470"/>
    </row>
    <row r="395" spans="5:14" ht="18">
      <c r="E395" s="470"/>
      <c r="F395" s="470"/>
      <c r="G395" s="470"/>
      <c r="H395" s="475"/>
      <c r="I395" s="475"/>
      <c r="J395" s="470"/>
      <c r="K395" s="470"/>
      <c r="L395" s="470"/>
      <c r="M395" s="470"/>
      <c r="N395" s="470"/>
    </row>
    <row r="396" spans="5:14" ht="18">
      <c r="E396" s="470"/>
      <c r="F396" s="470"/>
      <c r="G396" s="470"/>
      <c r="H396" s="475"/>
      <c r="I396" s="475"/>
      <c r="J396" s="470"/>
      <c r="K396" s="470"/>
      <c r="L396" s="470"/>
      <c r="M396" s="470"/>
      <c r="N396" s="470"/>
    </row>
    <row r="397" spans="5:14" ht="18">
      <c r="E397" s="470"/>
      <c r="F397" s="470"/>
      <c r="G397" s="470"/>
      <c r="H397" s="475"/>
      <c r="I397" s="475"/>
      <c r="J397" s="470"/>
      <c r="K397" s="470"/>
      <c r="L397" s="470"/>
      <c r="M397" s="470"/>
      <c r="N397" s="470"/>
    </row>
    <row r="398" spans="5:14" ht="18">
      <c r="E398" s="470"/>
      <c r="F398" s="470"/>
      <c r="G398" s="470"/>
      <c r="H398" s="475"/>
      <c r="I398" s="475"/>
      <c r="J398" s="470"/>
      <c r="K398" s="470"/>
      <c r="L398" s="470"/>
      <c r="M398" s="470"/>
      <c r="N398" s="470"/>
    </row>
    <row r="399" spans="5:14" ht="18">
      <c r="E399" s="470"/>
      <c r="F399" s="470"/>
      <c r="G399" s="470"/>
      <c r="H399" s="475"/>
      <c r="I399" s="475"/>
      <c r="J399" s="470"/>
      <c r="K399" s="470"/>
      <c r="L399" s="470"/>
      <c r="M399" s="470"/>
      <c r="N399" s="470"/>
    </row>
    <row r="400" spans="5:14" ht="18">
      <c r="E400" s="470"/>
      <c r="F400" s="470"/>
      <c r="G400" s="470"/>
      <c r="H400" s="475"/>
      <c r="I400" s="475"/>
      <c r="J400" s="470"/>
      <c r="K400" s="470"/>
      <c r="L400" s="470"/>
      <c r="M400" s="470"/>
      <c r="N400" s="470"/>
    </row>
    <row r="401" spans="5:14" ht="18">
      <c r="E401" s="470"/>
      <c r="F401" s="470"/>
      <c r="G401" s="470"/>
      <c r="H401" s="475"/>
      <c r="I401" s="475"/>
      <c r="J401" s="470"/>
      <c r="K401" s="470"/>
      <c r="L401" s="470"/>
      <c r="M401" s="470"/>
      <c r="N401" s="470"/>
    </row>
    <row r="402" spans="5:14" ht="18">
      <c r="E402" s="470"/>
      <c r="F402" s="470"/>
      <c r="G402" s="470"/>
      <c r="H402" s="475"/>
      <c r="I402" s="475"/>
      <c r="J402" s="470"/>
      <c r="K402" s="470"/>
      <c r="L402" s="470"/>
      <c r="M402" s="470"/>
      <c r="N402" s="470"/>
    </row>
    <row r="403" spans="5:14" ht="18">
      <c r="E403" s="470"/>
      <c r="F403" s="470"/>
      <c r="G403" s="470"/>
      <c r="H403" s="475"/>
      <c r="I403" s="475"/>
      <c r="J403" s="470"/>
      <c r="K403" s="470"/>
      <c r="L403" s="470"/>
      <c r="M403" s="470"/>
      <c r="N403" s="470"/>
    </row>
    <row r="404" spans="5:14" ht="18">
      <c r="E404" s="470"/>
      <c r="F404" s="470"/>
      <c r="G404" s="470"/>
      <c r="H404" s="475"/>
      <c r="I404" s="475"/>
      <c r="J404" s="470"/>
      <c r="K404" s="470"/>
      <c r="L404" s="470"/>
      <c r="M404" s="470"/>
      <c r="N404" s="470"/>
    </row>
    <row r="405" spans="5:14" ht="18">
      <c r="E405" s="470"/>
      <c r="F405" s="470"/>
      <c r="G405" s="470"/>
      <c r="H405" s="475"/>
      <c r="I405" s="475"/>
      <c r="J405" s="470"/>
      <c r="K405" s="470"/>
      <c r="L405" s="470"/>
      <c r="M405" s="470"/>
      <c r="N405" s="470"/>
    </row>
    <row r="406" spans="5:14" ht="18">
      <c r="E406" s="470"/>
      <c r="F406" s="470"/>
      <c r="G406" s="470"/>
      <c r="H406" s="475"/>
      <c r="I406" s="475"/>
      <c r="J406" s="470"/>
      <c r="K406" s="470"/>
      <c r="L406" s="470"/>
      <c r="M406" s="470"/>
      <c r="N406" s="470"/>
    </row>
    <row r="407" spans="5:14" ht="18">
      <c r="E407" s="470"/>
      <c r="F407" s="470"/>
      <c r="G407" s="470"/>
      <c r="H407" s="475"/>
      <c r="I407" s="475"/>
      <c r="J407" s="470"/>
      <c r="K407" s="470"/>
      <c r="L407" s="470"/>
      <c r="M407" s="470"/>
      <c r="N407" s="470"/>
    </row>
    <row r="408" spans="5:14" ht="18">
      <c r="E408" s="470"/>
      <c r="F408" s="470"/>
      <c r="G408" s="470"/>
      <c r="H408" s="475"/>
      <c r="I408" s="475"/>
      <c r="J408" s="470"/>
      <c r="K408" s="470"/>
      <c r="L408" s="470"/>
      <c r="M408" s="470"/>
      <c r="N408" s="470"/>
    </row>
    <row r="409" spans="5:14" ht="18">
      <c r="E409" s="470"/>
      <c r="F409" s="470"/>
      <c r="G409" s="470"/>
      <c r="H409" s="475"/>
      <c r="I409" s="475"/>
      <c r="J409" s="470"/>
      <c r="K409" s="470"/>
      <c r="L409" s="470"/>
      <c r="M409" s="470"/>
      <c r="N409" s="470"/>
    </row>
    <row r="410" spans="5:14" ht="18">
      <c r="E410" s="470"/>
      <c r="F410" s="470"/>
      <c r="G410" s="470"/>
      <c r="H410" s="475"/>
      <c r="I410" s="475"/>
      <c r="J410" s="470"/>
      <c r="K410" s="470"/>
      <c r="L410" s="470"/>
      <c r="M410" s="470"/>
      <c r="N410" s="470"/>
    </row>
    <row r="411" spans="5:14" ht="18">
      <c r="E411" s="470"/>
      <c r="F411" s="470"/>
      <c r="G411" s="470"/>
      <c r="H411" s="475"/>
      <c r="I411" s="475"/>
      <c r="J411" s="470"/>
      <c r="K411" s="470"/>
      <c r="L411" s="470"/>
      <c r="M411" s="470"/>
      <c r="N411" s="470"/>
    </row>
    <row r="412" spans="5:14" ht="18">
      <c r="E412" s="470"/>
      <c r="F412" s="470"/>
      <c r="G412" s="470"/>
      <c r="H412" s="475"/>
      <c r="I412" s="475"/>
      <c r="J412" s="470"/>
      <c r="K412" s="470"/>
      <c r="L412" s="470"/>
      <c r="M412" s="470"/>
      <c r="N412" s="470"/>
    </row>
    <row r="413" spans="5:14" ht="18">
      <c r="E413" s="470"/>
      <c r="F413" s="470"/>
      <c r="G413" s="470"/>
      <c r="H413" s="475"/>
      <c r="I413" s="475"/>
      <c r="J413" s="470"/>
      <c r="K413" s="470"/>
      <c r="L413" s="470"/>
      <c r="M413" s="470"/>
      <c r="N413" s="470"/>
    </row>
    <row r="414" spans="5:14" ht="18">
      <c r="E414" s="470"/>
      <c r="F414" s="470"/>
      <c r="G414" s="470"/>
      <c r="H414" s="475"/>
      <c r="I414" s="475"/>
      <c r="J414" s="470"/>
      <c r="K414" s="470"/>
      <c r="L414" s="470"/>
      <c r="M414" s="470"/>
      <c r="N414" s="470"/>
    </row>
    <row r="415" spans="5:14" ht="18">
      <c r="E415" s="470"/>
      <c r="F415" s="470"/>
      <c r="G415" s="470"/>
      <c r="H415" s="475"/>
      <c r="I415" s="475"/>
      <c r="J415" s="470"/>
      <c r="K415" s="470"/>
      <c r="L415" s="470"/>
      <c r="M415" s="470"/>
      <c r="N415" s="470"/>
    </row>
    <row r="416" spans="5:14" ht="18">
      <c r="E416" s="470"/>
      <c r="F416" s="470"/>
      <c r="G416" s="470"/>
      <c r="H416" s="475"/>
      <c r="I416" s="475"/>
      <c r="J416" s="470"/>
      <c r="K416" s="470"/>
      <c r="L416" s="470"/>
      <c r="M416" s="470"/>
      <c r="N416" s="470"/>
    </row>
    <row r="417" spans="5:14" ht="18">
      <c r="E417" s="470"/>
      <c r="F417" s="470"/>
      <c r="G417" s="470"/>
      <c r="H417" s="475"/>
      <c r="I417" s="475"/>
      <c r="J417" s="470"/>
      <c r="K417" s="470"/>
      <c r="L417" s="470"/>
      <c r="M417" s="470"/>
      <c r="N417" s="470"/>
    </row>
    <row r="418" spans="5:14" ht="18">
      <c r="E418" s="470"/>
      <c r="F418" s="470"/>
      <c r="G418" s="470"/>
      <c r="H418" s="475"/>
      <c r="I418" s="475"/>
      <c r="J418" s="470"/>
      <c r="K418" s="470"/>
      <c r="L418" s="470"/>
      <c r="M418" s="470"/>
      <c r="N418" s="470"/>
    </row>
    <row r="419" spans="5:14" ht="18">
      <c r="E419" s="470"/>
      <c r="F419" s="470"/>
      <c r="G419" s="470"/>
      <c r="H419" s="475"/>
      <c r="I419" s="475"/>
      <c r="J419" s="470"/>
      <c r="K419" s="470"/>
      <c r="L419" s="470"/>
      <c r="M419" s="470"/>
      <c r="N419" s="470"/>
    </row>
    <row r="420" spans="5:14" ht="18">
      <c r="E420" s="470"/>
      <c r="F420" s="470"/>
      <c r="G420" s="470"/>
      <c r="H420" s="475"/>
      <c r="I420" s="475"/>
      <c r="J420" s="470"/>
      <c r="K420" s="470"/>
      <c r="L420" s="470"/>
      <c r="M420" s="470"/>
      <c r="N420" s="470"/>
    </row>
    <row r="421" spans="5:14" ht="18">
      <c r="E421" s="470"/>
      <c r="F421" s="470"/>
      <c r="G421" s="470"/>
      <c r="H421" s="475"/>
      <c r="I421" s="475"/>
      <c r="J421" s="470"/>
      <c r="K421" s="470"/>
      <c r="L421" s="470"/>
      <c r="M421" s="470"/>
      <c r="N421" s="470"/>
    </row>
    <row r="422" spans="5:14" ht="18">
      <c r="E422" s="470"/>
      <c r="F422" s="470"/>
      <c r="G422" s="470"/>
      <c r="H422" s="475"/>
      <c r="I422" s="475"/>
      <c r="J422" s="470"/>
      <c r="K422" s="470"/>
      <c r="L422" s="470"/>
      <c r="M422" s="470"/>
      <c r="N422" s="470"/>
    </row>
    <row r="423" spans="5:14" ht="18">
      <c r="E423" s="470"/>
      <c r="F423" s="470"/>
      <c r="G423" s="470"/>
      <c r="H423" s="475"/>
      <c r="I423" s="475"/>
      <c r="J423" s="470"/>
      <c r="K423" s="470"/>
      <c r="L423" s="470"/>
      <c r="M423" s="470"/>
      <c r="N423" s="470"/>
    </row>
    <row r="424" spans="5:14" ht="18">
      <c r="E424" s="470"/>
      <c r="F424" s="470"/>
      <c r="G424" s="470"/>
      <c r="H424" s="475"/>
      <c r="I424" s="475"/>
      <c r="J424" s="470"/>
      <c r="K424" s="470"/>
      <c r="L424" s="470"/>
      <c r="M424" s="470"/>
      <c r="N424" s="470"/>
    </row>
    <row r="425" spans="5:14" ht="18">
      <c r="E425" s="470"/>
      <c r="F425" s="470"/>
      <c r="G425" s="470"/>
      <c r="H425" s="475"/>
      <c r="I425" s="475"/>
      <c r="J425" s="470"/>
      <c r="K425" s="470"/>
      <c r="L425" s="470"/>
      <c r="M425" s="470"/>
      <c r="N425" s="470"/>
    </row>
    <row r="426" spans="5:14" ht="18">
      <c r="E426" s="470"/>
      <c r="F426" s="470"/>
      <c r="G426" s="470"/>
      <c r="H426" s="475"/>
      <c r="I426" s="475"/>
      <c r="J426" s="470"/>
      <c r="K426" s="470"/>
      <c r="L426" s="470"/>
      <c r="M426" s="470"/>
      <c r="N426" s="470"/>
    </row>
    <row r="427" spans="5:14" ht="18">
      <c r="E427" s="470"/>
      <c r="F427" s="470"/>
      <c r="G427" s="470"/>
      <c r="H427" s="475"/>
      <c r="I427" s="475"/>
      <c r="J427" s="470"/>
      <c r="K427" s="470"/>
      <c r="L427" s="470"/>
      <c r="M427" s="470"/>
      <c r="N427" s="470"/>
    </row>
    <row r="428" spans="5:14" ht="18">
      <c r="E428" s="470"/>
      <c r="F428" s="470"/>
      <c r="G428" s="470"/>
      <c r="H428" s="475"/>
      <c r="I428" s="475"/>
      <c r="J428" s="470"/>
      <c r="K428" s="470"/>
      <c r="L428" s="470"/>
      <c r="M428" s="470"/>
      <c r="N428" s="470"/>
    </row>
    <row r="429" spans="5:14" ht="18">
      <c r="E429" s="470"/>
      <c r="F429" s="470"/>
      <c r="G429" s="470"/>
      <c r="H429" s="475"/>
      <c r="I429" s="475"/>
      <c r="J429" s="470"/>
      <c r="K429" s="470"/>
      <c r="L429" s="470"/>
      <c r="M429" s="470"/>
      <c r="N429" s="470"/>
    </row>
    <row r="430" spans="5:14" ht="18">
      <c r="E430" s="470"/>
      <c r="F430" s="470"/>
      <c r="G430" s="470"/>
      <c r="H430" s="475"/>
      <c r="I430" s="475"/>
      <c r="J430" s="470"/>
      <c r="K430" s="470"/>
      <c r="L430" s="470"/>
      <c r="M430" s="470"/>
      <c r="N430" s="470"/>
    </row>
    <row r="431" spans="5:14" ht="18">
      <c r="E431" s="470"/>
      <c r="F431" s="470"/>
      <c r="G431" s="470"/>
      <c r="H431" s="475"/>
      <c r="I431" s="475"/>
      <c r="J431" s="470"/>
      <c r="K431" s="470"/>
      <c r="L431" s="470"/>
      <c r="M431" s="470"/>
      <c r="N431" s="470"/>
    </row>
    <row r="432" spans="5:14" ht="18">
      <c r="E432" s="470"/>
      <c r="F432" s="470"/>
      <c r="G432" s="470"/>
      <c r="H432" s="475"/>
      <c r="I432" s="475"/>
      <c r="J432" s="470"/>
      <c r="K432" s="470"/>
      <c r="L432" s="470"/>
      <c r="M432" s="470"/>
      <c r="N432" s="470"/>
    </row>
    <row r="433" spans="5:14" ht="18">
      <c r="E433" s="470"/>
      <c r="F433" s="470"/>
      <c r="G433" s="470"/>
      <c r="H433" s="475"/>
      <c r="I433" s="475"/>
      <c r="J433" s="470"/>
      <c r="K433" s="470"/>
      <c r="L433" s="470"/>
      <c r="M433" s="470"/>
      <c r="N433" s="470"/>
    </row>
    <row r="434" spans="5:14" ht="18">
      <c r="E434" s="470"/>
      <c r="F434" s="470"/>
      <c r="G434" s="470"/>
      <c r="H434" s="475"/>
      <c r="I434" s="475"/>
      <c r="J434" s="470"/>
      <c r="K434" s="470"/>
      <c r="L434" s="470"/>
      <c r="M434" s="470"/>
      <c r="N434" s="470"/>
    </row>
    <row r="435" spans="5:14" ht="18">
      <c r="E435" s="470"/>
      <c r="F435" s="470"/>
      <c r="G435" s="470"/>
      <c r="H435" s="475"/>
      <c r="I435" s="475"/>
      <c r="J435" s="470"/>
      <c r="K435" s="470"/>
      <c r="L435" s="470"/>
      <c r="M435" s="470"/>
      <c r="N435" s="470"/>
    </row>
    <row r="436" spans="5:14" ht="18">
      <c r="E436" s="470"/>
      <c r="F436" s="470"/>
      <c r="G436" s="470"/>
      <c r="H436" s="475"/>
      <c r="I436" s="475"/>
      <c r="J436" s="470"/>
      <c r="K436" s="470"/>
      <c r="L436" s="470"/>
      <c r="M436" s="470"/>
      <c r="N436" s="470"/>
    </row>
    <row r="437" spans="5:14" ht="18">
      <c r="E437" s="470"/>
      <c r="F437" s="470"/>
      <c r="G437" s="470"/>
      <c r="H437" s="475"/>
      <c r="I437" s="475"/>
      <c r="J437" s="470"/>
      <c r="K437" s="470"/>
      <c r="L437" s="470"/>
      <c r="M437" s="470"/>
      <c r="N437" s="470"/>
    </row>
    <row r="438" spans="5:14" ht="18">
      <c r="E438" s="470"/>
      <c r="F438" s="470"/>
      <c r="G438" s="470"/>
      <c r="H438" s="475"/>
      <c r="I438" s="475"/>
      <c r="J438" s="470"/>
      <c r="K438" s="470"/>
      <c r="L438" s="470"/>
      <c r="M438" s="470"/>
      <c r="N438" s="470"/>
    </row>
    <row r="439" spans="5:14" ht="18">
      <c r="E439" s="470"/>
      <c r="F439" s="470"/>
      <c r="G439" s="470"/>
      <c r="H439" s="475"/>
      <c r="I439" s="475"/>
      <c r="J439" s="470"/>
      <c r="K439" s="470"/>
      <c r="L439" s="470"/>
      <c r="M439" s="470"/>
      <c r="N439" s="470"/>
    </row>
    <row r="440" spans="5:14" ht="18">
      <c r="E440" s="470"/>
      <c r="F440" s="470"/>
      <c r="G440" s="470"/>
      <c r="H440" s="475"/>
      <c r="I440" s="475"/>
      <c r="J440" s="470"/>
      <c r="K440" s="470"/>
      <c r="L440" s="470"/>
      <c r="M440" s="470"/>
      <c r="N440" s="470"/>
    </row>
    <row r="441" spans="5:14" ht="18">
      <c r="E441" s="470"/>
      <c r="F441" s="470"/>
      <c r="G441" s="470"/>
      <c r="H441" s="475"/>
      <c r="I441" s="475"/>
      <c r="J441" s="470"/>
      <c r="K441" s="470"/>
      <c r="L441" s="470"/>
      <c r="M441" s="470"/>
      <c r="N441" s="470"/>
    </row>
    <row r="442" spans="5:14" ht="18">
      <c r="E442" s="470"/>
      <c r="F442" s="470"/>
      <c r="G442" s="470"/>
      <c r="H442" s="475"/>
      <c r="I442" s="475"/>
      <c r="J442" s="470"/>
      <c r="K442" s="470"/>
      <c r="L442" s="470"/>
      <c r="M442" s="470"/>
      <c r="N442" s="470"/>
    </row>
    <row r="443" spans="5:14" ht="18">
      <c r="E443" s="470"/>
      <c r="F443" s="470"/>
      <c r="G443" s="470"/>
      <c r="H443" s="475"/>
      <c r="I443" s="475"/>
      <c r="J443" s="470"/>
      <c r="K443" s="470"/>
      <c r="L443" s="470"/>
      <c r="M443" s="470"/>
      <c r="N443" s="470"/>
    </row>
    <row r="444" spans="5:14" ht="18">
      <c r="E444" s="470"/>
      <c r="F444" s="470"/>
      <c r="G444" s="470"/>
      <c r="H444" s="475"/>
      <c r="I444" s="475"/>
      <c r="J444" s="470"/>
      <c r="K444" s="470"/>
      <c r="L444" s="470"/>
      <c r="M444" s="470"/>
      <c r="N444" s="470"/>
    </row>
    <row r="445" spans="5:14" ht="18">
      <c r="E445" s="470"/>
      <c r="F445" s="470"/>
      <c r="G445" s="470"/>
      <c r="H445" s="475"/>
      <c r="I445" s="475"/>
      <c r="J445" s="470"/>
      <c r="K445" s="470"/>
      <c r="L445" s="470"/>
      <c r="M445" s="470"/>
      <c r="N445" s="470"/>
    </row>
    <row r="446" spans="5:14" ht="18">
      <c r="E446" s="470"/>
      <c r="F446" s="470"/>
      <c r="G446" s="470"/>
      <c r="H446" s="475"/>
      <c r="I446" s="475"/>
      <c r="J446" s="470"/>
      <c r="K446" s="470"/>
      <c r="L446" s="470"/>
      <c r="M446" s="470"/>
      <c r="N446" s="470"/>
    </row>
    <row r="447" spans="5:14" ht="18">
      <c r="E447" s="470"/>
      <c r="F447" s="470"/>
      <c r="G447" s="470"/>
      <c r="H447" s="475"/>
      <c r="I447" s="475"/>
      <c r="J447" s="470"/>
      <c r="K447" s="470"/>
      <c r="L447" s="470"/>
      <c r="M447" s="470"/>
      <c r="N447" s="470"/>
    </row>
    <row r="448" spans="5:14" ht="18">
      <c r="E448" s="470"/>
      <c r="F448" s="470"/>
      <c r="G448" s="470"/>
      <c r="H448" s="475"/>
      <c r="I448" s="475"/>
      <c r="J448" s="470"/>
      <c r="K448" s="470"/>
      <c r="L448" s="470"/>
      <c r="M448" s="470"/>
      <c r="N448" s="470"/>
    </row>
    <row r="449" spans="5:14" ht="18">
      <c r="E449" s="470"/>
      <c r="F449" s="470"/>
      <c r="G449" s="470"/>
      <c r="H449" s="475"/>
      <c r="I449" s="475"/>
      <c r="J449" s="470"/>
      <c r="K449" s="470"/>
      <c r="L449" s="470"/>
      <c r="M449" s="470"/>
      <c r="N449" s="470"/>
    </row>
    <row r="450" spans="5:14" ht="18">
      <c r="E450" s="470"/>
      <c r="F450" s="470"/>
      <c r="G450" s="470"/>
      <c r="H450" s="475"/>
      <c r="I450" s="475"/>
      <c r="J450" s="470"/>
      <c r="K450" s="470"/>
      <c r="L450" s="470"/>
      <c r="M450" s="470"/>
      <c r="N450" s="470"/>
    </row>
    <row r="451" spans="5:14" ht="18">
      <c r="E451" s="470"/>
      <c r="F451" s="470"/>
      <c r="G451" s="470"/>
      <c r="H451" s="475"/>
      <c r="I451" s="475"/>
      <c r="J451" s="470"/>
      <c r="K451" s="470"/>
      <c r="L451" s="470"/>
      <c r="M451" s="470"/>
      <c r="N451" s="470"/>
    </row>
    <row r="452" spans="5:14" ht="18">
      <c r="E452" s="470"/>
      <c r="F452" s="470"/>
      <c r="G452" s="470"/>
      <c r="H452" s="475"/>
      <c r="I452" s="475"/>
      <c r="J452" s="470"/>
      <c r="K452" s="470"/>
      <c r="L452" s="470"/>
      <c r="M452" s="470"/>
      <c r="N452" s="470"/>
    </row>
    <row r="453" spans="5:14" ht="18">
      <c r="E453" s="470"/>
      <c r="F453" s="470"/>
      <c r="G453" s="470"/>
      <c r="H453" s="475"/>
      <c r="I453" s="475"/>
      <c r="J453" s="470"/>
      <c r="K453" s="470"/>
      <c r="L453" s="470"/>
      <c r="M453" s="470"/>
      <c r="N453" s="470"/>
    </row>
    <row r="454" spans="5:14" ht="18">
      <c r="E454" s="470"/>
      <c r="F454" s="470"/>
      <c r="G454" s="470"/>
      <c r="H454" s="475"/>
      <c r="I454" s="475"/>
      <c r="J454" s="470"/>
      <c r="K454" s="470"/>
      <c r="L454" s="470"/>
      <c r="M454" s="470"/>
      <c r="N454" s="470"/>
    </row>
    <row r="455" spans="5:14" ht="18">
      <c r="E455" s="470"/>
      <c r="F455" s="470"/>
      <c r="G455" s="470"/>
      <c r="H455" s="475"/>
      <c r="I455" s="475"/>
      <c r="J455" s="470"/>
      <c r="K455" s="470"/>
      <c r="L455" s="470"/>
      <c r="M455" s="470"/>
      <c r="N455" s="470"/>
    </row>
    <row r="456" spans="5:14" ht="18">
      <c r="E456" s="470"/>
      <c r="F456" s="470"/>
      <c r="G456" s="470"/>
      <c r="H456" s="475"/>
      <c r="I456" s="475"/>
      <c r="J456" s="470"/>
      <c r="K456" s="470"/>
      <c r="L456" s="470"/>
      <c r="M456" s="470"/>
      <c r="N456" s="470"/>
    </row>
    <row r="457" spans="5:14" ht="18">
      <c r="E457" s="470"/>
      <c r="F457" s="470"/>
      <c r="G457" s="470"/>
      <c r="H457" s="475"/>
      <c r="I457" s="475"/>
      <c r="J457" s="470"/>
      <c r="K457" s="470"/>
      <c r="L457" s="470"/>
      <c r="M457" s="470"/>
      <c r="N457" s="470"/>
    </row>
    <row r="458" spans="5:14" ht="18">
      <c r="E458" s="470"/>
      <c r="F458" s="470"/>
      <c r="G458" s="470"/>
      <c r="H458" s="475"/>
      <c r="I458" s="475"/>
      <c r="J458" s="470"/>
      <c r="K458" s="470"/>
      <c r="L458" s="470"/>
      <c r="M458" s="470"/>
      <c r="N458" s="470"/>
    </row>
    <row r="459" spans="5:14" ht="18">
      <c r="E459" s="470"/>
      <c r="F459" s="470"/>
      <c r="G459" s="470"/>
      <c r="H459" s="475"/>
      <c r="I459" s="475"/>
      <c r="J459" s="470"/>
      <c r="K459" s="470"/>
      <c r="L459" s="470"/>
      <c r="M459" s="470"/>
      <c r="N459" s="470"/>
    </row>
    <row r="460" spans="5:14" ht="18">
      <c r="E460" s="470"/>
      <c r="F460" s="470"/>
      <c r="G460" s="470"/>
      <c r="H460" s="475"/>
      <c r="I460" s="475"/>
      <c r="J460" s="470"/>
      <c r="K460" s="470"/>
      <c r="L460" s="470"/>
      <c r="M460" s="470"/>
      <c r="N460" s="470"/>
    </row>
    <row r="461" spans="5:14" ht="18">
      <c r="E461" s="470"/>
      <c r="F461" s="470"/>
      <c r="G461" s="470"/>
      <c r="H461" s="475"/>
      <c r="I461" s="475"/>
      <c r="J461" s="470"/>
      <c r="K461" s="470"/>
      <c r="L461" s="470"/>
      <c r="M461" s="470"/>
      <c r="N461" s="470"/>
    </row>
    <row r="462" spans="5:14" ht="18">
      <c r="E462" s="470"/>
      <c r="F462" s="470"/>
      <c r="G462" s="470"/>
      <c r="H462" s="475"/>
      <c r="I462" s="475"/>
      <c r="J462" s="470"/>
      <c r="K462" s="470"/>
      <c r="L462" s="470"/>
      <c r="M462" s="470"/>
      <c r="N462" s="470"/>
    </row>
    <row r="463" spans="5:14" ht="18">
      <c r="E463" s="470"/>
      <c r="F463" s="470"/>
      <c r="G463" s="470"/>
      <c r="H463" s="475"/>
      <c r="I463" s="475"/>
      <c r="J463" s="470"/>
      <c r="K463" s="470"/>
      <c r="L463" s="470"/>
      <c r="M463" s="470"/>
      <c r="N463" s="470"/>
    </row>
    <row r="464" spans="5:14" ht="18">
      <c r="E464" s="470"/>
      <c r="F464" s="470"/>
      <c r="G464" s="470"/>
      <c r="H464" s="475"/>
      <c r="I464" s="475"/>
      <c r="J464" s="470"/>
      <c r="K464" s="470"/>
      <c r="L464" s="470"/>
      <c r="M464" s="470"/>
      <c r="N464" s="470"/>
    </row>
    <row r="465" spans="5:14" ht="18">
      <c r="E465" s="470"/>
      <c r="F465" s="470"/>
      <c r="G465" s="470"/>
      <c r="H465" s="475"/>
      <c r="I465" s="475"/>
      <c r="J465" s="470"/>
      <c r="K465" s="470"/>
      <c r="L465" s="470"/>
      <c r="M465" s="470"/>
      <c r="N465" s="470"/>
    </row>
    <row r="466" spans="5:14" ht="18">
      <c r="E466" s="470"/>
      <c r="F466" s="470"/>
      <c r="G466" s="470"/>
      <c r="H466" s="475"/>
      <c r="I466" s="475"/>
      <c r="J466" s="470"/>
      <c r="K466" s="470"/>
      <c r="L466" s="470"/>
      <c r="M466" s="470"/>
      <c r="N466" s="470"/>
    </row>
    <row r="467" spans="5:14" ht="18">
      <c r="E467" s="470"/>
      <c r="F467" s="470"/>
      <c r="G467" s="470"/>
      <c r="H467" s="475"/>
      <c r="I467" s="475"/>
      <c r="J467" s="470"/>
      <c r="K467" s="470"/>
      <c r="L467" s="470"/>
      <c r="M467" s="470"/>
      <c r="N467" s="470"/>
    </row>
    <row r="468" spans="5:14" ht="18">
      <c r="E468" s="470"/>
      <c r="F468" s="470"/>
      <c r="G468" s="470"/>
      <c r="H468" s="475"/>
      <c r="I468" s="475"/>
      <c r="J468" s="470"/>
      <c r="K468" s="470"/>
      <c r="L468" s="470"/>
      <c r="M468" s="470"/>
      <c r="N468" s="470"/>
    </row>
    <row r="469" spans="5:14" ht="18">
      <c r="E469" s="470"/>
      <c r="F469" s="470"/>
      <c r="G469" s="470"/>
      <c r="H469" s="475"/>
      <c r="I469" s="475"/>
      <c r="J469" s="470"/>
      <c r="K469" s="470"/>
      <c r="L469" s="470"/>
      <c r="M469" s="470"/>
      <c r="N469" s="470"/>
    </row>
    <row r="470" spans="5:14" ht="18">
      <c r="E470" s="470"/>
      <c r="F470" s="470"/>
      <c r="G470" s="470"/>
      <c r="H470" s="475"/>
      <c r="I470" s="475"/>
      <c r="J470" s="470"/>
      <c r="K470" s="470"/>
      <c r="L470" s="470"/>
      <c r="M470" s="470"/>
      <c r="N470" s="470"/>
    </row>
    <row r="471" spans="5:14" ht="18">
      <c r="E471" s="470"/>
      <c r="F471" s="470"/>
      <c r="G471" s="470"/>
      <c r="H471" s="475"/>
      <c r="I471" s="475"/>
      <c r="J471" s="470"/>
      <c r="K471" s="470"/>
      <c r="L471" s="470"/>
      <c r="M471" s="470"/>
      <c r="N471" s="470"/>
    </row>
    <row r="472" spans="5:14" ht="18">
      <c r="E472" s="470"/>
      <c r="F472" s="470"/>
      <c r="G472" s="470"/>
      <c r="H472" s="475"/>
      <c r="I472" s="475"/>
      <c r="J472" s="470"/>
      <c r="K472" s="470"/>
      <c r="L472" s="470"/>
      <c r="M472" s="470"/>
      <c r="N472" s="470"/>
    </row>
    <row r="473" spans="5:14" ht="18">
      <c r="E473" s="470"/>
      <c r="F473" s="470"/>
      <c r="G473" s="470"/>
      <c r="H473" s="475"/>
      <c r="I473" s="475"/>
      <c r="J473" s="470"/>
      <c r="K473" s="470"/>
      <c r="L473" s="470"/>
      <c r="M473" s="470"/>
      <c r="N473" s="470"/>
    </row>
    <row r="474" spans="5:14" ht="18">
      <c r="E474" s="470"/>
      <c r="F474" s="470"/>
      <c r="G474" s="470"/>
      <c r="H474" s="475"/>
      <c r="I474" s="475"/>
      <c r="J474" s="470"/>
      <c r="K474" s="470"/>
      <c r="L474" s="470"/>
      <c r="M474" s="470"/>
      <c r="N474" s="470"/>
    </row>
    <row r="475" spans="5:14" ht="18">
      <c r="E475" s="470"/>
      <c r="F475" s="470"/>
      <c r="G475" s="470"/>
      <c r="H475" s="475"/>
      <c r="I475" s="475"/>
      <c r="J475" s="470"/>
      <c r="K475" s="470"/>
      <c r="L475" s="470"/>
      <c r="M475" s="470"/>
      <c r="N475" s="470"/>
    </row>
    <row r="476" spans="5:14" ht="18">
      <c r="E476" s="470"/>
      <c r="F476" s="470"/>
      <c r="G476" s="470"/>
      <c r="H476" s="475"/>
      <c r="I476" s="475"/>
      <c r="J476" s="470"/>
      <c r="K476" s="470"/>
      <c r="L476" s="470"/>
      <c r="M476" s="470"/>
      <c r="N476" s="470"/>
    </row>
    <row r="477" spans="5:14" ht="18">
      <c r="E477" s="470"/>
      <c r="F477" s="470"/>
      <c r="G477" s="470"/>
      <c r="H477" s="475"/>
      <c r="I477" s="475"/>
      <c r="J477" s="470"/>
      <c r="K477" s="470"/>
      <c r="L477" s="470"/>
      <c r="M477" s="470"/>
      <c r="N477" s="470"/>
    </row>
    <row r="478" spans="5:14" ht="18">
      <c r="E478" s="470"/>
      <c r="F478" s="470"/>
      <c r="G478" s="470"/>
      <c r="H478" s="475"/>
      <c r="I478" s="475"/>
      <c r="J478" s="470"/>
      <c r="K478" s="470"/>
      <c r="L478" s="470"/>
      <c r="M478" s="470"/>
      <c r="N478" s="470"/>
    </row>
    <row r="479" spans="5:14" ht="18">
      <c r="E479" s="470"/>
      <c r="F479" s="470"/>
      <c r="G479" s="470"/>
      <c r="H479" s="475"/>
      <c r="I479" s="475"/>
      <c r="J479" s="470"/>
      <c r="K479" s="470"/>
      <c r="L479" s="470"/>
      <c r="M479" s="470"/>
      <c r="N479" s="470"/>
    </row>
    <row r="480" spans="5:14" ht="18">
      <c r="E480" s="470"/>
      <c r="F480" s="470"/>
      <c r="G480" s="470"/>
      <c r="H480" s="475"/>
      <c r="I480" s="475"/>
      <c r="J480" s="470"/>
      <c r="K480" s="470"/>
      <c r="L480" s="470"/>
      <c r="M480" s="470"/>
      <c r="N480" s="470"/>
    </row>
    <row r="481" spans="5:14" ht="18">
      <c r="E481" s="470"/>
      <c r="F481" s="470"/>
      <c r="G481" s="470"/>
      <c r="H481" s="475"/>
      <c r="I481" s="475"/>
      <c r="J481" s="470"/>
      <c r="K481" s="470"/>
      <c r="L481" s="470"/>
      <c r="M481" s="470"/>
      <c r="N481" s="470"/>
    </row>
    <row r="482" spans="5:14" ht="18">
      <c r="E482" s="470"/>
      <c r="F482" s="470"/>
      <c r="G482" s="470"/>
      <c r="H482" s="475"/>
      <c r="I482" s="475"/>
      <c r="J482" s="470"/>
      <c r="K482" s="470"/>
      <c r="L482" s="470"/>
      <c r="M482" s="470"/>
      <c r="N482" s="470"/>
    </row>
    <row r="483" spans="5:14" ht="18">
      <c r="E483" s="470"/>
      <c r="F483" s="470"/>
      <c r="G483" s="470"/>
      <c r="H483" s="475"/>
      <c r="I483" s="475"/>
      <c r="J483" s="470"/>
      <c r="K483" s="470"/>
      <c r="L483" s="470"/>
      <c r="M483" s="470"/>
      <c r="N483" s="470"/>
    </row>
    <row r="484" spans="5:14" ht="18">
      <c r="E484" s="470"/>
      <c r="F484" s="470"/>
      <c r="G484" s="470"/>
      <c r="H484" s="475"/>
      <c r="I484" s="475"/>
      <c r="J484" s="470"/>
      <c r="K484" s="470"/>
      <c r="L484" s="470"/>
      <c r="M484" s="470"/>
      <c r="N484" s="470"/>
    </row>
    <row r="485" spans="5:14" ht="18">
      <c r="E485" s="470"/>
      <c r="F485" s="470"/>
      <c r="G485" s="470"/>
      <c r="H485" s="475"/>
      <c r="I485" s="475"/>
      <c r="J485" s="470"/>
      <c r="K485" s="470"/>
      <c r="L485" s="470"/>
      <c r="M485" s="470"/>
      <c r="N485" s="470"/>
    </row>
    <row r="486" spans="5:14" ht="18">
      <c r="E486" s="470"/>
      <c r="F486" s="470"/>
      <c r="G486" s="470"/>
      <c r="H486" s="475"/>
      <c r="I486" s="475"/>
      <c r="J486" s="470"/>
      <c r="K486" s="470"/>
      <c r="L486" s="470"/>
      <c r="M486" s="470"/>
      <c r="N486" s="470"/>
    </row>
    <row r="487" spans="5:14" ht="18">
      <c r="E487" s="470"/>
      <c r="F487" s="470"/>
      <c r="G487" s="470"/>
      <c r="H487" s="475"/>
      <c r="I487" s="475"/>
      <c r="J487" s="470"/>
      <c r="K487" s="470"/>
      <c r="L487" s="470"/>
      <c r="M487" s="470"/>
      <c r="N487" s="470"/>
    </row>
    <row r="488" spans="5:14" ht="18">
      <c r="E488" s="470"/>
      <c r="F488" s="470"/>
      <c r="G488" s="470"/>
      <c r="H488" s="475"/>
      <c r="I488" s="475"/>
      <c r="J488" s="470"/>
      <c r="K488" s="470"/>
      <c r="L488" s="470"/>
      <c r="M488" s="470"/>
      <c r="N488" s="470"/>
    </row>
    <row r="489" spans="5:14" ht="18">
      <c r="E489" s="470"/>
      <c r="F489" s="470"/>
      <c r="G489" s="470"/>
      <c r="H489" s="475"/>
      <c r="I489" s="475"/>
      <c r="J489" s="470"/>
      <c r="K489" s="470"/>
      <c r="L489" s="470"/>
      <c r="M489" s="470"/>
      <c r="N489" s="470"/>
    </row>
    <row r="490" spans="5:14" ht="18">
      <c r="E490" s="470"/>
      <c r="F490" s="470"/>
      <c r="G490" s="470"/>
      <c r="H490" s="475"/>
      <c r="I490" s="475"/>
      <c r="J490" s="470"/>
      <c r="K490" s="470"/>
      <c r="L490" s="470"/>
      <c r="M490" s="470"/>
      <c r="N490" s="470"/>
    </row>
    <row r="491" spans="5:14" ht="18">
      <c r="E491" s="470"/>
      <c r="F491" s="470"/>
      <c r="G491" s="470"/>
      <c r="H491" s="475"/>
      <c r="I491" s="475"/>
      <c r="J491" s="470"/>
      <c r="K491" s="470"/>
      <c r="L491" s="470"/>
      <c r="M491" s="470"/>
      <c r="N491" s="470"/>
    </row>
    <row r="492" spans="5:14" ht="18">
      <c r="E492" s="470"/>
      <c r="F492" s="470"/>
      <c r="G492" s="470"/>
      <c r="H492" s="475"/>
      <c r="I492" s="475"/>
      <c r="J492" s="470"/>
      <c r="K492" s="470"/>
      <c r="L492" s="470"/>
      <c r="M492" s="470"/>
      <c r="N492" s="470"/>
    </row>
    <row r="493" spans="5:14" ht="18">
      <c r="E493" s="470"/>
      <c r="F493" s="470"/>
      <c r="G493" s="470"/>
      <c r="H493" s="475"/>
      <c r="I493" s="475"/>
      <c r="J493" s="470"/>
      <c r="K493" s="470"/>
      <c r="L493" s="470"/>
      <c r="M493" s="470"/>
      <c r="N493" s="470"/>
    </row>
    <row r="494" spans="5:14" ht="18">
      <c r="E494" s="470"/>
      <c r="F494" s="470"/>
      <c r="G494" s="470"/>
      <c r="H494" s="475"/>
      <c r="I494" s="475"/>
      <c r="J494" s="470"/>
      <c r="K494" s="470"/>
      <c r="L494" s="470"/>
      <c r="M494" s="470"/>
      <c r="N494" s="470"/>
    </row>
    <row r="495" spans="5:14" ht="18">
      <c r="E495" s="470"/>
      <c r="F495" s="470"/>
      <c r="G495" s="470"/>
      <c r="H495" s="475"/>
      <c r="I495" s="475"/>
      <c r="J495" s="470"/>
      <c r="K495" s="470"/>
      <c r="L495" s="470"/>
      <c r="M495" s="470"/>
      <c r="N495" s="470"/>
    </row>
    <row r="496" spans="5:14" ht="18">
      <c r="E496" s="470"/>
      <c r="F496" s="470"/>
      <c r="G496" s="470"/>
      <c r="H496" s="475"/>
      <c r="I496" s="475"/>
      <c r="J496" s="470"/>
      <c r="K496" s="470"/>
      <c r="L496" s="470"/>
      <c r="M496" s="470"/>
      <c r="N496" s="470"/>
    </row>
    <row r="497" spans="5:14" ht="18">
      <c r="E497" s="470"/>
      <c r="F497" s="470"/>
      <c r="G497" s="470"/>
      <c r="H497" s="475"/>
      <c r="I497" s="475"/>
      <c r="J497" s="470"/>
      <c r="K497" s="470"/>
      <c r="L497" s="470"/>
      <c r="M497" s="470"/>
      <c r="N497" s="470"/>
    </row>
    <row r="498" spans="5:14" ht="18">
      <c r="E498" s="470"/>
      <c r="F498" s="470"/>
      <c r="G498" s="470"/>
      <c r="H498" s="475"/>
      <c r="I498" s="475"/>
      <c r="J498" s="470"/>
      <c r="K498" s="470"/>
      <c r="L498" s="470"/>
      <c r="M498" s="470"/>
      <c r="N498" s="470"/>
    </row>
    <row r="499" spans="5:14" ht="18">
      <c r="E499" s="470"/>
      <c r="F499" s="470"/>
      <c r="G499" s="470"/>
      <c r="H499" s="475"/>
      <c r="I499" s="475"/>
      <c r="J499" s="470"/>
      <c r="K499" s="470"/>
      <c r="L499" s="470"/>
      <c r="M499" s="470"/>
      <c r="N499" s="470"/>
    </row>
    <row r="500" spans="5:14" ht="18">
      <c r="E500" s="470"/>
      <c r="F500" s="470"/>
      <c r="G500" s="470"/>
      <c r="H500" s="475"/>
      <c r="I500" s="475"/>
      <c r="J500" s="470"/>
      <c r="K500" s="470"/>
      <c r="L500" s="470"/>
      <c r="M500" s="470"/>
      <c r="N500" s="470"/>
    </row>
    <row r="501" spans="5:14" ht="18">
      <c r="E501" s="470"/>
      <c r="F501" s="470"/>
      <c r="G501" s="470"/>
      <c r="H501" s="475"/>
      <c r="I501" s="475"/>
      <c r="J501" s="470"/>
      <c r="K501" s="470"/>
      <c r="L501" s="470"/>
      <c r="M501" s="470"/>
      <c r="N501" s="470"/>
    </row>
    <row r="502" spans="5:14" ht="18">
      <c r="E502" s="470"/>
      <c r="F502" s="470"/>
      <c r="G502" s="470"/>
      <c r="H502" s="475"/>
      <c r="I502" s="475"/>
      <c r="J502" s="470"/>
      <c r="K502" s="470"/>
      <c r="L502" s="470"/>
      <c r="M502" s="470"/>
      <c r="N502" s="470"/>
    </row>
    <row r="503" spans="5:14" ht="18">
      <c r="E503" s="470"/>
      <c r="F503" s="470"/>
      <c r="G503" s="470"/>
      <c r="H503" s="475"/>
      <c r="I503" s="475"/>
      <c r="J503" s="470"/>
      <c r="K503" s="470"/>
      <c r="L503" s="470"/>
      <c r="M503" s="470"/>
      <c r="N503" s="470"/>
    </row>
    <row r="504" spans="5:14" ht="18">
      <c r="E504" s="470"/>
      <c r="F504" s="470"/>
      <c r="G504" s="470"/>
      <c r="H504" s="475"/>
      <c r="I504" s="475"/>
      <c r="J504" s="470"/>
      <c r="K504" s="470"/>
      <c r="L504" s="470"/>
      <c r="M504" s="470"/>
      <c r="N504" s="470"/>
    </row>
    <row r="505" spans="5:14" ht="18">
      <c r="E505" s="470"/>
      <c r="F505" s="470"/>
      <c r="G505" s="470"/>
      <c r="H505" s="475"/>
      <c r="I505" s="475"/>
      <c r="J505" s="470"/>
      <c r="K505" s="470"/>
      <c r="L505" s="470"/>
      <c r="M505" s="470"/>
      <c r="N505" s="470"/>
    </row>
    <row r="506" spans="5:14" ht="18">
      <c r="E506" s="470"/>
      <c r="F506" s="470"/>
      <c r="G506" s="470"/>
      <c r="H506" s="475"/>
      <c r="I506" s="475"/>
      <c r="J506" s="470"/>
      <c r="K506" s="470"/>
      <c r="L506" s="470"/>
      <c r="M506" s="470"/>
      <c r="N506" s="470"/>
    </row>
    <row r="507" spans="5:14" ht="18">
      <c r="E507" s="470"/>
      <c r="F507" s="470"/>
      <c r="G507" s="470"/>
      <c r="H507" s="475"/>
      <c r="I507" s="475"/>
      <c r="J507" s="470"/>
      <c r="K507" s="470"/>
      <c r="L507" s="470"/>
      <c r="M507" s="470"/>
      <c r="N507" s="470"/>
    </row>
    <row r="508" spans="5:14" ht="18">
      <c r="E508" s="470"/>
      <c r="F508" s="470"/>
      <c r="G508" s="470"/>
      <c r="H508" s="475"/>
      <c r="I508" s="475"/>
      <c r="J508" s="470"/>
      <c r="K508" s="470"/>
      <c r="L508" s="470"/>
      <c r="M508" s="470"/>
      <c r="N508" s="470"/>
    </row>
    <row r="509" spans="5:14" ht="18">
      <c r="E509" s="470"/>
      <c r="F509" s="470"/>
      <c r="G509" s="470"/>
      <c r="H509" s="475"/>
      <c r="I509" s="475"/>
      <c r="J509" s="470"/>
      <c r="K509" s="470"/>
      <c r="L509" s="470"/>
      <c r="M509" s="470"/>
      <c r="N509" s="470"/>
    </row>
    <row r="510" spans="5:14" ht="18">
      <c r="E510" s="470"/>
      <c r="F510" s="470"/>
      <c r="G510" s="470"/>
      <c r="H510" s="475"/>
      <c r="I510" s="475"/>
      <c r="J510" s="470"/>
      <c r="K510" s="470"/>
      <c r="L510" s="470"/>
      <c r="M510" s="470"/>
      <c r="N510" s="470"/>
    </row>
    <row r="511" spans="5:14" ht="18">
      <c r="E511" s="470"/>
      <c r="F511" s="470"/>
      <c r="G511" s="470"/>
      <c r="H511" s="475"/>
      <c r="I511" s="475"/>
      <c r="J511" s="470"/>
      <c r="K511" s="470"/>
      <c r="L511" s="470"/>
      <c r="M511" s="470"/>
      <c r="N511" s="470"/>
    </row>
    <row r="512" spans="5:14" ht="18">
      <c r="E512" s="470"/>
      <c r="F512" s="470"/>
      <c r="G512" s="470"/>
      <c r="H512" s="475"/>
      <c r="I512" s="475"/>
      <c r="J512" s="470"/>
      <c r="K512" s="470"/>
      <c r="L512" s="470"/>
      <c r="M512" s="470"/>
      <c r="N512" s="470"/>
    </row>
    <row r="513" spans="5:14" ht="18">
      <c r="E513" s="470"/>
      <c r="F513" s="470"/>
      <c r="G513" s="470"/>
      <c r="H513" s="475"/>
      <c r="I513" s="475"/>
      <c r="J513" s="470"/>
      <c r="K513" s="470"/>
      <c r="L513" s="470"/>
      <c r="M513" s="470"/>
      <c r="N513" s="470"/>
    </row>
    <row r="514" spans="5:14" ht="18">
      <c r="E514" s="470"/>
      <c r="F514" s="470"/>
      <c r="G514" s="470"/>
      <c r="H514" s="475"/>
      <c r="I514" s="475"/>
      <c r="J514" s="470"/>
      <c r="K514" s="470"/>
      <c r="L514" s="470"/>
      <c r="M514" s="470"/>
      <c r="N514" s="470"/>
    </row>
    <row r="515" spans="5:14" ht="18">
      <c r="E515" s="470"/>
      <c r="F515" s="470"/>
      <c r="G515" s="470"/>
      <c r="H515" s="475"/>
      <c r="I515" s="475"/>
      <c r="J515" s="470"/>
      <c r="K515" s="470"/>
      <c r="L515" s="470"/>
      <c r="M515" s="470"/>
      <c r="N515" s="470"/>
    </row>
    <row r="516" spans="5:14" ht="18">
      <c r="E516" s="470"/>
      <c r="F516" s="470"/>
      <c r="G516" s="470"/>
      <c r="H516" s="475"/>
      <c r="I516" s="475"/>
      <c r="J516" s="470"/>
      <c r="K516" s="470"/>
      <c r="L516" s="470"/>
      <c r="M516" s="470"/>
      <c r="N516" s="470"/>
    </row>
    <row r="517" spans="5:14" ht="18">
      <c r="E517" s="470"/>
      <c r="F517" s="470"/>
      <c r="G517" s="470"/>
      <c r="H517" s="475"/>
      <c r="I517" s="475"/>
      <c r="J517" s="470"/>
      <c r="K517" s="470"/>
      <c r="L517" s="470"/>
      <c r="M517" s="470"/>
      <c r="N517" s="470"/>
    </row>
    <row r="518" spans="5:14" ht="18">
      <c r="E518" s="470"/>
      <c r="F518" s="470"/>
      <c r="G518" s="470"/>
      <c r="H518" s="475"/>
      <c r="I518" s="475"/>
      <c r="J518" s="470"/>
      <c r="K518" s="470"/>
      <c r="L518" s="470"/>
      <c r="M518" s="470"/>
      <c r="N518" s="470"/>
    </row>
    <row r="519" spans="5:14" ht="18">
      <c r="E519" s="470"/>
      <c r="F519" s="470"/>
      <c r="G519" s="470"/>
      <c r="H519" s="475"/>
      <c r="I519" s="475"/>
      <c r="J519" s="470"/>
      <c r="K519" s="470"/>
      <c r="L519" s="470"/>
      <c r="M519" s="470"/>
      <c r="N519" s="470"/>
    </row>
    <row r="520" spans="5:14" ht="18">
      <c r="E520" s="470"/>
      <c r="F520" s="470"/>
      <c r="G520" s="470"/>
      <c r="H520" s="475"/>
      <c r="I520" s="475"/>
      <c r="J520" s="470"/>
      <c r="K520" s="470"/>
      <c r="L520" s="470"/>
      <c r="M520" s="470"/>
      <c r="N520" s="470"/>
    </row>
    <row r="521" spans="5:14" ht="18">
      <c r="E521" s="470"/>
      <c r="F521" s="470"/>
      <c r="G521" s="470"/>
      <c r="H521" s="475"/>
      <c r="I521" s="475"/>
      <c r="J521" s="470"/>
      <c r="K521" s="470"/>
      <c r="L521" s="470"/>
      <c r="M521" s="470"/>
      <c r="N521" s="470"/>
    </row>
    <row r="522" spans="5:14" ht="18">
      <c r="E522" s="470"/>
      <c r="F522" s="470"/>
      <c r="G522" s="470"/>
      <c r="H522" s="475"/>
      <c r="I522" s="475"/>
      <c r="J522" s="470"/>
      <c r="K522" s="470"/>
      <c r="L522" s="470"/>
      <c r="M522" s="470"/>
      <c r="N522" s="470"/>
    </row>
  </sheetData>
  <mergeCells count="22">
    <mergeCell ref="A1:N1"/>
    <mergeCell ref="A2:N2"/>
    <mergeCell ref="A3:AC3"/>
    <mergeCell ref="A4:AC4"/>
    <mergeCell ref="A5:AC5"/>
    <mergeCell ref="E8:G8"/>
    <mergeCell ref="J8:L8"/>
    <mergeCell ref="O8:AC8"/>
    <mergeCell ref="E9:G9"/>
    <mergeCell ref="J9:L9"/>
    <mergeCell ref="O9:AC9"/>
    <mergeCell ref="E10:G10"/>
    <mergeCell ref="J10:L10"/>
    <mergeCell ref="O10:Q10"/>
    <mergeCell ref="R10:T10"/>
    <mergeCell ref="U10:W10"/>
    <mergeCell ref="A152:D152"/>
    <mergeCell ref="A154:D154"/>
    <mergeCell ref="A112:D112"/>
    <mergeCell ref="A130:D130"/>
    <mergeCell ref="A141:D141"/>
    <mergeCell ref="A151:D151"/>
  </mergeCells>
  <printOptions/>
  <pageMargins left="0.75" right="0.75" top="1" bottom="1" header="0.5" footer="0.5"/>
  <pageSetup horizontalDpi="600" verticalDpi="600" orientation="landscape" scale="32" r:id="rId1"/>
  <rowBreaks count="1" manualBreakCount="1">
    <brk id="78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N485"/>
  <sheetViews>
    <sheetView tabSelected="1" view="pageBreakPreview" zoomScale="60" workbookViewId="0" topLeftCell="A1">
      <selection activeCell="A10" sqref="A10:IV12"/>
    </sheetView>
  </sheetViews>
  <sheetFormatPr defaultColWidth="9.140625" defaultRowHeight="12.75"/>
  <cols>
    <col min="1" max="1" width="14.140625" style="726" bestFit="1" customWidth="1"/>
    <col min="2" max="2" width="9.140625" style="726" customWidth="1"/>
    <col min="3" max="3" width="12.57421875" style="726" customWidth="1"/>
    <col min="4" max="4" width="52.140625" style="726" customWidth="1"/>
    <col min="5" max="8" width="40.7109375" style="719" customWidth="1"/>
    <col min="9" max="9" width="17.28125" style="719" hidden="1" customWidth="1"/>
    <col min="10" max="10" width="17.7109375" style="719" hidden="1" customWidth="1"/>
    <col min="11" max="11" width="13.140625" style="719" hidden="1" customWidth="1"/>
    <col min="12" max="12" width="0" style="719" hidden="1" customWidth="1"/>
    <col min="13" max="16384" width="9.140625" style="719" customWidth="1"/>
  </cols>
  <sheetData>
    <row r="1" spans="1:10" ht="15.75">
      <c r="A1" s="720"/>
      <c r="B1" s="764"/>
      <c r="C1" s="764"/>
      <c r="D1" s="969" t="s">
        <v>57</v>
      </c>
      <c r="E1" s="964"/>
      <c r="F1" s="964"/>
      <c r="G1" s="964"/>
      <c r="H1" s="964"/>
      <c r="I1" s="718"/>
      <c r="J1" s="718"/>
    </row>
    <row r="2" spans="1:10" ht="15.75">
      <c r="A2" s="720"/>
      <c r="B2" s="764"/>
      <c r="C2" s="764"/>
      <c r="D2" s="969" t="s">
        <v>310</v>
      </c>
      <c r="E2" s="964"/>
      <c r="F2" s="964"/>
      <c r="G2" s="964"/>
      <c r="H2" s="964"/>
      <c r="I2" s="718"/>
      <c r="J2" s="718"/>
    </row>
    <row r="3" spans="1:10" ht="15.75">
      <c r="A3" s="720"/>
      <c r="B3" s="764"/>
      <c r="C3" s="764"/>
      <c r="D3" s="969" t="s">
        <v>240</v>
      </c>
      <c r="E3" s="964"/>
      <c r="F3" s="964"/>
      <c r="G3" s="964"/>
      <c r="H3" s="964"/>
      <c r="I3" s="718"/>
      <c r="J3" s="718"/>
    </row>
    <row r="4" spans="1:8" ht="15.75">
      <c r="A4" s="720"/>
      <c r="B4" s="720"/>
      <c r="C4" s="721"/>
      <c r="D4" s="721"/>
      <c r="E4" s="722"/>
      <c r="H4" s="722"/>
    </row>
    <row r="5" spans="1:5" ht="16.5" thickBot="1">
      <c r="A5" s="723"/>
      <c r="B5" s="724"/>
      <c r="C5" s="725"/>
      <c r="D5" s="721"/>
      <c r="E5" s="722"/>
    </row>
    <row r="6" spans="1:10" ht="16.5" thickTop="1">
      <c r="A6" s="833"/>
      <c r="B6" s="745"/>
      <c r="C6" s="834"/>
      <c r="D6" s="835"/>
      <c r="E6" s="767" t="s">
        <v>293</v>
      </c>
      <c r="F6" s="767" t="s">
        <v>294</v>
      </c>
      <c r="G6" s="767" t="s">
        <v>294</v>
      </c>
      <c r="H6" s="780" t="s">
        <v>307</v>
      </c>
      <c r="I6" s="727" t="s">
        <v>185</v>
      </c>
      <c r="J6" s="727" t="s">
        <v>187</v>
      </c>
    </row>
    <row r="7" spans="1:10" ht="15.75">
      <c r="A7" s="812"/>
      <c r="B7" s="719"/>
      <c r="C7" s="722"/>
      <c r="D7" s="813"/>
      <c r="E7" s="765" t="s">
        <v>321</v>
      </c>
      <c r="F7" s="773" t="s">
        <v>309</v>
      </c>
      <c r="G7" s="766" t="s">
        <v>323</v>
      </c>
      <c r="H7" s="781" t="s">
        <v>324</v>
      </c>
      <c r="I7" s="728" t="s">
        <v>186</v>
      </c>
      <c r="J7" s="728" t="s">
        <v>188</v>
      </c>
    </row>
    <row r="8" spans="1:10" ht="15.75">
      <c r="A8" s="812"/>
      <c r="B8" s="719"/>
      <c r="C8" s="722"/>
      <c r="D8" s="813"/>
      <c r="E8" s="782"/>
      <c r="F8" s="773" t="s">
        <v>322</v>
      </c>
      <c r="G8" s="766"/>
      <c r="H8" s="781"/>
      <c r="I8" s="728"/>
      <c r="J8" s="728"/>
    </row>
    <row r="9" spans="1:10" ht="15.75">
      <c r="A9" s="814" t="s">
        <v>1</v>
      </c>
      <c r="B9" s="790"/>
      <c r="C9" s="790"/>
      <c r="D9" s="818"/>
      <c r="E9" s="774" t="s">
        <v>4</v>
      </c>
      <c r="F9" s="768" t="s">
        <v>4</v>
      </c>
      <c r="G9" s="768" t="s">
        <v>4</v>
      </c>
      <c r="H9" s="787" t="s">
        <v>4</v>
      </c>
      <c r="I9" s="729">
        <v>0.04</v>
      </c>
      <c r="J9" s="729">
        <v>0.96</v>
      </c>
    </row>
    <row r="10" spans="1:12" ht="15">
      <c r="A10" s="815" t="s">
        <v>241</v>
      </c>
      <c r="B10" s="719"/>
      <c r="C10" s="719"/>
      <c r="D10" s="738"/>
      <c r="E10" s="810">
        <f>+E11+E12</f>
        <v>161867</v>
      </c>
      <c r="F10" s="811">
        <f>+F11+F12</f>
        <v>159790</v>
      </c>
      <c r="G10" s="811">
        <f>+G11+G12</f>
        <v>76880</v>
      </c>
      <c r="H10" s="810">
        <f>+H11+H12</f>
        <v>120777</v>
      </c>
      <c r="I10" s="970" t="e">
        <f>SUM(#REF!)</f>
        <v>#REF!</v>
      </c>
      <c r="J10" s="970" t="e">
        <f>SUM(#REF!)</f>
        <v>#REF!</v>
      </c>
      <c r="K10" s="722">
        <f aca="true" t="shared" si="0" ref="K10:K19">+H10-F10</f>
        <v>-39013</v>
      </c>
      <c r="L10" s="786">
        <f aca="true" t="shared" si="1" ref="L10:L19">+K10/F10</f>
        <v>-0.24415169910507542</v>
      </c>
    </row>
    <row r="11" spans="1:12" ht="15">
      <c r="A11" s="815" t="s">
        <v>242</v>
      </c>
      <c r="B11" s="719"/>
      <c r="C11" s="719"/>
      <c r="D11" s="738"/>
      <c r="E11" s="775">
        <v>122867</v>
      </c>
      <c r="F11" s="759">
        <v>120790</v>
      </c>
      <c r="G11" s="759">
        <v>37880</v>
      </c>
      <c r="H11" s="775">
        <v>104777</v>
      </c>
      <c r="I11" s="734"/>
      <c r="J11" s="734"/>
      <c r="K11" s="722"/>
      <c r="L11" s="786"/>
    </row>
    <row r="12" spans="1:12" ht="15">
      <c r="A12" s="832" t="s">
        <v>330</v>
      </c>
      <c r="B12" s="719"/>
      <c r="C12" s="719"/>
      <c r="D12" s="738"/>
      <c r="E12" s="775">
        <v>39000</v>
      </c>
      <c r="F12" s="759">
        <v>39000</v>
      </c>
      <c r="G12" s="759">
        <v>39000</v>
      </c>
      <c r="H12" s="775">
        <v>16000</v>
      </c>
      <c r="I12" s="734"/>
      <c r="J12" s="734"/>
      <c r="K12" s="722"/>
      <c r="L12" s="786"/>
    </row>
    <row r="13" spans="1:12" ht="15">
      <c r="A13" s="815" t="s">
        <v>180</v>
      </c>
      <c r="B13" s="719"/>
      <c r="C13" s="719"/>
      <c r="D13" s="738"/>
      <c r="E13" s="775">
        <v>123403</v>
      </c>
      <c r="F13" s="759">
        <v>83016</v>
      </c>
      <c r="G13" s="759">
        <v>111375</v>
      </c>
      <c r="H13" s="777">
        <v>100500</v>
      </c>
      <c r="I13" s="732">
        <f>+G13*(1+$I$9)</f>
        <v>115830</v>
      </c>
      <c r="J13" s="732">
        <f>+F13*$J$9</f>
        <v>79695.36</v>
      </c>
      <c r="K13" s="730">
        <f t="shared" si="0"/>
        <v>17484</v>
      </c>
      <c r="L13" s="731">
        <f t="shared" si="1"/>
        <v>0.21061000289100895</v>
      </c>
    </row>
    <row r="14" spans="1:12" ht="15">
      <c r="A14" s="815" t="s">
        <v>243</v>
      </c>
      <c r="B14" s="719"/>
      <c r="C14" s="719"/>
      <c r="D14" s="738"/>
      <c r="E14" s="775">
        <v>1161967</v>
      </c>
      <c r="F14" s="759">
        <v>1106598</v>
      </c>
      <c r="G14" s="759">
        <v>1292041</v>
      </c>
      <c r="H14" s="777">
        <v>1294226</v>
      </c>
      <c r="I14" s="732">
        <f>+G14*(1+$I$9)</f>
        <v>1343722.6400000001</v>
      </c>
      <c r="J14" s="732">
        <f>+F14*$J$9</f>
        <v>1062334.08</v>
      </c>
      <c r="K14" s="730">
        <f t="shared" si="0"/>
        <v>187628</v>
      </c>
      <c r="L14" s="731">
        <f t="shared" si="1"/>
        <v>0.1695538940066763</v>
      </c>
    </row>
    <row r="15" spans="1:12" ht="15">
      <c r="A15" s="816" t="s">
        <v>311</v>
      </c>
      <c r="B15" s="719"/>
      <c r="C15" s="719"/>
      <c r="D15" s="738"/>
      <c r="E15" s="775">
        <v>0</v>
      </c>
      <c r="F15" s="759">
        <v>0</v>
      </c>
      <c r="G15" s="759">
        <v>-2475</v>
      </c>
      <c r="H15" s="777">
        <v>0</v>
      </c>
      <c r="I15" s="732">
        <f>+G15*(1+$I$9)</f>
        <v>-2574</v>
      </c>
      <c r="J15" s="732">
        <f>+F15*$J$9</f>
        <v>0</v>
      </c>
      <c r="K15" s="730">
        <f t="shared" si="0"/>
        <v>0</v>
      </c>
      <c r="L15" s="731" t="e">
        <f t="shared" si="1"/>
        <v>#DIV/0!</v>
      </c>
    </row>
    <row r="16" spans="1:12" ht="15">
      <c r="A16" s="815" t="s">
        <v>302</v>
      </c>
      <c r="B16" s="719"/>
      <c r="C16" s="719"/>
      <c r="D16" s="738"/>
      <c r="E16" s="775">
        <v>88851</v>
      </c>
      <c r="F16" s="759">
        <v>100000</v>
      </c>
      <c r="G16" s="759">
        <v>81180</v>
      </c>
      <c r="H16" s="777">
        <v>81353</v>
      </c>
      <c r="I16" s="732">
        <f>+G16*(1+$I$9)</f>
        <v>84427.2</v>
      </c>
      <c r="J16" s="732">
        <f>+F16*$J$9</f>
        <v>96000</v>
      </c>
      <c r="K16" s="730">
        <f t="shared" si="0"/>
        <v>-18647</v>
      </c>
      <c r="L16" s="731">
        <f t="shared" si="1"/>
        <v>-0.18647</v>
      </c>
    </row>
    <row r="17" spans="1:12" ht="15">
      <c r="A17" s="815" t="s">
        <v>244</v>
      </c>
      <c r="B17" s="719"/>
      <c r="C17" s="719"/>
      <c r="D17" s="738"/>
      <c r="E17" s="775">
        <v>0</v>
      </c>
      <c r="F17" s="759">
        <v>0</v>
      </c>
      <c r="G17" s="759">
        <v>-5445</v>
      </c>
      <c r="H17" s="777">
        <v>0</v>
      </c>
      <c r="I17" s="732">
        <f>+G17*(1+$I$9)</f>
        <v>-5662.8</v>
      </c>
      <c r="J17" s="732">
        <f>+F17*$J$9</f>
        <v>0</v>
      </c>
      <c r="K17" s="730">
        <f t="shared" si="0"/>
        <v>0</v>
      </c>
      <c r="L17" s="731" t="e">
        <f t="shared" si="1"/>
        <v>#DIV/0!</v>
      </c>
    </row>
    <row r="18" spans="1:12" ht="15">
      <c r="A18" s="817" t="s">
        <v>245</v>
      </c>
      <c r="B18" s="790"/>
      <c r="C18" s="790"/>
      <c r="D18" s="818"/>
      <c r="E18" s="783">
        <f>SUM(E19:E21)</f>
        <v>221930</v>
      </c>
      <c r="F18" s="784">
        <f>+F19+F21+F20</f>
        <v>212930</v>
      </c>
      <c r="G18" s="784">
        <f>+G19+G21+G20</f>
        <v>226890</v>
      </c>
      <c r="H18" s="789">
        <f>+H19+H21+H20</f>
        <v>251512</v>
      </c>
      <c r="I18" s="735">
        <f>SUM(I19:I21)</f>
        <v>0</v>
      </c>
      <c r="J18" s="735">
        <f>SUM(J19:J21)</f>
        <v>0</v>
      </c>
      <c r="K18" s="730">
        <f t="shared" si="0"/>
        <v>38582</v>
      </c>
      <c r="L18" s="731">
        <f t="shared" si="1"/>
        <v>0.18119569811675199</v>
      </c>
    </row>
    <row r="19" spans="1:12" ht="15">
      <c r="A19" s="816" t="s">
        <v>246</v>
      </c>
      <c r="B19" s="719"/>
      <c r="C19" s="719"/>
      <c r="D19" s="738"/>
      <c r="E19" s="775">
        <f>210721+9000</f>
        <v>219721</v>
      </c>
      <c r="F19" s="759">
        <v>210721</v>
      </c>
      <c r="G19" s="759">
        <v>224614</v>
      </c>
      <c r="H19" s="777">
        <f>249162+4000</f>
        <v>253162</v>
      </c>
      <c r="I19" s="732"/>
      <c r="J19" s="732"/>
      <c r="K19" s="730">
        <f t="shared" si="0"/>
        <v>42441</v>
      </c>
      <c r="L19" s="731">
        <f t="shared" si="1"/>
        <v>0.20140849749194434</v>
      </c>
    </row>
    <row r="20" spans="1:12" ht="15">
      <c r="A20" s="816" t="s">
        <v>312</v>
      </c>
      <c r="B20" s="719"/>
      <c r="C20" s="719"/>
      <c r="D20" s="738"/>
      <c r="E20" s="775">
        <v>0</v>
      </c>
      <c r="F20" s="759">
        <v>0</v>
      </c>
      <c r="G20" s="759">
        <v>0</v>
      </c>
      <c r="H20" s="777">
        <v>-4000</v>
      </c>
      <c r="I20" s="732"/>
      <c r="J20" s="732"/>
      <c r="K20" s="730"/>
      <c r="L20" s="731"/>
    </row>
    <row r="21" spans="1:12" ht="15">
      <c r="A21" s="816" t="s">
        <v>247</v>
      </c>
      <c r="B21" s="719"/>
      <c r="C21" s="719"/>
      <c r="D21" s="738"/>
      <c r="E21" s="775">
        <v>2209</v>
      </c>
      <c r="F21" s="759">
        <v>2209</v>
      </c>
      <c r="G21" s="759">
        <v>2276</v>
      </c>
      <c r="H21" s="777">
        <v>2350</v>
      </c>
      <c r="I21" s="732"/>
      <c r="J21" s="732"/>
      <c r="K21" s="730">
        <f aca="true" t="shared" si="2" ref="K21:K34">+H21-F21</f>
        <v>141</v>
      </c>
      <c r="L21" s="731">
        <f aca="true" t="shared" si="3" ref="L21:L33">+K21/F21</f>
        <v>0.06382978723404255</v>
      </c>
    </row>
    <row r="22" spans="1:12" ht="15">
      <c r="A22" s="815" t="s">
        <v>248</v>
      </c>
      <c r="B22" s="719"/>
      <c r="C22" s="719"/>
      <c r="D22" s="738"/>
      <c r="E22" s="775">
        <v>67922</v>
      </c>
      <c r="F22" s="759">
        <v>67922</v>
      </c>
      <c r="G22" s="759">
        <v>69852</v>
      </c>
      <c r="H22" s="777">
        <v>73208</v>
      </c>
      <c r="I22" s="732">
        <f>+G22*(1+$I$9)</f>
        <v>72646.08</v>
      </c>
      <c r="J22" s="732">
        <f>+F22*$J$9</f>
        <v>65205.119999999995</v>
      </c>
      <c r="K22" s="730">
        <f t="shared" si="2"/>
        <v>5286</v>
      </c>
      <c r="L22" s="731">
        <f t="shared" si="3"/>
        <v>0.0778245634698625</v>
      </c>
    </row>
    <row r="23" spans="1:12" ht="15">
      <c r="A23" s="815" t="s">
        <v>249</v>
      </c>
      <c r="B23" s="719"/>
      <c r="C23" s="719"/>
      <c r="D23" s="738"/>
      <c r="E23" s="775">
        <v>10859</v>
      </c>
      <c r="F23" s="759">
        <v>10859</v>
      </c>
      <c r="G23" s="759">
        <v>11385</v>
      </c>
      <c r="H23" s="777">
        <v>12194</v>
      </c>
      <c r="I23" s="732">
        <f>+G23*(1+$I$9)</f>
        <v>11840.4</v>
      </c>
      <c r="J23" s="732">
        <f>+F23*$J$9</f>
        <v>10424.64</v>
      </c>
      <c r="K23" s="730">
        <f t="shared" si="2"/>
        <v>1335</v>
      </c>
      <c r="L23" s="731">
        <f t="shared" si="3"/>
        <v>0.12293949719126991</v>
      </c>
    </row>
    <row r="24" spans="1:12" ht="15">
      <c r="A24" s="819" t="s">
        <v>148</v>
      </c>
      <c r="B24" s="719"/>
      <c r="C24" s="719"/>
      <c r="D24" s="738"/>
      <c r="E24" s="776" t="s">
        <v>171</v>
      </c>
      <c r="F24" s="769" t="s">
        <v>171</v>
      </c>
      <c r="G24" s="769">
        <v>65259</v>
      </c>
      <c r="H24" s="777">
        <v>78056</v>
      </c>
      <c r="I24" s="732">
        <f>+G24*(1+$I$9)</f>
        <v>67869.36</v>
      </c>
      <c r="J24" s="732" t="e">
        <f>+F24*$J$9</f>
        <v>#VALUE!</v>
      </c>
      <c r="K24" s="730" t="e">
        <f t="shared" si="2"/>
        <v>#VALUE!</v>
      </c>
      <c r="L24" s="731" t="e">
        <f t="shared" si="3"/>
        <v>#VALUE!</v>
      </c>
    </row>
    <row r="25" spans="1:12" ht="15">
      <c r="A25" s="817" t="s">
        <v>250</v>
      </c>
      <c r="B25" s="790"/>
      <c r="C25" s="790"/>
      <c r="D25" s="818"/>
      <c r="E25" s="783">
        <f>SUM(E26:E34)</f>
        <v>664506</v>
      </c>
      <c r="F25" s="784">
        <f>SUM(F26:F34)</f>
        <v>653506</v>
      </c>
      <c r="G25" s="784">
        <f>SUM(G26:G34)</f>
        <v>654919</v>
      </c>
      <c r="H25" s="783">
        <f>SUM(H26:H34)</f>
        <v>750584</v>
      </c>
      <c r="I25" s="737">
        <f>SUM(I26:I34)+1</f>
        <v>1</v>
      </c>
      <c r="J25" s="737">
        <f>SUM(J26:J34)+1</f>
        <v>1</v>
      </c>
      <c r="K25" s="730">
        <f t="shared" si="2"/>
        <v>97078</v>
      </c>
      <c r="L25" s="731">
        <f t="shared" si="3"/>
        <v>0.14854951599526248</v>
      </c>
    </row>
    <row r="26" spans="1:12" ht="15">
      <c r="A26" s="816" t="s">
        <v>251</v>
      </c>
      <c r="B26" s="719"/>
      <c r="C26" s="719"/>
      <c r="D26" s="738"/>
      <c r="E26" s="775">
        <v>8291</v>
      </c>
      <c r="F26" s="759">
        <v>8291</v>
      </c>
      <c r="G26" s="759">
        <v>9237</v>
      </c>
      <c r="H26" s="777">
        <v>10085</v>
      </c>
      <c r="I26" s="732"/>
      <c r="J26" s="732"/>
      <c r="K26" s="730">
        <f t="shared" si="2"/>
        <v>1794</v>
      </c>
      <c r="L26" s="731">
        <f t="shared" si="3"/>
        <v>0.21637920636835123</v>
      </c>
    </row>
    <row r="27" spans="1:12" ht="15">
      <c r="A27" s="816" t="s">
        <v>252</v>
      </c>
      <c r="B27" s="719"/>
      <c r="C27" s="719"/>
      <c r="D27" s="738"/>
      <c r="E27" s="775">
        <v>80507</v>
      </c>
      <c r="F27" s="759">
        <v>80507</v>
      </c>
      <c r="G27" s="759">
        <v>82621</v>
      </c>
      <c r="H27" s="777">
        <v>94678</v>
      </c>
      <c r="I27" s="732"/>
      <c r="J27" s="732"/>
      <c r="K27" s="730">
        <f t="shared" si="2"/>
        <v>14171</v>
      </c>
      <c r="L27" s="731">
        <f t="shared" si="3"/>
        <v>0.17602196082328245</v>
      </c>
    </row>
    <row r="28" spans="1:12" ht="15">
      <c r="A28" s="820" t="s">
        <v>253</v>
      </c>
      <c r="B28" s="719"/>
      <c r="C28" s="719"/>
      <c r="D28" s="738"/>
      <c r="E28" s="775">
        <f>143106+1375</f>
        <v>144481</v>
      </c>
      <c r="F28" s="759">
        <v>143106</v>
      </c>
      <c r="G28" s="759">
        <v>131396</v>
      </c>
      <c r="H28" s="777">
        <v>152024</v>
      </c>
      <c r="I28" s="732"/>
      <c r="J28" s="732"/>
      <c r="K28" s="730">
        <f t="shared" si="2"/>
        <v>8918</v>
      </c>
      <c r="L28" s="731">
        <f t="shared" si="3"/>
        <v>0.06231744301426914</v>
      </c>
    </row>
    <row r="29" spans="1:12" ht="15">
      <c r="A29" s="816" t="s">
        <v>254</v>
      </c>
      <c r="B29" s="719"/>
      <c r="C29" s="719"/>
      <c r="D29" s="738"/>
      <c r="E29" s="775">
        <f>192864+9625</f>
        <v>202489</v>
      </c>
      <c r="F29" s="759">
        <v>192864</v>
      </c>
      <c r="G29" s="759">
        <v>204612</v>
      </c>
      <c r="H29" s="777">
        <v>245023</v>
      </c>
      <c r="I29" s="732"/>
      <c r="J29" s="732"/>
      <c r="K29" s="730">
        <f t="shared" si="2"/>
        <v>52159</v>
      </c>
      <c r="L29" s="731">
        <f t="shared" si="3"/>
        <v>0.2704444582711133</v>
      </c>
    </row>
    <row r="30" spans="1:12" ht="15">
      <c r="A30" s="816" t="s">
        <v>313</v>
      </c>
      <c r="B30" s="719"/>
      <c r="C30" s="719"/>
      <c r="D30" s="738"/>
      <c r="E30" s="775">
        <v>92774</v>
      </c>
      <c r="F30" s="759">
        <v>92774</v>
      </c>
      <c r="G30" s="759">
        <v>91408</v>
      </c>
      <c r="H30" s="777">
        <v>101396</v>
      </c>
      <c r="I30" s="732"/>
      <c r="J30" s="732"/>
      <c r="K30" s="730">
        <f t="shared" si="2"/>
        <v>8622</v>
      </c>
      <c r="L30" s="731">
        <f t="shared" si="3"/>
        <v>0.09293552072779011</v>
      </c>
    </row>
    <row r="31" spans="1:12" ht="15">
      <c r="A31" s="816" t="s">
        <v>255</v>
      </c>
      <c r="B31" s="719"/>
      <c r="C31" s="719"/>
      <c r="D31" s="738"/>
      <c r="E31" s="775">
        <v>5861</v>
      </c>
      <c r="F31" s="759">
        <v>5861</v>
      </c>
      <c r="G31" s="759">
        <v>5972</v>
      </c>
      <c r="H31" s="777">
        <v>6310</v>
      </c>
      <c r="I31" s="732"/>
      <c r="J31" s="732"/>
      <c r="K31" s="730">
        <f t="shared" si="2"/>
        <v>449</v>
      </c>
      <c r="L31" s="731">
        <f t="shared" si="3"/>
        <v>0.0766080873571063</v>
      </c>
    </row>
    <row r="32" spans="1:12" ht="15">
      <c r="A32" s="816" t="s">
        <v>256</v>
      </c>
      <c r="B32" s="719"/>
      <c r="C32" s="719"/>
      <c r="D32" s="738"/>
      <c r="E32" s="775">
        <v>109037</v>
      </c>
      <c r="F32" s="759">
        <v>109037</v>
      </c>
      <c r="G32" s="759">
        <v>108777</v>
      </c>
      <c r="H32" s="777">
        <v>116789</v>
      </c>
      <c r="I32" s="732"/>
      <c r="J32" s="732"/>
      <c r="K32" s="730">
        <f t="shared" si="2"/>
        <v>7752</v>
      </c>
      <c r="L32" s="731">
        <f t="shared" si="3"/>
        <v>0.07109513284481414</v>
      </c>
    </row>
    <row r="33" spans="1:12" ht="15">
      <c r="A33" s="816" t="s">
        <v>257</v>
      </c>
      <c r="B33" s="719"/>
      <c r="C33" s="719"/>
      <c r="D33" s="738"/>
      <c r="E33" s="775">
        <v>20586</v>
      </c>
      <c r="F33" s="759">
        <v>20586</v>
      </c>
      <c r="G33" s="759">
        <v>20354</v>
      </c>
      <c r="H33" s="777">
        <v>23727</v>
      </c>
      <c r="I33" s="732"/>
      <c r="J33" s="732"/>
      <c r="K33" s="730">
        <f t="shared" si="2"/>
        <v>3141</v>
      </c>
      <c r="L33" s="731">
        <f t="shared" si="3"/>
        <v>0.15257942290877297</v>
      </c>
    </row>
    <row r="34" spans="1:12" ht="15">
      <c r="A34" s="816" t="s">
        <v>258</v>
      </c>
      <c r="B34" s="719"/>
      <c r="C34" s="719"/>
      <c r="D34" s="738"/>
      <c r="E34" s="775">
        <v>480</v>
      </c>
      <c r="F34" s="759">
        <v>480</v>
      </c>
      <c r="G34" s="759">
        <v>542</v>
      </c>
      <c r="H34" s="777">
        <v>552</v>
      </c>
      <c r="I34" s="732"/>
      <c r="J34" s="732"/>
      <c r="K34" s="730">
        <f t="shared" si="2"/>
        <v>72</v>
      </c>
      <c r="L34" s="731">
        <v>0</v>
      </c>
    </row>
    <row r="35" spans="1:12" ht="15">
      <c r="A35" s="815" t="s">
        <v>259</v>
      </c>
      <c r="B35" s="719"/>
      <c r="C35" s="719"/>
      <c r="D35" s="738"/>
      <c r="E35" s="776" t="s">
        <v>167</v>
      </c>
      <c r="F35" s="769">
        <v>0</v>
      </c>
      <c r="G35" s="769" t="s">
        <v>166</v>
      </c>
      <c r="H35" s="788" t="s">
        <v>200</v>
      </c>
      <c r="I35" s="732">
        <v>0</v>
      </c>
      <c r="J35" s="732">
        <v>0</v>
      </c>
      <c r="K35" s="730">
        <v>0</v>
      </c>
      <c r="L35" s="731" t="s">
        <v>198</v>
      </c>
    </row>
    <row r="36" spans="1:12" ht="15">
      <c r="A36" s="815" t="s">
        <v>260</v>
      </c>
      <c r="B36" s="719"/>
      <c r="C36" s="719"/>
      <c r="D36" s="738"/>
      <c r="E36" s="775">
        <v>144088</v>
      </c>
      <c r="F36" s="759">
        <v>145915</v>
      </c>
      <c r="G36" s="759">
        <v>145361</v>
      </c>
      <c r="H36" s="777">
        <v>155097</v>
      </c>
      <c r="I36" s="732">
        <f aca="true" t="shared" si="4" ref="I36:I42">+G36*(1+$I$9)</f>
        <v>151175.44</v>
      </c>
      <c r="J36" s="732">
        <f>+F36*$J$9</f>
        <v>140078.4</v>
      </c>
      <c r="K36" s="730">
        <f aca="true" t="shared" si="5" ref="K36:K50">+H36-F36</f>
        <v>9182</v>
      </c>
      <c r="L36" s="731">
        <f aca="true" t="shared" si="6" ref="L36:L50">+K36/F36</f>
        <v>0.06292704656820752</v>
      </c>
    </row>
    <row r="37" spans="1:12" ht="15">
      <c r="A37" s="815" t="s">
        <v>261</v>
      </c>
      <c r="B37" s="719"/>
      <c r="C37" s="719"/>
      <c r="D37" s="738"/>
      <c r="E37" s="775">
        <v>-116000</v>
      </c>
      <c r="F37" s="769">
        <v>-120000</v>
      </c>
      <c r="G37" s="759">
        <v>-127710</v>
      </c>
      <c r="H37" s="777">
        <v>-144600</v>
      </c>
      <c r="I37" s="732">
        <f t="shared" si="4"/>
        <v>-132818.4</v>
      </c>
      <c r="J37" s="732">
        <f>+F37*$J$9</f>
        <v>-115200</v>
      </c>
      <c r="K37" s="730">
        <f t="shared" si="5"/>
        <v>-24600</v>
      </c>
      <c r="L37" s="731">
        <f t="shared" si="6"/>
        <v>0.205</v>
      </c>
    </row>
    <row r="38" spans="1:12" ht="15">
      <c r="A38" s="815" t="s">
        <v>262</v>
      </c>
      <c r="B38" s="719"/>
      <c r="C38" s="719"/>
      <c r="D38" s="738"/>
      <c r="E38" s="775">
        <f>1588565+11500</f>
        <v>1600065</v>
      </c>
      <c r="F38" s="759">
        <v>1579565</v>
      </c>
      <c r="G38" s="759">
        <f>1625380+13365</f>
        <v>1638745</v>
      </c>
      <c r="H38" s="777">
        <v>1747822</v>
      </c>
      <c r="I38" s="732">
        <f t="shared" si="4"/>
        <v>1704294.8</v>
      </c>
      <c r="J38" s="732">
        <f>+F38*$J$9</f>
        <v>1516382.4</v>
      </c>
      <c r="K38" s="730">
        <f t="shared" si="5"/>
        <v>168257</v>
      </c>
      <c r="L38" s="731">
        <f t="shared" si="6"/>
        <v>0.10652109916337726</v>
      </c>
    </row>
    <row r="39" spans="1:12" ht="15">
      <c r="A39" s="815" t="s">
        <v>153</v>
      </c>
      <c r="B39" s="719"/>
      <c r="C39" s="719"/>
      <c r="D39" s="738"/>
      <c r="E39" s="775">
        <v>0</v>
      </c>
      <c r="F39" s="759">
        <v>0</v>
      </c>
      <c r="G39" s="759">
        <v>-13365</v>
      </c>
      <c r="H39" s="777">
        <v>0</v>
      </c>
      <c r="I39" s="732">
        <f t="shared" si="4"/>
        <v>-13899.6</v>
      </c>
      <c r="J39" s="732">
        <v>0</v>
      </c>
      <c r="K39" s="730">
        <f t="shared" si="5"/>
        <v>0</v>
      </c>
      <c r="L39" s="731" t="e">
        <f t="shared" si="6"/>
        <v>#DIV/0!</v>
      </c>
    </row>
    <row r="40" spans="1:12" ht="15">
      <c r="A40" s="815" t="s">
        <v>263</v>
      </c>
      <c r="B40" s="719"/>
      <c r="C40" s="719"/>
      <c r="D40" s="738"/>
      <c r="E40" s="775">
        <v>211664</v>
      </c>
      <c r="F40" s="759">
        <v>199749</v>
      </c>
      <c r="G40" s="759">
        <v>226437</v>
      </c>
      <c r="H40" s="777">
        <v>231899</v>
      </c>
      <c r="I40" s="732">
        <f t="shared" si="4"/>
        <v>235494.48</v>
      </c>
      <c r="J40" s="732">
        <f>+F40*$J$9</f>
        <v>191759.03999999998</v>
      </c>
      <c r="K40" s="730">
        <f t="shared" si="5"/>
        <v>32150</v>
      </c>
      <c r="L40" s="731">
        <f t="shared" si="6"/>
        <v>0.16095199475341554</v>
      </c>
    </row>
    <row r="41" spans="1:12" ht="15">
      <c r="A41" s="815" t="s">
        <v>232</v>
      </c>
      <c r="B41" s="719"/>
      <c r="C41" s="719"/>
      <c r="D41" s="738"/>
      <c r="E41" s="775">
        <v>-214402</v>
      </c>
      <c r="F41" s="759">
        <v>-214402</v>
      </c>
      <c r="G41" s="759">
        <v>-226437</v>
      </c>
      <c r="H41" s="777">
        <v>-239313</v>
      </c>
      <c r="I41" s="732">
        <f t="shared" si="4"/>
        <v>-235494.48</v>
      </c>
      <c r="J41" s="732">
        <f>+F41*$J$9</f>
        <v>-205825.91999999998</v>
      </c>
      <c r="K41" s="730">
        <f t="shared" si="5"/>
        <v>-24911</v>
      </c>
      <c r="L41" s="731">
        <f t="shared" si="6"/>
        <v>0.11618828182572924</v>
      </c>
    </row>
    <row r="42" spans="1:12" ht="15">
      <c r="A42" s="815" t="s">
        <v>306</v>
      </c>
      <c r="B42" s="719"/>
      <c r="C42" s="719"/>
      <c r="D42" s="738"/>
      <c r="E42" s="775">
        <v>1303</v>
      </c>
      <c r="F42" s="759">
        <v>1303</v>
      </c>
      <c r="G42" s="759">
        <v>1417</v>
      </c>
      <c r="H42" s="777">
        <v>1709</v>
      </c>
      <c r="I42" s="732">
        <f t="shared" si="4"/>
        <v>1473.68</v>
      </c>
      <c r="J42" s="732">
        <f>+F42*$J$9</f>
        <v>1250.8799999999999</v>
      </c>
      <c r="K42" s="730">
        <f t="shared" si="5"/>
        <v>406</v>
      </c>
      <c r="L42" s="731">
        <f t="shared" si="6"/>
        <v>0.3115886415963162</v>
      </c>
    </row>
    <row r="43" spans="1:12" ht="15">
      <c r="A43" s="817" t="s">
        <v>264</v>
      </c>
      <c r="B43" s="790"/>
      <c r="C43" s="790"/>
      <c r="D43" s="818"/>
      <c r="E43" s="783">
        <f>SUM(E44:E45)</f>
        <v>801672</v>
      </c>
      <c r="F43" s="784">
        <f>+F44+F45</f>
        <v>779725</v>
      </c>
      <c r="G43" s="784">
        <f>+G44+G45</f>
        <v>832574</v>
      </c>
      <c r="H43" s="789">
        <f>+H44+H45</f>
        <v>899875</v>
      </c>
      <c r="I43" s="733">
        <f>SUM(I44:I45)</f>
        <v>0</v>
      </c>
      <c r="J43" s="733">
        <f>SUM(J44:J45)</f>
        <v>0</v>
      </c>
      <c r="K43" s="730">
        <f t="shared" si="5"/>
        <v>120150</v>
      </c>
      <c r="L43" s="731">
        <f t="shared" si="6"/>
        <v>0.15409278912437077</v>
      </c>
    </row>
    <row r="44" spans="1:12" ht="15">
      <c r="A44" s="816" t="s">
        <v>242</v>
      </c>
      <c r="B44" s="719"/>
      <c r="C44" s="719"/>
      <c r="D44" s="738"/>
      <c r="E44" s="775">
        <f>791903+1000</f>
        <v>792903</v>
      </c>
      <c r="F44" s="759">
        <v>777676</v>
      </c>
      <c r="G44" s="759">
        <v>826355</v>
      </c>
      <c r="H44" s="777">
        <v>893656</v>
      </c>
      <c r="I44" s="732"/>
      <c r="J44" s="732"/>
      <c r="K44" s="730">
        <f t="shared" si="5"/>
        <v>115980</v>
      </c>
      <c r="L44" s="731">
        <f t="shared" si="6"/>
        <v>0.14913665845416343</v>
      </c>
    </row>
    <row r="45" spans="1:12" ht="15">
      <c r="A45" s="816" t="s">
        <v>265</v>
      </c>
      <c r="B45" s="719"/>
      <c r="C45" s="719"/>
      <c r="D45" s="738"/>
      <c r="E45" s="775">
        <v>8769</v>
      </c>
      <c r="F45" s="759">
        <v>2049</v>
      </c>
      <c r="G45" s="759">
        <v>6219</v>
      </c>
      <c r="H45" s="777">
        <v>6219</v>
      </c>
      <c r="I45" s="732"/>
      <c r="J45" s="732"/>
      <c r="K45" s="730">
        <f t="shared" si="5"/>
        <v>4170</v>
      </c>
      <c r="L45" s="731">
        <f t="shared" si="6"/>
        <v>2.035139092240117</v>
      </c>
    </row>
    <row r="46" spans="1:12" ht="15">
      <c r="A46" s="815" t="s">
        <v>266</v>
      </c>
      <c r="B46" s="719"/>
      <c r="C46" s="719"/>
      <c r="D46" s="738"/>
      <c r="E46" s="775">
        <v>9536</v>
      </c>
      <c r="F46" s="759">
        <v>9536</v>
      </c>
      <c r="G46" s="759">
        <v>9613</v>
      </c>
      <c r="H46" s="777">
        <v>9794</v>
      </c>
      <c r="I46" s="732">
        <f>+G46*(1+$I$9)</f>
        <v>9997.52</v>
      </c>
      <c r="J46" s="732">
        <f>+F46*$J$9</f>
        <v>9154.56</v>
      </c>
      <c r="K46" s="730">
        <f t="shared" si="5"/>
        <v>258</v>
      </c>
      <c r="L46" s="731">
        <f t="shared" si="6"/>
        <v>0.027055369127516778</v>
      </c>
    </row>
    <row r="47" spans="1:12" ht="15">
      <c r="A47" s="815" t="s">
        <v>304</v>
      </c>
      <c r="B47" s="719"/>
      <c r="C47" s="719"/>
      <c r="D47" s="738"/>
      <c r="E47" s="775">
        <v>21194</v>
      </c>
      <c r="F47" s="759">
        <v>21194</v>
      </c>
      <c r="G47" s="759">
        <v>20990</v>
      </c>
      <c r="H47" s="776">
        <v>20990</v>
      </c>
      <c r="I47" s="733" t="e">
        <f>SUM(#REF!)</f>
        <v>#REF!</v>
      </c>
      <c r="J47" s="733" t="e">
        <f>SUM(#REF!)</f>
        <v>#REF!</v>
      </c>
      <c r="K47" s="730">
        <f t="shared" si="5"/>
        <v>-204</v>
      </c>
      <c r="L47" s="731">
        <f t="shared" si="6"/>
        <v>-0.009625365669529111</v>
      </c>
    </row>
    <row r="48" spans="1:12" ht="15">
      <c r="A48" s="815" t="s">
        <v>267</v>
      </c>
      <c r="B48" s="719"/>
      <c r="C48" s="719"/>
      <c r="D48" s="738"/>
      <c r="E48" s="775">
        <v>483189</v>
      </c>
      <c r="F48" s="759">
        <v>482715</v>
      </c>
      <c r="G48" s="759">
        <v>438797</v>
      </c>
      <c r="H48" s="777">
        <v>509154</v>
      </c>
      <c r="I48" s="732">
        <f>+G48*(1+$I$9)</f>
        <v>456348.88</v>
      </c>
      <c r="J48" s="732">
        <f>+F48*$J$9</f>
        <v>463406.39999999997</v>
      </c>
      <c r="K48" s="730">
        <f t="shared" si="5"/>
        <v>26439</v>
      </c>
      <c r="L48" s="731">
        <f t="shared" si="6"/>
        <v>0.054771448991641034</v>
      </c>
    </row>
    <row r="49" spans="1:12" ht="15">
      <c r="A49" s="817" t="s">
        <v>268</v>
      </c>
      <c r="B49" s="790"/>
      <c r="C49" s="790"/>
      <c r="D49" s="818"/>
      <c r="E49" s="783">
        <f>SUM(E50:E52)</f>
        <v>5798398</v>
      </c>
      <c r="F49" s="784">
        <f>SUM(F50:F51)</f>
        <v>5699864</v>
      </c>
      <c r="G49" s="784">
        <f>SUM(G50:G51)</f>
        <v>5949041</v>
      </c>
      <c r="H49" s="783">
        <f>SUM(H50:H51)</f>
        <v>6431302</v>
      </c>
      <c r="I49" s="733">
        <f>SUM(I50:I52)</f>
        <v>6043313.12</v>
      </c>
      <c r="J49" s="733">
        <f>SUM(J50:J52)</f>
        <v>5437021.4399999995</v>
      </c>
      <c r="K49" s="730">
        <f t="shared" si="5"/>
        <v>731438</v>
      </c>
      <c r="L49" s="731">
        <f t="shared" si="6"/>
        <v>0.12832551794218247</v>
      </c>
    </row>
    <row r="50" spans="1:12" ht="15">
      <c r="A50" s="816" t="s">
        <v>242</v>
      </c>
      <c r="B50" s="719"/>
      <c r="C50" s="719"/>
      <c r="D50" s="738"/>
      <c r="E50" s="775">
        <f>5675570+85700</f>
        <v>5761270</v>
      </c>
      <c r="F50" s="759">
        <v>5663564</v>
      </c>
      <c r="G50" s="759">
        <v>5849488</v>
      </c>
      <c r="H50" s="777">
        <v>6349950</v>
      </c>
      <c r="I50" s="732">
        <f>+G50*(1+$I$9)</f>
        <v>6083467.5200000005</v>
      </c>
      <c r="J50" s="732">
        <f>+F50*$J$9</f>
        <v>5437021.4399999995</v>
      </c>
      <c r="K50" s="730">
        <f t="shared" si="5"/>
        <v>686386</v>
      </c>
      <c r="L50" s="731">
        <f t="shared" si="6"/>
        <v>0.1211932980716736</v>
      </c>
    </row>
    <row r="51" spans="1:12" ht="15.75">
      <c r="A51" s="816" t="s">
        <v>265</v>
      </c>
      <c r="B51" s="719"/>
      <c r="C51" s="719"/>
      <c r="D51" s="738"/>
      <c r="E51" s="775">
        <v>37128</v>
      </c>
      <c r="F51" s="759">
        <v>36300</v>
      </c>
      <c r="G51" s="759">
        <v>99553</v>
      </c>
      <c r="H51" s="777">
        <v>81352</v>
      </c>
      <c r="I51" s="739"/>
      <c r="J51" s="732"/>
      <c r="K51" s="730">
        <f aca="true" t="shared" si="7" ref="K51:K89">+H51-F51</f>
        <v>45052</v>
      </c>
      <c r="L51" s="731">
        <f aca="true" t="shared" si="8" ref="L51:L83">+K51/F51</f>
        <v>1.2411019283746556</v>
      </c>
    </row>
    <row r="52" spans="1:12" ht="15">
      <c r="A52" s="819" t="s">
        <v>314</v>
      </c>
      <c r="B52" s="736"/>
      <c r="C52" s="736"/>
      <c r="D52" s="821"/>
      <c r="E52" s="775">
        <v>0</v>
      </c>
      <c r="F52" s="760">
        <v>0</v>
      </c>
      <c r="G52" s="759">
        <v>-38610</v>
      </c>
      <c r="H52" s="777">
        <v>0</v>
      </c>
      <c r="I52" s="732">
        <f>+G52*(1+$I$9)</f>
        <v>-40154.4</v>
      </c>
      <c r="J52" s="732">
        <f>+F52*$J$9</f>
        <v>0</v>
      </c>
      <c r="K52" s="730">
        <f t="shared" si="7"/>
        <v>0</v>
      </c>
      <c r="L52" s="731" t="e">
        <f t="shared" si="8"/>
        <v>#DIV/0!</v>
      </c>
    </row>
    <row r="53" spans="1:12" ht="15">
      <c r="A53" s="819" t="s">
        <v>308</v>
      </c>
      <c r="B53" s="736"/>
      <c r="C53" s="736"/>
      <c r="D53" s="821"/>
      <c r="E53" s="775">
        <v>0</v>
      </c>
      <c r="F53" s="760">
        <v>0</v>
      </c>
      <c r="G53" s="759">
        <v>-7920</v>
      </c>
      <c r="H53" s="777">
        <v>0</v>
      </c>
      <c r="I53" s="732"/>
      <c r="J53" s="732"/>
      <c r="K53" s="730">
        <f t="shared" si="7"/>
        <v>0</v>
      </c>
      <c r="L53" s="731" t="e">
        <f t="shared" si="8"/>
        <v>#DIV/0!</v>
      </c>
    </row>
    <row r="54" spans="1:12" ht="15">
      <c r="A54" s="815" t="s">
        <v>269</v>
      </c>
      <c r="B54" s="719"/>
      <c r="C54" s="719"/>
      <c r="D54" s="738"/>
      <c r="E54" s="775">
        <v>1689118</v>
      </c>
      <c r="F54" s="759">
        <v>1663892</v>
      </c>
      <c r="G54" s="759">
        <v>1720207</v>
      </c>
      <c r="H54" s="776">
        <v>1802569</v>
      </c>
      <c r="I54" s="785" t="e">
        <f>SUM(#REF!)</f>
        <v>#REF!</v>
      </c>
      <c r="J54" s="785" t="e">
        <f>SUM(#REF!)</f>
        <v>#REF!</v>
      </c>
      <c r="K54" s="722">
        <f t="shared" si="7"/>
        <v>138677</v>
      </c>
      <c r="L54" s="786">
        <f t="shared" si="8"/>
        <v>0.08334495267721703</v>
      </c>
    </row>
    <row r="55" spans="1:12" ht="15">
      <c r="A55" s="815" t="s">
        <v>270</v>
      </c>
      <c r="B55" s="719"/>
      <c r="C55" s="719"/>
      <c r="D55" s="738"/>
      <c r="E55" s="775">
        <v>935817</v>
      </c>
      <c r="F55" s="759">
        <v>913668</v>
      </c>
      <c r="G55" s="759">
        <v>957888</v>
      </c>
      <c r="H55" s="776">
        <v>1013980</v>
      </c>
      <c r="I55" s="785" t="e">
        <f>SUM(#REF!)</f>
        <v>#REF!</v>
      </c>
      <c r="J55" s="785" t="e">
        <f>SUM(#REF!)</f>
        <v>#REF!</v>
      </c>
      <c r="K55" s="722">
        <f t="shared" si="7"/>
        <v>100312</v>
      </c>
      <c r="L55" s="786">
        <f t="shared" si="8"/>
        <v>0.10979042715734819</v>
      </c>
    </row>
    <row r="56" spans="1:12" ht="15">
      <c r="A56" s="817" t="s">
        <v>271</v>
      </c>
      <c r="B56" s="790"/>
      <c r="C56" s="790"/>
      <c r="D56" s="818"/>
      <c r="E56" s="783">
        <f aca="true" t="shared" si="9" ref="E56:J56">SUM(E57:E58)</f>
        <v>4930121</v>
      </c>
      <c r="F56" s="784">
        <f t="shared" si="9"/>
        <v>4919121</v>
      </c>
      <c r="G56" s="784">
        <f t="shared" si="9"/>
        <v>5136743</v>
      </c>
      <c r="H56" s="789">
        <f t="shared" si="9"/>
        <v>5361443</v>
      </c>
      <c r="I56" s="733">
        <f t="shared" si="9"/>
        <v>5342212.720000001</v>
      </c>
      <c r="J56" s="733">
        <f t="shared" si="9"/>
        <v>4722356.159999999</v>
      </c>
      <c r="K56" s="730">
        <f t="shared" si="7"/>
        <v>442322</v>
      </c>
      <c r="L56" s="731">
        <f t="shared" si="8"/>
        <v>0.08991891030938251</v>
      </c>
    </row>
    <row r="57" spans="1:12" ht="15">
      <c r="A57" s="816" t="s">
        <v>242</v>
      </c>
      <c r="B57" s="719"/>
      <c r="C57" s="719"/>
      <c r="D57" s="738"/>
      <c r="E57" s="775">
        <v>4830160</v>
      </c>
      <c r="F57" s="759">
        <v>4830160</v>
      </c>
      <c r="G57" s="759">
        <v>4936737</v>
      </c>
      <c r="H57" s="777">
        <v>5151440</v>
      </c>
      <c r="I57" s="732">
        <f>+G57*(1+$I$9)</f>
        <v>5134206.48</v>
      </c>
      <c r="J57" s="732">
        <f>+F57*$J$9</f>
        <v>4636953.6</v>
      </c>
      <c r="K57" s="730">
        <f t="shared" si="7"/>
        <v>321280</v>
      </c>
      <c r="L57" s="731">
        <f t="shared" si="8"/>
        <v>0.06651539493515743</v>
      </c>
    </row>
    <row r="58" spans="1:12" ht="15">
      <c r="A58" s="816" t="s">
        <v>272</v>
      </c>
      <c r="B58" s="719"/>
      <c r="C58" s="719"/>
      <c r="D58" s="738"/>
      <c r="E58" s="775">
        <v>99961</v>
      </c>
      <c r="F58" s="759">
        <v>88961</v>
      </c>
      <c r="G58" s="759">
        <v>200006</v>
      </c>
      <c r="H58" s="777">
        <v>210003</v>
      </c>
      <c r="I58" s="732">
        <f>+G58*(1+$I$9)</f>
        <v>208006.24000000002</v>
      </c>
      <c r="J58" s="732">
        <f>+F58*$J$9</f>
        <v>85402.56</v>
      </c>
      <c r="K58" s="730">
        <f t="shared" si="7"/>
        <v>121042</v>
      </c>
      <c r="L58" s="731">
        <f t="shared" si="8"/>
        <v>1.3606186980811816</v>
      </c>
    </row>
    <row r="59" spans="1:12" ht="15.75" thickBot="1">
      <c r="A59" s="815" t="s">
        <v>320</v>
      </c>
      <c r="B59" s="799"/>
      <c r="C59" s="799"/>
      <c r="D59" s="822"/>
      <c r="E59" s="775">
        <v>3322</v>
      </c>
      <c r="F59" s="759">
        <v>2477</v>
      </c>
      <c r="G59" s="759">
        <v>2414</v>
      </c>
      <c r="H59" s="777">
        <v>2414</v>
      </c>
      <c r="I59" s="732">
        <f>+G59*(1+$I$9)</f>
        <v>2510.56</v>
      </c>
      <c r="J59" s="732">
        <f>+F59*$J$9</f>
        <v>2377.92</v>
      </c>
      <c r="K59" s="730">
        <f t="shared" si="7"/>
        <v>-63</v>
      </c>
      <c r="L59" s="731">
        <f t="shared" si="8"/>
        <v>-0.025433992733144933</v>
      </c>
    </row>
    <row r="60" spans="1:92" ht="17.25" thickBot="1" thickTop="1">
      <c r="A60" s="746" t="s">
        <v>273</v>
      </c>
      <c r="B60" s="796"/>
      <c r="C60" s="796"/>
      <c r="D60" s="823"/>
      <c r="E60" s="842">
        <f>SUM(E10,E13:E18,E22:E25,E35:E43,E46:E49,E52:E56,E59)</f>
        <v>18800390</v>
      </c>
      <c r="F60" s="837">
        <f>SUM(F10,F13:F18,F22:F25,F35:F43,F46:F49,F52:F56,F59)</f>
        <v>18478943</v>
      </c>
      <c r="G60" s="837">
        <f>SUM(G10,G13:G18,G22:G25,G35:G43,G46:G49,G52:G56,G59)</f>
        <v>19248046</v>
      </c>
      <c r="H60" s="836">
        <f>SUM(H10,H13:H18,H22:H25,H35:H43,H46:H49,H52:H56,H59)</f>
        <v>20566545</v>
      </c>
      <c r="I60" s="797" t="e">
        <f>SUM(I10,I13:I13,I14:I15,I16:I16,I18,I22:I22,I23:I25,I35:I43,I46:I47,I48:I48,I49,I54:I54,I55,I56,I59,#REF!)</f>
        <v>#REF!</v>
      </c>
      <c r="J60" s="797" t="e">
        <f>SUM(J10,J13:J13,J14:J15,J16:J16,J18,J22:J22,J23:J25,J35:J43,J46:J47,J48:J48,J49,J54:J54,J55,J56,J59,#REF!)</f>
        <v>#REF!</v>
      </c>
      <c r="K60" s="722">
        <f t="shared" si="7"/>
        <v>2087602</v>
      </c>
      <c r="L60" s="786">
        <f t="shared" si="8"/>
        <v>0.11297193784298161</v>
      </c>
      <c r="M60" s="740"/>
      <c r="N60" s="740"/>
      <c r="O60" s="740"/>
      <c r="P60" s="740"/>
      <c r="Q60" s="740"/>
      <c r="R60" s="740"/>
      <c r="S60" s="740"/>
      <c r="T60" s="740"/>
      <c r="U60" s="740"/>
      <c r="V60" s="740"/>
      <c r="W60" s="740"/>
      <c r="X60" s="740"/>
      <c r="Y60" s="740"/>
      <c r="Z60" s="740"/>
      <c r="AA60" s="740"/>
      <c r="AB60" s="740"/>
      <c r="AC60" s="740"/>
      <c r="AD60" s="740"/>
      <c r="AE60" s="740"/>
      <c r="AF60" s="740"/>
      <c r="AG60" s="740"/>
      <c r="AH60" s="740"/>
      <c r="AI60" s="740"/>
      <c r="AJ60" s="740"/>
      <c r="AK60" s="740"/>
      <c r="AL60" s="740"/>
      <c r="AM60" s="740"/>
      <c r="AN60" s="740"/>
      <c r="AO60" s="740"/>
      <c r="AP60" s="740"/>
      <c r="AQ60" s="740"/>
      <c r="AR60" s="740"/>
      <c r="AS60" s="740"/>
      <c r="AT60" s="740"/>
      <c r="AU60" s="740"/>
      <c r="AV60" s="740"/>
      <c r="AW60" s="740"/>
      <c r="AX60" s="740"/>
      <c r="AY60" s="740"/>
      <c r="AZ60" s="740"/>
      <c r="BA60" s="740"/>
      <c r="BB60" s="740"/>
      <c r="BC60" s="740"/>
      <c r="BD60" s="740"/>
      <c r="BE60" s="740"/>
      <c r="BF60" s="740"/>
      <c r="BG60" s="722"/>
      <c r="BH60" s="740"/>
      <c r="BI60" s="740"/>
      <c r="BJ60" s="740"/>
      <c r="BK60" s="722"/>
      <c r="BL60" s="722"/>
      <c r="BM60" s="722"/>
      <c r="BN60" s="722"/>
      <c r="BO60" s="722"/>
      <c r="BP60" s="722"/>
      <c r="BQ60" s="722"/>
      <c r="BR60" s="722"/>
      <c r="BS60" s="722"/>
      <c r="BT60" s="722"/>
      <c r="BU60" s="722"/>
      <c r="BV60" s="722"/>
      <c r="BW60" s="722"/>
      <c r="BX60" s="722"/>
      <c r="BY60" s="722"/>
      <c r="BZ60" s="722"/>
      <c r="CA60" s="722"/>
      <c r="CB60" s="722"/>
      <c r="CC60" s="722"/>
      <c r="CD60" s="722"/>
      <c r="CE60" s="722"/>
      <c r="CF60" s="722"/>
      <c r="CG60" s="722"/>
      <c r="CH60" s="722"/>
      <c r="CI60" s="722"/>
      <c r="CJ60" s="722"/>
      <c r="CK60" s="722"/>
      <c r="CL60" s="722"/>
      <c r="CM60" s="722"/>
      <c r="CN60" s="722"/>
    </row>
    <row r="61" spans="1:92" ht="16.5" thickTop="1">
      <c r="A61" s="748"/>
      <c r="B61" s="748"/>
      <c r="C61" s="748"/>
      <c r="D61" s="748"/>
      <c r="E61" s="841"/>
      <c r="F61" s="841"/>
      <c r="G61" s="841"/>
      <c r="H61" s="841"/>
      <c r="I61" s="740"/>
      <c r="J61" s="740"/>
      <c r="K61" s="722"/>
      <c r="L61" s="786"/>
      <c r="M61" s="740"/>
      <c r="N61" s="740"/>
      <c r="O61" s="740"/>
      <c r="P61" s="740"/>
      <c r="Q61" s="740"/>
      <c r="R61" s="740"/>
      <c r="S61" s="740"/>
      <c r="T61" s="740"/>
      <c r="U61" s="740"/>
      <c r="V61" s="740"/>
      <c r="W61" s="740"/>
      <c r="X61" s="740"/>
      <c r="Y61" s="740"/>
      <c r="Z61" s="740"/>
      <c r="AA61" s="740"/>
      <c r="AB61" s="740"/>
      <c r="AC61" s="740"/>
      <c r="AD61" s="740"/>
      <c r="AE61" s="740"/>
      <c r="AF61" s="740"/>
      <c r="AG61" s="740"/>
      <c r="AH61" s="740"/>
      <c r="AI61" s="740"/>
      <c r="AJ61" s="740"/>
      <c r="AK61" s="740"/>
      <c r="AL61" s="740"/>
      <c r="AM61" s="740"/>
      <c r="AN61" s="740"/>
      <c r="AO61" s="740"/>
      <c r="AP61" s="740"/>
      <c r="AQ61" s="740"/>
      <c r="AR61" s="740"/>
      <c r="AS61" s="740"/>
      <c r="AT61" s="740"/>
      <c r="AU61" s="740"/>
      <c r="AV61" s="740"/>
      <c r="AW61" s="740"/>
      <c r="AX61" s="740"/>
      <c r="AY61" s="740"/>
      <c r="AZ61" s="740"/>
      <c r="BA61" s="740"/>
      <c r="BB61" s="740"/>
      <c r="BC61" s="740"/>
      <c r="BD61" s="740"/>
      <c r="BE61" s="740"/>
      <c r="BF61" s="740"/>
      <c r="BG61" s="722"/>
      <c r="BH61" s="740"/>
      <c r="BI61" s="740"/>
      <c r="BJ61" s="740"/>
      <c r="BK61" s="722"/>
      <c r="BL61" s="722"/>
      <c r="BM61" s="722"/>
      <c r="BN61" s="722"/>
      <c r="BO61" s="722"/>
      <c r="BP61" s="722"/>
      <c r="BQ61" s="722"/>
      <c r="BR61" s="722"/>
      <c r="BS61" s="722"/>
      <c r="BT61" s="722"/>
      <c r="BU61" s="722"/>
      <c r="BV61" s="722"/>
      <c r="BW61" s="722"/>
      <c r="BX61" s="722"/>
      <c r="BY61" s="722"/>
      <c r="BZ61" s="722"/>
      <c r="CA61" s="722"/>
      <c r="CB61" s="722"/>
      <c r="CC61" s="722"/>
      <c r="CD61" s="722"/>
      <c r="CE61" s="722"/>
      <c r="CF61" s="722"/>
      <c r="CG61" s="722"/>
      <c r="CH61" s="722"/>
      <c r="CI61" s="722"/>
      <c r="CJ61" s="722"/>
      <c r="CK61" s="722"/>
      <c r="CL61" s="722"/>
      <c r="CM61" s="722"/>
      <c r="CN61" s="722"/>
    </row>
    <row r="62" spans="1:10" ht="15">
      <c r="A62" s="962" t="s">
        <v>327</v>
      </c>
      <c r="B62" s="963"/>
      <c r="C62" s="963"/>
      <c r="D62" s="963"/>
      <c r="E62" s="964"/>
      <c r="F62" s="722"/>
      <c r="G62" s="722"/>
      <c r="H62" s="722"/>
      <c r="I62" s="722"/>
      <c r="J62" s="722"/>
    </row>
    <row r="63" spans="1:10" ht="19.5" customHeight="1">
      <c r="A63" s="959" t="s">
        <v>331</v>
      </c>
      <c r="B63" s="960"/>
      <c r="C63" s="960"/>
      <c r="D63" s="960"/>
      <c r="E63" s="961"/>
      <c r="F63" s="961"/>
      <c r="G63" s="722"/>
      <c r="H63" s="722"/>
      <c r="I63" s="722"/>
      <c r="J63" s="722"/>
    </row>
    <row r="64" spans="1:10" ht="21.75" customHeight="1">
      <c r="A64" s="959" t="s">
        <v>328</v>
      </c>
      <c r="B64" s="960"/>
      <c r="C64" s="960"/>
      <c r="D64" s="960"/>
      <c r="E64" s="961"/>
      <c r="F64" s="961"/>
      <c r="G64" s="722"/>
      <c r="H64" s="722"/>
      <c r="I64" s="722"/>
      <c r="J64" s="722"/>
    </row>
    <row r="65" spans="1:10" ht="24" customHeight="1">
      <c r="A65" s="959" t="s">
        <v>325</v>
      </c>
      <c r="B65" s="960"/>
      <c r="C65" s="960"/>
      <c r="D65" s="960"/>
      <c r="E65" s="964"/>
      <c r="F65" s="722"/>
      <c r="G65" s="722"/>
      <c r="H65" s="722"/>
      <c r="I65" s="722"/>
      <c r="J65" s="722"/>
    </row>
    <row r="66" spans="1:10" ht="23.25" customHeight="1" thickBot="1">
      <c r="A66" s="751" t="s">
        <v>326</v>
      </c>
      <c r="B66" s="750"/>
      <c r="C66" s="750"/>
      <c r="D66" s="750"/>
      <c r="E66" s="722"/>
      <c r="F66" s="722"/>
      <c r="G66" s="722"/>
      <c r="H66" s="722"/>
      <c r="I66" s="722"/>
      <c r="J66" s="722"/>
    </row>
    <row r="67" spans="1:12" ht="15.75" thickTop="1">
      <c r="A67" s="824" t="s">
        <v>315</v>
      </c>
      <c r="B67" s="793"/>
      <c r="C67" s="793"/>
      <c r="D67" s="825"/>
      <c r="E67" s="794">
        <f aca="true" t="shared" si="10" ref="E67:J67">+E68+E78+E81+E82</f>
        <v>2536680</v>
      </c>
      <c r="F67" s="795">
        <f t="shared" si="10"/>
        <v>2516309</v>
      </c>
      <c r="G67" s="795">
        <f t="shared" si="10"/>
        <v>2216751</v>
      </c>
      <c r="H67" s="794">
        <f t="shared" si="10"/>
        <v>1233682</v>
      </c>
      <c r="I67" s="741" t="e">
        <f t="shared" si="10"/>
        <v>#REF!</v>
      </c>
      <c r="J67" s="741" t="e">
        <f t="shared" si="10"/>
        <v>#REF!</v>
      </c>
      <c r="K67" s="730">
        <f t="shared" si="7"/>
        <v>-1282627</v>
      </c>
      <c r="L67" s="731">
        <f t="shared" si="8"/>
        <v>-0.5097255543734891</v>
      </c>
    </row>
    <row r="68" spans="1:12" ht="15">
      <c r="A68" s="826" t="s">
        <v>316</v>
      </c>
      <c r="B68" s="798"/>
      <c r="C68" s="798"/>
      <c r="D68" s="827"/>
      <c r="E68" s="791">
        <f aca="true" t="shared" si="11" ref="E68:J68">+E69+E72+E73+E76+E77</f>
        <v>1788688</v>
      </c>
      <c r="F68" s="792">
        <f t="shared" si="11"/>
        <v>1631967</v>
      </c>
      <c r="G68" s="792">
        <f t="shared" si="11"/>
        <v>1385658</v>
      </c>
      <c r="H68" s="791">
        <f t="shared" si="11"/>
        <v>918869</v>
      </c>
      <c r="I68" s="742" t="e">
        <f t="shared" si="11"/>
        <v>#REF!</v>
      </c>
      <c r="J68" s="742" t="e">
        <f t="shared" si="11"/>
        <v>#REF!</v>
      </c>
      <c r="K68" s="730">
        <f t="shared" si="7"/>
        <v>-713098</v>
      </c>
      <c r="L68" s="731">
        <f t="shared" si="8"/>
        <v>-0.43695613943174094</v>
      </c>
    </row>
    <row r="69" spans="1:12" ht="15">
      <c r="A69" s="826" t="s">
        <v>274</v>
      </c>
      <c r="B69" s="798"/>
      <c r="C69" s="798"/>
      <c r="D69" s="827"/>
      <c r="E69" s="791">
        <f aca="true" t="shared" si="12" ref="E69:J69">+E70+E71</f>
        <v>1788688</v>
      </c>
      <c r="F69" s="792">
        <f t="shared" si="12"/>
        <v>223575</v>
      </c>
      <c r="G69" s="792">
        <f t="shared" si="12"/>
        <v>134198</v>
      </c>
      <c r="H69" s="791">
        <f t="shared" si="12"/>
        <v>167084</v>
      </c>
      <c r="I69" s="743">
        <f t="shared" si="12"/>
        <v>139565.91999999998</v>
      </c>
      <c r="J69" s="743">
        <f t="shared" si="12"/>
        <v>214632</v>
      </c>
      <c r="K69" s="730">
        <f t="shared" si="7"/>
        <v>-56491</v>
      </c>
      <c r="L69" s="731">
        <f t="shared" si="8"/>
        <v>-0.2526713630772671</v>
      </c>
    </row>
    <row r="70" spans="1:12" ht="15">
      <c r="A70" s="816" t="s">
        <v>274</v>
      </c>
      <c r="B70" s="719"/>
      <c r="C70" s="719"/>
      <c r="D70" s="738"/>
      <c r="E70" s="775">
        <v>1879923</v>
      </c>
      <c r="F70" s="759">
        <v>223575</v>
      </c>
      <c r="G70" s="759">
        <v>197311</v>
      </c>
      <c r="H70" s="777">
        <v>254584</v>
      </c>
      <c r="I70" s="732">
        <f>+G70*(1+$I$9)</f>
        <v>205203.44</v>
      </c>
      <c r="J70" s="732">
        <f>+F70*$J$9</f>
        <v>214632</v>
      </c>
      <c r="K70" s="730">
        <f t="shared" si="7"/>
        <v>31009</v>
      </c>
      <c r="L70" s="731">
        <f t="shared" si="8"/>
        <v>0.1386961869618696</v>
      </c>
    </row>
    <row r="71" spans="1:12" ht="15">
      <c r="A71" s="815" t="s">
        <v>208</v>
      </c>
      <c r="B71" s="719"/>
      <c r="C71" s="719"/>
      <c r="D71" s="738"/>
      <c r="E71" s="775">
        <v>-91235</v>
      </c>
      <c r="F71" s="759">
        <v>0</v>
      </c>
      <c r="G71" s="759">
        <v>-63113</v>
      </c>
      <c r="H71" s="777">
        <v>-87500</v>
      </c>
      <c r="I71" s="732">
        <f>+G71*(1+$I$9)</f>
        <v>-65637.52</v>
      </c>
      <c r="J71" s="732">
        <v>0</v>
      </c>
      <c r="K71" s="730">
        <f t="shared" si="7"/>
        <v>-87500</v>
      </c>
      <c r="L71" s="731" t="e">
        <f t="shared" si="8"/>
        <v>#DIV/0!</v>
      </c>
    </row>
    <row r="72" spans="1:12" ht="15">
      <c r="A72" s="816" t="s">
        <v>275</v>
      </c>
      <c r="B72" s="719"/>
      <c r="C72" s="719"/>
      <c r="D72" s="738"/>
      <c r="E72" s="775">
        <v>0</v>
      </c>
      <c r="F72" s="759">
        <v>288739</v>
      </c>
      <c r="G72" s="759">
        <v>290040</v>
      </c>
      <c r="H72" s="775">
        <v>254000</v>
      </c>
      <c r="I72" s="733" t="e">
        <f>+#REF!+#REF!</f>
        <v>#REF!</v>
      </c>
      <c r="J72" s="733" t="e">
        <f>+#REF!+#REF!</f>
        <v>#REF!</v>
      </c>
      <c r="K72" s="730">
        <f t="shared" si="7"/>
        <v>-34739</v>
      </c>
      <c r="L72" s="731">
        <f t="shared" si="8"/>
        <v>-0.12031280845330905</v>
      </c>
    </row>
    <row r="73" spans="1:12" ht="15">
      <c r="A73" s="828" t="s">
        <v>277</v>
      </c>
      <c r="B73" s="790"/>
      <c r="C73" s="790"/>
      <c r="D73" s="818"/>
      <c r="E73" s="783">
        <f>SUM(E74+E75)</f>
        <v>0</v>
      </c>
      <c r="F73" s="784">
        <f>+F74+F75</f>
        <v>1067393</v>
      </c>
      <c r="G73" s="784">
        <f>+G74+G75</f>
        <v>932877</v>
      </c>
      <c r="H73" s="783">
        <f>+H74+H75</f>
        <v>491685</v>
      </c>
      <c r="I73" s="743">
        <f>SUM(I74+I75)</f>
        <v>970192.0800000001</v>
      </c>
      <c r="J73" s="743">
        <f>SUM(J74+J75)</f>
        <v>1024697.2799999999</v>
      </c>
      <c r="K73" s="730">
        <f t="shared" si="7"/>
        <v>-575708</v>
      </c>
      <c r="L73" s="731">
        <f t="shared" si="8"/>
        <v>-0.5393589802443899</v>
      </c>
    </row>
    <row r="74" spans="1:12" ht="15">
      <c r="A74" s="816" t="s">
        <v>317</v>
      </c>
      <c r="B74" s="719"/>
      <c r="C74" s="719"/>
      <c r="D74" s="738"/>
      <c r="E74" s="775">
        <v>0</v>
      </c>
      <c r="F74" s="759">
        <v>1067393</v>
      </c>
      <c r="G74" s="759">
        <v>995990</v>
      </c>
      <c r="H74" s="777">
        <v>491685</v>
      </c>
      <c r="I74" s="732">
        <f>+G74*(1+$I$9)</f>
        <v>1035829.6000000001</v>
      </c>
      <c r="J74" s="732">
        <f>+F74*$J$9</f>
        <v>1024697.2799999999</v>
      </c>
      <c r="K74" s="730">
        <f t="shared" si="7"/>
        <v>-575708</v>
      </c>
      <c r="L74" s="731">
        <f t="shared" si="8"/>
        <v>-0.5393589802443899</v>
      </c>
    </row>
    <row r="75" spans="1:12" ht="15">
      <c r="A75" s="815" t="s">
        <v>276</v>
      </c>
      <c r="B75" s="719"/>
      <c r="C75" s="719"/>
      <c r="D75" s="738"/>
      <c r="E75" s="775">
        <v>0</v>
      </c>
      <c r="F75" s="759">
        <v>0</v>
      </c>
      <c r="G75" s="759">
        <v>-63113</v>
      </c>
      <c r="H75" s="777">
        <v>0</v>
      </c>
      <c r="I75" s="732">
        <f>+G75*(1+$I$9)</f>
        <v>-65637.52</v>
      </c>
      <c r="J75" s="732">
        <f>+F75*$J$9</f>
        <v>0</v>
      </c>
      <c r="K75" s="730">
        <f t="shared" si="7"/>
        <v>0</v>
      </c>
      <c r="L75" s="731" t="e">
        <f t="shared" si="8"/>
        <v>#DIV/0!</v>
      </c>
    </row>
    <row r="76" spans="1:12" ht="15">
      <c r="A76" s="816" t="s">
        <v>278</v>
      </c>
      <c r="B76" s="719"/>
      <c r="C76" s="719"/>
      <c r="D76" s="738"/>
      <c r="E76" s="775">
        <v>0</v>
      </c>
      <c r="F76" s="759">
        <v>48248</v>
      </c>
      <c r="G76" s="759">
        <v>19800</v>
      </c>
      <c r="H76" s="777">
        <v>0</v>
      </c>
      <c r="I76" s="732">
        <f>+G76*(1+$I$9)</f>
        <v>20592</v>
      </c>
      <c r="J76" s="732">
        <f>+F76*$J$9</f>
        <v>46318.08</v>
      </c>
      <c r="K76" s="730">
        <f t="shared" si="7"/>
        <v>-48248</v>
      </c>
      <c r="L76" s="731">
        <f t="shared" si="8"/>
        <v>-1</v>
      </c>
    </row>
    <row r="77" spans="1:12" ht="15">
      <c r="A77" s="815" t="s">
        <v>295</v>
      </c>
      <c r="B77" s="719"/>
      <c r="C77" s="719"/>
      <c r="D77" s="738"/>
      <c r="E77" s="775">
        <v>0</v>
      </c>
      <c r="F77" s="759">
        <v>4012</v>
      </c>
      <c r="G77" s="759">
        <v>8743</v>
      </c>
      <c r="H77" s="777">
        <v>6100</v>
      </c>
      <c r="I77" s="732">
        <f>+G77*(1+$I$9)</f>
        <v>9092.720000000001</v>
      </c>
      <c r="J77" s="732">
        <f>+F77*$J$9</f>
        <v>3851.52</v>
      </c>
      <c r="K77" s="730">
        <f t="shared" si="7"/>
        <v>2088</v>
      </c>
      <c r="L77" s="731">
        <f t="shared" si="8"/>
        <v>0.5204386839481555</v>
      </c>
    </row>
    <row r="78" spans="1:12" ht="15">
      <c r="A78" s="828" t="s">
        <v>301</v>
      </c>
      <c r="B78" s="790"/>
      <c r="C78" s="790"/>
      <c r="D78" s="818"/>
      <c r="E78" s="783">
        <f>SUM(E79+E80)</f>
        <v>385691</v>
      </c>
      <c r="F78" s="784">
        <f>+F79+F80</f>
        <v>469046</v>
      </c>
      <c r="G78" s="784">
        <f>+G79+G80</f>
        <v>432471</v>
      </c>
      <c r="H78" s="783">
        <f>+H79+H80</f>
        <v>-55192</v>
      </c>
      <c r="I78" s="733">
        <f>SUM(I79:I80)</f>
        <v>449769.83999999997</v>
      </c>
      <c r="J78" s="733">
        <f>SUM(J79:J80)</f>
        <v>450284.16</v>
      </c>
      <c r="K78" s="730">
        <f t="shared" si="7"/>
        <v>-524238</v>
      </c>
      <c r="L78" s="731">
        <f t="shared" si="8"/>
        <v>-1.1176686295160816</v>
      </c>
    </row>
    <row r="79" spans="1:12" ht="15">
      <c r="A79" s="816" t="s">
        <v>279</v>
      </c>
      <c r="B79" s="719"/>
      <c r="C79" s="719"/>
      <c r="D79" s="738"/>
      <c r="E79" s="775">
        <v>472191</v>
      </c>
      <c r="F79" s="759">
        <v>469046</v>
      </c>
      <c r="G79" s="759">
        <v>558696</v>
      </c>
      <c r="H79" s="777">
        <v>32308</v>
      </c>
      <c r="I79" s="732">
        <f>+G79*(1+$I$9)</f>
        <v>581043.84</v>
      </c>
      <c r="J79" s="732">
        <f>+F79*$J$9</f>
        <v>450284.16</v>
      </c>
      <c r="K79" s="730">
        <f t="shared" si="7"/>
        <v>-436738</v>
      </c>
      <c r="L79" s="731">
        <f t="shared" si="8"/>
        <v>-0.9311197622408037</v>
      </c>
    </row>
    <row r="80" spans="1:12" ht="15">
      <c r="A80" s="815" t="s">
        <v>280</v>
      </c>
      <c r="B80" s="719"/>
      <c r="C80" s="719"/>
      <c r="D80" s="738"/>
      <c r="E80" s="775">
        <v>-86500</v>
      </c>
      <c r="F80" s="759">
        <v>0</v>
      </c>
      <c r="G80" s="759">
        <v>-126225</v>
      </c>
      <c r="H80" s="777">
        <v>-87500</v>
      </c>
      <c r="I80" s="732">
        <f>+G80*(1+$I$9)</f>
        <v>-131274</v>
      </c>
      <c r="J80" s="732">
        <v>0</v>
      </c>
      <c r="K80" s="730">
        <f t="shared" si="7"/>
        <v>-87500</v>
      </c>
      <c r="L80" s="731" t="e">
        <f t="shared" si="8"/>
        <v>#DIV/0!</v>
      </c>
    </row>
    <row r="81" spans="1:12" ht="15">
      <c r="A81" s="815" t="s">
        <v>281</v>
      </c>
      <c r="B81" s="719"/>
      <c r="C81" s="719"/>
      <c r="D81" s="738"/>
      <c r="E81" s="775">
        <v>381566</v>
      </c>
      <c r="F81" s="759">
        <v>415296</v>
      </c>
      <c r="G81" s="759">
        <v>398622</v>
      </c>
      <c r="H81" s="777">
        <v>370005</v>
      </c>
      <c r="I81" s="732">
        <f>+G81*(1+$I$9)</f>
        <v>414566.88</v>
      </c>
      <c r="J81" s="732">
        <f>+F81*$J$9</f>
        <v>398684.16</v>
      </c>
      <c r="K81" s="730">
        <f t="shared" si="7"/>
        <v>-45291</v>
      </c>
      <c r="L81" s="731">
        <f t="shared" si="8"/>
        <v>-0.10905715441516413</v>
      </c>
    </row>
    <row r="82" spans="1:12" ht="15.75" thickBot="1">
      <c r="A82" s="815" t="s">
        <v>297</v>
      </c>
      <c r="B82" s="719"/>
      <c r="C82" s="719"/>
      <c r="D82" s="738"/>
      <c r="E82" s="775">
        <v>-19265</v>
      </c>
      <c r="F82" s="759">
        <v>0</v>
      </c>
      <c r="G82" s="759">
        <v>0</v>
      </c>
      <c r="H82" s="777">
        <v>0</v>
      </c>
      <c r="I82" s="732">
        <f>+G82*(1+$I$9)</f>
        <v>0</v>
      </c>
      <c r="J82" s="732">
        <f>+F82*$J$9</f>
        <v>0</v>
      </c>
      <c r="K82" s="730">
        <f t="shared" si="7"/>
        <v>0</v>
      </c>
      <c r="L82" s="731" t="e">
        <f t="shared" si="8"/>
        <v>#DIV/0!</v>
      </c>
    </row>
    <row r="83" spans="1:12" s="748" customFormat="1" ht="17.25" thickBot="1" thickTop="1">
      <c r="A83" s="746" t="s">
        <v>282</v>
      </c>
      <c r="B83" s="796"/>
      <c r="C83" s="796"/>
      <c r="D83" s="823"/>
      <c r="E83" s="842">
        <f>SUM(E60,E67)</f>
        <v>21337070</v>
      </c>
      <c r="F83" s="837">
        <f>SUM(F60,F67)</f>
        <v>20995252</v>
      </c>
      <c r="G83" s="837">
        <f>SUM(G60,G67)</f>
        <v>21464797</v>
      </c>
      <c r="H83" s="838">
        <f>SUM(H60,H67)</f>
        <v>21800227</v>
      </c>
      <c r="I83" s="800" t="e">
        <f>+I60+I67</f>
        <v>#REF!</v>
      </c>
      <c r="J83" s="800" t="e">
        <f>+J60+J67</f>
        <v>#REF!</v>
      </c>
      <c r="K83" s="740">
        <f t="shared" si="7"/>
        <v>804975</v>
      </c>
      <c r="L83" s="801">
        <f t="shared" si="8"/>
        <v>0.038340811532054965</v>
      </c>
    </row>
    <row r="84" spans="1:12" ht="15.75" thickTop="1">
      <c r="A84" s="829" t="s">
        <v>54</v>
      </c>
      <c r="B84" s="745"/>
      <c r="C84" s="745"/>
      <c r="D84" s="830"/>
      <c r="E84" s="775"/>
      <c r="F84" s="759"/>
      <c r="G84" s="759"/>
      <c r="H84" s="775">
        <v>0</v>
      </c>
      <c r="I84" s="732">
        <f>+G84*(1+$I$9)</f>
        <v>0</v>
      </c>
      <c r="J84" s="732">
        <f>+F84*$J$9</f>
        <v>0</v>
      </c>
      <c r="K84" s="730">
        <f t="shared" si="7"/>
        <v>0</v>
      </c>
      <c r="L84" s="731" t="s">
        <v>198</v>
      </c>
    </row>
    <row r="85" spans="1:12" ht="15">
      <c r="A85" s="815" t="s">
        <v>296</v>
      </c>
      <c r="B85" s="719"/>
      <c r="C85" s="719"/>
      <c r="D85" s="738"/>
      <c r="E85" s="775">
        <v>-1291563</v>
      </c>
      <c r="F85" s="759">
        <v>-1390000</v>
      </c>
      <c r="G85" s="759">
        <v>-1255000</v>
      </c>
      <c r="H85" s="777">
        <v>-1338000</v>
      </c>
      <c r="I85" s="732">
        <f>+G85*(1+$I$9)</f>
        <v>-1305200</v>
      </c>
      <c r="J85" s="732">
        <v>0</v>
      </c>
      <c r="K85" s="730">
        <f t="shared" si="7"/>
        <v>52000</v>
      </c>
      <c r="L85" s="731">
        <f>+K85/F85</f>
        <v>-0.03741007194244604</v>
      </c>
    </row>
    <row r="86" spans="1:12" ht="15">
      <c r="A86" s="815" t="s">
        <v>319</v>
      </c>
      <c r="B86" s="719"/>
      <c r="C86" s="719"/>
      <c r="D86" s="738"/>
      <c r="E86" s="775">
        <v>-2500</v>
      </c>
      <c r="F86" s="759">
        <v>-2500</v>
      </c>
      <c r="G86" s="759">
        <v>0</v>
      </c>
      <c r="H86" s="775">
        <v>-41000</v>
      </c>
      <c r="I86" s="732">
        <f>+G86*(1+$I$9)</f>
        <v>0</v>
      </c>
      <c r="J86" s="732">
        <f>+F86*$J$9</f>
        <v>-2400</v>
      </c>
      <c r="K86" s="730">
        <f t="shared" si="7"/>
        <v>-38500</v>
      </c>
      <c r="L86" s="731">
        <f>+K86/F86</f>
        <v>15.4</v>
      </c>
    </row>
    <row r="87" spans="1:12" ht="15.75" thickBot="1">
      <c r="A87" s="815" t="s">
        <v>318</v>
      </c>
      <c r="B87" s="719"/>
      <c r="C87" s="719"/>
      <c r="D87" s="738"/>
      <c r="E87" s="775">
        <v>-102000</v>
      </c>
      <c r="F87" s="759">
        <v>-153000</v>
      </c>
      <c r="G87" s="759">
        <v>-159780</v>
      </c>
      <c r="H87" s="775">
        <v>-240000</v>
      </c>
      <c r="I87" s="732">
        <f>+G87*(1+$I$9)</f>
        <v>-166171.2</v>
      </c>
      <c r="J87" s="732">
        <v>0</v>
      </c>
      <c r="K87" s="730">
        <f t="shared" si="7"/>
        <v>-87000</v>
      </c>
      <c r="L87" s="731">
        <f>+K87/F87</f>
        <v>0.5686274509803921</v>
      </c>
    </row>
    <row r="88" spans="1:12" ht="17.25" thickBot="1" thickTop="1">
      <c r="A88" s="746" t="s">
        <v>283</v>
      </c>
      <c r="B88" s="802"/>
      <c r="C88" s="802"/>
      <c r="D88" s="809"/>
      <c r="E88" s="761">
        <f aca="true" t="shared" si="13" ref="E88:J88">SUM(E85:E87)</f>
        <v>-1396063</v>
      </c>
      <c r="F88" s="770">
        <f t="shared" si="13"/>
        <v>-1545500</v>
      </c>
      <c r="G88" s="770">
        <f t="shared" si="13"/>
        <v>-1414780</v>
      </c>
      <c r="H88" s="761">
        <f t="shared" si="13"/>
        <v>-1619000</v>
      </c>
      <c r="I88" s="747">
        <f t="shared" si="13"/>
        <v>-1471371.2</v>
      </c>
      <c r="J88" s="747">
        <f t="shared" si="13"/>
        <v>-2400</v>
      </c>
      <c r="K88" s="722">
        <f t="shared" si="7"/>
        <v>-73500</v>
      </c>
      <c r="L88" s="786">
        <f>+K88/F88</f>
        <v>0.04755742478162407</v>
      </c>
    </row>
    <row r="89" spans="1:12" ht="17.25" thickBot="1" thickTop="1">
      <c r="A89" s="746" t="s">
        <v>284</v>
      </c>
      <c r="B89" s="803"/>
      <c r="C89" s="803"/>
      <c r="D89" s="831"/>
      <c r="E89" s="843">
        <f>SUM(E83,E88)</f>
        <v>19941007</v>
      </c>
      <c r="F89" s="839">
        <f>SUM(F83,F88)</f>
        <v>19449752</v>
      </c>
      <c r="G89" s="839">
        <f>SUM(G83,G88)</f>
        <v>20050017</v>
      </c>
      <c r="H89" s="840">
        <f>SUM(H83,H88)</f>
        <v>20181227</v>
      </c>
      <c r="I89" s="804" t="e">
        <f>+I83+I88</f>
        <v>#REF!</v>
      </c>
      <c r="J89" s="804" t="e">
        <f>+J83+J88</f>
        <v>#REF!</v>
      </c>
      <c r="K89" s="740">
        <f t="shared" si="7"/>
        <v>731475</v>
      </c>
      <c r="L89" s="801">
        <f>+K89/F89</f>
        <v>0.03760844868356162</v>
      </c>
    </row>
    <row r="90" spans="1:10" ht="15.75" thickTop="1">
      <c r="A90" s="815" t="s">
        <v>31</v>
      </c>
      <c r="B90" s="719"/>
      <c r="C90" s="719"/>
      <c r="D90" s="738"/>
      <c r="E90" s="775"/>
      <c r="F90" s="759"/>
      <c r="G90" s="759"/>
      <c r="H90" s="775"/>
      <c r="I90" s="734"/>
      <c r="J90" s="734"/>
    </row>
    <row r="91" spans="1:10" ht="15">
      <c r="A91" s="815" t="s">
        <v>286</v>
      </c>
      <c r="B91" s="719"/>
      <c r="C91" s="719"/>
      <c r="D91" s="738"/>
      <c r="E91" s="775">
        <v>168300</v>
      </c>
      <c r="F91" s="759">
        <v>168300</v>
      </c>
      <c r="G91" s="759">
        <v>168300</v>
      </c>
      <c r="H91" s="775">
        <v>168300</v>
      </c>
      <c r="I91" s="734"/>
      <c r="J91" s="734"/>
    </row>
    <row r="92" spans="1:10" ht="15">
      <c r="A92" s="815" t="s">
        <v>287</v>
      </c>
      <c r="B92" s="719"/>
      <c r="C92" s="719"/>
      <c r="D92" s="738"/>
      <c r="E92" s="775">
        <v>9500</v>
      </c>
      <c r="F92" s="759">
        <v>9500</v>
      </c>
      <c r="G92" s="759">
        <v>9500</v>
      </c>
      <c r="H92" s="775">
        <v>9500</v>
      </c>
      <c r="I92" s="734"/>
      <c r="J92" s="734"/>
    </row>
    <row r="93" spans="1:10" ht="15">
      <c r="A93" s="815" t="s">
        <v>126</v>
      </c>
      <c r="B93" s="719"/>
      <c r="C93" s="719"/>
      <c r="D93" s="738"/>
      <c r="E93" s="775">
        <v>53625</v>
      </c>
      <c r="F93" s="759">
        <v>53625</v>
      </c>
      <c r="G93" s="759">
        <v>43950</v>
      </c>
      <c r="H93" s="775">
        <v>31075</v>
      </c>
      <c r="I93" s="734"/>
      <c r="J93" s="734"/>
    </row>
    <row r="94" spans="1:10" ht="15">
      <c r="A94" s="815" t="s">
        <v>288</v>
      </c>
      <c r="B94" s="719"/>
      <c r="C94" s="719"/>
      <c r="D94" s="738"/>
      <c r="E94" s="775">
        <v>64000</v>
      </c>
      <c r="F94" s="759">
        <v>64000</v>
      </c>
      <c r="G94" s="759">
        <v>65000</v>
      </c>
      <c r="H94" s="775">
        <v>49734</v>
      </c>
      <c r="I94" s="734"/>
      <c r="J94" s="734"/>
    </row>
    <row r="95" spans="1:10" ht="15">
      <c r="A95" s="815" t="s">
        <v>143</v>
      </c>
      <c r="B95" s="719"/>
      <c r="C95" s="719"/>
      <c r="D95" s="738"/>
      <c r="E95" s="775">
        <v>548623</v>
      </c>
      <c r="F95" s="759">
        <v>548623</v>
      </c>
      <c r="G95" s="759">
        <v>842476</v>
      </c>
      <c r="H95" s="775">
        <v>543619</v>
      </c>
      <c r="I95" s="734"/>
      <c r="J95" s="734"/>
    </row>
    <row r="96" spans="1:10" ht="15">
      <c r="A96" s="815" t="s">
        <v>144</v>
      </c>
      <c r="B96" s="719"/>
      <c r="C96" s="719"/>
      <c r="D96" s="738"/>
      <c r="E96" s="775">
        <v>116000</v>
      </c>
      <c r="F96" s="759">
        <v>116000</v>
      </c>
      <c r="G96" s="759">
        <f>-G37</f>
        <v>127710</v>
      </c>
      <c r="H96" s="775">
        <v>144600</v>
      </c>
      <c r="I96" s="734"/>
      <c r="J96" s="734"/>
    </row>
    <row r="97" spans="1:10" ht="15">
      <c r="A97" s="815" t="s">
        <v>289</v>
      </c>
      <c r="B97" s="719"/>
      <c r="C97" s="719"/>
      <c r="D97" s="738"/>
      <c r="E97" s="775">
        <v>214402</v>
      </c>
      <c r="F97" s="759">
        <v>214402</v>
      </c>
      <c r="G97" s="759">
        <f>-G41</f>
        <v>226437</v>
      </c>
      <c r="H97" s="775">
        <v>239313</v>
      </c>
      <c r="I97" s="734"/>
      <c r="J97" s="734"/>
    </row>
    <row r="98" spans="1:10" ht="15">
      <c r="A98" s="815" t="s">
        <v>290</v>
      </c>
      <c r="B98" s="719"/>
      <c r="C98" s="719"/>
      <c r="D98" s="738"/>
      <c r="E98" s="775">
        <v>201673</v>
      </c>
      <c r="F98" s="759">
        <v>201673</v>
      </c>
      <c r="G98" s="759">
        <v>212078</v>
      </c>
      <c r="H98" s="777">
        <v>239249</v>
      </c>
      <c r="I98" s="732"/>
      <c r="J98" s="732"/>
    </row>
    <row r="99" spans="1:10" ht="15.75" thickBot="1">
      <c r="A99" s="815" t="s">
        <v>291</v>
      </c>
      <c r="B99" s="719"/>
      <c r="C99" s="719"/>
      <c r="D99" s="738"/>
      <c r="E99" s="775">
        <v>625000</v>
      </c>
      <c r="F99" s="759">
        <v>625000</v>
      </c>
      <c r="G99" s="759">
        <v>625000</v>
      </c>
      <c r="H99" s="775">
        <v>625000</v>
      </c>
      <c r="I99" s="734"/>
      <c r="J99" s="734"/>
    </row>
    <row r="100" spans="1:10" s="748" customFormat="1" ht="17.25" thickBot="1" thickTop="1">
      <c r="A100" s="746" t="s">
        <v>292</v>
      </c>
      <c r="B100" s="796"/>
      <c r="C100" s="796"/>
      <c r="D100" s="823"/>
      <c r="E100" s="838">
        <f aca="true" t="shared" si="14" ref="E100:J100">SUM(E91:E99)</f>
        <v>2001123</v>
      </c>
      <c r="F100" s="839">
        <f>SUM(F91:F99)</f>
        <v>2001123</v>
      </c>
      <c r="G100" s="839">
        <f>SUM(G91:G99)</f>
        <v>2320451</v>
      </c>
      <c r="H100" s="838">
        <f>SUM(H91:H99)</f>
        <v>2050390</v>
      </c>
      <c r="I100" s="800">
        <f t="shared" si="14"/>
        <v>0</v>
      </c>
      <c r="J100" s="800">
        <f t="shared" si="14"/>
        <v>0</v>
      </c>
    </row>
    <row r="101" spans="1:10" ht="15.75" thickTop="1">
      <c r="A101" s="829" t="s">
        <v>172</v>
      </c>
      <c r="B101" s="719"/>
      <c r="C101" s="719"/>
      <c r="D101" s="738"/>
      <c r="E101" s="778"/>
      <c r="F101" s="771"/>
      <c r="G101" s="771"/>
      <c r="H101" s="776"/>
      <c r="I101" s="744"/>
      <c r="J101" s="744"/>
    </row>
    <row r="102" spans="1:10" ht="15">
      <c r="A102" s="815" t="s">
        <v>303</v>
      </c>
      <c r="B102" s="719"/>
      <c r="C102" s="719"/>
      <c r="D102" s="738"/>
      <c r="E102" s="776">
        <v>0</v>
      </c>
      <c r="F102" s="769">
        <v>0</v>
      </c>
      <c r="G102" s="769">
        <v>800</v>
      </c>
      <c r="H102" s="776">
        <v>0</v>
      </c>
      <c r="I102" s="744"/>
      <c r="J102" s="744"/>
    </row>
    <row r="103" spans="1:10" ht="15">
      <c r="A103" s="815" t="s">
        <v>300</v>
      </c>
      <c r="B103" s="719"/>
      <c r="C103" s="719"/>
      <c r="D103" s="738"/>
      <c r="E103" s="776">
        <v>0</v>
      </c>
      <c r="F103" s="769">
        <v>0</v>
      </c>
      <c r="G103" s="769">
        <v>139225</v>
      </c>
      <c r="H103" s="776">
        <v>0</v>
      </c>
      <c r="I103" s="744"/>
      <c r="J103" s="744"/>
    </row>
    <row r="104" spans="1:10" ht="15">
      <c r="A104" s="815" t="s">
        <v>299</v>
      </c>
      <c r="B104" s="719"/>
      <c r="C104" s="719"/>
      <c r="D104" s="738"/>
      <c r="E104" s="776">
        <v>0</v>
      </c>
      <c r="F104" s="769">
        <v>0</v>
      </c>
      <c r="G104" s="769">
        <v>74772</v>
      </c>
      <c r="H104" s="776">
        <v>0</v>
      </c>
      <c r="I104" s="744"/>
      <c r="J104" s="744"/>
    </row>
    <row r="105" spans="1:10" ht="15.75" thickBot="1">
      <c r="A105" s="815" t="s">
        <v>298</v>
      </c>
      <c r="B105" s="719"/>
      <c r="C105" s="719"/>
      <c r="D105" s="738"/>
      <c r="E105" s="779">
        <v>0</v>
      </c>
      <c r="F105" s="772">
        <v>0</v>
      </c>
      <c r="G105" s="772">
        <v>48024</v>
      </c>
      <c r="H105" s="776">
        <v>0</v>
      </c>
      <c r="I105" s="744"/>
      <c r="J105" s="744"/>
    </row>
    <row r="106" spans="1:10" ht="17.25" thickBot="1" thickTop="1">
      <c r="A106" s="965" t="s">
        <v>285</v>
      </c>
      <c r="B106" s="966"/>
      <c r="C106" s="966"/>
      <c r="D106" s="966"/>
      <c r="E106" s="763">
        <f>SUM(E102:E105)</f>
        <v>0</v>
      </c>
      <c r="F106" s="762">
        <f>SUM(F102:F105)</f>
        <v>0</v>
      </c>
      <c r="G106" s="762">
        <f>SUM(G102:G105)</f>
        <v>262821</v>
      </c>
      <c r="H106" s="763">
        <f>SUM(H102:H105)</f>
        <v>0</v>
      </c>
      <c r="I106" s="749"/>
      <c r="J106" s="749"/>
    </row>
    <row r="107" spans="1:10" ht="17.25" thickBot="1" thickTop="1">
      <c r="A107" s="805" t="s">
        <v>305</v>
      </c>
      <c r="B107" s="803"/>
      <c r="C107" s="803"/>
      <c r="D107" s="831"/>
      <c r="E107" s="843">
        <f>SUM(E89,E100,E106)</f>
        <v>21942130</v>
      </c>
      <c r="F107" s="839">
        <f>SUM(F89,F100,F106)</f>
        <v>21450875</v>
      </c>
      <c r="G107" s="839">
        <f>SUM(G89,G100,G106)</f>
        <v>22633289</v>
      </c>
      <c r="H107" s="838">
        <f>SUM(H89,H100,H106)</f>
        <v>22231617</v>
      </c>
      <c r="I107" s="800" t="e">
        <f>SUM(#REF!,I100,I106)</f>
        <v>#REF!</v>
      </c>
      <c r="J107" s="800" t="e">
        <f>SUM(#REF!,J100,J106)</f>
        <v>#REF!</v>
      </c>
    </row>
    <row r="108" spans="1:10" ht="15.75" thickTop="1">
      <c r="A108" s="815" t="s">
        <v>46</v>
      </c>
      <c r="B108" s="719"/>
      <c r="C108" s="719"/>
      <c r="D108" s="738"/>
      <c r="E108" s="775"/>
      <c r="F108" s="759"/>
      <c r="G108" s="759"/>
      <c r="H108" s="775"/>
      <c r="I108" s="734"/>
      <c r="J108" s="734"/>
    </row>
    <row r="109" spans="1:10" ht="15">
      <c r="A109" s="815" t="s">
        <v>62</v>
      </c>
      <c r="B109" s="719"/>
      <c r="C109" s="719"/>
      <c r="D109" s="738"/>
      <c r="E109" s="775">
        <v>49415</v>
      </c>
      <c r="F109" s="759">
        <v>49415</v>
      </c>
      <c r="G109" s="759">
        <v>49415</v>
      </c>
      <c r="H109" s="775">
        <v>49415</v>
      </c>
      <c r="I109" s="734"/>
      <c r="J109" s="734"/>
    </row>
    <row r="110" spans="1:10" ht="15">
      <c r="A110" s="815" t="s">
        <v>47</v>
      </c>
      <c r="B110" s="719"/>
      <c r="C110" s="719"/>
      <c r="D110" s="738"/>
      <c r="E110" s="775">
        <v>114000</v>
      </c>
      <c r="F110" s="759">
        <v>114000</v>
      </c>
      <c r="G110" s="759">
        <v>114000</v>
      </c>
      <c r="H110" s="775">
        <v>114000</v>
      </c>
      <c r="I110" s="734"/>
      <c r="J110" s="734"/>
    </row>
    <row r="111" spans="1:10" ht="15.75" thickBot="1">
      <c r="A111" s="815" t="s">
        <v>158</v>
      </c>
      <c r="B111" s="719"/>
      <c r="C111" s="719"/>
      <c r="D111" s="738"/>
      <c r="E111" s="775"/>
      <c r="F111" s="759"/>
      <c r="G111" s="759">
        <v>11450</v>
      </c>
      <c r="H111" s="775">
        <v>11450</v>
      </c>
      <c r="I111" s="734"/>
      <c r="J111" s="734"/>
    </row>
    <row r="112" spans="1:10" ht="17.25" thickBot="1" thickTop="1">
      <c r="A112" s="746" t="s">
        <v>90</v>
      </c>
      <c r="B112" s="802"/>
      <c r="C112" s="802"/>
      <c r="D112" s="809"/>
      <c r="E112" s="761">
        <f aca="true" t="shared" si="15" ref="E112:J112">SUM(E109:E111)</f>
        <v>163415</v>
      </c>
      <c r="F112" s="770">
        <f t="shared" si="15"/>
        <v>163415</v>
      </c>
      <c r="G112" s="770">
        <f t="shared" si="15"/>
        <v>174865</v>
      </c>
      <c r="H112" s="761">
        <f t="shared" si="15"/>
        <v>174865</v>
      </c>
      <c r="I112" s="806">
        <f t="shared" si="15"/>
        <v>0</v>
      </c>
      <c r="J112" s="806">
        <f t="shared" si="15"/>
        <v>0</v>
      </c>
    </row>
    <row r="113" spans="1:10" ht="18" customHeight="1" thickBot="1" thickTop="1">
      <c r="A113" s="807" t="s">
        <v>32</v>
      </c>
      <c r="B113" s="808"/>
      <c r="C113" s="808"/>
      <c r="D113" s="808"/>
      <c r="E113" s="838">
        <f aca="true" t="shared" si="16" ref="E113:J113">SUM(E107,E112)</f>
        <v>22105545</v>
      </c>
      <c r="F113" s="839">
        <f t="shared" si="16"/>
        <v>21614290</v>
      </c>
      <c r="G113" s="839">
        <f>SUM(G107,G112)</f>
        <v>22808154</v>
      </c>
      <c r="H113" s="838">
        <f t="shared" si="16"/>
        <v>22406482</v>
      </c>
      <c r="I113" s="800" t="e">
        <f t="shared" si="16"/>
        <v>#REF!</v>
      </c>
      <c r="J113" s="800" t="e">
        <f t="shared" si="16"/>
        <v>#REF!</v>
      </c>
    </row>
    <row r="114" spans="1:10" ht="16.5" thickTop="1">
      <c r="A114" s="967"/>
      <c r="B114" s="968"/>
      <c r="C114" s="968"/>
      <c r="D114" s="968"/>
      <c r="E114" s="722"/>
      <c r="F114" s="722"/>
      <c r="G114" s="722"/>
      <c r="H114" s="722"/>
      <c r="I114" s="722"/>
      <c r="J114" s="722"/>
    </row>
    <row r="115" spans="1:10" ht="15" customHeight="1">
      <c r="A115" s="962"/>
      <c r="B115" s="963"/>
      <c r="C115" s="963"/>
      <c r="D115" s="963"/>
      <c r="E115" s="964"/>
      <c r="F115" s="722"/>
      <c r="G115" s="722"/>
      <c r="H115" s="722"/>
      <c r="I115" s="722"/>
      <c r="J115" s="722"/>
    </row>
    <row r="116" spans="1:10" ht="24.75" customHeight="1">
      <c r="A116" s="959" t="s">
        <v>329</v>
      </c>
      <c r="B116" s="960"/>
      <c r="C116" s="960"/>
      <c r="D116" s="960"/>
      <c r="E116" s="961"/>
      <c r="F116" s="961"/>
      <c r="G116" s="844"/>
      <c r="H116" s="764"/>
      <c r="I116" s="722"/>
      <c r="J116" s="722"/>
    </row>
    <row r="117" spans="1:10" ht="16.5" customHeight="1">
      <c r="A117" s="959" t="s">
        <v>328</v>
      </c>
      <c r="B117" s="960"/>
      <c r="C117" s="960"/>
      <c r="D117" s="960"/>
      <c r="E117" s="961"/>
      <c r="F117" s="961"/>
      <c r="G117" s="764"/>
      <c r="H117" s="764"/>
      <c r="I117" s="722"/>
      <c r="J117" s="722"/>
    </row>
    <row r="118" spans="1:10" ht="24" customHeight="1">
      <c r="A118" s="959" t="s">
        <v>325</v>
      </c>
      <c r="B118" s="960"/>
      <c r="C118" s="960"/>
      <c r="D118" s="960"/>
      <c r="E118" s="964"/>
      <c r="F118" s="722"/>
      <c r="G118" s="722"/>
      <c r="H118" s="722"/>
      <c r="I118" s="722"/>
      <c r="J118" s="722"/>
    </row>
    <row r="119" spans="1:10" ht="22.5" customHeight="1">
      <c r="A119" s="751" t="s">
        <v>326</v>
      </c>
      <c r="B119" s="750"/>
      <c r="C119" s="750"/>
      <c r="D119" s="750"/>
      <c r="E119" s="722"/>
      <c r="F119" s="722"/>
      <c r="G119" s="722"/>
      <c r="H119" s="722"/>
      <c r="I119" s="722"/>
      <c r="J119" s="722"/>
    </row>
    <row r="120" spans="1:10" ht="15">
      <c r="A120" s="751"/>
      <c r="B120" s="750"/>
      <c r="C120" s="750"/>
      <c r="D120" s="750"/>
      <c r="E120" s="722"/>
      <c r="F120" s="722"/>
      <c r="G120" s="722"/>
      <c r="H120" s="722"/>
      <c r="I120" s="722"/>
      <c r="J120" s="722"/>
    </row>
    <row r="121" spans="1:7" ht="15">
      <c r="A121" s="752"/>
      <c r="B121" s="753"/>
      <c r="E121" s="722"/>
      <c r="F121" s="722"/>
      <c r="G121" s="722"/>
    </row>
    <row r="122" spans="1:7" ht="15">
      <c r="A122" s="754"/>
      <c r="B122" s="753"/>
      <c r="E122" s="722"/>
      <c r="F122" s="722"/>
      <c r="G122" s="722"/>
    </row>
    <row r="123" spans="1:7" ht="15">
      <c r="A123" s="754"/>
      <c r="B123" s="753"/>
      <c r="E123" s="722"/>
      <c r="F123" s="722"/>
      <c r="G123" s="722"/>
    </row>
    <row r="124" spans="1:7" ht="15">
      <c r="A124" s="754"/>
      <c r="B124" s="753"/>
      <c r="E124" s="722"/>
      <c r="F124" s="722"/>
      <c r="G124" s="722"/>
    </row>
    <row r="125" spans="1:7" ht="15">
      <c r="A125" s="754"/>
      <c r="B125" s="753"/>
      <c r="E125" s="722"/>
      <c r="F125" s="722"/>
      <c r="G125" s="722"/>
    </row>
    <row r="126" spans="1:7" ht="15">
      <c r="A126" s="754"/>
      <c r="B126" s="753"/>
      <c r="E126" s="722"/>
      <c r="F126" s="722"/>
      <c r="G126" s="722"/>
    </row>
    <row r="127" spans="1:7" ht="15">
      <c r="A127" s="754"/>
      <c r="B127" s="753"/>
      <c r="E127" s="722"/>
      <c r="F127" s="722"/>
      <c r="G127" s="722"/>
    </row>
    <row r="128" spans="1:7" ht="15">
      <c r="A128" s="754"/>
      <c r="B128" s="753"/>
      <c r="E128" s="722"/>
      <c r="F128" s="722"/>
      <c r="G128" s="722"/>
    </row>
    <row r="129" spans="1:7" ht="15">
      <c r="A129" s="754"/>
      <c r="B129" s="753"/>
      <c r="E129" s="722"/>
      <c r="F129" s="722"/>
      <c r="G129" s="722"/>
    </row>
    <row r="130" spans="1:7" ht="15">
      <c r="A130" s="754"/>
      <c r="B130" s="753"/>
      <c r="E130" s="722"/>
      <c r="F130" s="722"/>
      <c r="G130" s="722"/>
    </row>
    <row r="131" spans="1:7" ht="15">
      <c r="A131" s="754"/>
      <c r="B131" s="753"/>
      <c r="E131" s="722"/>
      <c r="F131" s="722"/>
      <c r="G131" s="722"/>
    </row>
    <row r="132" spans="1:7" ht="15">
      <c r="A132" s="754"/>
      <c r="B132" s="753"/>
      <c r="E132" s="722"/>
      <c r="F132" s="722"/>
      <c r="G132" s="722"/>
    </row>
    <row r="133" spans="1:7" ht="15">
      <c r="A133" s="754"/>
      <c r="B133" s="753"/>
      <c r="E133" s="722"/>
      <c r="F133" s="722"/>
      <c r="G133" s="722"/>
    </row>
    <row r="134" spans="1:7" ht="15">
      <c r="A134" s="754"/>
      <c r="B134" s="753"/>
      <c r="E134" s="722"/>
      <c r="F134" s="722"/>
      <c r="G134" s="722"/>
    </row>
    <row r="135" spans="1:7" ht="15">
      <c r="A135" s="754"/>
      <c r="B135" s="753"/>
      <c r="E135" s="722"/>
      <c r="F135" s="722"/>
      <c r="G135" s="722"/>
    </row>
    <row r="136" spans="1:7" ht="15">
      <c r="A136" s="754"/>
      <c r="B136" s="753"/>
      <c r="E136" s="722"/>
      <c r="F136" s="722"/>
      <c r="G136" s="722"/>
    </row>
    <row r="137" spans="1:7" ht="15">
      <c r="A137" s="755"/>
      <c r="B137" s="753"/>
      <c r="E137" s="722"/>
      <c r="F137" s="722"/>
      <c r="G137" s="722"/>
    </row>
    <row r="138" spans="1:7" ht="15">
      <c r="A138" s="755"/>
      <c r="B138" s="753"/>
      <c r="E138" s="722"/>
      <c r="F138" s="722"/>
      <c r="G138" s="722"/>
    </row>
    <row r="139" spans="1:7" ht="15">
      <c r="A139" s="755"/>
      <c r="B139" s="753"/>
      <c r="E139" s="722"/>
      <c r="F139" s="722"/>
      <c r="G139" s="722"/>
    </row>
    <row r="140" spans="1:7" ht="15">
      <c r="A140" s="755"/>
      <c r="B140" s="753"/>
      <c r="E140" s="722"/>
      <c r="F140" s="722"/>
      <c r="G140" s="722"/>
    </row>
    <row r="141" spans="1:7" ht="15">
      <c r="A141" s="755"/>
      <c r="B141" s="753"/>
      <c r="E141" s="722"/>
      <c r="F141" s="722"/>
      <c r="G141" s="722"/>
    </row>
    <row r="142" spans="1:7" ht="15">
      <c r="A142" s="755"/>
      <c r="B142" s="753"/>
      <c r="E142" s="722"/>
      <c r="F142" s="722"/>
      <c r="G142" s="722"/>
    </row>
    <row r="143" spans="1:7" ht="15">
      <c r="A143" s="755"/>
      <c r="B143" s="753"/>
      <c r="E143" s="722"/>
      <c r="F143" s="722"/>
      <c r="G143" s="722"/>
    </row>
    <row r="144" spans="1:7" ht="15">
      <c r="A144" s="755"/>
      <c r="B144" s="753"/>
      <c r="E144" s="722"/>
      <c r="F144" s="722"/>
      <c r="G144" s="722"/>
    </row>
    <row r="145" spans="1:7" ht="15">
      <c r="A145" s="755"/>
      <c r="B145" s="753"/>
      <c r="E145" s="722"/>
      <c r="F145" s="722"/>
      <c r="G145" s="722"/>
    </row>
    <row r="146" spans="1:7" ht="15">
      <c r="A146" s="755"/>
      <c r="B146" s="753"/>
      <c r="E146" s="722"/>
      <c r="F146" s="722"/>
      <c r="G146" s="722"/>
    </row>
    <row r="147" spans="1:7" ht="15">
      <c r="A147" s="755"/>
      <c r="B147" s="753"/>
      <c r="E147" s="722"/>
      <c r="F147" s="722"/>
      <c r="G147" s="722"/>
    </row>
    <row r="148" spans="1:7" ht="15">
      <c r="A148" s="755"/>
      <c r="B148" s="753"/>
      <c r="E148" s="722"/>
      <c r="F148" s="722"/>
      <c r="G148" s="722"/>
    </row>
    <row r="149" spans="1:7" ht="15">
      <c r="A149" s="755"/>
      <c r="B149" s="753"/>
      <c r="E149" s="722"/>
      <c r="F149" s="722"/>
      <c r="G149" s="722"/>
    </row>
    <row r="150" spans="1:7" ht="15">
      <c r="A150" s="755"/>
      <c r="B150" s="753"/>
      <c r="E150" s="722"/>
      <c r="F150" s="722"/>
      <c r="G150" s="722"/>
    </row>
    <row r="151" spans="1:7" ht="15">
      <c r="A151" s="755"/>
      <c r="B151" s="753"/>
      <c r="E151" s="722"/>
      <c r="F151" s="722"/>
      <c r="G151" s="722"/>
    </row>
    <row r="152" spans="1:7" ht="15">
      <c r="A152" s="755"/>
      <c r="B152" s="753"/>
      <c r="E152" s="722"/>
      <c r="F152" s="722"/>
      <c r="G152" s="722"/>
    </row>
    <row r="153" spans="1:7" ht="15">
      <c r="A153" s="755"/>
      <c r="B153" s="753"/>
      <c r="E153" s="722"/>
      <c r="F153" s="722"/>
      <c r="G153" s="722"/>
    </row>
    <row r="154" spans="1:7" ht="15">
      <c r="A154" s="755"/>
      <c r="B154" s="753"/>
      <c r="E154" s="722"/>
      <c r="F154" s="722"/>
      <c r="G154" s="722"/>
    </row>
    <row r="155" spans="1:7" ht="15">
      <c r="A155" s="755"/>
      <c r="B155" s="753"/>
      <c r="E155" s="722"/>
      <c r="F155" s="722"/>
      <c r="G155" s="722"/>
    </row>
    <row r="156" spans="1:7" ht="15">
      <c r="A156" s="755"/>
      <c r="B156" s="753"/>
      <c r="E156" s="722"/>
      <c r="F156" s="722"/>
      <c r="G156" s="722"/>
    </row>
    <row r="157" spans="1:7" ht="15">
      <c r="A157" s="755"/>
      <c r="B157" s="753"/>
      <c r="E157" s="722"/>
      <c r="F157" s="722"/>
      <c r="G157" s="722"/>
    </row>
    <row r="158" spans="1:7" ht="15">
      <c r="A158" s="755"/>
      <c r="B158" s="753"/>
      <c r="E158" s="722"/>
      <c r="F158" s="722"/>
      <c r="G158" s="722"/>
    </row>
    <row r="159" spans="1:7" ht="15">
      <c r="A159" s="755"/>
      <c r="B159" s="753"/>
      <c r="E159" s="722"/>
      <c r="F159" s="722"/>
      <c r="G159" s="722"/>
    </row>
    <row r="160" spans="1:7" ht="15">
      <c r="A160" s="755"/>
      <c r="B160" s="753"/>
      <c r="E160" s="722"/>
      <c r="F160" s="722"/>
      <c r="G160" s="722"/>
    </row>
    <row r="161" spans="1:7" ht="15">
      <c r="A161" s="755"/>
      <c r="B161" s="753"/>
      <c r="E161" s="722"/>
      <c r="F161" s="722"/>
      <c r="G161" s="722"/>
    </row>
    <row r="162" spans="1:7" ht="15">
      <c r="A162" s="755"/>
      <c r="B162" s="753"/>
      <c r="E162" s="722"/>
      <c r="F162" s="722"/>
      <c r="G162" s="722"/>
    </row>
    <row r="163" spans="1:7" ht="15">
      <c r="A163" s="755"/>
      <c r="B163" s="753"/>
      <c r="E163" s="722"/>
      <c r="F163" s="722"/>
      <c r="G163" s="722"/>
    </row>
    <row r="164" spans="1:7" ht="15">
      <c r="A164" s="755"/>
      <c r="B164" s="753"/>
      <c r="E164" s="722"/>
      <c r="F164" s="722"/>
      <c r="G164" s="722"/>
    </row>
    <row r="165" spans="1:7" ht="15">
      <c r="A165" s="755"/>
      <c r="B165" s="753"/>
      <c r="E165" s="722"/>
      <c r="F165" s="722"/>
      <c r="G165" s="722"/>
    </row>
    <row r="166" spans="1:7" ht="15">
      <c r="A166" s="755"/>
      <c r="B166" s="753"/>
      <c r="E166" s="722"/>
      <c r="F166" s="722"/>
      <c r="G166" s="722"/>
    </row>
    <row r="167" spans="1:7" ht="15">
      <c r="A167" s="755"/>
      <c r="E167" s="722"/>
      <c r="F167" s="722"/>
      <c r="G167" s="722"/>
    </row>
    <row r="168" spans="1:7" ht="15">
      <c r="A168" s="755"/>
      <c r="E168" s="722"/>
      <c r="F168" s="722"/>
      <c r="G168" s="722"/>
    </row>
    <row r="169" spans="1:7" ht="15">
      <c r="A169" s="755"/>
      <c r="E169" s="722"/>
      <c r="F169" s="722"/>
      <c r="G169" s="722"/>
    </row>
    <row r="170" spans="1:7" ht="15">
      <c r="A170" s="755"/>
      <c r="E170" s="722"/>
      <c r="F170" s="722"/>
      <c r="G170" s="722"/>
    </row>
    <row r="171" spans="1:7" ht="15">
      <c r="A171" s="755"/>
      <c r="E171" s="722"/>
      <c r="F171" s="722"/>
      <c r="G171" s="722"/>
    </row>
    <row r="172" spans="1:7" ht="15">
      <c r="A172" s="755"/>
      <c r="E172" s="722"/>
      <c r="F172" s="722"/>
      <c r="G172" s="722"/>
    </row>
    <row r="173" spans="1:7" ht="15">
      <c r="A173" s="755"/>
      <c r="E173" s="722"/>
      <c r="F173" s="722"/>
      <c r="G173" s="722"/>
    </row>
    <row r="174" spans="1:7" ht="15">
      <c r="A174" s="755"/>
      <c r="E174" s="722"/>
      <c r="F174" s="722"/>
      <c r="G174" s="722"/>
    </row>
    <row r="175" spans="1:7" ht="15">
      <c r="A175" s="755"/>
      <c r="E175" s="722"/>
      <c r="F175" s="722"/>
      <c r="G175" s="722"/>
    </row>
    <row r="176" spans="1:7" ht="15">
      <c r="A176" s="755"/>
      <c r="E176" s="722"/>
      <c r="F176" s="722"/>
      <c r="G176" s="722"/>
    </row>
    <row r="177" spans="1:7" ht="15">
      <c r="A177" s="755"/>
      <c r="E177" s="722"/>
      <c r="F177" s="722"/>
      <c r="G177" s="722"/>
    </row>
    <row r="178" spans="5:7" ht="15">
      <c r="E178" s="722"/>
      <c r="F178" s="722"/>
      <c r="G178" s="722"/>
    </row>
    <row r="179" spans="5:7" ht="15">
      <c r="E179" s="722"/>
      <c r="F179" s="722"/>
      <c r="G179" s="722"/>
    </row>
    <row r="180" spans="5:7" ht="15">
      <c r="E180" s="722"/>
      <c r="F180" s="722"/>
      <c r="G180" s="722"/>
    </row>
    <row r="181" spans="5:7" ht="15">
      <c r="E181" s="722"/>
      <c r="F181" s="722"/>
      <c r="G181" s="722"/>
    </row>
    <row r="182" spans="5:7" ht="15">
      <c r="E182" s="722"/>
      <c r="F182" s="722"/>
      <c r="G182" s="722"/>
    </row>
    <row r="183" spans="5:7" ht="15">
      <c r="E183" s="722"/>
      <c r="F183" s="722"/>
      <c r="G183" s="722"/>
    </row>
    <row r="184" spans="5:7" ht="15">
      <c r="E184" s="722"/>
      <c r="F184" s="722"/>
      <c r="G184" s="722"/>
    </row>
    <row r="185" spans="5:7" ht="15">
      <c r="E185" s="722"/>
      <c r="F185" s="722"/>
      <c r="G185" s="722"/>
    </row>
    <row r="186" spans="5:7" ht="15">
      <c r="E186" s="722"/>
      <c r="F186" s="722"/>
      <c r="G186" s="722"/>
    </row>
    <row r="187" spans="5:7" ht="15">
      <c r="E187" s="722"/>
      <c r="F187" s="722"/>
      <c r="G187" s="722"/>
    </row>
    <row r="188" spans="1:7" ht="15">
      <c r="A188" s="756"/>
      <c r="E188" s="722"/>
      <c r="F188" s="722"/>
      <c r="G188" s="722"/>
    </row>
    <row r="189" spans="5:7" ht="15">
      <c r="E189" s="722"/>
      <c r="F189" s="722"/>
      <c r="G189" s="722"/>
    </row>
    <row r="190" spans="5:7" ht="15">
      <c r="E190" s="722"/>
      <c r="F190" s="722"/>
      <c r="G190" s="722"/>
    </row>
    <row r="191" spans="1:7" ht="15">
      <c r="A191" s="757"/>
      <c r="E191" s="722"/>
      <c r="F191" s="722"/>
      <c r="G191" s="722"/>
    </row>
    <row r="192" spans="5:7" ht="15">
      <c r="E192" s="722"/>
      <c r="F192" s="722"/>
      <c r="G192" s="722"/>
    </row>
    <row r="193" spans="5:7" ht="15">
      <c r="E193" s="722"/>
      <c r="F193" s="722"/>
      <c r="G193" s="722"/>
    </row>
    <row r="194" spans="5:7" ht="15">
      <c r="E194" s="722"/>
      <c r="F194" s="722"/>
      <c r="G194" s="722"/>
    </row>
    <row r="195" spans="5:7" ht="15">
      <c r="E195" s="722"/>
      <c r="F195" s="722"/>
      <c r="G195" s="722"/>
    </row>
    <row r="196" spans="5:7" ht="15">
      <c r="E196" s="722"/>
      <c r="F196" s="722"/>
      <c r="G196" s="722"/>
    </row>
    <row r="197" spans="5:7" ht="15">
      <c r="E197" s="722"/>
      <c r="F197" s="722"/>
      <c r="G197" s="722"/>
    </row>
    <row r="198" spans="5:7" ht="15">
      <c r="E198" s="722"/>
      <c r="F198" s="722"/>
      <c r="G198" s="722"/>
    </row>
    <row r="199" spans="5:7" ht="15">
      <c r="E199" s="722"/>
      <c r="F199" s="722"/>
      <c r="G199" s="722"/>
    </row>
    <row r="200" spans="5:7" ht="15">
      <c r="E200" s="722"/>
      <c r="F200" s="722"/>
      <c r="G200" s="722"/>
    </row>
    <row r="201" spans="5:7" ht="15">
      <c r="E201" s="722"/>
      <c r="F201" s="722"/>
      <c r="G201" s="722"/>
    </row>
    <row r="202" spans="5:7" ht="15">
      <c r="E202" s="722"/>
      <c r="F202" s="722"/>
      <c r="G202" s="722"/>
    </row>
    <row r="203" spans="5:7" ht="15">
      <c r="E203" s="722"/>
      <c r="F203" s="722"/>
      <c r="G203" s="722"/>
    </row>
    <row r="204" spans="1:7" ht="15">
      <c r="A204" s="758"/>
      <c r="E204" s="722"/>
      <c r="F204" s="722"/>
      <c r="G204" s="722"/>
    </row>
    <row r="205" spans="1:7" ht="15">
      <c r="A205" s="758"/>
      <c r="E205" s="722"/>
      <c r="F205" s="722"/>
      <c r="G205" s="722"/>
    </row>
    <row r="206" spans="5:7" ht="15">
      <c r="E206" s="722"/>
      <c r="F206" s="722"/>
      <c r="G206" s="722"/>
    </row>
    <row r="207" spans="5:7" ht="15">
      <c r="E207" s="722"/>
      <c r="F207" s="722"/>
      <c r="G207" s="722"/>
    </row>
    <row r="208" spans="5:7" ht="15">
      <c r="E208" s="722"/>
      <c r="F208" s="722"/>
      <c r="G208" s="722"/>
    </row>
    <row r="209" spans="5:7" ht="15">
      <c r="E209" s="722"/>
      <c r="F209" s="722"/>
      <c r="G209" s="722"/>
    </row>
    <row r="210" spans="5:7" ht="15">
      <c r="E210" s="722"/>
      <c r="F210" s="722"/>
      <c r="G210" s="722"/>
    </row>
    <row r="211" spans="5:7" ht="15">
      <c r="E211" s="722"/>
      <c r="F211" s="722"/>
      <c r="G211" s="722"/>
    </row>
    <row r="212" spans="5:7" ht="15">
      <c r="E212" s="722"/>
      <c r="F212" s="722"/>
      <c r="G212" s="722"/>
    </row>
    <row r="213" spans="5:7" ht="15">
      <c r="E213" s="722"/>
      <c r="F213" s="722"/>
      <c r="G213" s="722"/>
    </row>
    <row r="214" spans="5:7" ht="15">
      <c r="E214" s="722"/>
      <c r="F214" s="722"/>
      <c r="G214" s="722"/>
    </row>
    <row r="215" spans="5:7" ht="15">
      <c r="E215" s="722"/>
      <c r="F215" s="722"/>
      <c r="G215" s="722"/>
    </row>
    <row r="216" spans="5:7" ht="15">
      <c r="E216" s="722"/>
      <c r="F216" s="722"/>
      <c r="G216" s="722"/>
    </row>
    <row r="217" spans="5:7" ht="15">
      <c r="E217" s="722"/>
      <c r="F217" s="722"/>
      <c r="G217" s="722"/>
    </row>
    <row r="218" spans="5:7" ht="15">
      <c r="E218" s="722"/>
      <c r="F218" s="722"/>
      <c r="G218" s="722"/>
    </row>
    <row r="219" spans="5:7" ht="15">
      <c r="E219" s="722"/>
      <c r="F219" s="722"/>
      <c r="G219" s="722"/>
    </row>
    <row r="220" spans="5:7" ht="15">
      <c r="E220" s="722"/>
      <c r="F220" s="722"/>
      <c r="G220" s="722"/>
    </row>
    <row r="221" spans="5:7" ht="15">
      <c r="E221" s="722"/>
      <c r="F221" s="722"/>
      <c r="G221" s="722"/>
    </row>
    <row r="222" spans="5:7" ht="15">
      <c r="E222" s="722"/>
      <c r="F222" s="722"/>
      <c r="G222" s="722"/>
    </row>
    <row r="223" spans="5:7" ht="15">
      <c r="E223" s="722"/>
      <c r="F223" s="722"/>
      <c r="G223" s="722"/>
    </row>
    <row r="224" spans="5:7" ht="15">
      <c r="E224" s="722"/>
      <c r="F224" s="722"/>
      <c r="G224" s="722"/>
    </row>
    <row r="225" spans="5:7" ht="15">
      <c r="E225" s="722"/>
      <c r="F225" s="722"/>
      <c r="G225" s="722"/>
    </row>
    <row r="226" spans="5:7" ht="15">
      <c r="E226" s="722"/>
      <c r="F226" s="722"/>
      <c r="G226" s="722"/>
    </row>
    <row r="227" spans="5:7" ht="15">
      <c r="E227" s="722"/>
      <c r="F227" s="722"/>
      <c r="G227" s="722"/>
    </row>
    <row r="228" spans="5:7" ht="15">
      <c r="E228" s="722"/>
      <c r="F228" s="722"/>
      <c r="G228" s="722"/>
    </row>
    <row r="229" spans="5:7" ht="15">
      <c r="E229" s="722"/>
      <c r="F229" s="722"/>
      <c r="G229" s="722"/>
    </row>
    <row r="230" spans="5:7" ht="15">
      <c r="E230" s="722"/>
      <c r="F230" s="722"/>
      <c r="G230" s="722"/>
    </row>
    <row r="231" spans="5:7" ht="15">
      <c r="E231" s="722"/>
      <c r="F231" s="722"/>
      <c r="G231" s="722"/>
    </row>
    <row r="232" spans="5:7" ht="15">
      <c r="E232" s="722"/>
      <c r="F232" s="722"/>
      <c r="G232" s="722"/>
    </row>
    <row r="233" spans="5:7" ht="15">
      <c r="E233" s="722"/>
      <c r="F233" s="722"/>
      <c r="G233" s="722"/>
    </row>
    <row r="234" spans="5:7" ht="15">
      <c r="E234" s="722"/>
      <c r="F234" s="722"/>
      <c r="G234" s="722"/>
    </row>
    <row r="235" spans="5:7" ht="15">
      <c r="E235" s="722"/>
      <c r="F235" s="722"/>
      <c r="G235" s="722"/>
    </row>
    <row r="236" spans="5:7" ht="15">
      <c r="E236" s="722"/>
      <c r="F236" s="722"/>
      <c r="G236" s="722"/>
    </row>
    <row r="237" spans="5:7" ht="15">
      <c r="E237" s="722"/>
      <c r="F237" s="722"/>
      <c r="G237" s="722"/>
    </row>
    <row r="238" spans="5:7" ht="15">
      <c r="E238" s="722"/>
      <c r="F238" s="722"/>
      <c r="G238" s="722"/>
    </row>
    <row r="239" spans="5:7" ht="15">
      <c r="E239" s="722"/>
      <c r="F239" s="722"/>
      <c r="G239" s="722"/>
    </row>
    <row r="240" spans="5:7" ht="15">
      <c r="E240" s="722"/>
      <c r="F240" s="722"/>
      <c r="G240" s="722"/>
    </row>
    <row r="241" spans="5:7" ht="15">
      <c r="E241" s="722"/>
      <c r="F241" s="722"/>
      <c r="G241" s="722"/>
    </row>
    <row r="242" spans="5:7" ht="15">
      <c r="E242" s="722"/>
      <c r="F242" s="722"/>
      <c r="G242" s="722"/>
    </row>
    <row r="243" spans="5:7" ht="15">
      <c r="E243" s="722"/>
      <c r="F243" s="722"/>
      <c r="G243" s="722"/>
    </row>
    <row r="244" spans="5:7" ht="15">
      <c r="E244" s="722"/>
      <c r="F244" s="722"/>
      <c r="G244" s="722"/>
    </row>
    <row r="245" spans="5:7" ht="15">
      <c r="E245" s="722"/>
      <c r="F245" s="722"/>
      <c r="G245" s="722"/>
    </row>
    <row r="246" spans="5:7" ht="15">
      <c r="E246" s="722"/>
      <c r="F246" s="722"/>
      <c r="G246" s="722"/>
    </row>
    <row r="247" spans="5:7" ht="15">
      <c r="E247" s="722"/>
      <c r="F247" s="722"/>
      <c r="G247" s="722"/>
    </row>
    <row r="248" spans="5:7" ht="15">
      <c r="E248" s="722"/>
      <c r="F248" s="722"/>
      <c r="G248" s="722"/>
    </row>
    <row r="249" spans="5:7" ht="15">
      <c r="E249" s="722"/>
      <c r="F249" s="722"/>
      <c r="G249" s="722"/>
    </row>
    <row r="250" spans="5:7" ht="15">
      <c r="E250" s="722"/>
      <c r="F250" s="722"/>
      <c r="G250" s="722"/>
    </row>
    <row r="251" spans="5:7" ht="15">
      <c r="E251" s="722"/>
      <c r="F251" s="722"/>
      <c r="G251" s="722"/>
    </row>
    <row r="252" spans="5:7" ht="15">
      <c r="E252" s="722"/>
      <c r="F252" s="722"/>
      <c r="G252" s="722"/>
    </row>
    <row r="253" spans="5:7" ht="15">
      <c r="E253" s="722"/>
      <c r="F253" s="722"/>
      <c r="G253" s="722"/>
    </row>
    <row r="254" spans="5:7" ht="15">
      <c r="E254" s="722"/>
      <c r="F254" s="722"/>
      <c r="G254" s="722"/>
    </row>
    <row r="255" spans="5:7" ht="15">
      <c r="E255" s="722"/>
      <c r="F255" s="722"/>
      <c r="G255" s="722"/>
    </row>
    <row r="256" spans="5:7" ht="15">
      <c r="E256" s="722"/>
      <c r="F256" s="722"/>
      <c r="G256" s="722"/>
    </row>
    <row r="257" spans="5:7" ht="15">
      <c r="E257" s="722"/>
      <c r="F257" s="722"/>
      <c r="G257" s="722"/>
    </row>
    <row r="258" spans="5:7" ht="15">
      <c r="E258" s="722"/>
      <c r="F258" s="722"/>
      <c r="G258" s="722"/>
    </row>
    <row r="259" spans="5:7" ht="15">
      <c r="E259" s="722"/>
      <c r="F259" s="722"/>
      <c r="G259" s="722"/>
    </row>
    <row r="260" spans="5:7" ht="15">
      <c r="E260" s="722"/>
      <c r="F260" s="722"/>
      <c r="G260" s="722"/>
    </row>
    <row r="261" spans="5:7" ht="15">
      <c r="E261" s="722"/>
      <c r="F261" s="722"/>
      <c r="G261" s="722"/>
    </row>
    <row r="262" spans="5:7" ht="15">
      <c r="E262" s="722"/>
      <c r="F262" s="722"/>
      <c r="G262" s="722"/>
    </row>
    <row r="263" spans="5:7" ht="15">
      <c r="E263" s="722"/>
      <c r="F263" s="722"/>
      <c r="G263" s="722"/>
    </row>
    <row r="264" spans="5:7" ht="15">
      <c r="E264" s="722"/>
      <c r="F264" s="722"/>
      <c r="G264" s="722"/>
    </row>
    <row r="265" spans="5:7" ht="15">
      <c r="E265" s="722"/>
      <c r="F265" s="722"/>
      <c r="G265" s="722"/>
    </row>
    <row r="266" spans="5:7" ht="15">
      <c r="E266" s="722"/>
      <c r="F266" s="722"/>
      <c r="G266" s="722"/>
    </row>
    <row r="267" spans="5:7" ht="15">
      <c r="E267" s="722"/>
      <c r="F267" s="722"/>
      <c r="G267" s="722"/>
    </row>
    <row r="268" spans="5:7" ht="15">
      <c r="E268" s="722"/>
      <c r="F268" s="722"/>
      <c r="G268" s="722"/>
    </row>
    <row r="269" spans="5:7" ht="15">
      <c r="E269" s="722"/>
      <c r="F269" s="722"/>
      <c r="G269" s="722"/>
    </row>
    <row r="270" spans="5:7" ht="15">
      <c r="E270" s="722"/>
      <c r="F270" s="722"/>
      <c r="G270" s="722"/>
    </row>
    <row r="271" spans="5:7" ht="15">
      <c r="E271" s="722"/>
      <c r="F271" s="722"/>
      <c r="G271" s="722"/>
    </row>
    <row r="272" spans="5:7" ht="15">
      <c r="E272" s="722"/>
      <c r="F272" s="722"/>
      <c r="G272" s="722"/>
    </row>
    <row r="273" spans="5:7" ht="15">
      <c r="E273" s="722"/>
      <c r="F273" s="722"/>
      <c r="G273" s="722"/>
    </row>
    <row r="274" spans="5:7" ht="15">
      <c r="E274" s="722"/>
      <c r="F274" s="722"/>
      <c r="G274" s="722"/>
    </row>
    <row r="275" spans="5:7" ht="15">
      <c r="E275" s="722"/>
      <c r="F275" s="722"/>
      <c r="G275" s="722"/>
    </row>
    <row r="276" spans="5:7" ht="15">
      <c r="E276" s="722"/>
      <c r="F276" s="722"/>
      <c r="G276" s="722"/>
    </row>
    <row r="277" spans="5:7" ht="15">
      <c r="E277" s="722"/>
      <c r="F277" s="722"/>
      <c r="G277" s="722"/>
    </row>
    <row r="278" spans="5:7" ht="15">
      <c r="E278" s="722"/>
      <c r="F278" s="722"/>
      <c r="G278" s="722"/>
    </row>
    <row r="279" spans="5:7" ht="15">
      <c r="E279" s="722"/>
      <c r="F279" s="722"/>
      <c r="G279" s="722"/>
    </row>
    <row r="280" spans="5:7" ht="15">
      <c r="E280" s="722"/>
      <c r="F280" s="722"/>
      <c r="G280" s="722"/>
    </row>
    <row r="281" spans="5:7" ht="15">
      <c r="E281" s="722"/>
      <c r="F281" s="722"/>
      <c r="G281" s="722"/>
    </row>
    <row r="282" spans="5:7" ht="15">
      <c r="E282" s="722"/>
      <c r="F282" s="722"/>
      <c r="G282" s="722"/>
    </row>
    <row r="283" spans="5:7" ht="15">
      <c r="E283" s="722"/>
      <c r="F283" s="722"/>
      <c r="G283" s="722"/>
    </row>
    <row r="284" spans="5:7" ht="15">
      <c r="E284" s="722"/>
      <c r="F284" s="722"/>
      <c r="G284" s="722"/>
    </row>
    <row r="285" spans="5:7" ht="15">
      <c r="E285" s="722"/>
      <c r="F285" s="722"/>
      <c r="G285" s="722"/>
    </row>
    <row r="286" spans="5:7" ht="15">
      <c r="E286" s="722"/>
      <c r="F286" s="722"/>
      <c r="G286" s="722"/>
    </row>
    <row r="287" spans="5:7" ht="15">
      <c r="E287" s="722"/>
      <c r="F287" s="722"/>
      <c r="G287" s="722"/>
    </row>
    <row r="288" spans="5:7" ht="15">
      <c r="E288" s="722"/>
      <c r="F288" s="722"/>
      <c r="G288" s="722"/>
    </row>
    <row r="289" spans="5:7" ht="15">
      <c r="E289" s="722"/>
      <c r="F289" s="722"/>
      <c r="G289" s="722"/>
    </row>
    <row r="290" spans="5:7" ht="15">
      <c r="E290" s="722"/>
      <c r="F290" s="722"/>
      <c r="G290" s="722"/>
    </row>
    <row r="291" spans="5:7" ht="15">
      <c r="E291" s="722"/>
      <c r="F291" s="722"/>
      <c r="G291" s="722"/>
    </row>
    <row r="292" spans="5:7" ht="15">
      <c r="E292" s="722"/>
      <c r="F292" s="722"/>
      <c r="G292" s="722"/>
    </row>
    <row r="293" spans="5:7" ht="15">
      <c r="E293" s="722"/>
      <c r="F293" s="722"/>
      <c r="G293" s="722"/>
    </row>
    <row r="294" spans="5:7" ht="15">
      <c r="E294" s="722"/>
      <c r="F294" s="722"/>
      <c r="G294" s="722"/>
    </row>
    <row r="295" spans="5:7" ht="15">
      <c r="E295" s="722"/>
      <c r="F295" s="722"/>
      <c r="G295" s="722"/>
    </row>
    <row r="296" spans="5:7" ht="15">
      <c r="E296" s="722"/>
      <c r="F296" s="722"/>
      <c r="G296" s="722"/>
    </row>
    <row r="297" spans="5:7" ht="15">
      <c r="E297" s="722"/>
      <c r="F297" s="722"/>
      <c r="G297" s="722"/>
    </row>
    <row r="298" spans="5:7" ht="15">
      <c r="E298" s="722"/>
      <c r="F298" s="722"/>
      <c r="G298" s="722"/>
    </row>
    <row r="299" spans="5:7" ht="15">
      <c r="E299" s="722"/>
      <c r="F299" s="722"/>
      <c r="G299" s="722"/>
    </row>
    <row r="300" spans="5:7" ht="15">
      <c r="E300" s="722"/>
      <c r="F300" s="722"/>
      <c r="G300" s="722"/>
    </row>
    <row r="301" spans="5:7" ht="15">
      <c r="E301" s="722"/>
      <c r="F301" s="722"/>
      <c r="G301" s="722"/>
    </row>
    <row r="302" spans="5:7" ht="15">
      <c r="E302" s="722"/>
      <c r="F302" s="722"/>
      <c r="G302" s="722"/>
    </row>
    <row r="303" spans="5:7" ht="15">
      <c r="E303" s="722"/>
      <c r="F303" s="722"/>
      <c r="G303" s="722"/>
    </row>
    <row r="304" spans="5:7" ht="15">
      <c r="E304" s="722"/>
      <c r="F304" s="722"/>
      <c r="G304" s="722"/>
    </row>
    <row r="305" spans="5:7" ht="15">
      <c r="E305" s="722"/>
      <c r="F305" s="722"/>
      <c r="G305" s="722"/>
    </row>
    <row r="306" spans="5:7" ht="15">
      <c r="E306" s="722"/>
      <c r="F306" s="722"/>
      <c r="G306" s="722"/>
    </row>
    <row r="307" spans="5:7" ht="15">
      <c r="E307" s="722"/>
      <c r="F307" s="722"/>
      <c r="G307" s="722"/>
    </row>
    <row r="308" spans="5:7" ht="15">
      <c r="E308" s="722"/>
      <c r="F308" s="722"/>
      <c r="G308" s="722"/>
    </row>
    <row r="309" spans="5:7" ht="15">
      <c r="E309" s="722"/>
      <c r="F309" s="722"/>
      <c r="G309" s="722"/>
    </row>
    <row r="310" spans="5:7" ht="15">
      <c r="E310" s="722"/>
      <c r="F310" s="722"/>
      <c r="G310" s="722"/>
    </row>
    <row r="311" spans="5:7" ht="15">
      <c r="E311" s="722"/>
      <c r="F311" s="722"/>
      <c r="G311" s="722"/>
    </row>
    <row r="312" spans="5:7" ht="15">
      <c r="E312" s="722"/>
      <c r="F312" s="722"/>
      <c r="G312" s="722"/>
    </row>
    <row r="313" spans="5:7" ht="15">
      <c r="E313" s="722"/>
      <c r="F313" s="722"/>
      <c r="G313" s="722"/>
    </row>
    <row r="314" spans="5:7" ht="15">
      <c r="E314" s="722"/>
      <c r="F314" s="722"/>
      <c r="G314" s="722"/>
    </row>
    <row r="315" spans="5:7" ht="15">
      <c r="E315" s="722"/>
      <c r="F315" s="722"/>
      <c r="G315" s="722"/>
    </row>
    <row r="316" spans="5:7" ht="15">
      <c r="E316" s="722"/>
      <c r="F316" s="722"/>
      <c r="G316" s="722"/>
    </row>
    <row r="317" spans="5:7" ht="15">
      <c r="E317" s="722"/>
      <c r="F317" s="722"/>
      <c r="G317" s="722"/>
    </row>
    <row r="318" spans="5:7" ht="15">
      <c r="E318" s="722"/>
      <c r="F318" s="722"/>
      <c r="G318" s="722"/>
    </row>
    <row r="319" spans="5:7" ht="15">
      <c r="E319" s="722"/>
      <c r="F319" s="722"/>
      <c r="G319" s="722"/>
    </row>
    <row r="320" spans="5:7" ht="15">
      <c r="E320" s="722"/>
      <c r="F320" s="722"/>
      <c r="G320" s="722"/>
    </row>
    <row r="321" spans="5:7" ht="15">
      <c r="E321" s="722"/>
      <c r="F321" s="722"/>
      <c r="G321" s="722"/>
    </row>
    <row r="322" spans="5:7" ht="15">
      <c r="E322" s="722"/>
      <c r="F322" s="722"/>
      <c r="G322" s="722"/>
    </row>
    <row r="323" spans="5:7" ht="15">
      <c r="E323" s="722"/>
      <c r="F323" s="722"/>
      <c r="G323" s="722"/>
    </row>
    <row r="324" spans="5:7" ht="15">
      <c r="E324" s="722"/>
      <c r="F324" s="722"/>
      <c r="G324" s="722"/>
    </row>
    <row r="325" spans="5:7" ht="15">
      <c r="E325" s="722"/>
      <c r="F325" s="722"/>
      <c r="G325" s="722"/>
    </row>
    <row r="326" spans="5:7" ht="15">
      <c r="E326" s="722"/>
      <c r="F326" s="722"/>
      <c r="G326" s="722"/>
    </row>
    <row r="327" spans="5:7" ht="15">
      <c r="E327" s="722"/>
      <c r="F327" s="722"/>
      <c r="G327" s="722"/>
    </row>
    <row r="328" spans="5:7" ht="15">
      <c r="E328" s="722"/>
      <c r="F328" s="722"/>
      <c r="G328" s="722"/>
    </row>
    <row r="329" spans="5:7" ht="15">
      <c r="E329" s="722"/>
      <c r="F329" s="722"/>
      <c r="G329" s="722"/>
    </row>
    <row r="330" spans="5:7" ht="15">
      <c r="E330" s="722"/>
      <c r="F330" s="722"/>
      <c r="G330" s="722"/>
    </row>
    <row r="331" spans="5:7" ht="15">
      <c r="E331" s="722"/>
      <c r="F331" s="722"/>
      <c r="G331" s="722"/>
    </row>
    <row r="332" spans="5:7" ht="15">
      <c r="E332" s="722"/>
      <c r="F332" s="722"/>
      <c r="G332" s="722"/>
    </row>
    <row r="333" spans="5:7" ht="15">
      <c r="E333" s="722"/>
      <c r="F333" s="722"/>
      <c r="G333" s="722"/>
    </row>
    <row r="334" spans="5:7" ht="15">
      <c r="E334" s="722"/>
      <c r="F334" s="722"/>
      <c r="G334" s="722"/>
    </row>
    <row r="335" spans="5:7" ht="15">
      <c r="E335" s="722"/>
      <c r="F335" s="722"/>
      <c r="G335" s="722"/>
    </row>
    <row r="336" spans="5:7" ht="15">
      <c r="E336" s="722"/>
      <c r="F336" s="722"/>
      <c r="G336" s="722"/>
    </row>
    <row r="337" spans="5:7" ht="15">
      <c r="E337" s="722"/>
      <c r="F337" s="722"/>
      <c r="G337" s="722"/>
    </row>
    <row r="338" spans="5:7" ht="15">
      <c r="E338" s="722"/>
      <c r="F338" s="722"/>
      <c r="G338" s="722"/>
    </row>
    <row r="339" spans="5:7" ht="15">
      <c r="E339" s="722"/>
      <c r="F339" s="722"/>
      <c r="G339" s="722"/>
    </row>
    <row r="340" spans="5:7" ht="15">
      <c r="E340" s="722"/>
      <c r="F340" s="722"/>
      <c r="G340" s="722"/>
    </row>
    <row r="341" spans="5:7" ht="15">
      <c r="E341" s="722"/>
      <c r="F341" s="722"/>
      <c r="G341" s="722"/>
    </row>
    <row r="342" spans="5:7" ht="15">
      <c r="E342" s="722"/>
      <c r="F342" s="722"/>
      <c r="G342" s="722"/>
    </row>
    <row r="343" spans="5:7" ht="15">
      <c r="E343" s="722"/>
      <c r="F343" s="722"/>
      <c r="G343" s="722"/>
    </row>
    <row r="344" spans="5:7" ht="15">
      <c r="E344" s="722"/>
      <c r="F344" s="722"/>
      <c r="G344" s="722"/>
    </row>
    <row r="345" spans="5:7" ht="15">
      <c r="E345" s="722"/>
      <c r="F345" s="722"/>
      <c r="G345" s="722"/>
    </row>
    <row r="346" spans="5:7" ht="15">
      <c r="E346" s="722"/>
      <c r="F346" s="722"/>
      <c r="G346" s="722"/>
    </row>
    <row r="347" spans="5:7" ht="15">
      <c r="E347" s="722"/>
      <c r="F347" s="722"/>
      <c r="G347" s="722"/>
    </row>
    <row r="348" spans="5:7" ht="15">
      <c r="E348" s="722"/>
      <c r="F348" s="722"/>
      <c r="G348" s="722"/>
    </row>
    <row r="349" spans="5:7" ht="15">
      <c r="E349" s="722"/>
      <c r="F349" s="722"/>
      <c r="G349" s="722"/>
    </row>
    <row r="350" spans="5:7" ht="15">
      <c r="E350" s="722"/>
      <c r="F350" s="722"/>
      <c r="G350" s="722"/>
    </row>
    <row r="351" spans="5:7" ht="15">
      <c r="E351" s="722"/>
      <c r="F351" s="722"/>
      <c r="G351" s="722"/>
    </row>
    <row r="352" spans="5:7" ht="15">
      <c r="E352" s="722"/>
      <c r="F352" s="722"/>
      <c r="G352" s="722"/>
    </row>
    <row r="353" spans="5:7" ht="15">
      <c r="E353" s="722"/>
      <c r="F353" s="722"/>
      <c r="G353" s="722"/>
    </row>
    <row r="354" spans="5:7" ht="15">
      <c r="E354" s="722"/>
      <c r="F354" s="722"/>
      <c r="G354" s="722"/>
    </row>
    <row r="355" spans="5:7" ht="15">
      <c r="E355" s="722"/>
      <c r="F355" s="722"/>
      <c r="G355" s="722"/>
    </row>
    <row r="356" spans="5:7" ht="15">
      <c r="E356" s="722"/>
      <c r="F356" s="722"/>
      <c r="G356" s="722"/>
    </row>
    <row r="357" spans="5:7" ht="15">
      <c r="E357" s="722"/>
      <c r="F357" s="722"/>
      <c r="G357" s="722"/>
    </row>
    <row r="358" spans="5:7" ht="15">
      <c r="E358" s="722"/>
      <c r="F358" s="722"/>
      <c r="G358" s="722"/>
    </row>
    <row r="359" spans="5:7" ht="15">
      <c r="E359" s="722"/>
      <c r="F359" s="722"/>
      <c r="G359" s="722"/>
    </row>
    <row r="360" spans="5:7" ht="15">
      <c r="E360" s="722"/>
      <c r="F360" s="722"/>
      <c r="G360" s="722"/>
    </row>
    <row r="361" spans="5:7" ht="15">
      <c r="E361" s="722"/>
      <c r="F361" s="722"/>
      <c r="G361" s="722"/>
    </row>
    <row r="362" spans="5:7" ht="15">
      <c r="E362" s="722"/>
      <c r="F362" s="722"/>
      <c r="G362" s="722"/>
    </row>
    <row r="363" spans="5:7" ht="15">
      <c r="E363" s="722"/>
      <c r="F363" s="722"/>
      <c r="G363" s="722"/>
    </row>
    <row r="364" spans="5:7" ht="15">
      <c r="E364" s="722"/>
      <c r="F364" s="722"/>
      <c r="G364" s="722"/>
    </row>
    <row r="365" spans="5:7" ht="15">
      <c r="E365" s="722"/>
      <c r="F365" s="722"/>
      <c r="G365" s="722"/>
    </row>
    <row r="366" spans="5:7" ht="15">
      <c r="E366" s="722"/>
      <c r="F366" s="722"/>
      <c r="G366" s="722"/>
    </row>
    <row r="367" spans="5:7" ht="15">
      <c r="E367" s="722"/>
      <c r="F367" s="722"/>
      <c r="G367" s="722"/>
    </row>
    <row r="368" spans="5:7" ht="15">
      <c r="E368" s="722"/>
      <c r="F368" s="722"/>
      <c r="G368" s="722"/>
    </row>
    <row r="369" spans="5:7" ht="15">
      <c r="E369" s="722"/>
      <c r="F369" s="722"/>
      <c r="G369" s="722"/>
    </row>
    <row r="370" spans="5:7" ht="15">
      <c r="E370" s="722"/>
      <c r="F370" s="722"/>
      <c r="G370" s="722"/>
    </row>
    <row r="371" spans="5:7" ht="15">
      <c r="E371" s="722"/>
      <c r="F371" s="722"/>
      <c r="G371" s="722"/>
    </row>
    <row r="372" spans="5:7" ht="15">
      <c r="E372" s="722"/>
      <c r="F372" s="722"/>
      <c r="G372" s="722"/>
    </row>
    <row r="373" spans="5:7" ht="15">
      <c r="E373" s="722"/>
      <c r="F373" s="722"/>
      <c r="G373" s="722"/>
    </row>
    <row r="374" spans="5:7" ht="15">
      <c r="E374" s="722"/>
      <c r="F374" s="722"/>
      <c r="G374" s="722"/>
    </row>
    <row r="375" spans="5:7" ht="15">
      <c r="E375" s="722"/>
      <c r="F375" s="722"/>
      <c r="G375" s="722"/>
    </row>
    <row r="376" spans="5:7" ht="15">
      <c r="E376" s="722"/>
      <c r="F376" s="722"/>
      <c r="G376" s="722"/>
    </row>
    <row r="377" spans="5:7" ht="15">
      <c r="E377" s="722"/>
      <c r="F377" s="722"/>
      <c r="G377" s="722"/>
    </row>
    <row r="378" spans="5:7" ht="15">
      <c r="E378" s="722"/>
      <c r="F378" s="722"/>
      <c r="G378" s="722"/>
    </row>
    <row r="379" spans="5:7" ht="15">
      <c r="E379" s="722"/>
      <c r="F379" s="722"/>
      <c r="G379" s="722"/>
    </row>
    <row r="380" spans="5:7" ht="15">
      <c r="E380" s="722"/>
      <c r="F380" s="722"/>
      <c r="G380" s="722"/>
    </row>
    <row r="381" spans="5:7" ht="15">
      <c r="E381" s="722"/>
      <c r="F381" s="722"/>
      <c r="G381" s="722"/>
    </row>
    <row r="382" spans="5:7" ht="15">
      <c r="E382" s="722"/>
      <c r="F382" s="722"/>
      <c r="G382" s="722"/>
    </row>
    <row r="383" spans="5:7" ht="15">
      <c r="E383" s="722"/>
      <c r="F383" s="722"/>
      <c r="G383" s="722"/>
    </row>
    <row r="384" spans="5:7" ht="15">
      <c r="E384" s="722"/>
      <c r="F384" s="722"/>
      <c r="G384" s="722"/>
    </row>
    <row r="385" spans="5:7" ht="15">
      <c r="E385" s="722"/>
      <c r="F385" s="722"/>
      <c r="G385" s="722"/>
    </row>
    <row r="386" spans="5:7" ht="15">
      <c r="E386" s="722"/>
      <c r="F386" s="722"/>
      <c r="G386" s="722"/>
    </row>
    <row r="387" spans="5:7" ht="15">
      <c r="E387" s="722"/>
      <c r="F387" s="722"/>
      <c r="G387" s="722"/>
    </row>
    <row r="388" spans="5:7" ht="15">
      <c r="E388" s="722"/>
      <c r="F388" s="722"/>
      <c r="G388" s="722"/>
    </row>
    <row r="389" spans="5:7" ht="15">
      <c r="E389" s="722"/>
      <c r="F389" s="722"/>
      <c r="G389" s="722"/>
    </row>
    <row r="390" spans="5:7" ht="15">
      <c r="E390" s="722"/>
      <c r="F390" s="722"/>
      <c r="G390" s="722"/>
    </row>
    <row r="391" spans="5:7" ht="15">
      <c r="E391" s="722"/>
      <c r="F391" s="722"/>
      <c r="G391" s="722"/>
    </row>
    <row r="392" spans="5:7" ht="15">
      <c r="E392" s="722"/>
      <c r="F392" s="722"/>
      <c r="G392" s="722"/>
    </row>
    <row r="393" spans="5:7" ht="15">
      <c r="E393" s="722"/>
      <c r="F393" s="722"/>
      <c r="G393" s="722"/>
    </row>
    <row r="394" spans="5:7" ht="15">
      <c r="E394" s="722"/>
      <c r="F394" s="722"/>
      <c r="G394" s="722"/>
    </row>
    <row r="395" spans="5:7" ht="15">
      <c r="E395" s="722"/>
      <c r="F395" s="722"/>
      <c r="G395" s="722"/>
    </row>
    <row r="396" spans="5:7" ht="15">
      <c r="E396" s="722"/>
      <c r="F396" s="722"/>
      <c r="G396" s="722"/>
    </row>
    <row r="397" spans="5:7" ht="15">
      <c r="E397" s="722"/>
      <c r="F397" s="722"/>
      <c r="G397" s="722"/>
    </row>
    <row r="398" spans="5:7" ht="15">
      <c r="E398" s="722"/>
      <c r="F398" s="722"/>
      <c r="G398" s="722"/>
    </row>
    <row r="399" spans="5:7" ht="15">
      <c r="E399" s="722"/>
      <c r="F399" s="722"/>
      <c r="G399" s="722"/>
    </row>
    <row r="400" spans="5:7" ht="15">
      <c r="E400" s="722"/>
      <c r="F400" s="722"/>
      <c r="G400" s="722"/>
    </row>
    <row r="401" spans="5:7" ht="15">
      <c r="E401" s="722"/>
      <c r="F401" s="722"/>
      <c r="G401" s="722"/>
    </row>
    <row r="402" spans="5:7" ht="15">
      <c r="E402" s="722"/>
      <c r="F402" s="722"/>
      <c r="G402" s="722"/>
    </row>
    <row r="403" spans="5:7" ht="15">
      <c r="E403" s="722"/>
      <c r="F403" s="722"/>
      <c r="G403" s="722"/>
    </row>
    <row r="404" spans="5:7" ht="15">
      <c r="E404" s="722"/>
      <c r="F404" s="722"/>
      <c r="G404" s="722"/>
    </row>
    <row r="405" spans="5:7" ht="15">
      <c r="E405" s="722"/>
      <c r="F405" s="722"/>
      <c r="G405" s="722"/>
    </row>
    <row r="406" spans="5:7" ht="15">
      <c r="E406" s="722"/>
      <c r="F406" s="722"/>
      <c r="G406" s="722"/>
    </row>
    <row r="407" spans="5:7" ht="15">
      <c r="E407" s="722"/>
      <c r="F407" s="722"/>
      <c r="G407" s="722"/>
    </row>
    <row r="408" spans="5:7" ht="15">
      <c r="E408" s="722"/>
      <c r="F408" s="722"/>
      <c r="G408" s="722"/>
    </row>
    <row r="409" spans="5:7" ht="15">
      <c r="E409" s="722"/>
      <c r="F409" s="722"/>
      <c r="G409" s="722"/>
    </row>
    <row r="410" spans="5:7" ht="15">
      <c r="E410" s="722"/>
      <c r="F410" s="722"/>
      <c r="G410" s="722"/>
    </row>
    <row r="411" spans="5:7" ht="15">
      <c r="E411" s="722"/>
      <c r="F411" s="722"/>
      <c r="G411" s="722"/>
    </row>
    <row r="412" spans="5:7" ht="15">
      <c r="E412" s="722"/>
      <c r="F412" s="722"/>
      <c r="G412" s="722"/>
    </row>
    <row r="413" spans="5:7" ht="15">
      <c r="E413" s="722"/>
      <c r="F413" s="722"/>
      <c r="G413" s="722"/>
    </row>
    <row r="414" spans="5:7" ht="15">
      <c r="E414" s="722"/>
      <c r="F414" s="722"/>
      <c r="G414" s="722"/>
    </row>
    <row r="415" spans="5:7" ht="15">
      <c r="E415" s="722"/>
      <c r="F415" s="722"/>
      <c r="G415" s="722"/>
    </row>
    <row r="416" spans="5:7" ht="15">
      <c r="E416" s="722"/>
      <c r="F416" s="722"/>
      <c r="G416" s="722"/>
    </row>
    <row r="417" spans="5:7" ht="15">
      <c r="E417" s="722"/>
      <c r="F417" s="722"/>
      <c r="G417" s="722"/>
    </row>
    <row r="418" spans="5:7" ht="15">
      <c r="E418" s="722"/>
      <c r="F418" s="722"/>
      <c r="G418" s="722"/>
    </row>
    <row r="419" spans="5:7" ht="15">
      <c r="E419" s="722"/>
      <c r="F419" s="722"/>
      <c r="G419" s="722"/>
    </row>
    <row r="420" spans="5:7" ht="15">
      <c r="E420" s="722"/>
      <c r="F420" s="722"/>
      <c r="G420" s="722"/>
    </row>
    <row r="421" spans="5:7" ht="15">
      <c r="E421" s="722"/>
      <c r="F421" s="722"/>
      <c r="G421" s="722"/>
    </row>
    <row r="422" spans="5:7" ht="15">
      <c r="E422" s="722"/>
      <c r="F422" s="722"/>
      <c r="G422" s="722"/>
    </row>
    <row r="423" spans="5:7" ht="15">
      <c r="E423" s="722"/>
      <c r="F423" s="722"/>
      <c r="G423" s="722"/>
    </row>
    <row r="424" spans="5:7" ht="15">
      <c r="E424" s="722"/>
      <c r="F424" s="722"/>
      <c r="G424" s="722"/>
    </row>
    <row r="425" spans="5:7" ht="15">
      <c r="E425" s="722"/>
      <c r="F425" s="722"/>
      <c r="G425" s="722"/>
    </row>
    <row r="426" spans="5:7" ht="15">
      <c r="E426" s="722"/>
      <c r="F426" s="722"/>
      <c r="G426" s="722"/>
    </row>
    <row r="427" spans="5:7" ht="15">
      <c r="E427" s="722"/>
      <c r="F427" s="722"/>
      <c r="G427" s="722"/>
    </row>
    <row r="428" spans="5:7" ht="15">
      <c r="E428" s="722"/>
      <c r="F428" s="722"/>
      <c r="G428" s="722"/>
    </row>
    <row r="429" spans="5:7" ht="15">
      <c r="E429" s="722"/>
      <c r="F429" s="722"/>
      <c r="G429" s="722"/>
    </row>
    <row r="430" spans="5:7" ht="15">
      <c r="E430" s="722"/>
      <c r="F430" s="722"/>
      <c r="G430" s="722"/>
    </row>
    <row r="431" spans="5:7" ht="15">
      <c r="E431" s="722"/>
      <c r="F431" s="722"/>
      <c r="G431" s="722"/>
    </row>
    <row r="432" spans="5:7" ht="15">
      <c r="E432" s="722"/>
      <c r="F432" s="722"/>
      <c r="G432" s="722"/>
    </row>
    <row r="433" spans="5:7" ht="15">
      <c r="E433" s="722"/>
      <c r="F433" s="722"/>
      <c r="G433" s="722"/>
    </row>
    <row r="434" spans="5:7" ht="15">
      <c r="E434" s="722"/>
      <c r="F434" s="722"/>
      <c r="G434" s="722"/>
    </row>
    <row r="435" spans="5:7" ht="15">
      <c r="E435" s="722"/>
      <c r="F435" s="722"/>
      <c r="G435" s="722"/>
    </row>
    <row r="436" spans="5:7" ht="15">
      <c r="E436" s="722"/>
      <c r="F436" s="722"/>
      <c r="G436" s="722"/>
    </row>
    <row r="437" spans="5:7" ht="15">
      <c r="E437" s="722"/>
      <c r="F437" s="722"/>
      <c r="G437" s="722"/>
    </row>
    <row r="438" spans="5:7" ht="15">
      <c r="E438" s="722"/>
      <c r="F438" s="722"/>
      <c r="G438" s="722"/>
    </row>
    <row r="439" spans="5:7" ht="15">
      <c r="E439" s="722"/>
      <c r="F439" s="722"/>
      <c r="G439" s="722"/>
    </row>
    <row r="440" spans="5:7" ht="15">
      <c r="E440" s="722"/>
      <c r="F440" s="722"/>
      <c r="G440" s="722"/>
    </row>
    <row r="441" spans="5:7" ht="15">
      <c r="E441" s="722"/>
      <c r="F441" s="722"/>
      <c r="G441" s="722"/>
    </row>
    <row r="442" spans="5:7" ht="15">
      <c r="E442" s="722"/>
      <c r="F442" s="722"/>
      <c r="G442" s="722"/>
    </row>
    <row r="443" spans="5:7" ht="15">
      <c r="E443" s="722"/>
      <c r="F443" s="722"/>
      <c r="G443" s="722"/>
    </row>
    <row r="444" spans="5:7" ht="15">
      <c r="E444" s="722"/>
      <c r="F444" s="722"/>
      <c r="G444" s="722"/>
    </row>
    <row r="445" spans="5:7" ht="15">
      <c r="E445" s="722"/>
      <c r="F445" s="722"/>
      <c r="G445" s="722"/>
    </row>
    <row r="446" spans="5:7" ht="15">
      <c r="E446" s="722"/>
      <c r="F446" s="722"/>
      <c r="G446" s="722"/>
    </row>
    <row r="447" spans="5:7" ht="15">
      <c r="E447" s="722"/>
      <c r="F447" s="722"/>
      <c r="G447" s="722"/>
    </row>
    <row r="448" spans="5:7" ht="15">
      <c r="E448" s="722"/>
      <c r="F448" s="722"/>
      <c r="G448" s="722"/>
    </row>
    <row r="449" spans="5:7" ht="15">
      <c r="E449" s="722"/>
      <c r="F449" s="722"/>
      <c r="G449" s="722"/>
    </row>
    <row r="450" spans="5:7" ht="15">
      <c r="E450" s="722"/>
      <c r="F450" s="722"/>
      <c r="G450" s="722"/>
    </row>
    <row r="451" spans="5:7" ht="15">
      <c r="E451" s="722"/>
      <c r="F451" s="722"/>
      <c r="G451" s="722"/>
    </row>
    <row r="452" spans="5:7" ht="15">
      <c r="E452" s="722"/>
      <c r="F452" s="722"/>
      <c r="G452" s="722"/>
    </row>
    <row r="453" spans="5:7" ht="15">
      <c r="E453" s="722"/>
      <c r="F453" s="722"/>
      <c r="G453" s="722"/>
    </row>
    <row r="454" spans="5:7" ht="15">
      <c r="E454" s="722"/>
      <c r="F454" s="722"/>
      <c r="G454" s="722"/>
    </row>
    <row r="455" spans="5:7" ht="15">
      <c r="E455" s="722"/>
      <c r="F455" s="722"/>
      <c r="G455" s="722"/>
    </row>
    <row r="456" spans="5:7" ht="15">
      <c r="E456" s="722"/>
      <c r="F456" s="722"/>
      <c r="G456" s="722"/>
    </row>
    <row r="457" spans="5:7" ht="15">
      <c r="E457" s="722"/>
      <c r="F457" s="722"/>
      <c r="G457" s="722"/>
    </row>
    <row r="458" spans="5:7" ht="15">
      <c r="E458" s="722"/>
      <c r="F458" s="722"/>
      <c r="G458" s="722"/>
    </row>
    <row r="459" spans="5:7" ht="15">
      <c r="E459" s="722"/>
      <c r="F459" s="722"/>
      <c r="G459" s="722"/>
    </row>
    <row r="460" spans="5:7" ht="15">
      <c r="E460" s="722"/>
      <c r="F460" s="722"/>
      <c r="G460" s="722"/>
    </row>
    <row r="461" spans="5:7" ht="15">
      <c r="E461" s="722"/>
      <c r="F461" s="722"/>
      <c r="G461" s="722"/>
    </row>
    <row r="462" spans="5:7" ht="15">
      <c r="E462" s="722"/>
      <c r="F462" s="722"/>
      <c r="G462" s="722"/>
    </row>
    <row r="463" spans="5:7" ht="15">
      <c r="E463" s="722"/>
      <c r="F463" s="722"/>
      <c r="G463" s="722"/>
    </row>
    <row r="464" spans="5:7" ht="15">
      <c r="E464" s="722"/>
      <c r="F464" s="722"/>
      <c r="G464" s="722"/>
    </row>
    <row r="465" spans="5:7" ht="15">
      <c r="E465" s="722"/>
      <c r="F465" s="722"/>
      <c r="G465" s="722"/>
    </row>
    <row r="466" spans="5:7" ht="15">
      <c r="E466" s="722"/>
      <c r="F466" s="722"/>
      <c r="G466" s="722"/>
    </row>
    <row r="467" spans="5:7" ht="15">
      <c r="E467" s="722"/>
      <c r="F467" s="722"/>
      <c r="G467" s="722"/>
    </row>
    <row r="468" spans="5:7" ht="15">
      <c r="E468" s="722"/>
      <c r="F468" s="722"/>
      <c r="G468" s="722"/>
    </row>
    <row r="469" spans="5:7" ht="15">
      <c r="E469" s="722"/>
      <c r="F469" s="722"/>
      <c r="G469" s="722"/>
    </row>
    <row r="470" spans="5:7" ht="15">
      <c r="E470" s="722"/>
      <c r="F470" s="722"/>
      <c r="G470" s="722"/>
    </row>
    <row r="471" spans="5:7" ht="15">
      <c r="E471" s="722"/>
      <c r="F471" s="722"/>
      <c r="G471" s="722"/>
    </row>
    <row r="472" spans="5:7" ht="15">
      <c r="E472" s="722"/>
      <c r="F472" s="722"/>
      <c r="G472" s="722"/>
    </row>
    <row r="473" spans="5:7" ht="15">
      <c r="E473" s="722"/>
      <c r="F473" s="722"/>
      <c r="G473" s="722"/>
    </row>
    <row r="474" spans="5:7" ht="15">
      <c r="E474" s="722"/>
      <c r="F474" s="722"/>
      <c r="G474" s="722"/>
    </row>
    <row r="475" spans="5:7" ht="15">
      <c r="E475" s="722"/>
      <c r="F475" s="722"/>
      <c r="G475" s="722"/>
    </row>
    <row r="476" spans="5:7" ht="15">
      <c r="E476" s="722"/>
      <c r="F476" s="722"/>
      <c r="G476" s="722"/>
    </row>
    <row r="477" spans="5:7" ht="15">
      <c r="E477" s="722"/>
      <c r="F477" s="722"/>
      <c r="G477" s="722"/>
    </row>
    <row r="478" spans="5:7" ht="15">
      <c r="E478" s="722"/>
      <c r="F478" s="722"/>
      <c r="G478" s="722"/>
    </row>
    <row r="479" spans="5:7" ht="15">
      <c r="E479" s="722"/>
      <c r="F479" s="722"/>
      <c r="G479" s="722"/>
    </row>
    <row r="480" spans="5:7" ht="15">
      <c r="E480" s="722"/>
      <c r="F480" s="722"/>
      <c r="G480" s="722"/>
    </row>
    <row r="481" spans="5:7" ht="15">
      <c r="E481" s="722"/>
      <c r="F481" s="722"/>
      <c r="G481" s="722"/>
    </row>
    <row r="482" spans="5:7" ht="15">
      <c r="E482" s="722"/>
      <c r="F482" s="722"/>
      <c r="G482" s="722"/>
    </row>
    <row r="483" spans="5:7" ht="15">
      <c r="E483" s="722"/>
      <c r="F483" s="722"/>
      <c r="G483" s="722"/>
    </row>
    <row r="484" spans="5:7" ht="15">
      <c r="E484" s="722"/>
      <c r="F484" s="722"/>
      <c r="G484" s="722"/>
    </row>
    <row r="485" spans="5:7" ht="15">
      <c r="E485" s="722"/>
      <c r="F485" s="722"/>
      <c r="G485" s="722"/>
    </row>
  </sheetData>
  <mergeCells count="13">
    <mergeCell ref="D3:H3"/>
    <mergeCell ref="D1:H1"/>
    <mergeCell ref="D2:H2"/>
    <mergeCell ref="A63:F63"/>
    <mergeCell ref="A62:E62"/>
    <mergeCell ref="A65:E65"/>
    <mergeCell ref="A64:F64"/>
    <mergeCell ref="A106:D106"/>
    <mergeCell ref="A114:D114"/>
    <mergeCell ref="A116:F116"/>
    <mergeCell ref="A115:E115"/>
    <mergeCell ref="A118:E118"/>
    <mergeCell ref="A117:F117"/>
  </mergeCells>
  <printOptions/>
  <pageMargins left="0.75" right="0.75" top="1" bottom="0.69" header="0.5" footer="0.5"/>
  <pageSetup fitToHeight="2" horizontalDpi="600" verticalDpi="600" orientation="landscape" scale="46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jepperson</dc:creator>
  <cp:keywords/>
  <dc:description/>
  <cp:lastModifiedBy>James Ness</cp:lastModifiedBy>
  <cp:lastPrinted>2007-01-25T19:17:29Z</cp:lastPrinted>
  <dcterms:created xsi:type="dcterms:W3CDTF">2003-05-29T20:01:30Z</dcterms:created>
  <dcterms:modified xsi:type="dcterms:W3CDTF">2007-01-31T17:09:23Z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-2121420103</vt:i4>
  </property>
  <property fmtid="{D5CDD505-2E9C-101B-9397-08002B2CF9AE}" pid="3" name="_NewReviewCycle">
    <vt:lpwstr/>
  </property>
  <property fmtid="{D5CDD505-2E9C-101B-9397-08002B2CF9AE}" pid="4" name="_EmailSubject">
    <vt:lpwstr> Monster Change</vt:lpwstr>
  </property>
  <property fmtid="{D5CDD505-2E9C-101B-9397-08002B2CF9AE}" pid="5" name="_AuthorEmail">
    <vt:lpwstr>Lan.Bui@SMOJMD.USDOJ.gov</vt:lpwstr>
  </property>
  <property fmtid="{D5CDD505-2E9C-101B-9397-08002B2CF9AE}" pid="6" name="_AuthorEmailDisplayName">
    <vt:lpwstr>Bui, Lan</vt:lpwstr>
  </property>
  <property fmtid="{D5CDD505-2E9C-101B-9397-08002B2CF9AE}" pid="7" name="_PreviousAdHocReviewCycleID">
    <vt:i4>1320573161</vt:i4>
  </property>
  <property fmtid="{D5CDD505-2E9C-101B-9397-08002B2CF9AE}" pid="8" name="_ReviewingToolsShownOnce">
    <vt:lpwstr/>
  </property>
</Properties>
</file>