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25" yWindow="65446" windowWidth="9990" windowHeight="7785" activeTab="0"/>
  </bookViews>
  <sheets>
    <sheet name="1.  Buffer Design" sheetId="1" r:id="rId1"/>
    <sheet name="2. Soil Dosing Rates" sheetId="2" r:id="rId2"/>
    <sheet name="3. Pump Curve Data" sheetId="3" r:id="rId3"/>
    <sheet name="Help" sheetId="4" r:id="rId4"/>
  </sheets>
  <definedNames>
    <definedName name="\p">#REF!</definedName>
    <definedName name="PRINT_AREA_MI">#REF!</definedName>
    <definedName name="PRINT_AREA_MI_rw">#REF!</definedName>
    <definedName name="_xlnm.Print_Titles" localSheetId="0">'1.  Buffer Design'!$1:$6</definedName>
  </definedNames>
  <calcPr fullCalcOnLoad="1"/>
</workbook>
</file>

<file path=xl/sharedStrings.xml><?xml version="1.0" encoding="utf-8"?>
<sst xmlns="http://schemas.openxmlformats.org/spreadsheetml/2006/main" count="342" uniqueCount="284">
  <si>
    <t>n</t>
  </si>
  <si>
    <t>Number of elbows</t>
  </si>
  <si>
    <t>GPM</t>
  </si>
  <si>
    <t>System</t>
  </si>
  <si>
    <t>Per orifice</t>
  </si>
  <si>
    <t>Elevation</t>
  </si>
  <si>
    <t>Force Main</t>
  </si>
  <si>
    <t>Orifice</t>
  </si>
  <si>
    <t>Lateral</t>
  </si>
  <si>
    <t>orifice area, ft2</t>
  </si>
  <si>
    <t>Head Loss (ft)</t>
  </si>
  <si>
    <t>Buffer Area Design:</t>
  </si>
  <si>
    <t>velocity</t>
  </si>
  <si>
    <t>pipe area, ft2</t>
  </si>
  <si>
    <t>Force Main velocity/ head loss check</t>
  </si>
  <si>
    <t>Soil Depth</t>
  </si>
  <si>
    <t>40"+</t>
  </si>
  <si>
    <t xml:space="preserve">Soil Drainage </t>
  </si>
  <si>
    <t>Class</t>
  </si>
  <si>
    <t>Well Drained</t>
  </si>
  <si>
    <t>These are rates used in Pennsylvania.  They are significantly</t>
  </si>
  <si>
    <t>lower than rates used in Wisconsin for septic drainfields</t>
  </si>
  <si>
    <t>Flow Depth:</t>
  </si>
  <si>
    <t>of buffer needed, but the width increases.  The actual loading rate also decreases</t>
  </si>
  <si>
    <t>(in terms of gallons per 1000 square feet) with decreased application depths.</t>
  </si>
  <si>
    <t>Minimum Buffer Length</t>
  </si>
  <si>
    <t>This is based on the computed Mannings velocity for a wide strip, and a 20 minute contact time.</t>
  </si>
  <si>
    <t>The 20 minute contact time is greater than the Pennsylvania minimum of 15 minutes, and is</t>
  </si>
  <si>
    <t>taken from the old Wisconsin filter strip standard for 0.5" flow depth.  Going to 20 minutes</t>
  </si>
  <si>
    <t>Minimum Buffer Width</t>
  </si>
  <si>
    <t>NOTE THAT THIS BUFFER IS ONLY FOR GRASS, NOT A CROP</t>
  </si>
  <si>
    <t>and half the flow from the forcemain goes in each direction in the lateral.</t>
  </si>
  <si>
    <t>The Pennsylvania table includes wet shallow soils that would</t>
  </si>
  <si>
    <t>not work under our standard.  These values are not shown above.</t>
  </si>
  <si>
    <t>Forcemain and lateral pipes are assumed to be plastic with n = 0.009.</t>
  </si>
  <si>
    <t>Pump Curve</t>
  </si>
  <si>
    <t>0 for "massive" structured silt loam and heavier textured soil. Massive</t>
  </si>
  <si>
    <t>structure usually means a compacted plow layer or dense parent material,</t>
  </si>
  <si>
    <t>which is something that should not occur on a natural soil surface.</t>
  </si>
  <si>
    <t>System Curve</t>
  </si>
  <si>
    <t>Pump Brand:</t>
  </si>
  <si>
    <t>Pump Type:</t>
  </si>
  <si>
    <t>Initial Input Data:</t>
  </si>
  <si>
    <t>Orifice spacing should be between 2 and 6 feet to ensure full utilization of the buffer width.</t>
  </si>
  <si>
    <t>Pump Curves are published by pump manufacturers to show how much water a brand and model of</t>
  </si>
  <si>
    <t>pump will move against various pressures (heads).  As the head on a pump goes up (more pressure)</t>
  </si>
  <si>
    <t>the amount of water the pump will pump goes down because it has to work harder to overcome the pressure.</t>
  </si>
  <si>
    <t>DESIGN OUTPUTS</t>
  </si>
  <si>
    <t>Head</t>
  </si>
  <si>
    <t>inches per dose from milkhouse</t>
  </si>
  <si>
    <t>inches per week from milkhouse</t>
  </si>
  <si>
    <t>inches per week total</t>
  </si>
  <si>
    <t>DSN BY:</t>
  </si>
  <si>
    <t>COMMENTS:</t>
  </si>
  <si>
    <t>Wastewater Production Rate</t>
  </si>
  <si>
    <t>Allowable Soil Dosing Rate</t>
  </si>
  <si>
    <t>This area is the calculation to check for a</t>
  </si>
  <si>
    <t>max pipe velocity of 5 feet per second</t>
  </si>
  <si>
    <t>(Mannings n per standard)</t>
  </si>
  <si>
    <t>This is limited to 500 gallons per day by standard.  Use measured volumes if possible.</t>
  </si>
  <si>
    <t xml:space="preserve">Wisconsin septic code (for comparison) lists loading rates of .2 to .7 </t>
  </si>
  <si>
    <t>gallons per square feet for clay to sand soil.  The code lists a rate of</t>
  </si>
  <si>
    <t>take credit for only 150' of buffer if it is actually longer</t>
  </si>
  <si>
    <t>Actual dose volume, based on float settings in tank</t>
  </si>
  <si>
    <t>For wide, shallow channels the hydraulic</t>
  </si>
  <si>
    <t>radius is the depth of the channel</t>
  </si>
  <si>
    <t>which simplifies Mannings equation &amp; calcs</t>
  </si>
  <si>
    <t>Pump Curve:</t>
  </si>
  <si>
    <t>2" Sewage</t>
  </si>
  <si>
    <t>ft2</t>
  </si>
  <si>
    <t>forcemain area=</t>
  </si>
  <si>
    <t>Kp=</t>
  </si>
  <si>
    <t>vel head</t>
  </si>
  <si>
    <t>1+Km+KpL</t>
  </si>
  <si>
    <t>Intermediate Outputs</t>
  </si>
  <si>
    <t>lateral area=</t>
  </si>
  <si>
    <t>Main</t>
  </si>
  <si>
    <t>Enter the buffer area slope.  The value needs to be between 0.02 (2%) and 0.15 (15%)</t>
  </si>
  <si>
    <t>This is computed based on the minimum buffer length, and 3 days minimum rest</t>
  </si>
  <si>
    <t xml:space="preserve">The buffer length and width will need to be adjusted later to meet dosing rate and total </t>
  </si>
  <si>
    <t>hydraulic load criteria in the standard.  These minimums are just a place to start.</t>
  </si>
  <si>
    <t>The length of the distribution lateral is the width of the buffer area, and is brought down automatically.</t>
  </si>
  <si>
    <t>Final System Design Summary</t>
  </si>
  <si>
    <t>Many of the error messages/warnings include suggestions for changes in the design.</t>
  </si>
  <si>
    <t>graph to look odd.</t>
  </si>
  <si>
    <t>Milkhouse Buffer Design</t>
  </si>
  <si>
    <t>CLIENT:</t>
  </si>
  <si>
    <t>COUNTY:</t>
  </si>
  <si>
    <t xml:space="preserve">   DATE:</t>
  </si>
  <si>
    <t>CHK BY:</t>
  </si>
  <si>
    <t>County-for drop down list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</si>
  <si>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</si>
  <si>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</si>
  <si>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</si>
  <si>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</si>
  <si>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</si>
  <si>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</si>
  <si>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</si>
  <si>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</si>
  <si>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</si>
  <si>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</si>
  <si>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</si>
  <si>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</si>
  <si>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</si>
  <si>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</si>
  <si>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</si>
  <si>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</si>
  <si>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</si>
  <si>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</si>
  <si>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</si>
  <si>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</si>
  <si>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</si>
  <si>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</si>
  <si>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</si>
  <si>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</si>
  <si>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</si>
  <si>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</si>
  <si>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</si>
  <si>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</si>
  <si>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</si>
  <si>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</si>
  <si>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</si>
  <si>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</si>
  <si>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</si>
  <si>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</si>
  <si>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</si>
  <si>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</si>
  <si>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</si>
  <si>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</si>
  <si>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</si>
  <si>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</si>
  <si>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</si>
  <si>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</si>
  <si>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</si>
  <si>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</si>
  <si>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</si>
  <si>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</si>
  <si>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</si>
  <si>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</si>
  <si>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</si>
  <si>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</si>
  <si>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</si>
  <si>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</si>
  <si>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</si>
  <si>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</si>
  <si>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</si>
  <si>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</si>
  <si>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</si>
  <si>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</si>
  <si>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</si>
  <si>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</si>
  <si>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</si>
  <si>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</si>
  <si>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</si>
  <si>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</si>
  <si>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</si>
  <si>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</si>
  <si>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</si>
  <si>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</si>
  <si>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</si>
  <si>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</si>
  <si>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</si>
  <si>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</si>
  <si>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Wastewater production rate</t>
  </si>
  <si>
    <t xml:space="preserve">Allowable soil dosing rate </t>
  </si>
  <si>
    <t>Depth of flow in buffer area</t>
  </si>
  <si>
    <t>Slope of buffer area</t>
  </si>
  <si>
    <t>gallons per day</t>
  </si>
  <si>
    <t>gallons per square foot</t>
  </si>
  <si>
    <t>feet per foot</t>
  </si>
  <si>
    <t>feet</t>
  </si>
  <si>
    <t>Amount of flow needed</t>
  </si>
  <si>
    <t xml:space="preserve">Min buffer length </t>
  </si>
  <si>
    <t xml:space="preserve">Buffer length used </t>
  </si>
  <si>
    <t xml:space="preserve">Min buffer width </t>
  </si>
  <si>
    <t xml:space="preserve">Buffer width used </t>
  </si>
  <si>
    <t>Pipe size of forcemain (inside diameter)</t>
  </si>
  <si>
    <t>Length of solid pipe to distribution lateral</t>
  </si>
  <si>
    <t>Distribution lateral pipe size (inside diameter)</t>
  </si>
  <si>
    <t>Length of lateral (width of buffer)</t>
  </si>
  <si>
    <t>Size of holes</t>
  </si>
  <si>
    <t>Spacing of holes</t>
  </si>
  <si>
    <t>inches</t>
  </si>
  <si>
    <t>Min. pump chamber volume needed</t>
  </si>
  <si>
    <t>Flow rate at which system will operate</t>
  </si>
  <si>
    <t>Pump Run Time</t>
  </si>
  <si>
    <t>Actual flow depth</t>
  </si>
  <si>
    <t>Actual dosing rate</t>
  </si>
  <si>
    <t>Days between dosings</t>
  </si>
  <si>
    <t>gallons</t>
  </si>
  <si>
    <t>MINIMUM BUFFER LENGTH</t>
  </si>
  <si>
    <t>based on 20 minutes minimum flow time</t>
  </si>
  <si>
    <t>maximum length of 150' to prevent channelized or shallow concentrated flow</t>
  </si>
  <si>
    <t>MINIMUM BUFFER WIDTH</t>
  </si>
  <si>
    <t>based on min buffer length and 3 day min. rest</t>
  </si>
  <si>
    <t>Empty cells in the table will cause the</t>
  </si>
  <si>
    <t>values to completely fill out the table.</t>
  </si>
  <si>
    <t>_________</t>
  </si>
  <si>
    <t>____</t>
  </si>
  <si>
    <t>gpm per foot of width</t>
  </si>
  <si>
    <r>
      <t xml:space="preserve">Total Hydraulic Load Check: </t>
    </r>
    <r>
      <rPr>
        <sz val="10"/>
        <rFont val="Times New Roman"/>
        <family val="1"/>
      </rPr>
      <t xml:space="preserve"> (0.9" per week max per proposed WI NRCS Standard 635/719)</t>
    </r>
  </si>
  <si>
    <t>Green Cells are user inputs</t>
  </si>
  <si>
    <t>Milkhouse Buffer Design HELP SHEET</t>
  </si>
  <si>
    <t xml:space="preserve">This design assumes there will be a forcemain between the dosing tank and the perforated </t>
  </si>
  <si>
    <t>distribution lateral.  The forcemain ends in a tee in the middle of the perforated distribution lateral</t>
  </si>
  <si>
    <t xml:space="preserve">The velocity side calc shows the forcemain velocity at the discharge value selected from the pump </t>
  </si>
  <si>
    <t>curve.  If this velocity is close to or more than 5 feet per second, then the pipe size needs to be increased.</t>
  </si>
  <si>
    <t xml:space="preserve">These are selections to be made by the designer </t>
  </si>
  <si>
    <t>Orifice size should be a standard drill bit size between 1/2" and 1".</t>
  </si>
  <si>
    <t>The "system curve" shows how much head (pressure) it takes to push several flow rates of water</t>
  </si>
  <si>
    <t>certain size pipe, the more head (pressure) it takes to do it.</t>
  </si>
  <si>
    <t xml:space="preserve">through the sizes of pipes and holes that were chosen for the design.  The more water that is pushed through a </t>
  </si>
  <si>
    <r>
      <t>The goal of the design is to find a pump curve that intersects the system curve.</t>
    </r>
    <r>
      <rPr>
        <sz val="10"/>
        <rFont val="Arial"/>
        <family val="0"/>
      </rPr>
      <t xml:space="preserve">  </t>
    </r>
  </si>
  <si>
    <t xml:space="preserve">The pump will operate where the pump curve intersects the system curve.  </t>
  </si>
  <si>
    <t xml:space="preserve">Two inputs are needed here to complete the design -- </t>
  </si>
  <si>
    <r>
      <t>Actual dosing volume</t>
    </r>
    <r>
      <rPr>
        <sz val="10"/>
        <rFont val="Arial"/>
        <family val="0"/>
      </rPr>
      <t>, which is the volume between the "pump on" and "pump off" float settings in the tank</t>
    </r>
  </si>
  <si>
    <r>
      <t>Flow rate that the pump will operate at</t>
    </r>
    <r>
      <rPr>
        <sz val="10"/>
        <rFont val="Arial"/>
        <family val="0"/>
      </rPr>
      <t xml:space="preserve">, which is the flow rate where the pump curve intersects the system </t>
    </r>
  </si>
  <si>
    <t>curve in the graph.</t>
  </si>
  <si>
    <t xml:space="preserve">This summary area checks the design against the design criteria in the standard.  </t>
  </si>
  <si>
    <t>They are conservative numbers.  They are used to calculate an initial minimum buffer width.</t>
  </si>
  <si>
    <t xml:space="preserve">Adjust flow depth (0.5" to 0.1" allowable range) to fit available area PA recommends 0.5" depth where it </t>
  </si>
  <si>
    <t xml:space="preserve">will fit the site to encourage flow down the slope.  The shallower the depth gets, the shorter the length </t>
  </si>
  <si>
    <t>per standard.  If multiple slopes are in the area, use the highest value in order to get the longest buffer.</t>
  </si>
  <si>
    <t xml:space="preserve">The Pennsylvania design guide recommends that the dosing tank be emptied in 5 to 20 minutes.  </t>
  </si>
  <si>
    <t>These max/min rates are flow rates that would accomplish emptying the tank in the 5-20 minute timeframe.</t>
  </si>
  <si>
    <t>Distribution System Design</t>
  </si>
  <si>
    <t>Min/Max Delivery Rates</t>
  </si>
  <si>
    <t>Slope of the Buffer Area (ft/ft)</t>
  </si>
  <si>
    <t xml:space="preserve">Orifice Sizes and Spacing </t>
  </si>
  <si>
    <t>Max. Soil Dosing Rates (g/sqft buffer area)</t>
  </si>
  <si>
    <t>Maximum Soil Dosing Rates, gallons per square foot of buffer area</t>
  </si>
  <si>
    <t>24"- 40"</t>
  </si>
  <si>
    <t>Moderately Well Drained</t>
  </si>
  <si>
    <t>Somewhat Poorly Drained</t>
  </si>
  <si>
    <t>Distribution System Design:</t>
  </si>
  <si>
    <t>Final System Design Check:</t>
  </si>
  <si>
    <t>Elev. difference from pump off level to distribution lateral</t>
  </si>
  <si>
    <t>Phone Number: 920-734-2061 ext 120</t>
  </si>
  <si>
    <t>PUMP CURVE DATA</t>
  </si>
  <si>
    <t>Pump Brand</t>
  </si>
  <si>
    <t>Pump Type</t>
  </si>
  <si>
    <t>Repeat last GPM and Head</t>
  </si>
  <si>
    <t xml:space="preserve">Enter Pump Curve Information In </t>
  </si>
  <si>
    <t>The Green Cells.</t>
  </si>
  <si>
    <t>Pump Curve Data for Pull Down Menu</t>
  </si>
  <si>
    <t>Side Calculations</t>
  </si>
  <si>
    <t>Drop Down list for Pump</t>
  </si>
  <si>
    <t>Chose a pump from the drop down menu or you can enter in your own</t>
  </si>
  <si>
    <t>starting with low flows and working your way up.</t>
  </si>
  <si>
    <t>Pump Brand and Model:</t>
  </si>
  <si>
    <t>Zoeller 270</t>
  </si>
  <si>
    <t>Zoeller 284</t>
  </si>
  <si>
    <t>Myers MW50 Series</t>
  </si>
  <si>
    <t>Goulds Pumps Model 3886 Order Number WS05B</t>
  </si>
  <si>
    <t>is consistent with past practice here, and adds some conservativism to the design.</t>
  </si>
  <si>
    <t>days</t>
  </si>
  <si>
    <t>gallons (includes backwash from forcemain)</t>
  </si>
  <si>
    <t>Spreadsheet written by Dean Sylla and Amanda Crowe, NRCS Engineers, Appleton, WI</t>
  </si>
  <si>
    <t>Spreadsheet Last updated    2/6/08</t>
  </si>
  <si>
    <t>Notes:</t>
  </si>
  <si>
    <t>Final Design Summary</t>
  </si>
  <si>
    <t>Width of Buffer</t>
  </si>
  <si>
    <t>Length of Buffer</t>
  </si>
  <si>
    <t>Slope of Buffer</t>
  </si>
  <si>
    <t>gallons per square feet</t>
  </si>
  <si>
    <t>minutes per dose</t>
  </si>
  <si>
    <t>Actual dose volume</t>
  </si>
  <si>
    <t>Flow rate</t>
  </si>
  <si>
    <t>Pump run time</t>
  </si>
  <si>
    <t>gal/min</t>
  </si>
  <si>
    <t>min/dose</t>
  </si>
  <si>
    <t>Min. pump chamber needed</t>
  </si>
  <si>
    <t>feet (positive uphill, negative downhill)</t>
  </si>
  <si>
    <t>or a variance should be obtained.</t>
  </si>
  <si>
    <t>gallons per minute; read from intersection of two curves</t>
  </si>
  <si>
    <t>----------------------&gt;</t>
  </si>
  <si>
    <t xml:space="preserve">Soil dosing rate information is found on worksheet 2.  </t>
  </si>
  <si>
    <t>You can click on the yellow tab to get there.</t>
  </si>
  <si>
    <t>Enter Your Pump Data Here</t>
  </si>
  <si>
    <r>
      <t>If any red error messages occur here, the design needs to be changed to get rid of them</t>
    </r>
    <r>
      <rPr>
        <sz val="10"/>
        <rFont val="Arial"/>
        <family val="0"/>
      </rPr>
      <t xml:space="preserve">  </t>
    </r>
  </si>
  <si>
    <t>Warnings are shown in Column G, they are based on the standard and therefore-MUST BE CHANGED</t>
  </si>
  <si>
    <t>Pump should run at least 5 minutes</t>
  </si>
  <si>
    <t xml:space="preserve">These are rounded values from the Pennsylvania (PA) design guide.  They are based on drainage class and depth.  </t>
  </si>
  <si>
    <t>ver 10.08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</si>
</sst>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0.00000"/>
    <numFmt numFmtId="168" formatCode="General_)"/>
    <numFmt numFmtId="169" formatCode="mm/dd/yy_)"/>
    <numFmt numFmtId="170" formatCode="0.0000_)"/>
    <numFmt numFmtId="171" formatCode="0.000_)"/>
    <numFmt numFmtId="172" formatCode="0_)"/>
    <numFmt numFmtId="173" formatCode="0.00_)"/>
    <numFmt numFmtId="174" formatCode="0.0_)"/>
    <numFmt numFmtId="175" formatCode="hh:mm:ss\ AM/PM_)"/>
    <numFmt numFmtId="176" formatCode="#,##0.0000"/>
    <numFmt numFmtId="177" formatCode="0.0000"/>
  </numFmts>
  <fonts count="58">
    <font>
      <sz val="10"/>
      <name val="Arial"/>
      <family val="0"/>
    </font>
    <font>
      <sz val="10"/>
      <color indexed="4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1.75"/>
      <name val="Arial"/>
      <family val="0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1"/>
      <name val="Arial"/>
      <family val="0"/>
    </font>
    <font>
      <b/>
      <sz val="16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u val="single"/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5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4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0"/>
    </font>
    <font>
      <sz val="10"/>
      <color indexed="23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53"/>
      <name val="Times New Roman"/>
      <family val="1"/>
    </font>
    <font>
      <sz val="10"/>
      <color indexed="53"/>
      <name val="Arial"/>
      <family val="0"/>
    </font>
    <font>
      <b/>
      <sz val="10"/>
      <color indexed="17"/>
      <name val="Arial"/>
      <family val="2"/>
    </font>
    <font>
      <b/>
      <sz val="16"/>
      <color indexed="22"/>
      <name val="Arial"/>
      <family val="2"/>
    </font>
    <font>
      <i/>
      <sz val="10"/>
      <name val="Times New Roman"/>
      <family val="1"/>
    </font>
    <font>
      <sz val="16"/>
      <name val="Arial"/>
      <family val="0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0"/>
    </font>
    <font>
      <sz val="10"/>
      <color indexed="16"/>
      <name val="Arial"/>
      <family val="2"/>
    </font>
    <font>
      <b/>
      <u val="single"/>
      <sz val="12"/>
      <name val="Arial"/>
      <family val="2"/>
    </font>
    <font>
      <sz val="9"/>
      <name val="Times New Roman"/>
      <family val="1"/>
    </font>
    <font>
      <b/>
      <sz val="11.5"/>
      <name val="Arial"/>
      <family val="2"/>
    </font>
    <font>
      <b/>
      <sz val="14"/>
      <name val="Arial"/>
      <family val="2"/>
    </font>
    <font>
      <u val="single"/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color indexed="23"/>
      <name val="Arial"/>
      <family val="0"/>
    </font>
    <font>
      <sz val="8"/>
      <color indexed="23"/>
      <name val="Arial"/>
      <family val="0"/>
    </font>
    <font>
      <b/>
      <sz val="16.5"/>
      <name val="Arial"/>
      <family val="2"/>
    </font>
    <font>
      <sz val="12"/>
      <color indexed="57"/>
      <name val="Arial"/>
      <family val="2"/>
    </font>
    <font>
      <sz val="12"/>
      <color indexed="48"/>
      <name val="Times New Roman"/>
      <family val="1"/>
    </font>
    <font>
      <sz val="12"/>
      <color indexed="48"/>
      <name val="Arial"/>
      <family val="0"/>
    </font>
    <font>
      <sz val="10"/>
      <color indexed="41"/>
      <name val="Times New Roman"/>
      <family val="1"/>
    </font>
    <font>
      <sz val="11"/>
      <color indexed="4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2" fontId="0" fillId="0" borderId="0" xfId="0" applyNumberFormat="1" applyAlignment="1" applyProtection="1">
      <alignment/>
      <protection/>
    </xf>
    <xf numFmtId="0" fontId="0" fillId="0" borderId="2" xfId="0" applyBorder="1" applyAlignment="1" applyProtection="1">
      <alignment horizontal="centerContinuous"/>
      <protection/>
    </xf>
    <xf numFmtId="164" fontId="0" fillId="0" borderId="0" xfId="0" applyNumberFormat="1" applyBorder="1" applyAlignment="1" applyProtection="1">
      <alignment horizontal="center"/>
      <protection/>
    </xf>
    <xf numFmtId="0" fontId="6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 applyProtection="1">
      <alignment horizontal="centerContinuous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10" fillId="0" borderId="3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7" fillId="2" borderId="0" xfId="0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fill"/>
      <protection/>
    </xf>
    <xf numFmtId="0" fontId="14" fillId="0" borderId="4" xfId="0" applyFont="1" applyBorder="1" applyAlignment="1" applyProtection="1">
      <alignment horizontal="fill"/>
      <protection/>
    </xf>
    <xf numFmtId="0" fontId="14" fillId="3" borderId="0" xfId="0" applyFont="1" applyFill="1" applyBorder="1" applyAlignment="1" applyProtection="1">
      <alignment/>
      <protection/>
    </xf>
    <xf numFmtId="0" fontId="14" fillId="0" borderId="4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5" xfId="0" applyFont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23" fillId="3" borderId="0" xfId="0" applyFont="1" applyFill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Continuous"/>
      <protection/>
    </xf>
    <xf numFmtId="1" fontId="2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3" borderId="0" xfId="0" applyFill="1" applyBorder="1" applyAlignment="1">
      <alignment/>
    </xf>
    <xf numFmtId="0" fontId="8" fillId="3" borderId="0" xfId="0" applyFont="1" applyFill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23" fillId="3" borderId="4" xfId="0" applyFont="1" applyFill="1" applyBorder="1" applyAlignment="1" applyProtection="1">
      <alignment horizontal="left"/>
      <protection/>
    </xf>
    <xf numFmtId="0" fontId="14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4" fillId="0" borderId="0" xfId="0" applyFont="1" applyAlignment="1">
      <alignment/>
    </xf>
    <xf numFmtId="0" fontId="28" fillId="2" borderId="0" xfId="0" applyFont="1" applyFill="1" applyAlignment="1">
      <alignment/>
    </xf>
    <xf numFmtId="0" fontId="35" fillId="4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 quotePrefix="1">
      <alignment horizontal="left"/>
    </xf>
    <xf numFmtId="0" fontId="0" fillId="0" borderId="9" xfId="0" applyBorder="1" applyAlignment="1">
      <alignment horizontal="center"/>
    </xf>
    <xf numFmtId="0" fontId="8" fillId="0" borderId="12" xfId="0" applyFont="1" applyBorder="1" applyAlignment="1" quotePrefix="1">
      <alignment horizontal="left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5" borderId="16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8" fillId="3" borderId="0" xfId="0" applyFont="1" applyFill="1" applyAlignment="1" quotePrefix="1">
      <alignment horizontal="left"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10" xfId="0" applyFill="1" applyBorder="1" applyAlignment="1">
      <alignment/>
    </xf>
    <xf numFmtId="0" fontId="23" fillId="3" borderId="19" xfId="0" applyFont="1" applyFill="1" applyBorder="1" applyAlignment="1" applyProtection="1">
      <alignment horizontal="left"/>
      <protection/>
    </xf>
    <xf numFmtId="0" fontId="14" fillId="3" borderId="20" xfId="0" applyFont="1" applyFill="1" applyBorder="1" applyAlignment="1" applyProtection="1">
      <alignment/>
      <protection/>
    </xf>
    <xf numFmtId="0" fontId="14" fillId="3" borderId="21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left"/>
      <protection/>
    </xf>
    <xf numFmtId="0" fontId="14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4" fillId="0" borderId="22" xfId="0" applyFont="1" applyBorder="1" applyAlignment="1" applyProtection="1">
      <alignment horizontal="fill"/>
      <protection/>
    </xf>
    <xf numFmtId="0" fontId="20" fillId="0" borderId="16" xfId="0" applyFont="1" applyFill="1" applyBorder="1" applyAlignment="1" applyProtection="1">
      <alignment horizontal="left"/>
      <protection/>
    </xf>
    <xf numFmtId="0" fontId="24" fillId="2" borderId="0" xfId="0" applyFont="1" applyFill="1" applyBorder="1" applyAlignment="1" applyProtection="1">
      <alignment horizontal="center"/>
      <protection locked="0"/>
    </xf>
    <xf numFmtId="0" fontId="14" fillId="0" borderId="16" xfId="0" applyFont="1" applyBorder="1" applyAlignment="1" applyProtection="1" quotePrefix="1">
      <alignment horizontal="left"/>
      <protection/>
    </xf>
    <xf numFmtId="164" fontId="24" fillId="2" borderId="0" xfId="0" applyNumberFormat="1" applyFont="1" applyFill="1" applyBorder="1" applyAlignment="1" applyProtection="1">
      <alignment horizontal="center"/>
      <protection locked="0"/>
    </xf>
    <xf numFmtId="165" fontId="24" fillId="2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/>
    </xf>
    <xf numFmtId="0" fontId="14" fillId="0" borderId="0" xfId="0" applyFont="1" applyBorder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20" fillId="0" borderId="16" xfId="0" applyFont="1" applyBorder="1" applyAlignment="1" applyProtection="1">
      <alignment/>
      <protection/>
    </xf>
    <xf numFmtId="2" fontId="14" fillId="0" borderId="0" xfId="0" applyNumberFormat="1" applyFont="1" applyBorder="1" applyAlignment="1" applyProtection="1">
      <alignment horizontal="center"/>
      <protection/>
    </xf>
    <xf numFmtId="0" fontId="21" fillId="0" borderId="16" xfId="0" applyFont="1" applyBorder="1" applyAlignment="1" applyProtection="1" quotePrefix="1">
      <alignment horizontal="left"/>
      <protection/>
    </xf>
    <xf numFmtId="0" fontId="22" fillId="0" borderId="0" xfId="0" applyFont="1" applyBorder="1" applyAlignment="1" applyProtection="1">
      <alignment horizontal="left"/>
      <protection/>
    </xf>
    <xf numFmtId="1" fontId="24" fillId="2" borderId="0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Continuous"/>
      <protection/>
    </xf>
    <xf numFmtId="0" fontId="21" fillId="0" borderId="0" xfId="0" applyFont="1" applyBorder="1" applyAlignment="1" applyProtection="1">
      <alignment/>
      <protection/>
    </xf>
    <xf numFmtId="165" fontId="14" fillId="0" borderId="0" xfId="0" applyNumberFormat="1" applyFon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2" fontId="27" fillId="0" borderId="0" xfId="0" applyNumberFormat="1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 quotePrefix="1">
      <alignment horizontal="left"/>
      <protection/>
    </xf>
    <xf numFmtId="2" fontId="29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0" fillId="0" borderId="24" xfId="0" applyFont="1" applyBorder="1" applyAlignment="1" applyProtection="1">
      <alignment horizontal="right"/>
      <protection/>
    </xf>
    <xf numFmtId="0" fontId="29" fillId="0" borderId="0" xfId="0" applyFont="1" applyAlignment="1" applyProtection="1">
      <alignment horizontal="right"/>
      <protection/>
    </xf>
    <xf numFmtId="177" fontId="29" fillId="0" borderId="0" xfId="0" applyNumberFormat="1" applyFont="1" applyAlignment="1" applyProtection="1">
      <alignment/>
      <protection/>
    </xf>
    <xf numFmtId="0" fontId="18" fillId="2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>
      <alignment/>
    </xf>
    <xf numFmtId="0" fontId="14" fillId="3" borderId="4" xfId="0" applyFont="1" applyFill="1" applyBorder="1" applyAlignment="1" applyProtection="1">
      <alignment/>
      <protection/>
    </xf>
    <xf numFmtId="2" fontId="29" fillId="0" borderId="1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26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38" fillId="0" borderId="0" xfId="0" applyFont="1" applyFill="1" applyAlignment="1" applyProtection="1">
      <alignment/>
      <protection/>
    </xf>
    <xf numFmtId="0" fontId="30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30" fillId="0" borderId="25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2" borderId="1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 locked="0"/>
    </xf>
    <xf numFmtId="0" fontId="14" fillId="2" borderId="0" xfId="0" applyFont="1" applyFill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2" fontId="24" fillId="2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39" fillId="2" borderId="11" xfId="0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14" fillId="2" borderId="17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16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1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25" fillId="3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0" fontId="29" fillId="0" borderId="19" xfId="0" applyFont="1" applyBorder="1" applyAlignment="1" applyProtection="1">
      <alignment/>
      <protection/>
    </xf>
    <xf numFmtId="0" fontId="29" fillId="0" borderId="20" xfId="0" applyFont="1" applyBorder="1" applyAlignment="1" applyProtection="1">
      <alignment/>
      <protection/>
    </xf>
    <xf numFmtId="0" fontId="50" fillId="0" borderId="20" xfId="0" applyFont="1" applyBorder="1" applyAlignment="1" applyProtection="1">
      <alignment/>
      <protection/>
    </xf>
    <xf numFmtId="0" fontId="29" fillId="0" borderId="21" xfId="0" applyFont="1" applyBorder="1" applyAlignment="1" applyProtection="1">
      <alignment horizontal="center"/>
      <protection/>
    </xf>
    <xf numFmtId="0" fontId="29" fillId="0" borderId="27" xfId="0" applyFont="1" applyBorder="1" applyAlignment="1" applyProtection="1">
      <alignment horizontal="centerContinuous"/>
      <protection/>
    </xf>
    <xf numFmtId="0" fontId="29" fillId="0" borderId="2" xfId="0" applyFont="1" applyBorder="1" applyAlignment="1" applyProtection="1">
      <alignment horizontal="centerContinuous"/>
      <protection/>
    </xf>
    <xf numFmtId="0" fontId="29" fillId="0" borderId="24" xfId="0" applyFont="1" applyBorder="1" applyAlignment="1" applyProtection="1">
      <alignment horizontal="centerContinuous"/>
      <protection/>
    </xf>
    <xf numFmtId="0" fontId="29" fillId="0" borderId="11" xfId="0" applyFont="1" applyBorder="1" applyAlignment="1" applyProtection="1">
      <alignment horizontal="centerContinuous"/>
      <protection/>
    </xf>
    <xf numFmtId="0" fontId="29" fillId="0" borderId="28" xfId="0" applyFont="1" applyBorder="1" applyAlignment="1" applyProtection="1">
      <alignment horizontal="centerContinuous"/>
      <protection/>
    </xf>
    <xf numFmtId="0" fontId="29" fillId="0" borderId="8" xfId="0" applyFont="1" applyBorder="1" applyAlignment="1" applyProtection="1">
      <alignment horizontal="center"/>
      <protection/>
    </xf>
    <xf numFmtId="0" fontId="29" fillId="0" borderId="1" xfId="0" applyFont="1" applyBorder="1" applyAlignment="1" applyProtection="1">
      <alignment horizontal="center"/>
      <protection/>
    </xf>
    <xf numFmtId="0" fontId="51" fillId="0" borderId="1" xfId="0" applyFont="1" applyBorder="1" applyAlignment="1" applyProtection="1" quotePrefix="1">
      <alignment horizontal="center" wrapText="1"/>
      <protection/>
    </xf>
    <xf numFmtId="0" fontId="51" fillId="0" borderId="9" xfId="0" applyFont="1" applyBorder="1" applyAlignment="1" applyProtection="1" quotePrefix="1">
      <alignment horizontal="center"/>
      <protection/>
    </xf>
    <xf numFmtId="1" fontId="29" fillId="0" borderId="8" xfId="0" applyNumberFormat="1" applyFont="1" applyBorder="1" applyAlignment="1" applyProtection="1">
      <alignment horizontal="center"/>
      <protection/>
    </xf>
    <xf numFmtId="164" fontId="29" fillId="0" borderId="1" xfId="0" applyNumberFormat="1" applyFont="1" applyBorder="1" applyAlignment="1" applyProtection="1">
      <alignment horizontal="center"/>
      <protection/>
    </xf>
    <xf numFmtId="0" fontId="29" fillId="0" borderId="9" xfId="0" applyFont="1" applyBorder="1" applyAlignment="1" applyProtection="1">
      <alignment horizontal="center"/>
      <protection/>
    </xf>
    <xf numFmtId="1" fontId="29" fillId="0" borderId="18" xfId="0" applyNumberFormat="1" applyFont="1" applyBorder="1" applyAlignment="1" applyProtection="1">
      <alignment horizontal="center"/>
      <protection/>
    </xf>
    <xf numFmtId="164" fontId="29" fillId="0" borderId="14" xfId="0" applyNumberFormat="1" applyFont="1" applyBorder="1" applyAlignment="1" applyProtection="1">
      <alignment horizontal="center"/>
      <protection/>
    </xf>
    <xf numFmtId="2" fontId="29" fillId="0" borderId="14" xfId="0" applyNumberFormat="1" applyFont="1" applyBorder="1" applyAlignment="1" applyProtection="1">
      <alignment horizontal="center"/>
      <protection/>
    </xf>
    <xf numFmtId="0" fontId="29" fillId="0" borderId="15" xfId="0" applyFont="1" applyBorder="1" applyAlignment="1" applyProtection="1">
      <alignment horizontal="center"/>
      <protection/>
    </xf>
    <xf numFmtId="0" fontId="24" fillId="2" borderId="0" xfId="0" applyFont="1" applyFill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5" fillId="0" borderId="17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/>
      <protection/>
    </xf>
    <xf numFmtId="0" fontId="6" fillId="0" borderId="16" xfId="0" applyFont="1" applyBorder="1" applyAlignment="1" applyProtection="1" quotePrefix="1">
      <alignment horizontal="left"/>
      <protection/>
    </xf>
    <xf numFmtId="0" fontId="6" fillId="0" borderId="25" xfId="0" applyFont="1" applyBorder="1" applyAlignment="1" applyProtection="1" quotePrefix="1">
      <alignment horizontal="left"/>
      <protection/>
    </xf>
    <xf numFmtId="0" fontId="0" fillId="0" borderId="26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right"/>
      <protection/>
    </xf>
    <xf numFmtId="1" fontId="0" fillId="0" borderId="10" xfId="0" applyNumberFormat="1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6" fillId="3" borderId="20" xfId="0" applyFont="1" applyFill="1" applyBorder="1" applyAlignment="1" applyProtection="1">
      <alignment/>
      <protection/>
    </xf>
    <xf numFmtId="0" fontId="57" fillId="3" borderId="20" xfId="0" applyFont="1" applyFill="1" applyBorder="1" applyAlignment="1" applyProtection="1">
      <alignment/>
      <protection/>
    </xf>
    <xf numFmtId="0" fontId="15" fillId="3" borderId="4" xfId="0" applyFont="1" applyFill="1" applyBorder="1" applyAlignment="1" applyProtection="1">
      <alignment/>
      <protection/>
    </xf>
    <xf numFmtId="0" fontId="16" fillId="3" borderId="4" xfId="0" applyFont="1" applyFill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0" fontId="16" fillId="3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 horizontal="center"/>
      <protection locked="0"/>
    </xf>
    <xf numFmtId="2" fontId="41" fillId="0" borderId="0" xfId="0" applyNumberFormat="1" applyFont="1" applyBorder="1" applyAlignment="1" applyProtection="1">
      <alignment horizontal="center"/>
      <protection/>
    </xf>
    <xf numFmtId="0" fontId="20" fillId="0" borderId="32" xfId="0" applyFont="1" applyFill="1" applyBorder="1" applyAlignment="1" applyProtection="1">
      <alignment horizontal="center"/>
      <protection/>
    </xf>
    <xf numFmtId="0" fontId="20" fillId="0" borderId="33" xfId="0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 applyProtection="1">
      <alignment horizontal="center"/>
      <protection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7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System/Pump Curve</a:t>
            </a:r>
          </a:p>
        </c:rich>
      </c:tx>
      <c:layout>
        <c:manualLayout>
          <c:xMode val="factor"/>
          <c:yMode val="factor"/>
          <c:x val="0.040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675"/>
          <c:w val="0.92475"/>
          <c:h val="0.70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'1.  Buffer Design'!$Q$80</c:f>
              <c:strCache>
                <c:ptCount val="1"/>
                <c:pt idx="0">
                  <c:v>System Curve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'1.  Buffer Design'!$K$81:$K$90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'1.  Buffer Design'!$Q$81:$Q$90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'1.  Buffer Design'!$R$80</c:f>
              <c:strCache>
                <c:ptCount val="1"/>
                <c:pt idx="0">
                  <c:v>Pump Curve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'1.  Buffer Design'!$K$81:$K$90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'1.  Buffer Design'!$R$81:$R$90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39401587"/>
        <c:axId val="19069964"/>
      </c:scatterChart>
      <c:valAx>
        <c:axId val="39401587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69964"/>
        <c:crosses val="autoZero"/>
        <c:crossBetween val="midCat"/>
        <c:dispUnits/>
        <c:majorUnit val="50"/>
        <c:minorUnit val="10"/>
      </c:valAx>
      <c:valAx>
        <c:axId val="19069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Head (ft)</a:t>
                </a:r>
              </a:p>
            </c:rich>
          </c:tx>
          <c:layout>
            <c:manualLayout>
              <c:xMode val="factor"/>
              <c:yMode val="factor"/>
              <c:x val="0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94015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System/Pump Curve</a:t>
            </a:r>
          </a:p>
        </c:rich>
      </c:tx>
      <c:layout>
        <c:manualLayout>
          <c:xMode val="factor"/>
          <c:yMode val="factor"/>
          <c:x val="0.040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58"/>
          <c:w val="0.9345"/>
          <c:h val="0.6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'1.  Buffer Design'!$Q$80</c:f>
              <c:strCache>
                <c:ptCount val="1"/>
                <c:pt idx="0">
                  <c:v>System Curve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'1.  Buffer Design'!$K$81:$K$90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'1.  Buffer Design'!$Q$81:$Q$90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'1.  Buffer Design'!$R$80</c:f>
              <c:strCache>
                <c:ptCount val="1"/>
                <c:pt idx="0">
                  <c:v>Pump Curve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'1.  Buffer Design'!$K$81:$K$90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'1.  Buffer Design'!$R$81:$R$90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37411949"/>
        <c:axId val="1163222"/>
      </c:scatterChart>
      <c:valAx>
        <c:axId val="37411949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3222"/>
        <c:crosses val="autoZero"/>
        <c:crossBetween val="midCat"/>
        <c:dispUnits/>
        <c:majorUnit val="50"/>
        <c:minorUnit val="10"/>
      </c:valAx>
      <c:valAx>
        <c:axId val="1163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Head (ft)</a:t>
                </a:r>
              </a:p>
            </c:rich>
          </c:tx>
          <c:layout>
            <c:manualLayout>
              <c:xMode val="factor"/>
              <c:yMode val="factor"/>
              <c:x val="0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4119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5"/>
          <c:y val="0.912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0</xdr:colOff>
      <xdr:row>23</xdr:row>
      <xdr:rowOff>114300</xdr:rowOff>
    </xdr:from>
    <xdr:to>
      <xdr:col>18</xdr:col>
      <xdr:colOff>552450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8248650" y="3971925"/>
        <a:ext cx="55054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13</xdr:col>
      <xdr:colOff>342900</xdr:colOff>
      <xdr:row>0</xdr:row>
      <xdr:rowOff>123825</xdr:rowOff>
    </xdr:from>
    <xdr:to>
      <xdr:col>15</xdr:col>
      <xdr:colOff>95250</xdr:colOff>
      <xdr:row>3</xdr:row>
      <xdr:rowOff>104775</xdr:rowOff>
    </xdr:to>
    <xdr:sp macro="[0]!Print_Design">
      <xdr:nvSpPr>
        <xdr:cNvPr id="2" name="TextBox 82"/>
        <xdr:cNvSpPr txBox="1">
          <a:spLocks noChangeArrowheads="1"/>
        </xdr:cNvSpPr>
      </xdr:nvSpPr>
      <xdr:spPr>
        <a:xfrm>
          <a:off x="9810750" y="123825"/>
          <a:ext cx="1657350" cy="542925"/>
        </a:xfrm>
        <a:prstGeom prst="rect">
          <a:avLst/>
        </a:prstGeom>
        <a:solidFill>
          <a:srgbClr val="FFFF99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PRINT SPREADSHEET</a:t>
          </a:r>
        </a:p>
      </xdr:txBody>
    </xdr:sp>
    <xdr:clientData/>
  </xdr:twoCellAnchor>
  <xdr:twoCellAnchor>
    <xdr:from>
      <xdr:col>9</xdr:col>
      <xdr:colOff>590550</xdr:colOff>
      <xdr:row>0</xdr:row>
      <xdr:rowOff>133350</xdr:rowOff>
    </xdr:from>
    <xdr:to>
      <xdr:col>12</xdr:col>
      <xdr:colOff>228600</xdr:colOff>
      <xdr:row>2</xdr:row>
      <xdr:rowOff>28575</xdr:rowOff>
    </xdr:to>
    <xdr:sp macro="[0]!Clear_Cells">
      <xdr:nvSpPr>
        <xdr:cNvPr id="3" name="TextBox 83"/>
        <xdr:cNvSpPr txBox="1">
          <a:spLocks noChangeArrowheads="1"/>
        </xdr:cNvSpPr>
      </xdr:nvSpPr>
      <xdr:spPr>
        <a:xfrm>
          <a:off x="7439025" y="133350"/>
          <a:ext cx="1647825" cy="295275"/>
        </a:xfrm>
        <a:prstGeom prst="rect">
          <a:avLst/>
        </a:prstGeom>
        <a:solidFill>
          <a:srgbClr val="FF0000"/>
        </a:solidFill>
        <a:ln w="38100" cmpd="dbl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CLEAR CELLS</a:t>
          </a:r>
        </a:p>
      </xdr:txBody>
    </xdr:sp>
    <xdr:clientData/>
  </xdr:twoCellAnchor>
  <xdr:twoCellAnchor>
    <xdr:from>
      <xdr:col>0</xdr:col>
      <xdr:colOff>762000</xdr:colOff>
      <xdr:row>103</xdr:row>
      <xdr:rowOff>104775</xdr:rowOff>
    </xdr:from>
    <xdr:to>
      <xdr:col>6</xdr:col>
      <xdr:colOff>1162050</xdr:colOff>
      <xdr:row>105</xdr:row>
      <xdr:rowOff>57150</xdr:rowOff>
    </xdr:to>
    <xdr:sp macro="[0]!scroll_above">
      <xdr:nvSpPr>
        <xdr:cNvPr id="4" name="TextBox 91"/>
        <xdr:cNvSpPr txBox="1">
          <a:spLocks noChangeArrowheads="1"/>
        </xdr:cNvSpPr>
      </xdr:nvSpPr>
      <xdr:spPr>
        <a:xfrm>
          <a:off x="762000" y="17459325"/>
          <a:ext cx="440055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Click here to scroll up  to your Design</a:t>
          </a:r>
        </a:p>
      </xdr:txBody>
    </xdr:sp>
    <xdr:clientData/>
  </xdr:twoCellAnchor>
  <xdr:twoCellAnchor>
    <xdr:from>
      <xdr:col>2</xdr:col>
      <xdr:colOff>514350</xdr:colOff>
      <xdr:row>8</xdr:row>
      <xdr:rowOff>9525</xdr:rowOff>
    </xdr:from>
    <xdr:to>
      <xdr:col>4</xdr:col>
      <xdr:colOff>85725</xdr:colOff>
      <xdr:row>9</xdr:row>
      <xdr:rowOff>47625</xdr:rowOff>
    </xdr:to>
    <xdr:sp macro="[0]!see_tab_2">
      <xdr:nvSpPr>
        <xdr:cNvPr id="5" name="TextBox 97"/>
        <xdr:cNvSpPr txBox="1">
          <a:spLocks noChangeArrowheads="1"/>
        </xdr:cNvSpPr>
      </xdr:nvSpPr>
      <xdr:spPr>
        <a:xfrm>
          <a:off x="1962150" y="1400175"/>
          <a:ext cx="82867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see tab 2</a:t>
          </a:r>
        </a:p>
      </xdr:txBody>
    </xdr:sp>
    <xdr:clientData/>
  </xdr:twoCellAnchor>
  <xdr:twoCellAnchor>
    <xdr:from>
      <xdr:col>11</xdr:col>
      <xdr:colOff>19050</xdr:colOff>
      <xdr:row>45</xdr:row>
      <xdr:rowOff>66675</xdr:rowOff>
    </xdr:from>
    <xdr:to>
      <xdr:col>18</xdr:col>
      <xdr:colOff>552450</xdr:colOff>
      <xdr:row>47</xdr:row>
      <xdr:rowOff>152400</xdr:rowOff>
    </xdr:to>
    <xdr:sp>
      <xdr:nvSpPr>
        <xdr:cNvPr id="6" name="TextBox 127"/>
        <xdr:cNvSpPr txBox="1">
          <a:spLocks noChangeArrowheads="1"/>
        </xdr:cNvSpPr>
      </xdr:nvSpPr>
      <xdr:spPr>
        <a:xfrm>
          <a:off x="8267700" y="7543800"/>
          <a:ext cx="5486400" cy="41910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Read flow rate at the intersection of the two curves.
</a:t>
          </a:r>
          <a:r>
            <a:rPr lang="en-US" cap="none" sz="1200" b="0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If curves do not intersect, change the system design or the pump.</a:t>
          </a:r>
        </a:p>
      </xdr:txBody>
    </xdr:sp>
    <xdr:clientData/>
  </xdr:twoCellAnchor>
  <xdr:twoCellAnchor>
    <xdr:from>
      <xdr:col>9</xdr:col>
      <xdr:colOff>152400</xdr:colOff>
      <xdr:row>25</xdr:row>
      <xdr:rowOff>38100</xdr:rowOff>
    </xdr:from>
    <xdr:to>
      <xdr:col>10</xdr:col>
      <xdr:colOff>514350</xdr:colOff>
      <xdr:row>34</xdr:row>
      <xdr:rowOff>95250</xdr:rowOff>
    </xdr:to>
    <xdr:sp macro="[0]!Go_To_Pump_Curve">
      <xdr:nvSpPr>
        <xdr:cNvPr id="7" name="TextBox 128"/>
        <xdr:cNvSpPr txBox="1">
          <a:spLocks noChangeArrowheads="1"/>
        </xdr:cNvSpPr>
      </xdr:nvSpPr>
      <xdr:spPr>
        <a:xfrm>
          <a:off x="7000875" y="4219575"/>
          <a:ext cx="1085850" cy="1533525"/>
        </a:xfrm>
        <a:prstGeom prst="rect">
          <a:avLst/>
        </a:prstGeom>
        <a:solidFill>
          <a:srgbClr val="FFFF99"/>
        </a:solidFill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Either choose a pump from the pull down menu or </a:t>
          </a:r>
          <a:r>
            <a:rPr lang="en-US" cap="none" sz="1000" b="0" i="0" u="sng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click here and enter your own pump information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, then chose your pump from the pull down menu.</a:t>
          </a:r>
        </a:p>
      </xdr:txBody>
    </xdr:sp>
    <xdr:clientData/>
  </xdr:twoCellAnchor>
  <xdr:twoCellAnchor>
    <xdr:from>
      <xdr:col>0</xdr:col>
      <xdr:colOff>228600</xdr:colOff>
      <xdr:row>80</xdr:row>
      <xdr:rowOff>0</xdr:rowOff>
    </xdr:from>
    <xdr:to>
      <xdr:col>8</xdr:col>
      <xdr:colOff>647700</xdr:colOff>
      <xdr:row>101</xdr:row>
      <xdr:rowOff>104775</xdr:rowOff>
    </xdr:to>
    <xdr:graphicFrame>
      <xdr:nvGraphicFramePr>
        <xdr:cNvPr id="8" name="Chart 130"/>
        <xdr:cNvGraphicFramePr/>
      </xdr:nvGraphicFramePr>
      <xdr:xfrm>
        <a:off x="228600" y="13611225"/>
        <a:ext cx="63436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5</xdr:row>
      <xdr:rowOff>123825</xdr:rowOff>
    </xdr:from>
    <xdr:to>
      <xdr:col>8</xdr:col>
      <xdr:colOff>571500</xdr:colOff>
      <xdr:row>9</xdr:row>
      <xdr:rowOff>133350</xdr:rowOff>
    </xdr:to>
    <xdr:sp macro="[0]!tab_2_to_1">
      <xdr:nvSpPr>
        <xdr:cNvPr id="1" name="TextBox 1"/>
        <xdr:cNvSpPr txBox="1">
          <a:spLocks noChangeArrowheads="1"/>
        </xdr:cNvSpPr>
      </xdr:nvSpPr>
      <xdr:spPr>
        <a:xfrm>
          <a:off x="5572125" y="1028700"/>
          <a:ext cx="1095375" cy="514350"/>
        </a:xfrm>
        <a:prstGeom prst="rect">
          <a:avLst/>
        </a:prstGeom>
        <a:solidFill>
          <a:srgbClr val="FFFF99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Back to Design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14</xdr:row>
      <xdr:rowOff>9525</xdr:rowOff>
    </xdr:from>
    <xdr:to>
      <xdr:col>9</xdr:col>
      <xdr:colOff>409575</xdr:colOff>
      <xdr:row>20</xdr:row>
      <xdr:rowOff>57150</xdr:rowOff>
    </xdr:to>
    <xdr:sp macro="[0]!Back_to_Design">
      <xdr:nvSpPr>
        <xdr:cNvPr id="1" name="TextBox 1"/>
        <xdr:cNvSpPr txBox="1">
          <a:spLocks noChangeArrowheads="1"/>
        </xdr:cNvSpPr>
      </xdr:nvSpPr>
      <xdr:spPr>
        <a:xfrm>
          <a:off x="4191000" y="2409825"/>
          <a:ext cx="2514600" cy="1038225"/>
        </a:xfrm>
        <a:prstGeom prst="rect">
          <a:avLst/>
        </a:prstGeom>
        <a:solidFill>
          <a:srgbClr val="FFFF99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Finished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Back to the Buffer Design Sheet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If you entered in your own pump curve data,  you must now chose your pump from the pull down menu on the design page.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30"/>
  <sheetViews>
    <sheetView showGridLines="0" tabSelected="1" defaultGridColor="0" zoomScale="85" zoomScaleNormal="85" zoomScaleSheetLayoutView="100" colorId="49" workbookViewId="0" topLeftCell="A1">
      <selection activeCell="B3" sqref="B3"/>
    </sheetView>
  </sheetViews>
  <sheetFormatPr defaultColWidth="9.140625" defaultRowHeight="12.75"/>
  <cols>
    <col min="1" max="1" width="12.57421875" style="6" customWidth="1"/>
    <col min="2" max="3" width="9.140625" style="6" customWidth="1"/>
    <col min="4" max="4" width="9.7109375" style="6" bestFit="1" customWidth="1"/>
    <col min="5" max="5" width="9.140625" style="6" customWidth="1"/>
    <col min="6" max="6" width="10.28125" style="6" customWidth="1"/>
    <col min="7" max="7" width="18.7109375" style="6" customWidth="1"/>
    <col min="8" max="8" width="10.140625" style="6" customWidth="1"/>
    <col min="9" max="9" width="13.8515625" style="6" customWidth="1"/>
    <col min="10" max="10" width="10.8515625" style="6" customWidth="1"/>
    <col min="11" max="11" width="10.140625" style="6" customWidth="1"/>
    <col min="12" max="13" width="9.140625" style="6" customWidth="1"/>
    <col min="14" max="14" width="12.421875" style="6" bestFit="1" customWidth="1"/>
    <col min="15" max="15" width="16.140625" style="6" customWidth="1"/>
    <col min="16" max="22" width="9.140625" style="6" customWidth="1"/>
    <col min="23" max="23" width="12.00390625" style="6" bestFit="1" customWidth="1"/>
    <col min="24" max="24" width="12.7109375" style="6" bestFit="1" customWidth="1"/>
    <col min="25" max="25" width="11.00390625" style="6" bestFit="1" customWidth="1"/>
    <col min="26" max="26" width="9.140625" style="6" customWidth="1"/>
    <col min="27" max="27" width="31.57421875" style="26" bestFit="1" customWidth="1"/>
    <col min="28" max="28" width="9.140625" style="6" customWidth="1"/>
    <col min="29" max="29" width="9.140625" style="122" customWidth="1"/>
    <col min="30" max="34" width="9.140625" style="6" customWidth="1"/>
  </cols>
  <sheetData>
    <row r="1" spans="1:28" ht="18.75">
      <c r="A1" s="74" t="s">
        <v>85</v>
      </c>
      <c r="B1" s="75"/>
      <c r="C1" s="75"/>
      <c r="D1" s="227"/>
      <c r="E1" s="228"/>
      <c r="F1" s="227"/>
      <c r="G1" s="227"/>
      <c r="H1" s="150"/>
      <c r="I1" s="76" t="s">
        <v>283</v>
      </c>
      <c r="AA1" s="27" t="s">
        <v>90</v>
      </c>
      <c r="AB1" s="147" t="s">
        <v>246</v>
      </c>
    </row>
    <row r="2" spans="1:28" ht="12.75">
      <c r="A2" s="77"/>
      <c r="B2" s="18"/>
      <c r="C2" s="18"/>
      <c r="D2" s="18"/>
      <c r="E2" s="18"/>
      <c r="F2" s="18"/>
      <c r="G2" s="18"/>
      <c r="H2" s="18"/>
      <c r="I2" s="80"/>
      <c r="AA2" s="26" t="s">
        <v>91</v>
      </c>
      <c r="AB2" s="6" t="str">
        <f>'3. Pump Curve Data'!A9</f>
        <v>Zoeller 270</v>
      </c>
    </row>
    <row r="3" spans="1:28" ht="12.75">
      <c r="A3" s="78" t="s">
        <v>86</v>
      </c>
      <c r="B3" s="19"/>
      <c r="C3" s="155"/>
      <c r="D3" s="156"/>
      <c r="E3" s="20" t="s">
        <v>87</v>
      </c>
      <c r="F3" s="233"/>
      <c r="G3" s="233"/>
      <c r="H3" s="20" t="s">
        <v>88</v>
      </c>
      <c r="I3" s="168"/>
      <c r="AA3" s="26" t="s">
        <v>92</v>
      </c>
      <c r="AB3" s="6" t="str">
        <f>'3. Pump Curve Data'!A10</f>
        <v>Zoeller 284</v>
      </c>
    </row>
    <row r="4" spans="1:28" ht="12.75">
      <c r="A4" s="78" t="s">
        <v>52</v>
      </c>
      <c r="B4" s="19"/>
      <c r="C4" s="21"/>
      <c r="D4" s="18"/>
      <c r="E4" s="20" t="s">
        <v>89</v>
      </c>
      <c r="F4" s="22" t="s">
        <v>198</v>
      </c>
      <c r="G4" s="13"/>
      <c r="H4" s="20" t="s">
        <v>88</v>
      </c>
      <c r="I4" s="79" t="s">
        <v>197</v>
      </c>
      <c r="AA4" s="26" t="s">
        <v>93</v>
      </c>
      <c r="AB4" s="6" t="str">
        <f>'3. Pump Curve Data'!A11</f>
        <v>Myers MW50 Series</v>
      </c>
    </row>
    <row r="5" spans="1:28" ht="12.75">
      <c r="A5" s="78" t="s">
        <v>53</v>
      </c>
      <c r="B5" s="117"/>
      <c r="C5" s="155"/>
      <c r="D5" s="155"/>
      <c r="E5" s="21"/>
      <c r="F5" s="21"/>
      <c r="G5" s="21"/>
      <c r="H5" s="18"/>
      <c r="I5" s="80"/>
      <c r="AA5" s="26" t="s">
        <v>94</v>
      </c>
      <c r="AB5" s="6" t="str">
        <f>'3. Pump Curve Data'!A12</f>
        <v>Goulds Pumps Model 3886 Order Number WS05B</v>
      </c>
    </row>
    <row r="6" spans="1:28" ht="13.5" thickBot="1">
      <c r="A6" s="81"/>
      <c r="B6" s="23"/>
      <c r="C6" s="23"/>
      <c r="D6" s="23"/>
      <c r="E6" s="23"/>
      <c r="F6" s="23"/>
      <c r="G6" s="23"/>
      <c r="H6" s="25"/>
      <c r="I6" s="87"/>
      <c r="L6" s="105"/>
      <c r="AA6" s="26" t="s">
        <v>95</v>
      </c>
      <c r="AB6" s="6" t="str">
        <f>'3. Pump Curve Data'!A13</f>
        <v>Enter Your Pump Data Here</v>
      </c>
    </row>
    <row r="7" spans="1:27" ht="13.5" customHeight="1" thickTop="1">
      <c r="A7" s="82" t="s">
        <v>42</v>
      </c>
      <c r="B7" s="21"/>
      <c r="C7" s="21"/>
      <c r="D7" s="21"/>
      <c r="E7" s="21"/>
      <c r="F7" s="21"/>
      <c r="G7" s="21"/>
      <c r="H7" s="18"/>
      <c r="I7" s="80"/>
      <c r="K7" s="234" t="s">
        <v>259</v>
      </c>
      <c r="S7" s="182"/>
      <c r="T7" s="182"/>
      <c r="U7" s="182"/>
      <c r="AA7" s="26" t="s">
        <v>96</v>
      </c>
    </row>
    <row r="8" spans="1:27" ht="12.75" customHeight="1">
      <c r="A8" s="77" t="s">
        <v>163</v>
      </c>
      <c r="B8" s="18"/>
      <c r="C8" s="18"/>
      <c r="D8" s="18"/>
      <c r="E8" s="13"/>
      <c r="F8" s="83"/>
      <c r="G8" s="18" t="s">
        <v>167</v>
      </c>
      <c r="H8" s="185">
        <f>IF(F8&gt;500,"TOO HIGH","")</f>
      </c>
      <c r="I8" s="80"/>
      <c r="K8" s="234"/>
      <c r="L8" s="105"/>
      <c r="S8" s="182"/>
      <c r="T8" s="182"/>
      <c r="U8" s="182"/>
      <c r="AA8" s="26" t="s">
        <v>97</v>
      </c>
    </row>
    <row r="9" spans="1:27" ht="12.75">
      <c r="A9" s="84" t="s">
        <v>164</v>
      </c>
      <c r="B9" s="18"/>
      <c r="C9" s="13"/>
      <c r="D9" s="104"/>
      <c r="E9" s="13"/>
      <c r="F9" s="83"/>
      <c r="G9" s="18" t="s">
        <v>168</v>
      </c>
      <c r="H9" s="185">
        <f>IF(F9&gt;0.3,"TOO HIGH","")</f>
      </c>
      <c r="I9" s="80"/>
      <c r="L9" s="127" t="s">
        <v>276</v>
      </c>
      <c r="AA9" s="26" t="s">
        <v>98</v>
      </c>
    </row>
    <row r="10" spans="1:27" ht="12.75">
      <c r="A10" s="78" t="s">
        <v>165</v>
      </c>
      <c r="B10" s="18"/>
      <c r="C10" s="18"/>
      <c r="D10" s="18"/>
      <c r="E10" s="13"/>
      <c r="F10" s="159"/>
      <c r="G10" s="18" t="s">
        <v>182</v>
      </c>
      <c r="H10" s="185" t="str">
        <f>IF(F10&gt;0.5,"TOO DEEP",IF(F10&lt;0.1,"TOO SHALLOW",""))</f>
        <v>TOO SHALLOW</v>
      </c>
      <c r="I10" s="80"/>
      <c r="L10" s="8"/>
      <c r="M10" s="106" t="s">
        <v>277</v>
      </c>
      <c r="AA10" s="26" t="s">
        <v>99</v>
      </c>
    </row>
    <row r="11" spans="1:27" ht="12.75">
      <c r="A11" s="78" t="s">
        <v>166</v>
      </c>
      <c r="B11" s="18"/>
      <c r="C11" s="18"/>
      <c r="D11" s="18"/>
      <c r="E11" s="13"/>
      <c r="F11" s="86"/>
      <c r="G11" s="18" t="s">
        <v>169</v>
      </c>
      <c r="H11" s="185" t="str">
        <f>IF(F11&lt;0.02,"TOO FLAT",IF(F11&gt;0.15,"TOO STEEP",""))</f>
        <v>TOO FLAT</v>
      </c>
      <c r="I11" s="80"/>
      <c r="J11" s="129"/>
      <c r="L11" s="8"/>
      <c r="AA11" s="26" t="s">
        <v>100</v>
      </c>
    </row>
    <row r="12" spans="1:27" ht="13.5" thickBot="1">
      <c r="A12" s="181"/>
      <c r="B12" s="151"/>
      <c r="C12" s="151"/>
      <c r="D12" s="151"/>
      <c r="E12" s="151"/>
      <c r="F12" s="151"/>
      <c r="G12" s="151"/>
      <c r="H12" s="151"/>
      <c r="I12" s="87"/>
      <c r="J12" s="129"/>
      <c r="AA12" s="26" t="s">
        <v>101</v>
      </c>
    </row>
    <row r="13" spans="1:27" ht="13.5" thickTop="1">
      <c r="A13" s="91" t="s">
        <v>11</v>
      </c>
      <c r="B13" s="88"/>
      <c r="C13" s="18"/>
      <c r="D13" s="18"/>
      <c r="E13" s="13"/>
      <c r="F13" s="89"/>
      <c r="G13" s="90"/>
      <c r="H13" s="166"/>
      <c r="I13" s="80"/>
      <c r="J13" s="129"/>
      <c r="AA13" s="26" t="s">
        <v>102</v>
      </c>
    </row>
    <row r="14" spans="1:27" ht="12.75">
      <c r="A14" s="78" t="s">
        <v>171</v>
      </c>
      <c r="B14" s="13"/>
      <c r="C14" s="18"/>
      <c r="D14" s="18"/>
      <c r="E14" s="13"/>
      <c r="F14" s="92">
        <f>((1.486/L66)*(F10/12)^1.667*SQRT(F11))*448.83</f>
        <v>0</v>
      </c>
      <c r="G14" s="18" t="s">
        <v>199</v>
      </c>
      <c r="H14" s="166"/>
      <c r="I14" s="80"/>
      <c r="J14" s="129"/>
      <c r="AA14" s="26" t="s">
        <v>103</v>
      </c>
    </row>
    <row r="15" spans="1:27" ht="12.75">
      <c r="A15" s="152"/>
      <c r="B15" s="13"/>
      <c r="C15" s="13"/>
      <c r="D15" s="13"/>
      <c r="E15" s="13"/>
      <c r="F15" s="13"/>
      <c r="G15" s="13"/>
      <c r="H15" s="167"/>
      <c r="I15" s="80"/>
      <c r="J15" s="129"/>
      <c r="AA15" s="26" t="s">
        <v>104</v>
      </c>
    </row>
    <row r="16" spans="1:27" ht="12.75">
      <c r="A16" s="93" t="s">
        <v>172</v>
      </c>
      <c r="B16" s="18"/>
      <c r="C16" s="18"/>
      <c r="D16" s="18"/>
      <c r="E16" s="13"/>
      <c r="F16" s="96" t="e">
        <f>((F14/(F10/12))/448.83)*1200</f>
        <v>#DIV/0!</v>
      </c>
      <c r="G16" s="18" t="s">
        <v>170</v>
      </c>
      <c r="H16" s="185" t="e">
        <f>IF(F16&gt;151,"TOO LONG, REDUCE FLOW DEPTH","")</f>
        <v>#DIV/0!</v>
      </c>
      <c r="I16" s="80"/>
      <c r="J16" s="129"/>
      <c r="AA16" s="26" t="s">
        <v>105</v>
      </c>
    </row>
    <row r="17" spans="1:27" ht="12.75">
      <c r="A17" s="77"/>
      <c r="B17" s="94" t="s">
        <v>173</v>
      </c>
      <c r="C17" s="18"/>
      <c r="D17" s="18"/>
      <c r="E17" s="13"/>
      <c r="F17" s="95"/>
      <c r="G17" s="18" t="s">
        <v>170</v>
      </c>
      <c r="H17" s="185" t="e">
        <f>IF(F17&gt;150,"TOO LONG, MAX = 150'",(IF(F17&lt;(F16-0.5),"TOO SHORT","")))</f>
        <v>#DIV/0!</v>
      </c>
      <c r="I17" s="80"/>
      <c r="J17" s="129"/>
      <c r="M17" s="34"/>
      <c r="N17" s="106"/>
      <c r="AA17" s="26" t="s">
        <v>106</v>
      </c>
    </row>
    <row r="18" spans="1:27" ht="12.75">
      <c r="A18" s="152"/>
      <c r="B18" s="13"/>
      <c r="C18" s="13"/>
      <c r="D18" s="13"/>
      <c r="E18" s="13"/>
      <c r="F18" s="13"/>
      <c r="G18" s="13"/>
      <c r="H18" s="167"/>
      <c r="I18" s="80"/>
      <c r="L18" s="127" t="s">
        <v>190</v>
      </c>
      <c r="N18" s="106"/>
      <c r="AA18" s="26" t="s">
        <v>107</v>
      </c>
    </row>
    <row r="19" spans="1:27" ht="12.75">
      <c r="A19" s="84" t="s">
        <v>174</v>
      </c>
      <c r="B19" s="18"/>
      <c r="C19" s="18"/>
      <c r="D19" s="18"/>
      <c r="E19" s="13"/>
      <c r="F19" s="96" t="e">
        <f>(3*F8/F9)/F17</f>
        <v>#DIV/0!</v>
      </c>
      <c r="G19" s="18" t="s">
        <v>170</v>
      </c>
      <c r="H19" s="166"/>
      <c r="I19" s="80"/>
      <c r="M19" s="34" t="s">
        <v>191</v>
      </c>
      <c r="N19" s="106"/>
      <c r="AA19" s="26" t="s">
        <v>108</v>
      </c>
    </row>
    <row r="20" spans="1:27" ht="12.75">
      <c r="A20" s="77"/>
      <c r="B20" s="97" t="s">
        <v>175</v>
      </c>
      <c r="C20" s="18"/>
      <c r="D20" s="18"/>
      <c r="E20" s="13"/>
      <c r="F20" s="83"/>
      <c r="G20" s="18" t="s">
        <v>170</v>
      </c>
      <c r="H20" s="185" t="e">
        <f>IF(F20&lt;F19-1,"TOO NARROW","")</f>
        <v>#DIV/0!</v>
      </c>
      <c r="I20" s="80"/>
      <c r="M20" s="34" t="s">
        <v>192</v>
      </c>
      <c r="N20" s="106"/>
      <c r="AA20" s="26" t="s">
        <v>109</v>
      </c>
    </row>
    <row r="21" spans="1:27" ht="13.5" thickBot="1">
      <c r="A21" s="181"/>
      <c r="B21" s="151"/>
      <c r="C21" s="151"/>
      <c r="D21" s="151"/>
      <c r="E21" s="151"/>
      <c r="F21" s="151"/>
      <c r="G21" s="151"/>
      <c r="H21" s="151"/>
      <c r="I21" s="87"/>
      <c r="M21" s="34" t="s">
        <v>62</v>
      </c>
      <c r="N21" s="106"/>
      <c r="AA21" s="26" t="s">
        <v>110</v>
      </c>
    </row>
    <row r="22" spans="1:27" ht="13.5" thickTop="1">
      <c r="A22" s="91" t="s">
        <v>234</v>
      </c>
      <c r="B22" s="18"/>
      <c r="C22" s="18"/>
      <c r="D22" s="18"/>
      <c r="E22" s="13"/>
      <c r="F22" s="89"/>
      <c r="G22" s="18"/>
      <c r="H22" s="166"/>
      <c r="I22" s="80"/>
      <c r="L22" s="127" t="s">
        <v>193</v>
      </c>
      <c r="N22" s="106"/>
      <c r="AA22" s="26" t="s">
        <v>111</v>
      </c>
    </row>
    <row r="23" spans="1:27" ht="12.75">
      <c r="A23" s="84" t="s">
        <v>176</v>
      </c>
      <c r="B23" s="18"/>
      <c r="C23" s="18"/>
      <c r="D23" s="18"/>
      <c r="E23" s="13"/>
      <c r="F23" s="85"/>
      <c r="G23" s="18" t="s">
        <v>182</v>
      </c>
      <c r="H23" s="185" t="e">
        <f>IF(P60&gt;=5,"TOO SMALL","")</f>
        <v>#DIV/0!</v>
      </c>
      <c r="I23" s="80"/>
      <c r="M23" s="34" t="s">
        <v>194</v>
      </c>
      <c r="AA23" s="26" t="s">
        <v>112</v>
      </c>
    </row>
    <row r="24" spans="1:27" ht="12.75">
      <c r="A24" s="77" t="s">
        <v>177</v>
      </c>
      <c r="B24" s="18"/>
      <c r="C24" s="18"/>
      <c r="D24" s="18"/>
      <c r="E24" s="13"/>
      <c r="F24" s="85"/>
      <c r="G24" s="18" t="s">
        <v>170</v>
      </c>
      <c r="H24" s="18"/>
      <c r="I24" s="80"/>
      <c r="J24" s="129"/>
      <c r="AA24" s="26" t="s">
        <v>113</v>
      </c>
    </row>
    <row r="25" spans="1:27" ht="12.75">
      <c r="A25" s="84" t="s">
        <v>236</v>
      </c>
      <c r="B25" s="18"/>
      <c r="C25" s="18"/>
      <c r="D25" s="18"/>
      <c r="E25" s="13"/>
      <c r="F25" s="85"/>
      <c r="G25" s="18" t="s">
        <v>272</v>
      </c>
      <c r="H25" s="18"/>
      <c r="I25" s="80"/>
      <c r="J25" s="129"/>
      <c r="S25" s="107"/>
      <c r="AA25" s="26" t="s">
        <v>114</v>
      </c>
    </row>
    <row r="26" spans="1:27" ht="12.75">
      <c r="A26" s="77"/>
      <c r="B26" s="18"/>
      <c r="C26" s="18"/>
      <c r="D26" s="18"/>
      <c r="E26" s="13"/>
      <c r="F26" s="89"/>
      <c r="G26" s="18"/>
      <c r="H26" s="18"/>
      <c r="I26" s="80"/>
      <c r="J26" s="129"/>
      <c r="AA26" s="26" t="s">
        <v>115</v>
      </c>
    </row>
    <row r="27" spans="1:27" ht="12.75">
      <c r="A27" s="77" t="s">
        <v>1</v>
      </c>
      <c r="B27" s="18"/>
      <c r="C27" s="18"/>
      <c r="D27" s="18"/>
      <c r="E27" s="13"/>
      <c r="F27" s="95"/>
      <c r="G27" s="18"/>
      <c r="H27" s="18"/>
      <c r="I27" s="80"/>
      <c r="J27" s="129"/>
      <c r="AA27" s="26" t="s">
        <v>116</v>
      </c>
    </row>
    <row r="28" spans="1:27" ht="12.75">
      <c r="A28" s="77"/>
      <c r="B28" s="18"/>
      <c r="C28" s="18"/>
      <c r="D28" s="18"/>
      <c r="E28" s="13"/>
      <c r="F28" s="98"/>
      <c r="G28" s="18"/>
      <c r="H28" s="18"/>
      <c r="I28" s="80"/>
      <c r="J28" s="129"/>
      <c r="AA28" s="26" t="s">
        <v>117</v>
      </c>
    </row>
    <row r="29" spans="1:27" ht="12.75">
      <c r="A29" s="77" t="s">
        <v>178</v>
      </c>
      <c r="B29" s="18"/>
      <c r="C29" s="18"/>
      <c r="D29" s="18"/>
      <c r="E29" s="13"/>
      <c r="F29" s="85"/>
      <c r="G29" s="18" t="s">
        <v>182</v>
      </c>
      <c r="H29" s="35"/>
      <c r="I29" s="99"/>
      <c r="J29" s="129"/>
      <c r="AA29" s="26" t="s">
        <v>118</v>
      </c>
    </row>
    <row r="30" spans="1:27" ht="12.75">
      <c r="A30" s="77" t="s">
        <v>179</v>
      </c>
      <c r="B30" s="18"/>
      <c r="C30" s="18"/>
      <c r="D30" s="18"/>
      <c r="E30" s="13"/>
      <c r="F30" s="89">
        <f>F20</f>
        <v>0</v>
      </c>
      <c r="G30" s="18" t="s">
        <v>170</v>
      </c>
      <c r="H30" s="18"/>
      <c r="I30" s="80"/>
      <c r="J30" s="130"/>
      <c r="AA30" s="26" t="s">
        <v>119</v>
      </c>
    </row>
    <row r="31" spans="1:27" ht="12.75">
      <c r="A31" s="77" t="s">
        <v>180</v>
      </c>
      <c r="B31" s="18"/>
      <c r="C31" s="18"/>
      <c r="D31" s="18"/>
      <c r="E31" s="13"/>
      <c r="F31" s="83"/>
      <c r="G31" s="18" t="s">
        <v>182</v>
      </c>
      <c r="H31" s="185" t="str">
        <f>IF(F31&lt;0.5,"TOO SMALL",IF(F31&gt;1,"TOO BIG",""))</f>
        <v>TOO SMALL</v>
      </c>
      <c r="I31" s="80"/>
      <c r="J31" s="131"/>
      <c r="AA31" s="26" t="s">
        <v>120</v>
      </c>
    </row>
    <row r="32" spans="1:27" ht="12.75">
      <c r="A32" s="77" t="s">
        <v>181</v>
      </c>
      <c r="B32" s="18"/>
      <c r="C32" s="18"/>
      <c r="D32" s="18"/>
      <c r="E32" s="13"/>
      <c r="F32" s="83"/>
      <c r="G32" s="18" t="s">
        <v>170</v>
      </c>
      <c r="H32" s="185" t="str">
        <f>IF(F32&lt;2,"TOO NARROW",IF(F32&gt;6,"TOO WIDE",""))</f>
        <v>TOO NARROW</v>
      </c>
      <c r="I32" s="80"/>
      <c r="J32" s="130"/>
      <c r="AA32" s="26" t="s">
        <v>121</v>
      </c>
    </row>
    <row r="33" spans="1:27" ht="13.5" thickBot="1">
      <c r="A33" s="181"/>
      <c r="B33" s="151"/>
      <c r="C33" s="151"/>
      <c r="D33" s="151"/>
      <c r="E33" s="151"/>
      <c r="F33" s="151"/>
      <c r="G33" s="151"/>
      <c r="H33" s="151"/>
      <c r="I33" s="87"/>
      <c r="J33" s="130"/>
      <c r="AA33" s="26" t="s">
        <v>122</v>
      </c>
    </row>
    <row r="34" spans="1:27" ht="13.5" thickTop="1">
      <c r="A34" s="91" t="s">
        <v>235</v>
      </c>
      <c r="B34" s="18"/>
      <c r="C34" s="18"/>
      <c r="D34" s="18"/>
      <c r="E34" s="13"/>
      <c r="F34" s="89"/>
      <c r="G34" s="18"/>
      <c r="H34" s="166"/>
      <c r="I34" s="80"/>
      <c r="K34" s="157"/>
      <c r="AA34" s="26" t="s">
        <v>123</v>
      </c>
    </row>
    <row r="35" spans="1:27" ht="12.75">
      <c r="A35" s="77" t="s">
        <v>183</v>
      </c>
      <c r="B35" s="18"/>
      <c r="C35" s="18"/>
      <c r="D35" s="18"/>
      <c r="E35" s="13"/>
      <c r="F35" s="96">
        <f>3*F$8+IF(F$25&gt;0,(P$61*F$24*7.48),0)</f>
        <v>0</v>
      </c>
      <c r="G35" s="18" t="s">
        <v>256</v>
      </c>
      <c r="H35" s="165"/>
      <c r="I35" s="80"/>
      <c r="K35" s="157"/>
      <c r="AA35" s="26" t="s">
        <v>124</v>
      </c>
    </row>
    <row r="36" spans="1:27" ht="12.75">
      <c r="A36" s="77" t="s">
        <v>63</v>
      </c>
      <c r="B36" s="18"/>
      <c r="C36" s="18"/>
      <c r="D36" s="18"/>
      <c r="E36" s="13"/>
      <c r="F36" s="83"/>
      <c r="G36" s="18" t="s">
        <v>189</v>
      </c>
      <c r="H36" s="185">
        <f>IF(F36&lt;(3*F8),"TOO SMALL, MUST BE &gt; 3x PRODUCTION RATE","")</f>
      </c>
      <c r="I36" s="80"/>
      <c r="J36" s="111"/>
      <c r="AA36" s="26" t="s">
        <v>125</v>
      </c>
    </row>
    <row r="37" spans="1:27" ht="12.75">
      <c r="A37" s="78" t="s">
        <v>249</v>
      </c>
      <c r="B37" s="13"/>
      <c r="C37" s="13"/>
      <c r="D37" s="13"/>
      <c r="E37" s="13"/>
      <c r="F37" s="208"/>
      <c r="G37" s="13"/>
      <c r="H37" s="13"/>
      <c r="I37" s="80"/>
      <c r="J37" s="111"/>
      <c r="AA37" s="26" t="s">
        <v>126</v>
      </c>
    </row>
    <row r="38" spans="1:27" ht="12.75">
      <c r="A38" s="78" t="s">
        <v>41</v>
      </c>
      <c r="B38" s="13"/>
      <c r="C38" s="13"/>
      <c r="D38" s="13"/>
      <c r="E38" s="13"/>
      <c r="F38" s="183">
        <f>IF($F$37="Zoeller 270",'3. Pump Curve Data'!E9,IF($F$37="Zoeller 284",'3. Pump Curve Data'!E10,IF($F$37="Myers MW50 Series",'3. Pump Curve Data'!E11,IF($F$37="Goulds Pumps Model 3886 Order Number WS05B",'3. Pump Curve Data'!E12,'3. Pump Curve Data'!E13))))</f>
        <v>0</v>
      </c>
      <c r="G38" s="13"/>
      <c r="H38" s="13"/>
      <c r="I38" s="80"/>
      <c r="J38" s="129"/>
      <c r="AA38" s="26" t="s">
        <v>127</v>
      </c>
    </row>
    <row r="39" spans="1:27" ht="15">
      <c r="A39" s="77" t="s">
        <v>184</v>
      </c>
      <c r="B39" s="18"/>
      <c r="C39" s="18"/>
      <c r="D39" s="18"/>
      <c r="E39" s="13"/>
      <c r="F39" s="83"/>
      <c r="G39" s="169" t="s">
        <v>274</v>
      </c>
      <c r="H39" s="186"/>
      <c r="I39" s="80"/>
      <c r="J39" s="187" t="s">
        <v>275</v>
      </c>
      <c r="AA39" s="26" t="s">
        <v>128</v>
      </c>
    </row>
    <row r="40" spans="1:27" ht="12.75">
      <c r="A40" s="78" t="s">
        <v>185</v>
      </c>
      <c r="B40" s="18"/>
      <c r="C40" s="18"/>
      <c r="D40" s="18"/>
      <c r="E40" s="13"/>
      <c r="F40" s="96" t="e">
        <f>F36/F39</f>
        <v>#DIV/0!</v>
      </c>
      <c r="G40" s="100" t="s">
        <v>265</v>
      </c>
      <c r="H40" s="166"/>
      <c r="I40" s="80"/>
      <c r="J40" s="111"/>
      <c r="K40" s="132"/>
      <c r="AA40" s="26" t="s">
        <v>129</v>
      </c>
    </row>
    <row r="41" spans="1:27" ht="12.75">
      <c r="A41" s="77"/>
      <c r="B41" s="18"/>
      <c r="C41" s="18"/>
      <c r="D41" s="18"/>
      <c r="E41" s="13"/>
      <c r="F41" s="89"/>
      <c r="G41" s="18"/>
      <c r="H41" s="166"/>
      <c r="I41" s="80"/>
      <c r="AA41" s="26" t="s">
        <v>130</v>
      </c>
    </row>
    <row r="42" spans="1:27" ht="12.75">
      <c r="A42" s="78" t="s">
        <v>186</v>
      </c>
      <c r="B42" s="18"/>
      <c r="C42" s="18"/>
      <c r="D42" s="18"/>
      <c r="E42" s="13"/>
      <c r="F42" s="92" t="e">
        <f>12*(((L66*F39/448.83)/(1.486*C53*C55^0.5)))^0.6</f>
        <v>#DIV/0!</v>
      </c>
      <c r="G42" s="18" t="s">
        <v>182</v>
      </c>
      <c r="H42" s="185" t="e">
        <f>IF(F42&gt;0.505,"TOO DEEP, REDUCE PUMP SIZE OR INCREASE BUFFER WIDTH",IF(F42&lt;0.095,"TOO SHALLOW, INCREASE PUMP SIZE",""))</f>
        <v>#DIV/0!</v>
      </c>
      <c r="I42" s="80"/>
      <c r="AA42" s="26" t="s">
        <v>131</v>
      </c>
    </row>
    <row r="43" spans="1:27" ht="12.75">
      <c r="A43" s="77" t="s">
        <v>187</v>
      </c>
      <c r="B43" s="18"/>
      <c r="C43" s="18"/>
      <c r="D43" s="18"/>
      <c r="E43" s="13"/>
      <c r="F43" s="101" t="e">
        <f>F36/(C53*C54)</f>
        <v>#DIV/0!</v>
      </c>
      <c r="G43" s="18" t="s">
        <v>264</v>
      </c>
      <c r="H43" s="185" t="e">
        <f>IF(F43&gt;F9+0.0005,"TOO HIGH, INCREASE BUFFER SIZE","")</f>
        <v>#DIV/0!</v>
      </c>
      <c r="I43" s="80"/>
      <c r="J43" s="111"/>
      <c r="AA43" s="26" t="s">
        <v>132</v>
      </c>
    </row>
    <row r="44" spans="1:27" ht="12.75">
      <c r="A44" s="77" t="s">
        <v>188</v>
      </c>
      <c r="B44" s="18"/>
      <c r="C44" s="18"/>
      <c r="D44" s="18"/>
      <c r="E44" s="13"/>
      <c r="F44" s="180" t="e">
        <f>F36/F8</f>
        <v>#DIV/0!</v>
      </c>
      <c r="G44" s="18" t="s">
        <v>255</v>
      </c>
      <c r="H44" s="185" t="e">
        <f>IF(F44&lt;3,"MUST BE AT LEAST 3 DAYS","")</f>
        <v>#DIV/0!</v>
      </c>
      <c r="I44" s="80"/>
      <c r="AA44" s="26" t="s">
        <v>133</v>
      </c>
    </row>
    <row r="45" spans="1:27" ht="13.5" thickBot="1">
      <c r="A45" s="181"/>
      <c r="B45" s="151"/>
      <c r="C45" s="151"/>
      <c r="D45" s="151"/>
      <c r="E45" s="151"/>
      <c r="F45" s="151"/>
      <c r="G45" s="151"/>
      <c r="H45" s="151"/>
      <c r="I45" s="87"/>
      <c r="AA45" s="26" t="s">
        <v>134</v>
      </c>
    </row>
    <row r="46" spans="1:27" ht="13.5" thickTop="1">
      <c r="A46" s="91" t="s">
        <v>200</v>
      </c>
      <c r="B46" s="18"/>
      <c r="C46" s="18"/>
      <c r="D46" s="18"/>
      <c r="E46" s="13"/>
      <c r="F46" s="89"/>
      <c r="G46" s="13"/>
      <c r="H46" s="13"/>
      <c r="I46" s="80"/>
      <c r="J46" s="111"/>
      <c r="T46" s="37"/>
      <c r="U46" s="37"/>
      <c r="V46" s="37"/>
      <c r="AA46" s="26" t="s">
        <v>135</v>
      </c>
    </row>
    <row r="47" spans="1:27" ht="12.75">
      <c r="A47" s="77" t="s">
        <v>49</v>
      </c>
      <c r="B47" s="18"/>
      <c r="C47" s="18"/>
      <c r="D47" s="18"/>
      <c r="E47" s="13"/>
      <c r="F47" s="92" t="e">
        <f>F43/7.48*12</f>
        <v>#DIV/0!</v>
      </c>
      <c r="G47" s="18"/>
      <c r="H47" s="166"/>
      <c r="I47" s="80"/>
      <c r="J47" s="111"/>
      <c r="K47" s="128"/>
      <c r="L47" s="12"/>
      <c r="AA47" s="26" t="s">
        <v>136</v>
      </c>
    </row>
    <row r="48" spans="1:27" ht="12.75">
      <c r="A48" s="77" t="s">
        <v>50</v>
      </c>
      <c r="B48" s="18"/>
      <c r="C48" s="18"/>
      <c r="D48" s="18"/>
      <c r="E48" s="13"/>
      <c r="F48" s="92" t="e">
        <f>F47/3*7</f>
        <v>#DIV/0!</v>
      </c>
      <c r="G48" s="18"/>
      <c r="H48" s="166"/>
      <c r="I48" s="80"/>
      <c r="J48" s="111"/>
      <c r="K48" s="128"/>
      <c r="L48" s="12"/>
      <c r="AA48" s="26" t="s">
        <v>137</v>
      </c>
    </row>
    <row r="49" spans="1:27" ht="12.75">
      <c r="A49" s="77" t="s">
        <v>51</v>
      </c>
      <c r="B49" s="18"/>
      <c r="C49" s="18"/>
      <c r="D49" s="18"/>
      <c r="E49" s="13"/>
      <c r="F49" s="92" t="e">
        <f>B129+F48</f>
        <v>#DIV/0!</v>
      </c>
      <c r="G49" s="18"/>
      <c r="H49" s="185" t="e">
        <f>IF(F49&gt;0.91,"Hydraulic Load Too High! Must be less than 0.9, try increasing buffer size"," ")</f>
        <v>#DIV/0!</v>
      </c>
      <c r="I49" s="80"/>
      <c r="J49" s="111"/>
      <c r="K49" s="158"/>
      <c r="AA49" s="26" t="s">
        <v>138</v>
      </c>
    </row>
    <row r="50" spans="1:27" ht="13.5" thickBot="1">
      <c r="A50" s="181"/>
      <c r="B50" s="151"/>
      <c r="C50" s="151"/>
      <c r="D50" s="151"/>
      <c r="E50" s="151"/>
      <c r="F50" s="151"/>
      <c r="G50" s="25"/>
      <c r="H50" s="151"/>
      <c r="I50" s="87"/>
      <c r="AA50" s="26" t="s">
        <v>139</v>
      </c>
    </row>
    <row r="51" spans="1:27" ht="13.5" thickTop="1">
      <c r="A51" s="235" t="s">
        <v>260</v>
      </c>
      <c r="B51" s="236"/>
      <c r="C51" s="236"/>
      <c r="D51" s="236"/>
      <c r="E51" s="236"/>
      <c r="F51" s="236"/>
      <c r="G51" s="236"/>
      <c r="H51" s="236"/>
      <c r="I51" s="237"/>
      <c r="AA51" s="26" t="s">
        <v>140</v>
      </c>
    </row>
    <row r="52" spans="1:27" ht="12.75">
      <c r="A52" s="152"/>
      <c r="B52" s="13"/>
      <c r="C52" s="13"/>
      <c r="D52" s="13"/>
      <c r="E52" s="13"/>
      <c r="F52" s="13"/>
      <c r="G52" s="13"/>
      <c r="H52" s="13"/>
      <c r="I52" s="80"/>
      <c r="AA52" s="26" t="s">
        <v>141</v>
      </c>
    </row>
    <row r="53" spans="1:27" ht="12.75">
      <c r="A53" s="171" t="s">
        <v>261</v>
      </c>
      <c r="B53" s="13"/>
      <c r="C53" s="172">
        <f>F$30</f>
        <v>0</v>
      </c>
      <c r="D53" s="173" t="s">
        <v>170</v>
      </c>
      <c r="E53" s="13"/>
      <c r="F53" s="13"/>
      <c r="G53" s="178" t="s">
        <v>271</v>
      </c>
      <c r="H53" s="179">
        <f>F35</f>
        <v>0</v>
      </c>
      <c r="I53" s="177" t="s">
        <v>189</v>
      </c>
      <c r="AA53" s="26" t="s">
        <v>142</v>
      </c>
    </row>
    <row r="54" spans="1:27" ht="12.75">
      <c r="A54" s="171" t="s">
        <v>262</v>
      </c>
      <c r="B54" s="13"/>
      <c r="C54" s="174">
        <f>F$17</f>
        <v>0</v>
      </c>
      <c r="D54" s="170" t="s">
        <v>170</v>
      </c>
      <c r="E54" s="13"/>
      <c r="F54" s="13"/>
      <c r="G54" s="178" t="s">
        <v>266</v>
      </c>
      <c r="H54" s="172">
        <f>F36</f>
        <v>0</v>
      </c>
      <c r="I54" s="177" t="str">
        <f>G36</f>
        <v>gallons</v>
      </c>
      <c r="AA54" s="26" t="s">
        <v>143</v>
      </c>
    </row>
    <row r="55" spans="1:27" ht="12.75" customHeight="1">
      <c r="A55" s="171" t="s">
        <v>263</v>
      </c>
      <c r="B55" s="13"/>
      <c r="C55" s="175">
        <f>F$11</f>
        <v>0</v>
      </c>
      <c r="D55" s="170" t="s">
        <v>169</v>
      </c>
      <c r="E55" s="13"/>
      <c r="F55" s="13"/>
      <c r="G55" s="178" t="s">
        <v>267</v>
      </c>
      <c r="H55" s="172">
        <f>F39</f>
        <v>0</v>
      </c>
      <c r="I55" s="177" t="s">
        <v>269</v>
      </c>
      <c r="AA55" s="26" t="s">
        <v>144</v>
      </c>
    </row>
    <row r="56" spans="1:27" ht="13.5" thickBot="1">
      <c r="A56" s="153"/>
      <c r="B56" s="154"/>
      <c r="C56" s="154"/>
      <c r="D56" s="154"/>
      <c r="E56" s="154"/>
      <c r="F56" s="176"/>
      <c r="G56" s="223" t="s">
        <v>268</v>
      </c>
      <c r="H56" s="224" t="e">
        <f>F40</f>
        <v>#DIV/0!</v>
      </c>
      <c r="I56" s="225" t="s">
        <v>270</v>
      </c>
      <c r="L56" s="226" t="s">
        <v>281</v>
      </c>
      <c r="AA56" s="26" t="s">
        <v>145</v>
      </c>
    </row>
    <row r="57" spans="1:27" ht="12.75">
      <c r="A57" s="102"/>
      <c r="B57" s="103"/>
      <c r="C57" s="103"/>
      <c r="D57" s="103"/>
      <c r="E57" s="103"/>
      <c r="F57" s="103"/>
      <c r="G57" s="103"/>
      <c r="H57" s="103"/>
      <c r="I57" s="212"/>
      <c r="AA57" s="26" t="s">
        <v>146</v>
      </c>
    </row>
    <row r="58" spans="1:27" ht="18">
      <c r="A58" s="152"/>
      <c r="B58" s="13"/>
      <c r="C58" s="13"/>
      <c r="D58" s="13"/>
      <c r="E58" s="13"/>
      <c r="F58" s="13"/>
      <c r="G58" s="13"/>
      <c r="H58" s="13"/>
      <c r="I58" s="80"/>
      <c r="J58" s="184" t="s">
        <v>245</v>
      </c>
      <c r="AA58" s="26" t="s">
        <v>147</v>
      </c>
    </row>
    <row r="59" spans="1:27" ht="12.75">
      <c r="A59" s="152"/>
      <c r="B59" s="13"/>
      <c r="C59" s="13"/>
      <c r="D59" s="13"/>
      <c r="E59" s="13"/>
      <c r="F59" s="13"/>
      <c r="G59" s="13"/>
      <c r="H59" s="13"/>
      <c r="I59" s="80"/>
      <c r="AA59" s="26" t="s">
        <v>148</v>
      </c>
    </row>
    <row r="60" spans="1:27" ht="12.75">
      <c r="A60" s="152"/>
      <c r="B60" s="13"/>
      <c r="C60" s="13"/>
      <c r="D60" s="13"/>
      <c r="E60" s="13"/>
      <c r="F60" s="13"/>
      <c r="G60" s="13"/>
      <c r="H60" s="13"/>
      <c r="I60" s="80"/>
      <c r="L60" s="108" t="s">
        <v>14</v>
      </c>
      <c r="M60" s="108"/>
      <c r="N60" s="108"/>
      <c r="O60" s="108"/>
      <c r="P60" s="108" t="e">
        <f>(F39/448.83)/P61</f>
        <v>#DIV/0!</v>
      </c>
      <c r="Q60" s="108" t="s">
        <v>12</v>
      </c>
      <c r="S60" s="37"/>
      <c r="AA60" s="26" t="s">
        <v>149</v>
      </c>
    </row>
    <row r="61" spans="1:27" ht="12.75">
      <c r="A61" s="152"/>
      <c r="B61" s="13"/>
      <c r="C61" s="13"/>
      <c r="D61" s="13"/>
      <c r="E61" s="13"/>
      <c r="F61" s="13"/>
      <c r="G61" s="13"/>
      <c r="H61" s="13"/>
      <c r="I61" s="80"/>
      <c r="L61" s="108" t="s">
        <v>14</v>
      </c>
      <c r="M61" s="108"/>
      <c r="N61" s="108"/>
      <c r="O61" s="108"/>
      <c r="P61" s="108">
        <f>(F23/12)^2*PI()/4</f>
        <v>0</v>
      </c>
      <c r="Q61" s="109" t="s">
        <v>13</v>
      </c>
      <c r="S61" s="37"/>
      <c r="AA61" s="26" t="s">
        <v>150</v>
      </c>
    </row>
    <row r="62" spans="1:27" ht="15">
      <c r="A62" s="152"/>
      <c r="B62" s="13"/>
      <c r="C62" s="13"/>
      <c r="D62" s="219"/>
      <c r="E62" s="220" t="s">
        <v>249</v>
      </c>
      <c r="F62" s="221">
        <f>F37</f>
        <v>0</v>
      </c>
      <c r="G62" s="13"/>
      <c r="H62" s="13"/>
      <c r="I62" s="80"/>
      <c r="S62" s="37"/>
      <c r="AA62" s="26" t="s">
        <v>151</v>
      </c>
    </row>
    <row r="63" spans="1:27" ht="15">
      <c r="A63" s="152"/>
      <c r="B63" s="13"/>
      <c r="C63" s="13"/>
      <c r="D63" s="219"/>
      <c r="E63" s="220" t="s">
        <v>41</v>
      </c>
      <c r="F63" s="221">
        <f>F38</f>
        <v>0</v>
      </c>
      <c r="G63" s="13"/>
      <c r="H63" s="13"/>
      <c r="I63" s="80"/>
      <c r="L63" s="37" t="s">
        <v>64</v>
      </c>
      <c r="M63" s="37"/>
      <c r="N63" s="37"/>
      <c r="AA63" s="26" t="s">
        <v>152</v>
      </c>
    </row>
    <row r="64" spans="1:27" ht="12.75">
      <c r="A64" s="152"/>
      <c r="B64" s="13"/>
      <c r="C64" s="13"/>
      <c r="D64" s="13"/>
      <c r="E64" s="13"/>
      <c r="F64" s="13"/>
      <c r="G64" s="13"/>
      <c r="H64" s="13"/>
      <c r="I64" s="80"/>
      <c r="L64" s="37" t="s">
        <v>65</v>
      </c>
      <c r="M64" s="37"/>
      <c r="N64" s="37"/>
      <c r="AA64" s="26" t="s">
        <v>153</v>
      </c>
    </row>
    <row r="65" spans="1:27" ht="16.5" thickBot="1">
      <c r="A65" s="152"/>
      <c r="B65" s="13"/>
      <c r="C65" s="13"/>
      <c r="D65" s="13"/>
      <c r="E65" s="222" t="s">
        <v>67</v>
      </c>
      <c r="F65" s="213"/>
      <c r="G65" s="13"/>
      <c r="H65" s="13"/>
      <c r="I65" s="80"/>
      <c r="L65" s="37" t="s">
        <v>66</v>
      </c>
      <c r="M65" s="37"/>
      <c r="N65" s="37"/>
      <c r="S65" s="37"/>
      <c r="AA65" s="26" t="s">
        <v>154</v>
      </c>
    </row>
    <row r="66" spans="1:27" ht="13.5" thickBot="1">
      <c r="A66" s="152"/>
      <c r="B66" s="13"/>
      <c r="C66" s="13"/>
      <c r="D66" s="13"/>
      <c r="E66" s="209" t="s">
        <v>2</v>
      </c>
      <c r="F66" s="209" t="s">
        <v>48</v>
      </c>
      <c r="G66" s="13"/>
      <c r="H66" s="13"/>
      <c r="I66" s="80"/>
      <c r="L66" s="110">
        <v>0.3</v>
      </c>
      <c r="M66" s="37" t="s">
        <v>0</v>
      </c>
      <c r="N66" s="37" t="s">
        <v>58</v>
      </c>
      <c r="S66" s="37"/>
      <c r="AA66" s="26" t="s">
        <v>155</v>
      </c>
    </row>
    <row r="67" spans="1:27" ht="13.5" thickTop="1">
      <c r="A67" s="152"/>
      <c r="B67" s="13"/>
      <c r="C67" s="13"/>
      <c r="D67" s="13"/>
      <c r="E67" s="210">
        <f>IF($F$37="Zoeller 270",'3. Pump Curve Data'!L14,IF($F$37="Zoeller 284",'3. Pump Curve Data'!P14,IF($F$37="Myers MW50 Series",'3. Pump Curve Data'!L31,IF($F$37="Goulds Pumps Model 3886 Order Number WS05B",'3. Pump Curve Data'!L48,'3. Pump Curve Data'!B18))))</f>
        <v>0</v>
      </c>
      <c r="F67" s="211">
        <f>IF($F$37="Zoeller 270",'3. Pump Curve Data'!M14,IF($F$37="Zoeller 284",'3. Pump Curve Data'!Q14,IF($F$37="Myers MW50 Series",'3. Pump Curve Data'!M31,IF($F$37="Goulds Pumps Model 3886 Order Number WS05B",'3. Pump Curve Data'!M48,'3. Pump Curve Data'!C18))))</f>
        <v>0</v>
      </c>
      <c r="G67" s="13"/>
      <c r="H67" s="13"/>
      <c r="I67" s="80"/>
      <c r="P67" s="37"/>
      <c r="AA67" s="26" t="s">
        <v>156</v>
      </c>
    </row>
    <row r="68" spans="1:27" ht="12.75">
      <c r="A68" s="152"/>
      <c r="B68" s="13"/>
      <c r="C68" s="13"/>
      <c r="D68" s="13"/>
      <c r="E68" s="136">
        <f>IF($F$37="Zoeller 270",'3. Pump Curve Data'!L15,IF($F$37="Zoeller 284",'3. Pump Curve Data'!P15,IF($F$37="Myers MW50 Series",'3. Pump Curve Data'!L32,IF($F$37="Goulds Pumps Model 3886 Order Number WS05B",'3. Pump Curve Data'!L49,'3. Pump Curve Data'!B19))))</f>
        <v>0</v>
      </c>
      <c r="F68" s="137">
        <f>IF($F$37="Zoeller 270",'3. Pump Curve Data'!M15,IF($F$37="Zoeller 284",'3. Pump Curve Data'!Q15,IF($F$37="Myers MW50 Series",'3. Pump Curve Data'!M32,IF($F$37="Goulds Pumps Model 3886 Order Number WS05B",'3. Pump Curve Data'!M49,'3. Pump Curve Data'!C19))))</f>
        <v>0</v>
      </c>
      <c r="G68" s="13"/>
      <c r="H68" s="13"/>
      <c r="I68" s="80"/>
      <c r="AA68" s="26" t="s">
        <v>157</v>
      </c>
    </row>
    <row r="69" spans="1:27" ht="12.75">
      <c r="A69" s="152"/>
      <c r="B69" s="13"/>
      <c r="C69" s="13"/>
      <c r="D69" s="13"/>
      <c r="E69" s="136">
        <f>IF($F$37="Zoeller 270",'3. Pump Curve Data'!L16,IF($F$37="Zoeller 284",'3. Pump Curve Data'!P16,IF($F$37="Myers MW50 Series",'3. Pump Curve Data'!L33,IF($F$37="Goulds Pumps Model 3886 Order Number WS05B",'3. Pump Curve Data'!L50,'3. Pump Curve Data'!B20))))</f>
        <v>0</v>
      </c>
      <c r="F69" s="137">
        <f>IF($F$37="Zoeller 270",'3. Pump Curve Data'!M16,IF($F$37="Zoeller 284",'3. Pump Curve Data'!Q16,IF($F$37="Myers MW50 Series",'3. Pump Curve Data'!M33,IF($F$37="Goulds Pumps Model 3886 Order Number WS05B",'3. Pump Curve Data'!M50,'3. Pump Curve Data'!C20))))</f>
        <v>0</v>
      </c>
      <c r="G69" s="13"/>
      <c r="H69" s="13"/>
      <c r="I69" s="80"/>
      <c r="L69" s="36"/>
      <c r="M69" s="37"/>
      <c r="N69" s="37"/>
      <c r="O69" s="37"/>
      <c r="P69" s="37"/>
      <c r="Q69" s="37"/>
      <c r="AA69" s="26" t="s">
        <v>158</v>
      </c>
    </row>
    <row r="70" spans="1:27" ht="12.75">
      <c r="A70" s="152"/>
      <c r="B70" s="13"/>
      <c r="C70" s="13"/>
      <c r="D70" s="13"/>
      <c r="E70" s="136">
        <f>IF($F$37="Zoeller 270",'3. Pump Curve Data'!L17,IF($F$37="Zoeller 284",'3. Pump Curve Data'!P17,IF($F$37="Myers MW50 Series",'3. Pump Curve Data'!L34,IF($F$37="Goulds Pumps Model 3886 Order Number WS05B",'3. Pump Curve Data'!L51,'3. Pump Curve Data'!B21))))</f>
        <v>0</v>
      </c>
      <c r="F70" s="137">
        <f>IF($F$37="Zoeller 270",'3. Pump Curve Data'!M17,IF($F$37="Zoeller 284",'3. Pump Curve Data'!Q17,IF($F$37="Myers MW50 Series",'3. Pump Curve Data'!M34,IF($F$37="Goulds Pumps Model 3886 Order Number WS05B",'3. Pump Curve Data'!M51,'3. Pump Curve Data'!C21))))</f>
        <v>0</v>
      </c>
      <c r="G70" s="13"/>
      <c r="H70" s="13"/>
      <c r="I70" s="214"/>
      <c r="L70" s="37"/>
      <c r="M70" s="37"/>
      <c r="N70" s="37"/>
      <c r="O70" s="37"/>
      <c r="P70" s="37"/>
      <c r="Q70" s="37"/>
      <c r="AA70" s="26" t="s">
        <v>159</v>
      </c>
    </row>
    <row r="71" spans="1:27" ht="12.75">
      <c r="A71" s="152"/>
      <c r="B71" s="13"/>
      <c r="C71" s="13"/>
      <c r="D71" s="13"/>
      <c r="E71" s="136">
        <f>IF($F$37="Zoeller 270",'3. Pump Curve Data'!L18,IF($F$37="Zoeller 284",'3. Pump Curve Data'!P18,IF($F$37="Myers MW50 Series",'3. Pump Curve Data'!L35,IF($F$37="Goulds Pumps Model 3886 Order Number WS05B",'3. Pump Curve Data'!L52,'3. Pump Curve Data'!B22))))</f>
        <v>0</v>
      </c>
      <c r="F71" s="137">
        <f>IF($F$37="Zoeller 270",'3. Pump Curve Data'!M18,IF($F$37="Zoeller 284",'3. Pump Curve Data'!Q18,IF($F$37="Myers MW50 Series",'3. Pump Curve Data'!M35,IF($F$37="Goulds Pumps Model 3886 Order Number WS05B",'3. Pump Curve Data'!M52,'3. Pump Curve Data'!C22))))</f>
        <v>0</v>
      </c>
      <c r="G71" s="13"/>
      <c r="H71" s="13"/>
      <c r="I71" s="80"/>
      <c r="Q71" s="37"/>
      <c r="AA71" s="26" t="s">
        <v>160</v>
      </c>
    </row>
    <row r="72" spans="1:27" ht="12.75">
      <c r="A72" s="152"/>
      <c r="B72" s="13"/>
      <c r="C72" s="13"/>
      <c r="D72" s="13"/>
      <c r="E72" s="136">
        <f>IF($F$37="Zoeller 270",'3. Pump Curve Data'!L19,IF($F$37="Zoeller 284",'3. Pump Curve Data'!P19,IF($F$37="Myers MW50 Series",'3. Pump Curve Data'!L36,IF($F$37="Goulds Pumps Model 3886 Order Number WS05B",'3. Pump Curve Data'!L53,'3. Pump Curve Data'!B23))))</f>
        <v>0</v>
      </c>
      <c r="F72" s="137">
        <f>IF($F$37="Zoeller 270",'3. Pump Curve Data'!M19,IF($F$37="Zoeller 284",'3. Pump Curve Data'!Q19,IF($F$37="Myers MW50 Series",'3. Pump Curve Data'!M36,IF($F$37="Goulds Pumps Model 3886 Order Number WS05B",'3. Pump Curve Data'!M53,'3. Pump Curve Data'!C23))))</f>
        <v>0</v>
      </c>
      <c r="G72" s="13"/>
      <c r="H72" s="13"/>
      <c r="I72" s="80"/>
      <c r="AA72" s="26" t="s">
        <v>161</v>
      </c>
    </row>
    <row r="73" spans="1:27" ht="12.75">
      <c r="A73" s="152"/>
      <c r="B73" s="13"/>
      <c r="C73" s="13"/>
      <c r="D73" s="13"/>
      <c r="E73" s="136">
        <f>IF($F$37="Zoeller 270",'3. Pump Curve Data'!L20,IF($F$37="Zoeller 284",'3. Pump Curve Data'!P20,IF($F$37="Myers MW50 Series",'3. Pump Curve Data'!L37,IF($F$37="Goulds Pumps Model 3886 Order Number WS05B",'3. Pump Curve Data'!L54,'3. Pump Curve Data'!B24))))</f>
        <v>0</v>
      </c>
      <c r="F73" s="137">
        <f>IF($F$37="Zoeller 270",'3. Pump Curve Data'!M20,IF($F$37="Zoeller 284",'3. Pump Curve Data'!Q20,IF($F$37="Myers MW50 Series",'3. Pump Curve Data'!M37,IF($F$37="Goulds Pumps Model 3886 Order Number WS05B",'3. Pump Curve Data'!M54,'3. Pump Curve Data'!C24))))</f>
        <v>0</v>
      </c>
      <c r="G73" s="13"/>
      <c r="H73" s="13"/>
      <c r="I73" s="80"/>
      <c r="J73" s="37" t="s">
        <v>56</v>
      </c>
      <c r="K73" s="37"/>
      <c r="L73" s="37"/>
      <c r="O73" s="115" t="s">
        <v>70</v>
      </c>
      <c r="P73" s="116">
        <f>3.14*(F23/24)^2</f>
        <v>0</v>
      </c>
      <c r="Q73" s="37" t="s">
        <v>69</v>
      </c>
      <c r="AA73" s="26" t="s">
        <v>162</v>
      </c>
    </row>
    <row r="74" spans="1:16" ht="12.75">
      <c r="A74" s="152"/>
      <c r="B74" s="13"/>
      <c r="C74" s="13"/>
      <c r="D74" s="13"/>
      <c r="E74" s="136">
        <f>IF($F$37="Zoeller 270",'3. Pump Curve Data'!L21,IF($F$37="Zoeller 284",'3. Pump Curve Data'!P21,IF($F$37="Myers MW50 Series",'3. Pump Curve Data'!L38,IF($F$37="Goulds Pumps Model 3886 Order Number WS05B",'3. Pump Curve Data'!L55,'3. Pump Curve Data'!B25))))</f>
        <v>0</v>
      </c>
      <c r="F74" s="137">
        <f>IF($F$37="Zoeller 270",'3. Pump Curve Data'!M21,IF($F$37="Zoeller 284",'3. Pump Curve Data'!Q21,IF($F$37="Myers MW50 Series",'3. Pump Curve Data'!M38,IF($F$37="Goulds Pumps Model 3886 Order Number WS05B",'3. Pump Curve Data'!M55,'3. Pump Curve Data'!C25))))</f>
        <v>0</v>
      </c>
      <c r="G74" s="13"/>
      <c r="H74" s="13"/>
      <c r="I74" s="80"/>
      <c r="J74" s="37" t="s">
        <v>57</v>
      </c>
      <c r="K74" s="37"/>
      <c r="L74" s="37"/>
      <c r="O74" s="37" t="s">
        <v>71</v>
      </c>
      <c r="P74" s="37" t="e">
        <f>5087*0.009^2/(F23/2)^1.333</f>
        <v>#DIV/0!</v>
      </c>
    </row>
    <row r="75" spans="1:16" ht="12.75">
      <c r="A75" s="152"/>
      <c r="B75" s="13"/>
      <c r="C75" s="13"/>
      <c r="D75" s="13"/>
      <c r="E75" s="136">
        <f>IF($F$37="Zoeller 270",'3. Pump Curve Data'!L22,IF($F$37="Zoeller 284",'3. Pump Curve Data'!P22,IF($F$37="Myers MW50 Series",'3. Pump Curve Data'!L39,IF($F$37="Goulds Pumps Model 3886 Order Number WS05B",'3. Pump Curve Data'!L56,'3. Pump Curve Data'!B26))))</f>
        <v>0</v>
      </c>
      <c r="F75" s="137">
        <f>IF($F$37="Zoeller 270",'3. Pump Curve Data'!M22,IF($F$37="Zoeller 284",'3. Pump Curve Data'!Q22,IF($F$37="Myers MW50 Series",'3. Pump Curve Data'!M39,IF($F$37="Goulds Pumps Model 3886 Order Number WS05B",'3. Pump Curve Data'!M56,'3. Pump Curve Data'!C26))))</f>
        <v>0</v>
      </c>
      <c r="G75" s="13"/>
      <c r="H75" s="13"/>
      <c r="I75" s="80"/>
      <c r="J75" s="37"/>
      <c r="K75" s="37">
        <f>3.1418*((F31/12)^2)/4</f>
        <v>0</v>
      </c>
      <c r="L75" s="37" t="s">
        <v>9</v>
      </c>
      <c r="O75" s="115" t="s">
        <v>75</v>
      </c>
      <c r="P75" s="37">
        <f>3.14*(F29/24)^2</f>
        <v>0</v>
      </c>
    </row>
    <row r="76" spans="1:9" ht="13.5" thickBot="1">
      <c r="A76" s="152"/>
      <c r="B76" s="13"/>
      <c r="C76" s="13"/>
      <c r="D76" s="13"/>
      <c r="E76" s="138">
        <f>IF($F$37="Zoeller 270",'3. Pump Curve Data'!L23,IF($F$37="Zoeller 284",'3. Pump Curve Data'!P23,IF($F$37="Myers MW50 Series",'3. Pump Curve Data'!L40,IF($F$37="Goulds Pumps Model 3886 Order Number WS05B",'3. Pump Curve Data'!L57,'3. Pump Curve Data'!B27))))</f>
        <v>0</v>
      </c>
      <c r="F76" s="139">
        <f>IF($F$37="Zoeller 270",'3. Pump Curve Data'!M23,IF($F$37="Zoeller 284",'3. Pump Curve Data'!Q23,IF($F$37="Myers MW50 Series",'3. Pump Curve Data'!M40,IF($F$37="Goulds Pumps Model 3886 Order Number WS05B",'3. Pump Curve Data'!M57,'3. Pump Curve Data'!C27))))</f>
        <v>0</v>
      </c>
      <c r="G76" s="13"/>
      <c r="H76" s="13"/>
      <c r="I76" s="80"/>
    </row>
    <row r="77" spans="1:9" ht="13.5" thickBot="1">
      <c r="A77" s="215"/>
      <c r="B77" s="13"/>
      <c r="C77" s="13"/>
      <c r="D77" s="13"/>
      <c r="E77" s="13"/>
      <c r="F77" s="13"/>
      <c r="G77" s="13"/>
      <c r="H77" s="13"/>
      <c r="I77" s="80"/>
    </row>
    <row r="78" spans="1:18" ht="20.25">
      <c r="A78" s="152"/>
      <c r="B78" s="13"/>
      <c r="C78" s="13"/>
      <c r="D78" s="13"/>
      <c r="E78" s="13"/>
      <c r="F78" s="13"/>
      <c r="G78" s="13"/>
      <c r="H78" s="10"/>
      <c r="I78" s="80"/>
      <c r="K78" s="188"/>
      <c r="L78" s="189"/>
      <c r="M78" s="189"/>
      <c r="N78" s="190" t="s">
        <v>47</v>
      </c>
      <c r="O78" s="189"/>
      <c r="P78" s="189"/>
      <c r="Q78" s="189"/>
      <c r="R78" s="191"/>
    </row>
    <row r="79" spans="1:18" ht="12.75">
      <c r="A79" s="152"/>
      <c r="B79" s="13"/>
      <c r="C79" s="13"/>
      <c r="D79" s="13"/>
      <c r="E79" s="13"/>
      <c r="F79" s="13"/>
      <c r="G79" s="13"/>
      <c r="H79" s="10"/>
      <c r="I79" s="80"/>
      <c r="K79" s="192" t="s">
        <v>2</v>
      </c>
      <c r="L79" s="193"/>
      <c r="M79" s="194" t="s">
        <v>10</v>
      </c>
      <c r="N79" s="193"/>
      <c r="O79" s="193"/>
      <c r="P79" s="194"/>
      <c r="Q79" s="195" t="s">
        <v>48</v>
      </c>
      <c r="R79" s="196"/>
    </row>
    <row r="80" spans="1:18" ht="22.5">
      <c r="A80" s="152"/>
      <c r="B80" s="13"/>
      <c r="C80" s="13"/>
      <c r="D80" s="13"/>
      <c r="E80" s="13"/>
      <c r="F80" s="13"/>
      <c r="G80" s="13"/>
      <c r="H80" s="10"/>
      <c r="I80" s="80"/>
      <c r="K80" s="197" t="s">
        <v>3</v>
      </c>
      <c r="L80" s="198" t="s">
        <v>4</v>
      </c>
      <c r="M80" s="198" t="s">
        <v>5</v>
      </c>
      <c r="N80" s="198" t="s">
        <v>6</v>
      </c>
      <c r="O80" s="198" t="s">
        <v>8</v>
      </c>
      <c r="P80" s="198" t="s">
        <v>7</v>
      </c>
      <c r="Q80" s="199" t="s">
        <v>39</v>
      </c>
      <c r="R80" s="200" t="s">
        <v>35</v>
      </c>
    </row>
    <row r="81" spans="1:18" ht="12.75">
      <c r="A81" s="152"/>
      <c r="B81" s="13"/>
      <c r="C81" s="13"/>
      <c r="D81" s="13"/>
      <c r="E81" s="13"/>
      <c r="F81" s="13"/>
      <c r="G81" s="13"/>
      <c r="H81" s="13"/>
      <c r="I81" s="80"/>
      <c r="K81" s="201">
        <f aca="true" t="shared" si="0" ref="K81:K90">E67</f>
        <v>0</v>
      </c>
      <c r="L81" s="202" t="e">
        <f aca="true" t="shared" si="1" ref="L81:L90">K81/(F$30/F$32)</f>
        <v>#DIV/0!</v>
      </c>
      <c r="M81" s="120">
        <f aca="true" t="shared" si="2" ref="M81:M90">F$25</f>
        <v>0</v>
      </c>
      <c r="N81" s="202" t="e">
        <f aca="true" t="shared" si="3" ref="N81:N90">(((K81/448.83)/$P$73)^2*M94)/64.4</f>
        <v>#DIV/0!</v>
      </c>
      <c r="O81" s="120" t="e">
        <f aca="true" t="shared" si="4" ref="O81:O90">(((K81/448.83)/$P$75)^2*P94)/64.4</f>
        <v>#DIV/0!</v>
      </c>
      <c r="P81" s="202" t="e">
        <f aca="true" t="shared" si="5" ref="P81:P90">((((L81/448.83)/(0.61*K$75))^2)/(2*32.2))</f>
        <v>#DIV/0!</v>
      </c>
      <c r="Q81" s="202" t="e">
        <f aca="true" t="shared" si="6" ref="Q81:Q90">P81+O81+N81+M81</f>
        <v>#DIV/0!</v>
      </c>
      <c r="R81" s="203">
        <f aca="true" t="shared" si="7" ref="R81:R90">F67</f>
        <v>0</v>
      </c>
    </row>
    <row r="82" spans="1:18" ht="12.75">
      <c r="A82" s="152"/>
      <c r="B82" s="13"/>
      <c r="C82" s="13"/>
      <c r="D82" s="13"/>
      <c r="E82" s="13"/>
      <c r="F82" s="13"/>
      <c r="G82" s="13"/>
      <c r="H82" s="13"/>
      <c r="I82" s="80"/>
      <c r="K82" s="201">
        <f t="shared" si="0"/>
        <v>0</v>
      </c>
      <c r="L82" s="202" t="e">
        <f t="shared" si="1"/>
        <v>#DIV/0!</v>
      </c>
      <c r="M82" s="120">
        <f t="shared" si="2"/>
        <v>0</v>
      </c>
      <c r="N82" s="202" t="e">
        <f t="shared" si="3"/>
        <v>#DIV/0!</v>
      </c>
      <c r="O82" s="120" t="e">
        <f t="shared" si="4"/>
        <v>#DIV/0!</v>
      </c>
      <c r="P82" s="202" t="e">
        <f t="shared" si="5"/>
        <v>#DIV/0!</v>
      </c>
      <c r="Q82" s="202" t="e">
        <f t="shared" si="6"/>
        <v>#DIV/0!</v>
      </c>
      <c r="R82" s="203">
        <f t="shared" si="7"/>
        <v>0</v>
      </c>
    </row>
    <row r="83" spans="1:18" ht="12.75">
      <c r="A83" s="152"/>
      <c r="B83" s="13"/>
      <c r="C83" s="13"/>
      <c r="D83" s="13"/>
      <c r="E83" s="13"/>
      <c r="F83" s="13"/>
      <c r="G83" s="13"/>
      <c r="H83" s="13"/>
      <c r="I83" s="80"/>
      <c r="K83" s="201">
        <f t="shared" si="0"/>
        <v>0</v>
      </c>
      <c r="L83" s="202" t="e">
        <f t="shared" si="1"/>
        <v>#DIV/0!</v>
      </c>
      <c r="M83" s="120">
        <f t="shared" si="2"/>
        <v>0</v>
      </c>
      <c r="N83" s="202" t="e">
        <f t="shared" si="3"/>
        <v>#DIV/0!</v>
      </c>
      <c r="O83" s="120" t="e">
        <f t="shared" si="4"/>
        <v>#DIV/0!</v>
      </c>
      <c r="P83" s="202" t="e">
        <f t="shared" si="5"/>
        <v>#DIV/0!</v>
      </c>
      <c r="Q83" s="202" t="e">
        <f t="shared" si="6"/>
        <v>#DIV/0!</v>
      </c>
      <c r="R83" s="203">
        <f t="shared" si="7"/>
        <v>0</v>
      </c>
    </row>
    <row r="84" spans="1:18" ht="12.75">
      <c r="A84" s="152"/>
      <c r="B84" s="13"/>
      <c r="C84" s="13"/>
      <c r="D84" s="13"/>
      <c r="E84" s="13"/>
      <c r="F84" s="13"/>
      <c r="G84" s="13"/>
      <c r="H84" s="13"/>
      <c r="I84" s="80"/>
      <c r="K84" s="201">
        <f t="shared" si="0"/>
        <v>0</v>
      </c>
      <c r="L84" s="202" t="e">
        <f t="shared" si="1"/>
        <v>#DIV/0!</v>
      </c>
      <c r="M84" s="120">
        <f t="shared" si="2"/>
        <v>0</v>
      </c>
      <c r="N84" s="202" t="e">
        <f t="shared" si="3"/>
        <v>#DIV/0!</v>
      </c>
      <c r="O84" s="120" t="e">
        <f t="shared" si="4"/>
        <v>#DIV/0!</v>
      </c>
      <c r="P84" s="202" t="e">
        <f t="shared" si="5"/>
        <v>#DIV/0!</v>
      </c>
      <c r="Q84" s="202" t="e">
        <f t="shared" si="6"/>
        <v>#DIV/0!</v>
      </c>
      <c r="R84" s="203">
        <f t="shared" si="7"/>
        <v>0</v>
      </c>
    </row>
    <row r="85" spans="1:18" ht="12.75">
      <c r="A85" s="152"/>
      <c r="B85" s="13"/>
      <c r="C85" s="13"/>
      <c r="D85" s="13"/>
      <c r="E85" s="13"/>
      <c r="F85" s="13"/>
      <c r="G85" s="13"/>
      <c r="H85" s="13"/>
      <c r="I85" s="80"/>
      <c r="K85" s="201">
        <f t="shared" si="0"/>
        <v>0</v>
      </c>
      <c r="L85" s="202" t="e">
        <f t="shared" si="1"/>
        <v>#DIV/0!</v>
      </c>
      <c r="M85" s="120">
        <f t="shared" si="2"/>
        <v>0</v>
      </c>
      <c r="N85" s="202" t="e">
        <f t="shared" si="3"/>
        <v>#DIV/0!</v>
      </c>
      <c r="O85" s="120" t="e">
        <f t="shared" si="4"/>
        <v>#DIV/0!</v>
      </c>
      <c r="P85" s="202" t="e">
        <f t="shared" si="5"/>
        <v>#DIV/0!</v>
      </c>
      <c r="Q85" s="202" t="e">
        <f t="shared" si="6"/>
        <v>#DIV/0!</v>
      </c>
      <c r="R85" s="203">
        <f t="shared" si="7"/>
        <v>0</v>
      </c>
    </row>
    <row r="86" spans="1:18" ht="12.75">
      <c r="A86" s="152"/>
      <c r="B86" s="13"/>
      <c r="C86" s="13"/>
      <c r="D86" s="13"/>
      <c r="E86" s="13"/>
      <c r="F86" s="13"/>
      <c r="G86" s="13"/>
      <c r="H86" s="13"/>
      <c r="I86" s="80"/>
      <c r="K86" s="201">
        <f t="shared" si="0"/>
        <v>0</v>
      </c>
      <c r="L86" s="202" t="e">
        <f t="shared" si="1"/>
        <v>#DIV/0!</v>
      </c>
      <c r="M86" s="120">
        <f t="shared" si="2"/>
        <v>0</v>
      </c>
      <c r="N86" s="202" t="e">
        <f t="shared" si="3"/>
        <v>#DIV/0!</v>
      </c>
      <c r="O86" s="120" t="e">
        <f t="shared" si="4"/>
        <v>#DIV/0!</v>
      </c>
      <c r="P86" s="202" t="e">
        <f t="shared" si="5"/>
        <v>#DIV/0!</v>
      </c>
      <c r="Q86" s="202" t="e">
        <f t="shared" si="6"/>
        <v>#DIV/0!</v>
      </c>
      <c r="R86" s="203">
        <f t="shared" si="7"/>
        <v>0</v>
      </c>
    </row>
    <row r="87" spans="1:18" ht="12.75">
      <c r="A87" s="152"/>
      <c r="B87" s="13"/>
      <c r="C87" s="13"/>
      <c r="D87" s="13"/>
      <c r="E87" s="13"/>
      <c r="F87" s="13"/>
      <c r="G87" s="13"/>
      <c r="H87" s="13"/>
      <c r="I87" s="80"/>
      <c r="K87" s="201">
        <f t="shared" si="0"/>
        <v>0</v>
      </c>
      <c r="L87" s="202" t="e">
        <f t="shared" si="1"/>
        <v>#DIV/0!</v>
      </c>
      <c r="M87" s="120">
        <f t="shared" si="2"/>
        <v>0</v>
      </c>
      <c r="N87" s="202" t="e">
        <f t="shared" si="3"/>
        <v>#DIV/0!</v>
      </c>
      <c r="O87" s="120" t="e">
        <f t="shared" si="4"/>
        <v>#DIV/0!</v>
      </c>
      <c r="P87" s="202" t="e">
        <f t="shared" si="5"/>
        <v>#DIV/0!</v>
      </c>
      <c r="Q87" s="202" t="e">
        <f t="shared" si="6"/>
        <v>#DIV/0!</v>
      </c>
      <c r="R87" s="203">
        <f t="shared" si="7"/>
        <v>0</v>
      </c>
    </row>
    <row r="88" spans="1:18" ht="12.75">
      <c r="A88" s="152"/>
      <c r="B88" s="13"/>
      <c r="C88" s="13"/>
      <c r="D88" s="13"/>
      <c r="E88" s="13"/>
      <c r="F88" s="13"/>
      <c r="G88" s="13"/>
      <c r="H88" s="13"/>
      <c r="I88" s="80"/>
      <c r="K88" s="201">
        <f t="shared" si="0"/>
        <v>0</v>
      </c>
      <c r="L88" s="202" t="e">
        <f t="shared" si="1"/>
        <v>#DIV/0!</v>
      </c>
      <c r="M88" s="120">
        <f t="shared" si="2"/>
        <v>0</v>
      </c>
      <c r="N88" s="202" t="e">
        <f t="shared" si="3"/>
        <v>#DIV/0!</v>
      </c>
      <c r="O88" s="120" t="e">
        <f t="shared" si="4"/>
        <v>#DIV/0!</v>
      </c>
      <c r="P88" s="202" t="e">
        <f t="shared" si="5"/>
        <v>#DIV/0!</v>
      </c>
      <c r="Q88" s="202" t="e">
        <f t="shared" si="6"/>
        <v>#DIV/0!</v>
      </c>
      <c r="R88" s="203">
        <f t="shared" si="7"/>
        <v>0</v>
      </c>
    </row>
    <row r="89" spans="1:18" ht="12.75">
      <c r="A89" s="152"/>
      <c r="B89" s="13"/>
      <c r="C89" s="13"/>
      <c r="D89" s="13"/>
      <c r="E89" s="13"/>
      <c r="F89" s="13"/>
      <c r="G89" s="13"/>
      <c r="H89" s="13"/>
      <c r="I89" s="80"/>
      <c r="K89" s="201">
        <f t="shared" si="0"/>
        <v>0</v>
      </c>
      <c r="L89" s="202" t="e">
        <f t="shared" si="1"/>
        <v>#DIV/0!</v>
      </c>
      <c r="M89" s="120">
        <f t="shared" si="2"/>
        <v>0</v>
      </c>
      <c r="N89" s="202" t="e">
        <f t="shared" si="3"/>
        <v>#DIV/0!</v>
      </c>
      <c r="O89" s="120" t="e">
        <f t="shared" si="4"/>
        <v>#DIV/0!</v>
      </c>
      <c r="P89" s="202" t="e">
        <f t="shared" si="5"/>
        <v>#DIV/0!</v>
      </c>
      <c r="Q89" s="202" t="e">
        <f t="shared" si="6"/>
        <v>#DIV/0!</v>
      </c>
      <c r="R89" s="203">
        <f t="shared" si="7"/>
        <v>0</v>
      </c>
    </row>
    <row r="90" spans="1:18" ht="13.5" thickBot="1">
      <c r="A90" s="152"/>
      <c r="B90" s="13"/>
      <c r="C90" s="13"/>
      <c r="D90" s="13"/>
      <c r="E90" s="13"/>
      <c r="F90" s="13"/>
      <c r="G90" s="13"/>
      <c r="H90" s="13"/>
      <c r="I90" s="80"/>
      <c r="K90" s="204">
        <f t="shared" si="0"/>
        <v>0</v>
      </c>
      <c r="L90" s="205" t="e">
        <f t="shared" si="1"/>
        <v>#DIV/0!</v>
      </c>
      <c r="M90" s="206">
        <f t="shared" si="2"/>
        <v>0</v>
      </c>
      <c r="N90" s="205" t="e">
        <f t="shared" si="3"/>
        <v>#DIV/0!</v>
      </c>
      <c r="O90" s="206" t="e">
        <f t="shared" si="4"/>
        <v>#DIV/0!</v>
      </c>
      <c r="P90" s="205" t="e">
        <f t="shared" si="5"/>
        <v>#DIV/0!</v>
      </c>
      <c r="Q90" s="205" t="e">
        <f t="shared" si="6"/>
        <v>#DIV/0!</v>
      </c>
      <c r="R90" s="207">
        <f t="shared" si="7"/>
        <v>0</v>
      </c>
    </row>
    <row r="91" spans="1:9" ht="12.75">
      <c r="A91" s="152"/>
      <c r="B91" s="13"/>
      <c r="C91" s="13"/>
      <c r="D91" s="13"/>
      <c r="E91" s="13"/>
      <c r="F91" s="13"/>
      <c r="G91" s="13"/>
      <c r="H91" s="13"/>
      <c r="I91" s="80"/>
    </row>
    <row r="92" spans="1:16" ht="12.75">
      <c r="A92" s="152"/>
      <c r="B92" s="13"/>
      <c r="C92" s="13"/>
      <c r="D92" s="13"/>
      <c r="E92" s="13"/>
      <c r="F92" s="13"/>
      <c r="G92" s="13"/>
      <c r="H92" s="13"/>
      <c r="I92" s="80"/>
      <c r="K92" s="112" t="s">
        <v>76</v>
      </c>
      <c r="L92" s="9"/>
      <c r="M92" s="9" t="s">
        <v>74</v>
      </c>
      <c r="N92" s="9"/>
      <c r="O92" s="113"/>
      <c r="P92" s="114" t="s">
        <v>8</v>
      </c>
    </row>
    <row r="93" spans="1:16" ht="12.75">
      <c r="A93" s="152"/>
      <c r="B93" s="13"/>
      <c r="C93" s="13"/>
      <c r="D93" s="13"/>
      <c r="E93" s="13"/>
      <c r="F93" s="13"/>
      <c r="G93" s="13"/>
      <c r="H93" s="13"/>
      <c r="I93" s="80"/>
      <c r="K93" s="16" t="s">
        <v>12</v>
      </c>
      <c r="L93" s="16" t="s">
        <v>72</v>
      </c>
      <c r="M93" s="16" t="s">
        <v>73</v>
      </c>
      <c r="N93" s="17" t="s">
        <v>12</v>
      </c>
      <c r="O93" s="17" t="s">
        <v>72</v>
      </c>
      <c r="P93" s="17" t="s">
        <v>73</v>
      </c>
    </row>
    <row r="94" spans="1:16" ht="12.75">
      <c r="A94" s="152"/>
      <c r="B94" s="13"/>
      <c r="C94" s="13"/>
      <c r="D94" s="13"/>
      <c r="E94" s="13"/>
      <c r="F94" s="13"/>
      <c r="G94" s="13"/>
      <c r="H94" s="13"/>
      <c r="I94" s="80"/>
      <c r="K94" s="120" t="e">
        <f aca="true" t="shared" si="8" ref="K94:K103">(K81/448.83)/$P$73</f>
        <v>#DIV/0!</v>
      </c>
      <c r="L94" s="120" t="e">
        <f>K94^2/64.4</f>
        <v>#DIV/0!</v>
      </c>
      <c r="M94" s="120" t="e">
        <f aca="true" t="shared" si="9" ref="M94:M103">(1+0.9*$F$27*L94+$P$74*$F$24)</f>
        <v>#DIV/0!</v>
      </c>
      <c r="N94" s="120" t="e">
        <f aca="true" t="shared" si="10" ref="N94:N103">(K81/448.83)/$P$75</f>
        <v>#DIV/0!</v>
      </c>
      <c r="O94" s="120" t="e">
        <f>N94^2/64.4</f>
        <v>#DIV/0!</v>
      </c>
      <c r="P94" s="120" t="e">
        <f aca="true" t="shared" si="11" ref="P94:P103">1+$P$74*$F$30</f>
        <v>#DIV/0!</v>
      </c>
    </row>
    <row r="95" spans="1:16" ht="12.75">
      <c r="A95" s="216"/>
      <c r="B95" s="13"/>
      <c r="C95" s="13"/>
      <c r="D95" s="13"/>
      <c r="E95" s="13"/>
      <c r="F95" s="13"/>
      <c r="G95" s="13"/>
      <c r="H95" s="13"/>
      <c r="I95" s="80"/>
      <c r="K95" s="120" t="e">
        <f t="shared" si="8"/>
        <v>#DIV/0!</v>
      </c>
      <c r="L95" s="120" t="e">
        <f aca="true" t="shared" si="12" ref="L95:L103">K95^2/64.4</f>
        <v>#DIV/0!</v>
      </c>
      <c r="M95" s="120" t="e">
        <f t="shared" si="9"/>
        <v>#DIV/0!</v>
      </c>
      <c r="N95" s="120" t="e">
        <f t="shared" si="10"/>
        <v>#DIV/0!</v>
      </c>
      <c r="O95" s="120" t="e">
        <f aca="true" t="shared" si="13" ref="O95:O103">N95^2/64.4</f>
        <v>#DIV/0!</v>
      </c>
      <c r="P95" s="120" t="e">
        <f t="shared" si="11"/>
        <v>#DIV/0!</v>
      </c>
    </row>
    <row r="96" spans="1:16" ht="12.75">
      <c r="A96" s="152"/>
      <c r="B96" s="13"/>
      <c r="C96" s="13"/>
      <c r="D96" s="13"/>
      <c r="E96" s="13"/>
      <c r="F96" s="13"/>
      <c r="G96" s="13"/>
      <c r="H96" s="13"/>
      <c r="I96" s="80"/>
      <c r="K96" s="120" t="e">
        <f t="shared" si="8"/>
        <v>#DIV/0!</v>
      </c>
      <c r="L96" s="120" t="e">
        <f t="shared" si="12"/>
        <v>#DIV/0!</v>
      </c>
      <c r="M96" s="120" t="e">
        <f t="shared" si="9"/>
        <v>#DIV/0!</v>
      </c>
      <c r="N96" s="120" t="e">
        <f t="shared" si="10"/>
        <v>#DIV/0!</v>
      </c>
      <c r="O96" s="120" t="e">
        <f t="shared" si="13"/>
        <v>#DIV/0!</v>
      </c>
      <c r="P96" s="120" t="e">
        <f t="shared" si="11"/>
        <v>#DIV/0!</v>
      </c>
    </row>
    <row r="97" spans="1:16" ht="12.75">
      <c r="A97" s="152"/>
      <c r="B97" s="13"/>
      <c r="C97" s="13"/>
      <c r="D97" s="13"/>
      <c r="E97" s="13"/>
      <c r="F97" s="13"/>
      <c r="G97" s="13"/>
      <c r="H97" s="13"/>
      <c r="I97" s="80"/>
      <c r="K97" s="120" t="e">
        <f t="shared" si="8"/>
        <v>#DIV/0!</v>
      </c>
      <c r="L97" s="120" t="e">
        <f t="shared" si="12"/>
        <v>#DIV/0!</v>
      </c>
      <c r="M97" s="120" t="e">
        <f t="shared" si="9"/>
        <v>#DIV/0!</v>
      </c>
      <c r="N97" s="120" t="e">
        <f t="shared" si="10"/>
        <v>#DIV/0!</v>
      </c>
      <c r="O97" s="120" t="e">
        <f t="shared" si="13"/>
        <v>#DIV/0!</v>
      </c>
      <c r="P97" s="120" t="e">
        <f t="shared" si="11"/>
        <v>#DIV/0!</v>
      </c>
    </row>
    <row r="98" spans="1:16" ht="12.75">
      <c r="A98" s="152"/>
      <c r="B98" s="13"/>
      <c r="C98" s="13"/>
      <c r="D98" s="13"/>
      <c r="E98" s="13"/>
      <c r="F98" s="13"/>
      <c r="G98" s="13"/>
      <c r="H98" s="13"/>
      <c r="I98" s="80"/>
      <c r="K98" s="120" t="e">
        <f t="shared" si="8"/>
        <v>#DIV/0!</v>
      </c>
      <c r="L98" s="120" t="e">
        <f t="shared" si="12"/>
        <v>#DIV/0!</v>
      </c>
      <c r="M98" s="120" t="e">
        <f t="shared" si="9"/>
        <v>#DIV/0!</v>
      </c>
      <c r="N98" s="120" t="e">
        <f t="shared" si="10"/>
        <v>#DIV/0!</v>
      </c>
      <c r="O98" s="120" t="e">
        <f t="shared" si="13"/>
        <v>#DIV/0!</v>
      </c>
      <c r="P98" s="120" t="e">
        <f t="shared" si="11"/>
        <v>#DIV/0!</v>
      </c>
    </row>
    <row r="99" spans="1:16" ht="12.75">
      <c r="A99" s="152"/>
      <c r="B99" s="13"/>
      <c r="C99" s="13"/>
      <c r="D99" s="13"/>
      <c r="E99" s="13"/>
      <c r="F99" s="13"/>
      <c r="G99" s="13"/>
      <c r="H99" s="13"/>
      <c r="I99" s="80"/>
      <c r="K99" s="120" t="e">
        <f t="shared" si="8"/>
        <v>#DIV/0!</v>
      </c>
      <c r="L99" s="120" t="e">
        <f t="shared" si="12"/>
        <v>#DIV/0!</v>
      </c>
      <c r="M99" s="120" t="e">
        <f t="shared" si="9"/>
        <v>#DIV/0!</v>
      </c>
      <c r="N99" s="120" t="e">
        <f t="shared" si="10"/>
        <v>#DIV/0!</v>
      </c>
      <c r="O99" s="120" t="e">
        <f t="shared" si="13"/>
        <v>#DIV/0!</v>
      </c>
      <c r="P99" s="120" t="e">
        <f t="shared" si="11"/>
        <v>#DIV/0!</v>
      </c>
    </row>
    <row r="100" spans="1:16" ht="12.75">
      <c r="A100" s="216"/>
      <c r="B100" s="13"/>
      <c r="C100" s="13"/>
      <c r="D100" s="13"/>
      <c r="E100" s="13"/>
      <c r="F100" s="13"/>
      <c r="G100" s="13"/>
      <c r="H100" s="13"/>
      <c r="I100" s="80"/>
      <c r="K100" s="120" t="e">
        <f t="shared" si="8"/>
        <v>#DIV/0!</v>
      </c>
      <c r="L100" s="120" t="e">
        <f t="shared" si="12"/>
        <v>#DIV/0!</v>
      </c>
      <c r="M100" s="120" t="e">
        <f t="shared" si="9"/>
        <v>#DIV/0!</v>
      </c>
      <c r="N100" s="120" t="e">
        <f t="shared" si="10"/>
        <v>#DIV/0!</v>
      </c>
      <c r="O100" s="120" t="e">
        <f t="shared" si="13"/>
        <v>#DIV/0!</v>
      </c>
      <c r="P100" s="120" t="e">
        <f t="shared" si="11"/>
        <v>#DIV/0!</v>
      </c>
    </row>
    <row r="101" spans="1:16" ht="12.75">
      <c r="A101" s="216"/>
      <c r="B101" s="13"/>
      <c r="C101" s="13"/>
      <c r="D101" s="13"/>
      <c r="E101" s="13"/>
      <c r="F101" s="13"/>
      <c r="G101" s="13"/>
      <c r="H101" s="13"/>
      <c r="I101" s="80"/>
      <c r="K101" s="120" t="e">
        <f t="shared" si="8"/>
        <v>#DIV/0!</v>
      </c>
      <c r="L101" s="120" t="e">
        <f t="shared" si="12"/>
        <v>#DIV/0!</v>
      </c>
      <c r="M101" s="120" t="e">
        <f t="shared" si="9"/>
        <v>#DIV/0!</v>
      </c>
      <c r="N101" s="120" t="e">
        <f t="shared" si="10"/>
        <v>#DIV/0!</v>
      </c>
      <c r="O101" s="120" t="e">
        <f t="shared" si="13"/>
        <v>#DIV/0!</v>
      </c>
      <c r="P101" s="120" t="e">
        <f t="shared" si="11"/>
        <v>#DIV/0!</v>
      </c>
    </row>
    <row r="102" spans="1:16" ht="12.75">
      <c r="A102" s="216"/>
      <c r="B102" s="13"/>
      <c r="C102" s="13"/>
      <c r="D102" s="13"/>
      <c r="E102" s="13"/>
      <c r="F102" s="13"/>
      <c r="G102" s="13"/>
      <c r="H102" s="13"/>
      <c r="I102" s="80"/>
      <c r="K102" s="120" t="e">
        <f t="shared" si="8"/>
        <v>#DIV/0!</v>
      </c>
      <c r="L102" s="120" t="e">
        <f t="shared" si="12"/>
        <v>#DIV/0!</v>
      </c>
      <c r="M102" s="120" t="e">
        <f t="shared" si="9"/>
        <v>#DIV/0!</v>
      </c>
      <c r="N102" s="120" t="e">
        <f t="shared" si="10"/>
        <v>#DIV/0!</v>
      </c>
      <c r="O102" s="120" t="e">
        <f t="shared" si="13"/>
        <v>#DIV/0!</v>
      </c>
      <c r="P102" s="120" t="e">
        <f t="shared" si="11"/>
        <v>#DIV/0!</v>
      </c>
    </row>
    <row r="103" spans="1:16" ht="13.5" thickBot="1">
      <c r="A103" s="217"/>
      <c r="B103" s="154"/>
      <c r="C103" s="154"/>
      <c r="D103" s="154"/>
      <c r="E103" s="154"/>
      <c r="F103" s="154"/>
      <c r="G103" s="154"/>
      <c r="H103" s="154"/>
      <c r="I103" s="218"/>
      <c r="K103" s="120" t="e">
        <f t="shared" si="8"/>
        <v>#DIV/0!</v>
      </c>
      <c r="L103" s="120" t="e">
        <f t="shared" si="12"/>
        <v>#DIV/0!</v>
      </c>
      <c r="M103" s="120" t="e">
        <f t="shared" si="9"/>
        <v>#DIV/0!</v>
      </c>
      <c r="N103" s="120" t="e">
        <f t="shared" si="10"/>
        <v>#DIV/0!</v>
      </c>
      <c r="O103" s="120" t="e">
        <f t="shared" si="13"/>
        <v>#DIV/0!</v>
      </c>
      <c r="P103" s="120" t="e">
        <f t="shared" si="11"/>
        <v>#DIV/0!</v>
      </c>
    </row>
    <row r="104" ht="12.75">
      <c r="A104" s="11"/>
    </row>
    <row r="105" spans="3:11" ht="12.75">
      <c r="C105" s="7"/>
      <c r="K105" s="6" t="s">
        <v>257</v>
      </c>
    </row>
    <row r="106" ht="12.75">
      <c r="K106" s="6" t="s">
        <v>237</v>
      </c>
    </row>
    <row r="107" ht="12.75">
      <c r="K107" s="6" t="s">
        <v>258</v>
      </c>
    </row>
    <row r="110" ht="12.75">
      <c r="H110" s="12"/>
    </row>
    <row r="129" ht="12.75">
      <c r="B129" s="8"/>
    </row>
    <row r="130" ht="12.75">
      <c r="B130" s="8"/>
    </row>
  </sheetData>
  <sheetProtection password="CB73" sheet="1" objects="1" scenarios="1"/>
  <mergeCells count="3">
    <mergeCell ref="F3:G3"/>
    <mergeCell ref="K7:K8"/>
    <mergeCell ref="A51:I51"/>
  </mergeCells>
  <dataValidations count="4">
    <dataValidation allowBlank="1" showInputMessage="1" showErrorMessage="1" prompt="Orifice size should be a standard drill bit size between 1/2&quot; and 1&quot;" sqref="F31"/>
    <dataValidation allowBlank="1" showInputMessage="1" showErrorMessage="1" prompt="Between 2 and 6 feet to ensure full utilization of the buffer width" sqref="F32"/>
    <dataValidation type="list" allowBlank="1" showInputMessage="1" showErrorMessage="1" sqref="F37">
      <formula1>$AB$2:$AB$6</formula1>
    </dataValidation>
    <dataValidation type="list" allowBlank="1" showInputMessage="1" showErrorMessage="1" sqref="F3">
      <formula1>$AA$2:$AA$73</formula1>
    </dataValidation>
  </dataValidations>
  <printOptions horizontalCentered="1"/>
  <pageMargins left="0.5" right="0.5" top="0.75" bottom="0.75" header="0" footer="0"/>
  <pageSetup fitToHeight="3" horizontalDpi="600" verticalDpi="600" orientation="portrait" scale="95" r:id="rId2"/>
  <rowBreaks count="1" manualBreakCount="1">
    <brk id="10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4"/>
  <sheetViews>
    <sheetView showGridLines="0" workbookViewId="0" topLeftCell="A1">
      <selection activeCell="A5" sqref="A5"/>
    </sheetView>
  </sheetViews>
  <sheetFormatPr defaultColWidth="9.140625" defaultRowHeight="12.75"/>
  <cols>
    <col min="2" max="2" width="11.8515625" style="0" customWidth="1"/>
    <col min="3" max="3" width="22.7109375" style="0" customWidth="1"/>
    <col min="4" max="4" width="10.421875" style="0" bestFit="1" customWidth="1"/>
    <col min="5" max="5" width="9.8515625" style="0" customWidth="1"/>
  </cols>
  <sheetData>
    <row r="1" spans="1:7" ht="18.75">
      <c r="A1" s="33" t="s">
        <v>85</v>
      </c>
      <c r="B1" s="24"/>
      <c r="C1" s="24"/>
      <c r="D1" s="231"/>
      <c r="E1" s="232"/>
      <c r="F1" s="44"/>
      <c r="G1" s="24" t="s">
        <v>283</v>
      </c>
    </row>
    <row r="2" spans="2:8" ht="12.75">
      <c r="B2" s="69" t="s">
        <v>230</v>
      </c>
      <c r="C2" s="45"/>
      <c r="D2" s="45"/>
      <c r="E2" s="45"/>
      <c r="F2" s="45"/>
      <c r="G2" s="118"/>
      <c r="H2" s="118"/>
    </row>
    <row r="3" ht="13.5" thickBot="1"/>
    <row r="4" spans="3:6" ht="13.5" thickBot="1">
      <c r="C4" s="240" t="s">
        <v>229</v>
      </c>
      <c r="D4" s="241"/>
      <c r="E4" s="242"/>
      <c r="F4" s="14"/>
    </row>
    <row r="5" spans="3:6" ht="12.75">
      <c r="C5" s="62" t="s">
        <v>17</v>
      </c>
      <c r="D5" s="238" t="s">
        <v>15</v>
      </c>
      <c r="E5" s="239"/>
      <c r="F5" s="14"/>
    </row>
    <row r="6" spans="3:6" ht="13.5" thickBot="1">
      <c r="C6" s="63" t="s">
        <v>18</v>
      </c>
      <c r="D6" s="64" t="s">
        <v>16</v>
      </c>
      <c r="E6" s="65" t="s">
        <v>231</v>
      </c>
      <c r="F6" s="14"/>
    </row>
    <row r="7" spans="3:6" ht="6.75" customHeight="1">
      <c r="C7" s="66"/>
      <c r="D7" s="67"/>
      <c r="E7" s="68"/>
      <c r="F7" s="14"/>
    </row>
    <row r="8" spans="3:6" ht="12.75">
      <c r="C8" s="60" t="s">
        <v>19</v>
      </c>
      <c r="D8" s="59">
        <v>0.3</v>
      </c>
      <c r="E8" s="61">
        <v>0.25</v>
      </c>
      <c r="F8" s="14"/>
    </row>
    <row r="9" spans="3:6" ht="6.75" customHeight="1">
      <c r="C9" s="66"/>
      <c r="D9" s="67"/>
      <c r="E9" s="68"/>
      <c r="F9" s="14"/>
    </row>
    <row r="10" spans="3:6" ht="12.75">
      <c r="C10" s="3" t="s">
        <v>232</v>
      </c>
      <c r="D10" s="2">
        <v>0.25</v>
      </c>
      <c r="E10" s="2">
        <v>0.2</v>
      </c>
      <c r="F10" s="14"/>
    </row>
    <row r="11" spans="3:7" ht="6.75" customHeight="1">
      <c r="C11" s="66"/>
      <c r="D11" s="67"/>
      <c r="E11" s="68"/>
      <c r="F11" s="14"/>
      <c r="G11" s="14"/>
    </row>
    <row r="12" spans="3:6" ht="13.5" thickBot="1">
      <c r="C12" s="70" t="s">
        <v>233</v>
      </c>
      <c r="D12" s="71">
        <v>0.125</v>
      </c>
      <c r="E12" s="72">
        <v>0.075</v>
      </c>
      <c r="F12" s="14"/>
    </row>
    <row r="13" ht="12.75">
      <c r="F13" s="14"/>
    </row>
    <row r="14" spans="2:6" ht="12.75">
      <c r="B14" t="s">
        <v>20</v>
      </c>
      <c r="C14" s="14"/>
      <c r="D14" s="58"/>
      <c r="E14" s="58"/>
      <c r="F14" s="14"/>
    </row>
    <row r="15" spans="2:6" ht="12.75">
      <c r="B15" t="s">
        <v>21</v>
      </c>
      <c r="C15" s="14"/>
      <c r="D15" s="14"/>
      <c r="E15" s="14"/>
      <c r="F15" s="14"/>
    </row>
    <row r="17" ht="12.75">
      <c r="B17" s="1" t="s">
        <v>60</v>
      </c>
    </row>
    <row r="18" ht="12.75">
      <c r="B18" t="s">
        <v>61</v>
      </c>
    </row>
    <row r="19" ht="12.75">
      <c r="B19" t="s">
        <v>36</v>
      </c>
    </row>
    <row r="20" ht="12.75">
      <c r="B20" t="s">
        <v>37</v>
      </c>
    </row>
    <row r="21" ht="12.75">
      <c r="B21" t="s">
        <v>38</v>
      </c>
    </row>
    <row r="23" ht="12.75">
      <c r="B23" t="s">
        <v>32</v>
      </c>
    </row>
    <row r="24" ht="12.75">
      <c r="B24" s="1" t="s">
        <v>33</v>
      </c>
    </row>
  </sheetData>
  <sheetProtection password="CB73" sheet="1" objects="1" scenarios="1"/>
  <mergeCells count="2">
    <mergeCell ref="D5:E5"/>
    <mergeCell ref="C4:E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Q58"/>
  <sheetViews>
    <sheetView showGridLines="0" defaultGridColor="0" colorId="57" workbookViewId="0" topLeftCell="A1">
      <selection activeCell="A13" sqref="A13"/>
    </sheetView>
  </sheetViews>
  <sheetFormatPr defaultColWidth="9.140625" defaultRowHeight="12.75"/>
  <cols>
    <col min="1" max="1" width="9.140625" style="6" customWidth="1"/>
    <col min="2" max="2" width="14.28125" style="6" customWidth="1"/>
    <col min="3" max="3" width="12.421875" style="6" bestFit="1" customWidth="1"/>
    <col min="4" max="4" width="11.28125" style="6" bestFit="1" customWidth="1"/>
    <col min="5" max="5" width="10.7109375" style="6" customWidth="1"/>
    <col min="6" max="29" width="9.140625" style="6" customWidth="1"/>
  </cols>
  <sheetData>
    <row r="2" spans="5:6" ht="20.25">
      <c r="E2" s="122"/>
      <c r="F2" s="140" t="s">
        <v>238</v>
      </c>
    </row>
    <row r="3" ht="13.5" thickBot="1">
      <c r="H3" s="122"/>
    </row>
    <row r="4" spans="2:8" ht="12.75">
      <c r="B4" s="141" t="s">
        <v>242</v>
      </c>
      <c r="C4" s="142"/>
      <c r="D4" s="143"/>
      <c r="F4" s="122"/>
      <c r="G4" s="122"/>
      <c r="H4" s="122"/>
    </row>
    <row r="5" spans="2:8" ht="13.5" thickBot="1">
      <c r="B5" s="144" t="s">
        <v>243</v>
      </c>
      <c r="C5" s="145"/>
      <c r="D5" s="146"/>
      <c r="F5" s="122"/>
      <c r="G5" s="122"/>
      <c r="H5" s="122"/>
    </row>
    <row r="6" ht="12.75">
      <c r="M6" s="133" t="s">
        <v>244</v>
      </c>
    </row>
    <row r="8" spans="1:11" ht="12.75">
      <c r="A8" s="147" t="s">
        <v>239</v>
      </c>
      <c r="E8" s="147" t="s">
        <v>240</v>
      </c>
      <c r="K8" s="122"/>
    </row>
    <row r="9" spans="1:17" ht="12.75">
      <c r="A9" s="160" t="str">
        <f>'3. Pump Curve Data'!M9</f>
        <v>Zoeller 270</v>
      </c>
      <c r="B9" s="113"/>
      <c r="C9" s="113"/>
      <c r="D9" s="161"/>
      <c r="E9" s="148" t="s">
        <v>68</v>
      </c>
      <c r="K9" s="122"/>
      <c r="L9" s="121" t="s">
        <v>40</v>
      </c>
      <c r="M9" s="126" t="s">
        <v>250</v>
      </c>
      <c r="O9" s="122"/>
      <c r="P9" s="121" t="s">
        <v>40</v>
      </c>
      <c r="Q9" s="126" t="s">
        <v>251</v>
      </c>
    </row>
    <row r="10" spans="1:17" ht="12.75">
      <c r="A10" s="160" t="str">
        <f>'3. Pump Curve Data'!Q9</f>
        <v>Zoeller 284</v>
      </c>
      <c r="B10" s="113"/>
      <c r="C10" s="113"/>
      <c r="D10" s="161"/>
      <c r="E10" s="148" t="s">
        <v>68</v>
      </c>
      <c r="K10" s="134"/>
      <c r="L10" s="121" t="s">
        <v>41</v>
      </c>
      <c r="M10" s="126" t="s">
        <v>68</v>
      </c>
      <c r="O10" s="134"/>
      <c r="P10" s="121" t="s">
        <v>41</v>
      </c>
      <c r="Q10" s="126" t="s">
        <v>68</v>
      </c>
    </row>
    <row r="11" spans="1:11" ht="12.75">
      <c r="A11" s="160" t="str">
        <f>'3. Pump Curve Data'!M26</f>
        <v>Myers MW50 Series</v>
      </c>
      <c r="B11" s="113"/>
      <c r="C11" s="113"/>
      <c r="D11" s="161"/>
      <c r="E11" s="148" t="s">
        <v>68</v>
      </c>
      <c r="K11" s="122"/>
    </row>
    <row r="12" spans="1:17" ht="13.5" thickBot="1">
      <c r="A12" s="160" t="str">
        <f>'3. Pump Curve Data'!M43</f>
        <v>Goulds Pumps Model 3886 Order Number WS05B</v>
      </c>
      <c r="B12" s="113"/>
      <c r="C12" s="113"/>
      <c r="D12" s="161"/>
      <c r="E12" s="148" t="s">
        <v>68</v>
      </c>
      <c r="K12" s="122"/>
      <c r="L12" s="123" t="s">
        <v>67</v>
      </c>
      <c r="M12" s="123"/>
      <c r="O12" s="122"/>
      <c r="P12" s="123" t="s">
        <v>67</v>
      </c>
      <c r="Q12" s="123"/>
    </row>
    <row r="13" spans="1:17" ht="13.5" thickBot="1">
      <c r="A13" s="162" t="s">
        <v>278</v>
      </c>
      <c r="B13" s="163"/>
      <c r="C13" s="163"/>
      <c r="D13" s="164"/>
      <c r="E13" s="149"/>
      <c r="K13" s="122"/>
      <c r="L13" s="124" t="s">
        <v>2</v>
      </c>
      <c r="M13" s="124" t="s">
        <v>48</v>
      </c>
      <c r="O13" s="122"/>
      <c r="P13" s="124" t="s">
        <v>2</v>
      </c>
      <c r="Q13" s="124" t="s">
        <v>48</v>
      </c>
    </row>
    <row r="14" spans="11:17" ht="12.75">
      <c r="K14" s="122"/>
      <c r="L14" s="125">
        <v>0</v>
      </c>
      <c r="M14" s="135">
        <v>29</v>
      </c>
      <c r="O14" s="122"/>
      <c r="P14" s="125">
        <v>0</v>
      </c>
      <c r="Q14" s="135">
        <v>35</v>
      </c>
    </row>
    <row r="15" spans="11:17" ht="12.75">
      <c r="K15" s="122"/>
      <c r="L15" s="136">
        <v>35</v>
      </c>
      <c r="M15" s="137">
        <v>25</v>
      </c>
      <c r="O15" s="122"/>
      <c r="P15" s="136">
        <v>43</v>
      </c>
      <c r="Q15" s="137">
        <v>30</v>
      </c>
    </row>
    <row r="16" spans="2:17" ht="13.5" thickBot="1">
      <c r="B16" s="15" t="s">
        <v>67</v>
      </c>
      <c r="C16" s="15"/>
      <c r="K16" s="122"/>
      <c r="L16" s="136">
        <v>56</v>
      </c>
      <c r="M16" s="137">
        <v>20</v>
      </c>
      <c r="O16" s="122"/>
      <c r="P16" s="136">
        <v>76</v>
      </c>
      <c r="Q16" s="137">
        <v>25</v>
      </c>
    </row>
    <row r="17" spans="2:17" ht="13.5" thickBot="1">
      <c r="B17" s="28" t="s">
        <v>2</v>
      </c>
      <c r="C17" s="28" t="s">
        <v>48</v>
      </c>
      <c r="K17" s="122"/>
      <c r="L17" s="136">
        <v>77</v>
      </c>
      <c r="M17" s="137">
        <v>15</v>
      </c>
      <c r="O17" s="122"/>
      <c r="P17" s="136">
        <v>106</v>
      </c>
      <c r="Q17" s="137">
        <v>20</v>
      </c>
    </row>
    <row r="18" spans="2:17" ht="12.75">
      <c r="B18" s="29"/>
      <c r="C18" s="30"/>
      <c r="K18" s="122"/>
      <c r="L18" s="136">
        <v>101</v>
      </c>
      <c r="M18" s="137">
        <v>10</v>
      </c>
      <c r="O18" s="122"/>
      <c r="P18" s="136">
        <v>135</v>
      </c>
      <c r="Q18" s="137">
        <v>15</v>
      </c>
    </row>
    <row r="19" spans="2:17" ht="12.75">
      <c r="B19" s="31"/>
      <c r="C19" s="32"/>
      <c r="K19" s="122"/>
      <c r="L19" s="136">
        <v>132</v>
      </c>
      <c r="M19" s="137">
        <v>5</v>
      </c>
      <c r="O19" s="122"/>
      <c r="P19" s="136">
        <v>158</v>
      </c>
      <c r="Q19" s="137">
        <v>10</v>
      </c>
    </row>
    <row r="20" spans="2:17" ht="12.75">
      <c r="B20" s="31"/>
      <c r="C20" s="32"/>
      <c r="K20" s="122"/>
      <c r="L20" s="136">
        <v>132</v>
      </c>
      <c r="M20" s="137">
        <v>5</v>
      </c>
      <c r="O20" s="122"/>
      <c r="P20" s="136">
        <v>180</v>
      </c>
      <c r="Q20" s="137">
        <v>5</v>
      </c>
    </row>
    <row r="21" spans="2:17" ht="12.75">
      <c r="B21" s="31"/>
      <c r="C21" s="32"/>
      <c r="K21" s="122"/>
      <c r="L21" s="136">
        <v>132</v>
      </c>
      <c r="M21" s="137">
        <v>5</v>
      </c>
      <c r="O21" s="122"/>
      <c r="P21" s="136">
        <v>180</v>
      </c>
      <c r="Q21" s="137">
        <v>5</v>
      </c>
    </row>
    <row r="22" spans="2:17" ht="12.75">
      <c r="B22" s="31"/>
      <c r="C22" s="32"/>
      <c r="D22" s="6" t="s">
        <v>241</v>
      </c>
      <c r="K22" s="122"/>
      <c r="L22" s="136">
        <v>132</v>
      </c>
      <c r="M22" s="137">
        <v>5</v>
      </c>
      <c r="O22" s="122"/>
      <c r="P22" s="136">
        <v>180</v>
      </c>
      <c r="Q22" s="137">
        <v>5</v>
      </c>
    </row>
    <row r="23" spans="2:17" ht="13.5" thickBot="1">
      <c r="B23" s="31"/>
      <c r="C23" s="32"/>
      <c r="D23" s="6" t="s">
        <v>196</v>
      </c>
      <c r="K23" s="122"/>
      <c r="L23" s="138">
        <v>132</v>
      </c>
      <c r="M23" s="139">
        <v>5</v>
      </c>
      <c r="O23" s="122"/>
      <c r="P23" s="138">
        <v>180</v>
      </c>
      <c r="Q23" s="139">
        <v>5</v>
      </c>
    </row>
    <row r="24" spans="2:11" ht="12.75">
      <c r="B24" s="31"/>
      <c r="C24" s="32"/>
      <c r="K24" s="122"/>
    </row>
    <row r="25" spans="2:13" ht="12.75">
      <c r="B25" s="31"/>
      <c r="C25" s="32"/>
      <c r="D25" s="6" t="s">
        <v>195</v>
      </c>
      <c r="K25" s="122"/>
      <c r="L25" s="122"/>
      <c r="M25" s="122"/>
    </row>
    <row r="26" spans="2:13" ht="12.75">
      <c r="B26" s="31"/>
      <c r="C26" s="32"/>
      <c r="D26" s="6" t="s">
        <v>84</v>
      </c>
      <c r="K26" s="122"/>
      <c r="L26" s="121" t="s">
        <v>40</v>
      </c>
      <c r="M26" s="126" t="s">
        <v>252</v>
      </c>
    </row>
    <row r="27" spans="2:13" ht="12.75">
      <c r="B27" s="31"/>
      <c r="C27" s="32"/>
      <c r="K27" s="134"/>
      <c r="L27" s="121" t="s">
        <v>41</v>
      </c>
      <c r="M27" s="126" t="s">
        <v>68</v>
      </c>
    </row>
    <row r="28" ht="12.75">
      <c r="K28" s="122"/>
    </row>
    <row r="29" spans="11:13" ht="13.5" thickBot="1">
      <c r="K29" s="122"/>
      <c r="L29" s="123" t="s">
        <v>67</v>
      </c>
      <c r="M29" s="123"/>
    </row>
    <row r="30" spans="11:13" ht="13.5" thickBot="1">
      <c r="K30" s="122"/>
      <c r="L30" s="124" t="s">
        <v>2</v>
      </c>
      <c r="M30" s="124" t="s">
        <v>48</v>
      </c>
    </row>
    <row r="31" spans="11:13" ht="12.75">
      <c r="K31" s="122"/>
      <c r="L31" s="125">
        <v>20</v>
      </c>
      <c r="M31" s="135">
        <v>24</v>
      </c>
    </row>
    <row r="32" spans="11:13" ht="12.75">
      <c r="K32" s="122"/>
      <c r="L32" s="136">
        <v>40</v>
      </c>
      <c r="M32" s="137">
        <v>23</v>
      </c>
    </row>
    <row r="33" spans="11:13" ht="12.75">
      <c r="K33" s="122"/>
      <c r="L33" s="136">
        <v>60</v>
      </c>
      <c r="M33" s="137">
        <v>21</v>
      </c>
    </row>
    <row r="34" spans="11:13" ht="12.75">
      <c r="K34" s="122"/>
      <c r="L34" s="136">
        <v>80</v>
      </c>
      <c r="M34" s="137">
        <v>17</v>
      </c>
    </row>
    <row r="35" spans="11:13" ht="12.75">
      <c r="K35" s="122"/>
      <c r="L35" s="136">
        <v>120</v>
      </c>
      <c r="M35" s="137">
        <v>13</v>
      </c>
    </row>
    <row r="36" spans="11:13" ht="12.75">
      <c r="K36" s="122"/>
      <c r="L36" s="136">
        <v>120</v>
      </c>
      <c r="M36" s="137">
        <v>13</v>
      </c>
    </row>
    <row r="37" spans="11:13" ht="12.75">
      <c r="K37" s="122"/>
      <c r="L37" s="136">
        <v>120</v>
      </c>
      <c r="M37" s="137">
        <v>13</v>
      </c>
    </row>
    <row r="38" spans="11:13" ht="12.75">
      <c r="K38" s="122"/>
      <c r="L38" s="136">
        <v>120</v>
      </c>
      <c r="M38" s="137">
        <v>13</v>
      </c>
    </row>
    <row r="39" spans="11:13" ht="12.75">
      <c r="K39" s="122"/>
      <c r="L39" s="136">
        <v>120</v>
      </c>
      <c r="M39" s="137">
        <v>13</v>
      </c>
    </row>
    <row r="40" spans="11:13" ht="13.5" thickBot="1">
      <c r="K40" s="122"/>
      <c r="L40" s="138">
        <v>120</v>
      </c>
      <c r="M40" s="139">
        <v>13</v>
      </c>
    </row>
    <row r="41" ht="12.75">
      <c r="K41" s="122"/>
    </row>
    <row r="42" spans="11:13" ht="12.75">
      <c r="K42" s="122"/>
      <c r="L42" s="122"/>
      <c r="M42" s="122"/>
    </row>
    <row r="43" spans="11:13" ht="12.75">
      <c r="K43" s="122"/>
      <c r="L43" s="121" t="s">
        <v>40</v>
      </c>
      <c r="M43" s="126" t="s">
        <v>253</v>
      </c>
    </row>
    <row r="44" spans="11:13" ht="12.75">
      <c r="K44" s="134"/>
      <c r="L44" s="121" t="s">
        <v>41</v>
      </c>
      <c r="M44" s="126" t="s">
        <v>68</v>
      </c>
    </row>
    <row r="45" ht="12.75">
      <c r="K45" s="122"/>
    </row>
    <row r="46" spans="11:13" ht="13.5" thickBot="1">
      <c r="K46" s="122"/>
      <c r="L46" s="123" t="s">
        <v>67</v>
      </c>
      <c r="M46" s="123"/>
    </row>
    <row r="47" spans="11:13" ht="13.5" thickBot="1">
      <c r="K47" s="122"/>
      <c r="L47" s="124" t="s">
        <v>2</v>
      </c>
      <c r="M47" s="124" t="s">
        <v>48</v>
      </c>
    </row>
    <row r="48" spans="11:13" ht="12.75">
      <c r="K48" s="122"/>
      <c r="L48" s="125">
        <v>50</v>
      </c>
      <c r="M48" s="135">
        <v>20</v>
      </c>
    </row>
    <row r="49" spans="11:13" ht="12.75">
      <c r="K49" s="122"/>
      <c r="L49" s="136">
        <v>90</v>
      </c>
      <c r="M49" s="137">
        <v>15</v>
      </c>
    </row>
    <row r="50" spans="11:13" ht="12.75">
      <c r="K50" s="122"/>
      <c r="L50" s="136">
        <v>122</v>
      </c>
      <c r="M50" s="137">
        <v>10</v>
      </c>
    </row>
    <row r="51" spans="11:13" ht="12.75">
      <c r="K51" s="122"/>
      <c r="L51" s="136">
        <v>155</v>
      </c>
      <c r="M51" s="137">
        <v>5</v>
      </c>
    </row>
    <row r="52" spans="11:13" ht="12.75">
      <c r="K52" s="122"/>
      <c r="L52" s="136">
        <v>155</v>
      </c>
      <c r="M52" s="137">
        <v>5</v>
      </c>
    </row>
    <row r="53" spans="11:13" ht="12.75">
      <c r="K53" s="122"/>
      <c r="L53" s="136">
        <v>155</v>
      </c>
      <c r="M53" s="137">
        <v>5</v>
      </c>
    </row>
    <row r="54" spans="11:13" ht="12.75">
      <c r="K54" s="122"/>
      <c r="L54" s="136">
        <v>155</v>
      </c>
      <c r="M54" s="137">
        <v>5</v>
      </c>
    </row>
    <row r="55" spans="11:13" ht="12.75">
      <c r="K55" s="122"/>
      <c r="L55" s="136">
        <v>155</v>
      </c>
      <c r="M55" s="137">
        <v>5</v>
      </c>
    </row>
    <row r="56" spans="11:13" ht="12.75">
      <c r="K56" s="122"/>
      <c r="L56" s="136">
        <v>155</v>
      </c>
      <c r="M56" s="137">
        <v>5</v>
      </c>
    </row>
    <row r="57" spans="6:13" ht="12.75">
      <c r="F57" s="122"/>
      <c r="G57" s="122"/>
      <c r="H57" s="122"/>
      <c r="K57" s="122"/>
      <c r="L57" s="136">
        <v>155</v>
      </c>
      <c r="M57" s="137">
        <v>5</v>
      </c>
    </row>
    <row r="58" spans="6:13" ht="12.75">
      <c r="F58" s="122"/>
      <c r="G58" s="122"/>
      <c r="H58" s="122"/>
      <c r="K58" s="122"/>
      <c r="L58" s="122"/>
      <c r="M58" s="122"/>
    </row>
  </sheetData>
  <sheetProtection password="CB73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94"/>
  <sheetViews>
    <sheetView showGridLines="0" workbookViewId="0" topLeftCell="A1">
      <selection activeCell="J2" sqref="J2"/>
    </sheetView>
  </sheetViews>
  <sheetFormatPr defaultColWidth="9.140625" defaultRowHeight="12.75"/>
  <cols>
    <col min="10" max="10" width="12.140625" style="0" customWidth="1"/>
  </cols>
  <sheetData>
    <row r="1" spans="1:10" ht="19.5" thickBot="1">
      <c r="A1" s="48" t="s">
        <v>202</v>
      </c>
      <c r="B1" s="119"/>
      <c r="C1" s="119"/>
      <c r="D1" s="49"/>
      <c r="E1" s="50"/>
      <c r="F1" s="50"/>
      <c r="G1" s="229"/>
      <c r="H1" s="230"/>
      <c r="I1" s="50"/>
      <c r="J1" s="119" t="s">
        <v>283</v>
      </c>
    </row>
    <row r="2" ht="13.5" thickTop="1"/>
    <row r="3" spans="1:5" ht="12.75">
      <c r="A3" s="56" t="s">
        <v>201</v>
      </c>
      <c r="B3" s="56"/>
      <c r="C3" s="56"/>
      <c r="E3" s="38"/>
    </row>
    <row r="4" spans="1:10" ht="12.75">
      <c r="A4" s="243" t="s">
        <v>280</v>
      </c>
      <c r="B4" s="243"/>
      <c r="C4" s="243"/>
      <c r="D4" s="243"/>
      <c r="E4" s="243"/>
      <c r="F4" s="243"/>
      <c r="G4" s="243"/>
      <c r="H4" s="243"/>
      <c r="I4" s="243"/>
      <c r="J4" s="243"/>
    </row>
    <row r="6" spans="1:7" ht="12.75">
      <c r="A6" s="39"/>
      <c r="C6" s="38"/>
      <c r="D6" s="38"/>
      <c r="G6" s="55"/>
    </row>
    <row r="8" spans="1:10" ht="13.5" thickBot="1">
      <c r="A8" s="57" t="s">
        <v>30</v>
      </c>
      <c r="B8" s="57"/>
      <c r="C8" s="57"/>
      <c r="D8" s="57"/>
      <c r="E8" s="57"/>
      <c r="F8" s="57"/>
      <c r="G8" s="57"/>
      <c r="H8" s="73"/>
      <c r="I8" s="73"/>
      <c r="J8" s="73"/>
    </row>
    <row r="10" ht="12.75">
      <c r="A10" s="40" t="s">
        <v>54</v>
      </c>
    </row>
    <row r="11" ht="12.75">
      <c r="A11" t="s">
        <v>59</v>
      </c>
    </row>
    <row r="13" ht="12.75">
      <c r="A13" s="40" t="s">
        <v>55</v>
      </c>
    </row>
    <row r="14" ht="12.75">
      <c r="A14" t="s">
        <v>282</v>
      </c>
    </row>
    <row r="15" ht="12.75">
      <c r="A15" t="s">
        <v>219</v>
      </c>
    </row>
    <row r="17" ht="12.75">
      <c r="A17" s="40" t="s">
        <v>22</v>
      </c>
    </row>
    <row r="18" ht="12.75">
      <c r="A18" s="4" t="s">
        <v>220</v>
      </c>
    </row>
    <row r="19" ht="12.75">
      <c r="A19" t="s">
        <v>221</v>
      </c>
    </row>
    <row r="20" ht="12.75">
      <c r="A20" t="s">
        <v>23</v>
      </c>
    </row>
    <row r="21" ht="12.75">
      <c r="A21" t="s">
        <v>24</v>
      </c>
    </row>
    <row r="23" ht="12.75">
      <c r="A23" s="40" t="s">
        <v>227</v>
      </c>
    </row>
    <row r="24" ht="12.75">
      <c r="A24" t="s">
        <v>77</v>
      </c>
    </row>
    <row r="25" ht="12.75">
      <c r="A25" t="s">
        <v>222</v>
      </c>
    </row>
    <row r="27" ht="12.75">
      <c r="A27" s="41" t="s">
        <v>226</v>
      </c>
    </row>
    <row r="28" ht="12.75">
      <c r="A28" t="s">
        <v>223</v>
      </c>
    </row>
    <row r="29" ht="12.75">
      <c r="A29" s="5" t="s">
        <v>224</v>
      </c>
    </row>
    <row r="31" ht="12.75">
      <c r="A31" s="40" t="s">
        <v>25</v>
      </c>
    </row>
    <row r="32" ht="12.75">
      <c r="A32" t="s">
        <v>26</v>
      </c>
    </row>
    <row r="33" ht="12.75">
      <c r="A33" t="s">
        <v>27</v>
      </c>
    </row>
    <row r="34" ht="12.75">
      <c r="A34" t="s">
        <v>28</v>
      </c>
    </row>
    <row r="35" ht="12.75">
      <c r="A35" t="s">
        <v>254</v>
      </c>
    </row>
    <row r="37" ht="12.75">
      <c r="A37" s="40" t="s">
        <v>29</v>
      </c>
    </row>
    <row r="38" ht="12.75">
      <c r="A38" t="s">
        <v>78</v>
      </c>
    </row>
    <row r="39" ht="12.75">
      <c r="A39" s="46" t="s">
        <v>79</v>
      </c>
    </row>
    <row r="40" ht="12.75">
      <c r="A40" s="46" t="s">
        <v>80</v>
      </c>
    </row>
    <row r="42" ht="12.75">
      <c r="A42" s="40" t="s">
        <v>225</v>
      </c>
    </row>
    <row r="43" ht="12.75">
      <c r="A43" t="s">
        <v>203</v>
      </c>
    </row>
    <row r="44" spans="1:4" ht="12.75">
      <c r="A44" s="5" t="s">
        <v>204</v>
      </c>
      <c r="C44" s="47"/>
      <c r="D44" s="47"/>
    </row>
    <row r="45" spans="1:9" ht="12.75">
      <c r="A45" t="s">
        <v>31</v>
      </c>
      <c r="C45" s="47"/>
      <c r="D45" s="47"/>
      <c r="E45" s="47"/>
      <c r="F45" s="47"/>
      <c r="G45" s="47"/>
      <c r="H45" s="47"/>
      <c r="I45" s="47"/>
    </row>
    <row r="46" spans="1:9" ht="12.75">
      <c r="A46" t="s">
        <v>81</v>
      </c>
      <c r="E46" s="47"/>
      <c r="F46" s="47"/>
      <c r="G46" s="47"/>
      <c r="H46" s="47"/>
      <c r="I46" s="47"/>
    </row>
    <row r="48" ht="12.75">
      <c r="A48" s="1" t="s">
        <v>34</v>
      </c>
    </row>
    <row r="50" ht="12.75">
      <c r="A50" t="s">
        <v>205</v>
      </c>
    </row>
    <row r="51" ht="12.75">
      <c r="A51" t="s">
        <v>206</v>
      </c>
    </row>
    <row r="56" ht="12.75">
      <c r="A56" s="40" t="s">
        <v>228</v>
      </c>
    </row>
    <row r="57" ht="12.75">
      <c r="A57" t="s">
        <v>207</v>
      </c>
    </row>
    <row r="58" ht="12.75">
      <c r="A58" t="s">
        <v>208</v>
      </c>
    </row>
    <row r="59" ht="12.75">
      <c r="A59" s="1" t="s">
        <v>43</v>
      </c>
    </row>
    <row r="61" ht="12.75">
      <c r="A61" s="40" t="s">
        <v>35</v>
      </c>
    </row>
    <row r="62" ht="12.75">
      <c r="A62" t="s">
        <v>44</v>
      </c>
    </row>
    <row r="63" ht="12.75">
      <c r="A63" t="s">
        <v>45</v>
      </c>
    </row>
    <row r="64" ht="12.75">
      <c r="A64" s="1" t="s">
        <v>46</v>
      </c>
    </row>
    <row r="65" ht="12.75">
      <c r="A65" s="1"/>
    </row>
    <row r="66" ht="12.75">
      <c r="A66" t="s">
        <v>247</v>
      </c>
    </row>
    <row r="67" ht="12.75">
      <c r="A67" s="5" t="s">
        <v>248</v>
      </c>
    </row>
    <row r="69" ht="12.75">
      <c r="A69" s="51" t="s">
        <v>212</v>
      </c>
    </row>
    <row r="71" ht="12.75">
      <c r="A71" t="s">
        <v>209</v>
      </c>
    </row>
    <row r="72" ht="12.75">
      <c r="A72" t="s">
        <v>211</v>
      </c>
    </row>
    <row r="73" ht="12.75">
      <c r="A73" t="s">
        <v>210</v>
      </c>
    </row>
    <row r="75" ht="12.75">
      <c r="A75" s="52" t="s">
        <v>213</v>
      </c>
    </row>
    <row r="77" ht="12.75">
      <c r="A77" s="42" t="s">
        <v>82</v>
      </c>
    </row>
    <row r="78" ht="12.75">
      <c r="A78" s="5" t="s">
        <v>214</v>
      </c>
    </row>
    <row r="79" ht="12.75">
      <c r="A79" s="51" t="s">
        <v>215</v>
      </c>
    </row>
    <row r="80" ht="12.75">
      <c r="A80" s="53" t="s">
        <v>216</v>
      </c>
    </row>
    <row r="81" ht="12.75">
      <c r="A81" t="s">
        <v>217</v>
      </c>
    </row>
    <row r="83" ht="12.75">
      <c r="A83" s="5" t="s">
        <v>218</v>
      </c>
    </row>
    <row r="84" ht="12.75">
      <c r="A84" s="54" t="s">
        <v>279</v>
      </c>
    </row>
    <row r="85" ht="12.75">
      <c r="A85" s="54" t="s">
        <v>273</v>
      </c>
    </row>
    <row r="86" ht="12.75">
      <c r="A86" s="43" t="s">
        <v>83</v>
      </c>
    </row>
    <row r="87" ht="12.75">
      <c r="A87" s="5"/>
    </row>
    <row r="88" ht="12.75">
      <c r="A88" s="5"/>
    </row>
    <row r="89" ht="12.75">
      <c r="B89" s="1"/>
    </row>
    <row r="94" ht="12.75">
      <c r="A94" s="1"/>
    </row>
  </sheetData>
  <sheetProtection password="CB73" sheet="1" objects="1" scenarios="1"/>
  <mergeCells count="1">
    <mergeCell ref="A4:J4"/>
  </mergeCells>
  <printOptions/>
  <pageMargins left="0.5" right="0.5" top="0.8" bottom="0.8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dean.sylla</dc:creator>
  <cp:keywords/>
  <dc:description/>
  <cp:lastModifiedBy>scott.mueller</cp:lastModifiedBy>
  <cp:lastPrinted>2008-10-30T19:35:22Z</cp:lastPrinted>
  <dcterms:created xsi:type="dcterms:W3CDTF">2000-03-28T18:02:18Z</dcterms:created>
  <dcterms:modified xsi:type="dcterms:W3CDTF">2008-10-31T12:16:44Z</dcterms:modified>
  <cp:category/>
  <cp:version/>
  <cp:contentType/>
  <cp:contentStatus/>
</cp:coreProperties>
</file>