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660" tabRatio="960" firstSheet="4" activeTab="7"/>
  </bookViews>
  <sheets>
    <sheet name="Sch 1- Rate Base " sheetId="1" r:id="rId1"/>
    <sheet name="Sch 1A - Cash Working Capital" sheetId="2" r:id="rId2"/>
    <sheet name="Sch 2 -Rate of Return" sheetId="3" r:id="rId3"/>
    <sheet name="Sch 3 - Expenses" sheetId="4" r:id="rId4"/>
    <sheet name="PP &amp; OSS WorkSheet" sheetId="5" r:id="rId5"/>
    <sheet name="Sch 3A - Taxes" sheetId="6" r:id="rId6"/>
    <sheet name="Sch 3B - Other Items" sheetId="7" r:id="rId7"/>
    <sheet name="Sch 4 - Average System Cost" sheetId="8" r:id="rId8"/>
    <sheet name="Salaries" sheetId="9" r:id="rId9"/>
    <sheet name="Ratios" sheetId="10" r:id="rId10"/>
  </sheets>
  <definedNames>
    <definedName name="DIST">'Sch 1- Rate Base '!$Q$1:$Q$3</definedName>
    <definedName name="_xlnm.Print_Area" localSheetId="4">'PP &amp; OSS WorkSheet'!$A$1:$F$38</definedName>
    <definedName name="_xlnm.Print_Area" localSheetId="9">'Ratios'!$A$1:$G$88</definedName>
    <definedName name="_xlnm.Print_Area" localSheetId="8">'Salaries'!$A$1:$D$41</definedName>
    <definedName name="_xlnm.Print_Area" localSheetId="0">'Sch 1- Rate Base '!$A$1:$J$163</definedName>
    <definedName name="_xlnm.Print_Area" localSheetId="2">'Sch 2 -Rate of Return'!$A$1:$H$128</definedName>
    <definedName name="_xlnm.Print_Area" localSheetId="5">'Sch 3A - Taxes'!$A$1:$I$33</definedName>
    <definedName name="_xlnm.Print_Area" localSheetId="6">'Sch 3B - Other Items'!$A$1:$J$42</definedName>
    <definedName name="_xlnm.Print_Area" localSheetId="7">'Sch 4 - Average System Cost'!$A$1:$F$45</definedName>
    <definedName name="_xlnm.Print_Titles" localSheetId="9">'Ratios'!$1:$9</definedName>
    <definedName name="_xlnm.Print_Titles" localSheetId="0">'Sch 1- Rate Base '!$1:$14</definedName>
    <definedName name="_xlnm.Print_Titles" localSheetId="2">'Sch 2 -Rate of Return'!$1:$9</definedName>
    <definedName name="_xlnm.Print_Titles" localSheetId="3">'Sch 3 - Expenses'!$1:$13</definedName>
    <definedName name="_xlnm.Print_Titles" localSheetId="5">'Sch 3A - Taxes'!$1:$14</definedName>
    <definedName name="_xlnm.Print_Titles" localSheetId="7">'Sch 4 - Average System Cost'!$1:$9</definedName>
    <definedName name="PROD">'Sch 1- Rate Base '!$R$1:$R$3</definedName>
    <definedName name="PTD">'Sch 1- Rate Base '!$P$1:$P$3</definedName>
    <definedName name="Ratio">'Ratios'!$D$77:$G$87</definedName>
  </definedNames>
  <calcPr fullCalcOnLoad="1"/>
</workbook>
</file>

<file path=xl/sharedStrings.xml><?xml version="1.0" encoding="utf-8"?>
<sst xmlns="http://schemas.openxmlformats.org/spreadsheetml/2006/main" count="1170" uniqueCount="484">
  <si>
    <t>Steam Production Plant</t>
  </si>
  <si>
    <t>Nuclear Production Plant</t>
  </si>
  <si>
    <t>DIRECT</t>
  </si>
  <si>
    <t>GP</t>
  </si>
  <si>
    <t>General Plant</t>
  </si>
  <si>
    <t>GPM</t>
  </si>
  <si>
    <t>Maintenance of General Plant</t>
  </si>
  <si>
    <t>LABOR</t>
  </si>
  <si>
    <t>Account</t>
  </si>
  <si>
    <t xml:space="preserve"> </t>
  </si>
  <si>
    <t>Distribution/</t>
  </si>
  <si>
    <t>PTD</t>
  </si>
  <si>
    <t xml:space="preserve"> Account Description</t>
  </si>
  <si>
    <t>Method</t>
  </si>
  <si>
    <t>Total</t>
  </si>
  <si>
    <t>Production</t>
  </si>
  <si>
    <t>Transmission</t>
  </si>
  <si>
    <t>Other</t>
  </si>
  <si>
    <t>PTDG</t>
  </si>
  <si>
    <t>TD</t>
  </si>
  <si>
    <t>Production Plant:</t>
  </si>
  <si>
    <t>Steam Production</t>
  </si>
  <si>
    <t>310-316</t>
  </si>
  <si>
    <t xml:space="preserve">Nuclear Production </t>
  </si>
  <si>
    <t>320-325</t>
  </si>
  <si>
    <t xml:space="preserve">Hydraulic Production  </t>
  </si>
  <si>
    <t>330-336</t>
  </si>
  <si>
    <t>Other Production</t>
  </si>
  <si>
    <t>340-346</t>
  </si>
  <si>
    <t>Total Production Plant</t>
  </si>
  <si>
    <t>350-359</t>
  </si>
  <si>
    <t>Total Transmission Plant</t>
  </si>
  <si>
    <t xml:space="preserve">Total Distribution Plant  </t>
  </si>
  <si>
    <t>360-373</t>
  </si>
  <si>
    <t xml:space="preserve">General Plant:  </t>
  </si>
  <si>
    <t>Land and Land Rights</t>
  </si>
  <si>
    <t>Structures and Improvements</t>
  </si>
  <si>
    <t>Furniture and Equipment</t>
  </si>
  <si>
    <t>Transportation Equipment</t>
  </si>
  <si>
    <t>Stores Equipment</t>
  </si>
  <si>
    <t>Tools and Garage Equipment</t>
  </si>
  <si>
    <t>Laboratory Equipment</t>
  </si>
  <si>
    <t>Power Operated Equipment</t>
  </si>
  <si>
    <t>Communication Equipment</t>
  </si>
  <si>
    <t>Miscellaneous Equipment</t>
  </si>
  <si>
    <t>Total General Plant</t>
  </si>
  <si>
    <t>Total Electric Plant In-Service</t>
  </si>
  <si>
    <t>Other Production Plant</t>
  </si>
  <si>
    <t>Distribution Plant</t>
  </si>
  <si>
    <t>Total Depreciation and Amortization</t>
  </si>
  <si>
    <t>Distribution Plant:</t>
  </si>
  <si>
    <t>Intangible Plant:</t>
  </si>
  <si>
    <t>LESS:</t>
  </si>
  <si>
    <t>Total Net Plant</t>
  </si>
  <si>
    <t>Nuclear Fuel</t>
  </si>
  <si>
    <t>Other Investment</t>
  </si>
  <si>
    <t>Total Rate Base</t>
  </si>
  <si>
    <t>Nuclear - Maintenance</t>
  </si>
  <si>
    <t>528-532</t>
  </si>
  <si>
    <t>535-540</t>
  </si>
  <si>
    <t>541-545</t>
  </si>
  <si>
    <t>Total Production Expense</t>
  </si>
  <si>
    <t>565</t>
  </si>
  <si>
    <t>Total Transmission Expense</t>
  </si>
  <si>
    <t>Distribution Expense:</t>
  </si>
  <si>
    <t>580-589</t>
  </si>
  <si>
    <t>590-598</t>
  </si>
  <si>
    <t>Total Distribution Expense</t>
  </si>
  <si>
    <t>Customer and Sales Expenses:</t>
  </si>
  <si>
    <t>901-905</t>
  </si>
  <si>
    <t>Total Customer and Sales Expenses</t>
  </si>
  <si>
    <t>Administration and General Expense:</t>
  </si>
  <si>
    <t>Rents</t>
  </si>
  <si>
    <t>Total Administration and General Expenses</t>
  </si>
  <si>
    <t>Total Operations and Maintenance</t>
  </si>
  <si>
    <t>Depreciation and Amortization:</t>
  </si>
  <si>
    <t>Other Included Items:</t>
  </si>
  <si>
    <t>411.7</t>
  </si>
  <si>
    <t>Other Revenues:</t>
  </si>
  <si>
    <t>451</t>
  </si>
  <si>
    <t>453</t>
  </si>
  <si>
    <t>454</t>
  </si>
  <si>
    <t>456</t>
  </si>
  <si>
    <t>Total Other Revenues</t>
  </si>
  <si>
    <t>Total Other Included Items</t>
  </si>
  <si>
    <t>Total Operating Expenses</t>
  </si>
  <si>
    <t>Total Cost</t>
  </si>
  <si>
    <t>BPA REP Reversal</t>
  </si>
  <si>
    <t>Component</t>
  </si>
  <si>
    <t>BONNEVILLE POWER ADMINISTRATION</t>
  </si>
  <si>
    <t>Stores Expense Undistributed</t>
  </si>
  <si>
    <t>RESIDENTIAL PURCHASE AND SALE AGREEMENT</t>
  </si>
  <si>
    <t>Weighted</t>
  </si>
  <si>
    <t>Debt</t>
  </si>
  <si>
    <t>Preferred Equity</t>
  </si>
  <si>
    <t>Common Equity</t>
  </si>
  <si>
    <t>Step 2: Gross Up Equity Return for Federal Income Taxes</t>
  </si>
  <si>
    <t>Total Rate Base from Schedule 1</t>
  </si>
  <si>
    <t>Federal Income Tax Adjusted Weighted Cost of Capital</t>
  </si>
  <si>
    <t>Sales for Resale</t>
  </si>
  <si>
    <t>Total Sales for Resale</t>
  </si>
  <si>
    <t>Schedule 4: Average System Cost</t>
  </si>
  <si>
    <t>(Total Disposition of Plant + Total Sales for Resale + Total Other Revenue)</t>
  </si>
  <si>
    <t>(From Schedule 3)</t>
  </si>
  <si>
    <t>200-201</t>
  </si>
  <si>
    <t>204-207</t>
  </si>
  <si>
    <t>Acquisition Adjustments (Electric)</t>
  </si>
  <si>
    <t>320-323</t>
  </si>
  <si>
    <t>Total Liabilities and Other Credits</t>
  </si>
  <si>
    <t>Total Assets and Other Debits</t>
  </si>
  <si>
    <t xml:space="preserve">Liabilities and Other Credits (Comparative Balance Sheet) </t>
  </si>
  <si>
    <t>Assets and Other Debits (Comparative Balance Sheet)</t>
  </si>
  <si>
    <t>(Utility Plant) Completed Construction - Not Classified</t>
  </si>
  <si>
    <t>110-111</t>
  </si>
  <si>
    <t>Plant Materials and Operating Supplies</t>
  </si>
  <si>
    <t>Construction Work in Progress (CWIP)</t>
  </si>
  <si>
    <t>112-113</t>
  </si>
  <si>
    <t>Schedule 3: Expenses</t>
  </si>
  <si>
    <t>(Total Net Plant + Debits - Credits)</t>
  </si>
  <si>
    <t xml:space="preserve"> (Total Electric Plant In-Service) - (Total Depreciation &amp; Amortization)</t>
  </si>
  <si>
    <t>Nuclear - Fuel</t>
  </si>
  <si>
    <t>Hydraulic - Operation</t>
  </si>
  <si>
    <t>Hydraulic - Maintenance</t>
  </si>
  <si>
    <t>Other Power - Fuel</t>
  </si>
  <si>
    <t>500-509</t>
  </si>
  <si>
    <t>517-525</t>
  </si>
  <si>
    <t>546-550</t>
  </si>
  <si>
    <t>551-554</t>
  </si>
  <si>
    <t>Other Power Supply Expenses</t>
  </si>
  <si>
    <t>System Control and Load Dispatching</t>
  </si>
  <si>
    <t>Power Production Expenses:</t>
  </si>
  <si>
    <t>Steam Power Generation</t>
  </si>
  <si>
    <t>Nuclear Power Generation</t>
  </si>
  <si>
    <t>Hydraulic Power Generation</t>
  </si>
  <si>
    <t>Other Power Generation</t>
  </si>
  <si>
    <t>Total Operations less Wheeling</t>
  </si>
  <si>
    <t>Total Maintenance</t>
  </si>
  <si>
    <t>Total Operations</t>
  </si>
  <si>
    <t>Total Customer Accounts</t>
  </si>
  <si>
    <t>Injuries and Damages</t>
  </si>
  <si>
    <t>Employee Pensions &amp; Benefits</t>
  </si>
  <si>
    <t>Franchise Requirements</t>
  </si>
  <si>
    <t>Miscellaneous General Expenses</t>
  </si>
  <si>
    <t>Regulatory Commission Expenses</t>
  </si>
  <si>
    <t>(Total Expenses: Production + Transmission + Distribution + Customer and Sales +Total Administration and General Expenses)</t>
  </si>
  <si>
    <t>568-573</t>
  </si>
  <si>
    <t>560-567</t>
  </si>
  <si>
    <t xml:space="preserve">Hydraulic Production Plant - Conventional </t>
  </si>
  <si>
    <t>Hydraulic Production Plant - Pumped Storage</t>
  </si>
  <si>
    <t>Common Plant - Electric</t>
  </si>
  <si>
    <t>(Utility Plant) Held For Future Use</t>
  </si>
  <si>
    <t>CURRENT AND ACCRUED LIABILITIES</t>
  </si>
  <si>
    <t>DEFERRED CREDITS</t>
  </si>
  <si>
    <t>Fuel Stock</t>
  </si>
  <si>
    <t>Operation</t>
  </si>
  <si>
    <t>Maintenance</t>
  </si>
  <si>
    <t>Total Intangible Plant</t>
  </si>
  <si>
    <t>(Total Intangible + Total Production + Total Transmission + Total Distribution + Total General)</t>
  </si>
  <si>
    <t>Amount</t>
  </si>
  <si>
    <t>Asset Retirement Costs for General Plant</t>
  </si>
  <si>
    <t>204-208</t>
  </si>
  <si>
    <t>Investment in Associated Companies</t>
  </si>
  <si>
    <t>Other Preliminary Survey and Investigation Charges</t>
  </si>
  <si>
    <t xml:space="preserve">Production </t>
  </si>
  <si>
    <t>Total Retail Load</t>
  </si>
  <si>
    <t>(Less) New Large Single Load</t>
  </si>
  <si>
    <t>Average System Cost $/MWh</t>
  </si>
  <si>
    <t>Form 1</t>
  </si>
  <si>
    <t>Step 1: Weighted Cost of Capital from Most Recent State Commission Rate Order</t>
  </si>
  <si>
    <t xml:space="preserve">Schedule 1: Plant Investment / Rate Base </t>
  </si>
  <si>
    <t xml:space="preserve">Hydraulic Production Plant </t>
  </si>
  <si>
    <t>Forfeited Discounts</t>
  </si>
  <si>
    <t>Other Electric Revenues</t>
  </si>
  <si>
    <t>Interdepartmental Rents</t>
  </si>
  <si>
    <t>Rent from Electric Property</t>
  </si>
  <si>
    <t>Sales of Water and Water Power</t>
  </si>
  <si>
    <t>Miscellaneous Service Revenues</t>
  </si>
  <si>
    <t xml:space="preserve">Intangible Plant - Organization  </t>
  </si>
  <si>
    <t xml:space="preserve">Intangible Plant - Franchises and Consents  </t>
  </si>
  <si>
    <t xml:space="preserve">Intangible Plant - Miscellaneous  </t>
  </si>
  <si>
    <t>Schedule 3A Items: Taxes (Including Income Taxes)</t>
  </si>
  <si>
    <t>FEDERAL</t>
  </si>
  <si>
    <t>Employment Tax</t>
  </si>
  <si>
    <t>Other Federal Taxes</t>
  </si>
  <si>
    <t>Unemployment</t>
  </si>
  <si>
    <t>Regulatory Commission</t>
  </si>
  <si>
    <t>Cash Working Capital Calculation:</t>
  </si>
  <si>
    <t>Total Production O&amp;M</t>
  </si>
  <si>
    <t>Total Administrative and General O&amp;M</t>
  </si>
  <si>
    <t>Allowable Functionalized Cash Working Capital</t>
  </si>
  <si>
    <t xml:space="preserve">Revised Total O&amp;M Expenses </t>
  </si>
  <si>
    <t xml:space="preserve">One-Eighth Revised Total O&amp;M Expenses </t>
  </si>
  <si>
    <t xml:space="preserve">Schedule 3B Other Included Items </t>
  </si>
  <si>
    <t>(From Schedule 3a)</t>
  </si>
  <si>
    <t>Leasehold Improvements</t>
  </si>
  <si>
    <t>Administration and General Salaries</t>
  </si>
  <si>
    <t>Office Supplies &amp; Expenses</t>
  </si>
  <si>
    <t>(Less) Administration Expenses Transferred - Credit</t>
  </si>
  <si>
    <t>Outside Services Employed</t>
  </si>
  <si>
    <t>Property Insurance</t>
  </si>
  <si>
    <t>(Less) Duplicate Charges - Credit</t>
  </si>
  <si>
    <t>General Advertising Expenses</t>
  </si>
  <si>
    <t xml:space="preserve">Long-Term Portion of Derivative Assets </t>
  </si>
  <si>
    <t xml:space="preserve">Fuel Stock Expenses Undistributed </t>
  </si>
  <si>
    <t xml:space="preserve">Prepayments </t>
  </si>
  <si>
    <t xml:space="preserve">Derivative Instrument Assets </t>
  </si>
  <si>
    <t xml:space="preserve">Unamortized Debt Expenses </t>
  </si>
  <si>
    <t xml:space="preserve">Extraordinary Property Losses </t>
  </si>
  <si>
    <t xml:space="preserve">Unrecovered Plant and Regulatory Study Costs </t>
  </si>
  <si>
    <t xml:space="preserve">Other Regulatory Assets </t>
  </si>
  <si>
    <t xml:space="preserve">Preliminary Natural Gas Survey and Investigation Charges </t>
  </si>
  <si>
    <t xml:space="preserve">Clearing Accounts </t>
  </si>
  <si>
    <t xml:space="preserve">Temporary Facilities </t>
  </si>
  <si>
    <t xml:space="preserve">Miscellaneous Deferred Debits </t>
  </si>
  <si>
    <t xml:space="preserve">Deferred Losses from Disposition of Utility Plant </t>
  </si>
  <si>
    <t xml:space="preserve">Research, Development, and Demonstration Expenditures </t>
  </si>
  <si>
    <t xml:space="preserve">Unamortized Loss on Reacquired Debt </t>
  </si>
  <si>
    <t xml:space="preserve">Accumulated Deferred Income Taxes </t>
  </si>
  <si>
    <t xml:space="preserve">Customer Advances for Construction </t>
  </si>
  <si>
    <t xml:space="preserve">Accumulated Deferred Investment Tax Credits </t>
  </si>
  <si>
    <t xml:space="preserve">Deferred Gains from Disposition of Utility Plant </t>
  </si>
  <si>
    <t xml:space="preserve">Other Deferred Credits </t>
  </si>
  <si>
    <t xml:space="preserve">Other Regulatory Liabilities </t>
  </si>
  <si>
    <t xml:space="preserve">Unamortized Gain on Reacquired Debt </t>
  </si>
  <si>
    <t>Amortization of Plant Held for Future Use</t>
  </si>
  <si>
    <t xml:space="preserve">Capital Lease - Common Plant </t>
  </si>
  <si>
    <t>Amortization of Plant Acquisition Adjustments  (Electric)</t>
  </si>
  <si>
    <t>Accumulated Deferred Income Taxes-Accel. Amort.</t>
  </si>
  <si>
    <t xml:space="preserve">Accumulated Deferred Income Taxes-Property </t>
  </si>
  <si>
    <t xml:space="preserve">Accumulated Deferred Income Taxes-Other </t>
  </si>
  <si>
    <t>Federal Income Tax Rate   (Currently 35%)</t>
  </si>
  <si>
    <t>(Total Rate Base * Federal Income Tax Adjusted Weighted Cost of Capital)</t>
  </si>
  <si>
    <t>Income Tax (Included on Schedule 2)</t>
  </si>
  <si>
    <t>TOTAL STATE AND OTHER TAXES</t>
  </si>
  <si>
    <t>TOTAL FEDERAL</t>
  </si>
  <si>
    <t>STATE AND OTHER</t>
  </si>
  <si>
    <t>State and Other Taxes</t>
  </si>
  <si>
    <t>(Total Operating Expenses + Return on Rate Base + State and Other Taxes  - Total Other Included Items)</t>
  </si>
  <si>
    <t>Numbers</t>
  </si>
  <si>
    <t>Mining Plant Depreciation</t>
  </si>
  <si>
    <t>(From Schedule 2)</t>
  </si>
  <si>
    <t>110-112</t>
  </si>
  <si>
    <t xml:space="preserve">Other Tangible Property </t>
  </si>
  <si>
    <t>120.1-120.6</t>
  </si>
  <si>
    <t>107 &amp; 120.1</t>
  </si>
  <si>
    <t>Steam Power - Fuel</t>
  </si>
  <si>
    <t>Steam Power - Operations  (Excluding 501 - Fuel)</t>
  </si>
  <si>
    <t>Steam Power - Maintenance</t>
  </si>
  <si>
    <t>510-515</t>
  </si>
  <si>
    <t>Other Power - Operations (Excluding 547 - Fuel)</t>
  </si>
  <si>
    <t>Nuclear - Operation ( Excluding 518 -  Fuel)</t>
  </si>
  <si>
    <t>Other Power - Maintenance</t>
  </si>
  <si>
    <t>Purchased Power (Excluding REP Reversal)</t>
  </si>
  <si>
    <t>Other Expenses</t>
  </si>
  <si>
    <t>320-324</t>
  </si>
  <si>
    <t>Transportation Expenses (Non Major)</t>
  </si>
  <si>
    <t>Federal Income Tax Factor</t>
  </si>
  <si>
    <t>(Weighted Cost of Capital Plus Federal Income Tax Factor)</t>
  </si>
  <si>
    <t>Step 3: Calculate Return on Rate Base</t>
  </si>
  <si>
    <t xml:space="preserve">Transmission Plant  </t>
  </si>
  <si>
    <t xml:space="preserve">Distribution Plant  </t>
  </si>
  <si>
    <t>Federal Income Tax Adjusted Return on Rate Base</t>
  </si>
  <si>
    <t>Transmission Plant: (i)</t>
  </si>
  <si>
    <t>Transmission Plant (i)</t>
  </si>
  <si>
    <t>Cash Working Capital  (f)</t>
  </si>
  <si>
    <t>Schedule 1A: Cash Working Capital  (f)</t>
  </si>
  <si>
    <t>Total Transmission O&amp;M (i)</t>
  </si>
  <si>
    <t>Schedule 2: Capital Structure and Rate of Return (b)</t>
  </si>
  <si>
    <t>Transmission Expenses: (i)</t>
  </si>
  <si>
    <t>Public Purpose Charges (h)</t>
  </si>
  <si>
    <t>Revenues from Transmission of Electricity of Others (i)</t>
  </si>
  <si>
    <t>(From Schedule 3b)</t>
  </si>
  <si>
    <t>Contract System Cost</t>
  </si>
  <si>
    <t>Total Contract System Cost</t>
  </si>
  <si>
    <t>Contract System Load (MWh)</t>
  </si>
  <si>
    <t xml:space="preserve">Total Contract System Load </t>
  </si>
  <si>
    <t>(Less)  New Large Single Load Costs (d)</t>
  </si>
  <si>
    <t>Total Retail Load (Net of NLSL) (d)</t>
  </si>
  <si>
    <t>Distribution Loss (f)</t>
  </si>
  <si>
    <t>Electric</t>
  </si>
  <si>
    <t>Distribution</t>
  </si>
  <si>
    <t>Customer Accounts</t>
  </si>
  <si>
    <t>Customer Service and Informational</t>
  </si>
  <si>
    <t>Sales</t>
  </si>
  <si>
    <t>Administrative and General</t>
  </si>
  <si>
    <t>Labor Ratio Input:</t>
  </si>
  <si>
    <t>Administrative &amp; General</t>
  </si>
  <si>
    <t>Total Labor</t>
  </si>
  <si>
    <t>Total Distribution O&amp;M</t>
  </si>
  <si>
    <t>Ratio Used</t>
  </si>
  <si>
    <t xml:space="preserve">       TOTAL </t>
  </si>
  <si>
    <t>RATIO  (GP)</t>
  </si>
  <si>
    <t>Production, Transmission, Distribution</t>
  </si>
  <si>
    <t>Transmission Plant</t>
  </si>
  <si>
    <t xml:space="preserve">    PTD Total</t>
  </si>
  <si>
    <t>Intangible Plant - Organization</t>
  </si>
  <si>
    <t>Intangible Plant - Franchises and Consents</t>
  </si>
  <si>
    <t>Transmission, Distribution</t>
  </si>
  <si>
    <t>Labor Ratios</t>
  </si>
  <si>
    <t>Direct to Distribution</t>
  </si>
  <si>
    <t>Direct to Production</t>
  </si>
  <si>
    <t>Direct to Transmission</t>
  </si>
  <si>
    <t>Direct Allocation</t>
  </si>
  <si>
    <t>Production, Transmission, Distribution, General</t>
  </si>
  <si>
    <t>Embedded</t>
  </si>
  <si>
    <t>Effective Cost</t>
  </si>
  <si>
    <t>Capitalization Structure</t>
  </si>
  <si>
    <t>Percent</t>
  </si>
  <si>
    <t>{(ROR – (Embedded Cost of Debt * (Debt / (Total Capital))} * {(Federal Tax Rate / (1- Federal Tax Rate)}</t>
  </si>
  <si>
    <t>Total Customer &amp; Sales</t>
  </si>
  <si>
    <t>Intangible Plant - Miscellaneous</t>
  </si>
  <si>
    <t>Page</t>
  </si>
  <si>
    <t>Number</t>
  </si>
  <si>
    <t>Utility Plant</t>
  </si>
  <si>
    <t>Other Property and Investments</t>
  </si>
  <si>
    <t>FERC Form 1</t>
  </si>
  <si>
    <t>Weighted Cost of Capital</t>
  </si>
  <si>
    <t>Sales for Resale:</t>
  </si>
  <si>
    <t>Operation and Maintenance</t>
  </si>
  <si>
    <t>Production (Enter Total of lines 1 and 9)</t>
  </si>
  <si>
    <t>Transmission (Enter Total of lines 2 and 10)</t>
  </si>
  <si>
    <t>Distribution (Enter Total of lines 3 and 11)</t>
  </si>
  <si>
    <t>Customer Accounts (Transcribe from line 4)</t>
  </si>
  <si>
    <t>Customer Service and Information</t>
  </si>
  <si>
    <t>Customer Service and Information (Transcribe from line 5)</t>
  </si>
  <si>
    <t>Sales (Transcribe from line 6)</t>
  </si>
  <si>
    <t>Administrative and General (Enter Total of lines 7 and 12)</t>
  </si>
  <si>
    <t>Distribution of Salaries and Wages (For Labor Ratio Calculation)</t>
  </si>
  <si>
    <t>354-355</t>
  </si>
  <si>
    <t xml:space="preserve">Derivative Instrument Liabilities </t>
  </si>
  <si>
    <t>Derivative Instrument Liabilities - Hedges</t>
  </si>
  <si>
    <t>Derivative Instrument Assets - Hedges</t>
  </si>
  <si>
    <t>Ratio Table</t>
  </si>
  <si>
    <t>Labor Ratio</t>
  </si>
  <si>
    <t>General Plant Ratio</t>
  </si>
  <si>
    <t>Production, Transmission, Distribution Ratio</t>
  </si>
  <si>
    <t>PTD Ratio</t>
  </si>
  <si>
    <t>Production, Transmission, Distribution and General Plant Ratio</t>
  </si>
  <si>
    <t>General Plant Total</t>
  </si>
  <si>
    <t>PTDG RATIO</t>
  </si>
  <si>
    <t>Transmission and Distribution Plant Ratio</t>
  </si>
  <si>
    <t>TD RATIO</t>
  </si>
  <si>
    <t>Maintenance of General Plant Ratio</t>
  </si>
  <si>
    <t>GPM RATIO</t>
  </si>
  <si>
    <t>SUMMARY RATIO TABLE</t>
  </si>
  <si>
    <t>112-114</t>
  </si>
  <si>
    <r>
      <t>(less)</t>
    </r>
    <r>
      <rPr>
        <sz val="10"/>
        <color indexed="12"/>
        <rFont val="Times New Roman"/>
        <family val="1"/>
      </rPr>
      <t xml:space="preserve"> Long-Term Portion of Derivative Instrument Liabilities - Hedges</t>
    </r>
  </si>
  <si>
    <r>
      <t>(less)</t>
    </r>
    <r>
      <rPr>
        <sz val="10"/>
        <color indexed="12"/>
        <rFont val="Times New Roman"/>
        <family val="1"/>
      </rPr>
      <t xml:space="preserve"> Long-Term Portion of Derivative Instrument Liabilities</t>
    </r>
  </si>
  <si>
    <t>Distribution/Other</t>
  </si>
  <si>
    <t>Default</t>
  </si>
  <si>
    <t>Optional</t>
  </si>
  <si>
    <t>Functionalization</t>
  </si>
  <si>
    <t>Merchandise (Major Only)</t>
  </si>
  <si>
    <t>Other Materials and Supplies (Major only)</t>
  </si>
  <si>
    <t>EPA Allowance Inventory</t>
  </si>
  <si>
    <t xml:space="preserve">Multi-Jurisdiction Investor-Owned Utility Return Calculation </t>
  </si>
  <si>
    <t xml:space="preserve">Single-Jurisdiction Investor-Owned Utility Return Calculation </t>
  </si>
  <si>
    <t xml:space="preserve">Step 1: </t>
  </si>
  <si>
    <t xml:space="preserve"> Weighted Cost of Capital from Most Recent State Commission Rate Order in Jurisdiction 1</t>
  </si>
  <si>
    <t xml:space="preserve"> Weighted Cost of Capital from Most Recent State Commission Rate Order in Jurisdiction 2</t>
  </si>
  <si>
    <t xml:space="preserve"> Weighted Cost of Capital from Most Recent State Commission Rate Order in Jurisdiction 3</t>
  </si>
  <si>
    <t>Rate Base</t>
  </si>
  <si>
    <t>Weighted cost</t>
  </si>
  <si>
    <t>Weighted Return</t>
  </si>
  <si>
    <t>%</t>
  </si>
  <si>
    <r>
      <t xml:space="preserve">Multi-Jurisdiction Investor-Owned Utility Return Calculation </t>
    </r>
    <r>
      <rPr>
        <i/>
        <sz val="12"/>
        <color indexed="12"/>
        <rFont val="Times New Roman"/>
        <family val="1"/>
      </rPr>
      <t>(continued)</t>
    </r>
  </si>
  <si>
    <t>Jurisdiction</t>
  </si>
  <si>
    <t xml:space="preserve">Effective Cost - </t>
  </si>
  <si>
    <t>Allocation</t>
  </si>
  <si>
    <t>Weighted  State Allocation</t>
  </si>
  <si>
    <t>Amortization of Intangible Plant  - Account 301</t>
  </si>
  <si>
    <t>Amortization of Intangible Plant  - Account 302</t>
  </si>
  <si>
    <t xml:space="preserve">Long-Term Portion of Derivative Assets - Hedges </t>
  </si>
  <si>
    <t>112-115</t>
  </si>
  <si>
    <t>Long-Term Portion of Derivative Instrument Liabilities</t>
  </si>
  <si>
    <t>Long-Term Portion of Derivative Instrument Liabilities - Hedges</t>
  </si>
  <si>
    <t xml:space="preserve">    Note: Multi-jurisdictional utilities must begin on Page 2</t>
  </si>
  <si>
    <t xml:space="preserve">            Publicly-owned utilities must begin on Page 4</t>
  </si>
  <si>
    <t>Step 1: Weighted Cost of Debt</t>
  </si>
  <si>
    <t>Year</t>
  </si>
  <si>
    <t>Rate</t>
  </si>
  <si>
    <t>Debt Issue</t>
  </si>
  <si>
    <t>Issued</t>
  </si>
  <si>
    <t>Original</t>
  </si>
  <si>
    <t>Interest</t>
  </si>
  <si>
    <t xml:space="preserve">Interest </t>
  </si>
  <si>
    <t>Expense</t>
  </si>
  <si>
    <t>Due</t>
  </si>
  <si>
    <t>Weighted Cost of Debt</t>
  </si>
  <si>
    <t>Step 2: Calculate Return on Rate Base</t>
  </si>
  <si>
    <t>Gain from Disposition of Utility Plant</t>
  </si>
  <si>
    <t>Gain from Disposition of Allowances</t>
  </si>
  <si>
    <t>DIST</t>
  </si>
  <si>
    <t>TRANS</t>
  </si>
  <si>
    <t>PROD</t>
  </si>
  <si>
    <t>906-907</t>
  </si>
  <si>
    <t>909-910</t>
  </si>
  <si>
    <t>Total Sales Expense</t>
  </si>
  <si>
    <t>911-917</t>
  </si>
  <si>
    <t>Transmission of Electricity by Others (Wheeling)</t>
  </si>
  <si>
    <t>Proposed 2008 Average System Cost Methodology</t>
  </si>
  <si>
    <t>Amortization of Intangible Plant  - Account 303</t>
  </si>
  <si>
    <t>In-Service: Depreciation of Common Plant  (a)</t>
  </si>
  <si>
    <t>Amortization of Other Utility Plant (a)</t>
  </si>
  <si>
    <t>Current and Accrued Assets</t>
  </si>
  <si>
    <t>EPA Allowances Withheld</t>
  </si>
  <si>
    <t>Deferred Debits</t>
  </si>
  <si>
    <t>CONS</t>
  </si>
  <si>
    <t>Miscellaneous Nonoperating Income</t>
  </si>
  <si>
    <t xml:space="preserve">   Less Purchased Power, Public Purpose Charge, REP Reversal, Fuel Costs</t>
  </si>
  <si>
    <t xml:space="preserve">Preliminary Survey and Investigation Charges (Electric) </t>
  </si>
  <si>
    <r>
      <t>(Less)</t>
    </r>
    <r>
      <rPr>
        <sz val="10"/>
        <color indexed="12"/>
        <rFont val="Times New Roman"/>
        <family val="1"/>
      </rPr>
      <t xml:space="preserve"> Long-Term Portion of Derivative Assets </t>
    </r>
  </si>
  <si>
    <t>Purchased Power &amp; Off-System Sales</t>
  </si>
  <si>
    <t>Settlement Total</t>
  </si>
  <si>
    <t>MWh Purchased</t>
  </si>
  <si>
    <t>RQ</t>
  </si>
  <si>
    <t>LF</t>
  </si>
  <si>
    <t>IF</t>
  </si>
  <si>
    <t>SF</t>
  </si>
  <si>
    <t>LU</t>
  </si>
  <si>
    <t>IU</t>
  </si>
  <si>
    <t>OS</t>
  </si>
  <si>
    <t>EX</t>
  </si>
  <si>
    <t>NA</t>
  </si>
  <si>
    <t>AD</t>
  </si>
  <si>
    <t>TOTAL</t>
  </si>
  <si>
    <t>310-311</t>
  </si>
  <si>
    <t>326-327</t>
  </si>
  <si>
    <t>Purchased Power</t>
  </si>
  <si>
    <t>Amortization of Acquisition Adjustments</t>
  </si>
  <si>
    <t>Classification</t>
  </si>
  <si>
    <t>Statistical</t>
  </si>
  <si>
    <t>Conservation Functionalization</t>
  </si>
  <si>
    <t>Jurisdictional</t>
  </si>
  <si>
    <t>Multi-Jurisdiction Investor-Owned Utility Return Calculation:</t>
  </si>
  <si>
    <t>Single-Jurisdiction Investor-Owned Utility Return Calculation:</t>
  </si>
  <si>
    <t>Return on Rate Base</t>
  </si>
  <si>
    <r>
      <t>SUMMARY</t>
    </r>
    <r>
      <rPr>
        <sz val="12"/>
        <color indexed="62"/>
        <rFont val="Times New Roman"/>
        <family val="1"/>
      </rPr>
      <t xml:space="preserve"> </t>
    </r>
    <r>
      <rPr>
        <i/>
        <sz val="12"/>
        <color indexed="62"/>
        <rFont val="Times New Roman"/>
        <family val="1"/>
      </rPr>
      <t>(for use by ASC Forecast Model)</t>
    </r>
  </si>
  <si>
    <t>Rate of Return :</t>
  </si>
  <si>
    <t>(Total O&amp;M + Total Depreciation &amp; Amortization)</t>
  </si>
  <si>
    <t>TOTAL Operation</t>
  </si>
  <si>
    <t>TOTAL Maintenance</t>
  </si>
  <si>
    <t>TOTAL Operation and Maintenance</t>
  </si>
  <si>
    <t>Funct.                  Method</t>
  </si>
  <si>
    <t>Depreciation and Amortization Reserve</t>
  </si>
  <si>
    <t>Depreciation and Amortization Reserve (Other)</t>
  </si>
  <si>
    <t>Total Depreciation and Amortization Reserve</t>
  </si>
  <si>
    <t>Common Plant</t>
  </si>
  <si>
    <t>356 &amp; 356.1</t>
  </si>
  <si>
    <t xml:space="preserve">Consumer-Owned Utility Return Calculation </t>
  </si>
  <si>
    <t>Consumer-Owned Utility Return Calculation:</t>
  </si>
  <si>
    <t>Depreciation Expense for Asset Retirement Costs</t>
  </si>
  <si>
    <t>Amortization of Limited Term Electric Plant</t>
  </si>
  <si>
    <t>Regulatory Credits</t>
  </si>
  <si>
    <t xml:space="preserve">Property </t>
  </si>
  <si>
    <t>State Income, B&amp;O, et.</t>
  </si>
  <si>
    <t>Franchise Fees</t>
  </si>
  <si>
    <t>City/Municipal</t>
  </si>
  <si>
    <t>TOTAL TAXES</t>
  </si>
  <si>
    <t>Proposed 2008 Average System Cost Methodology (ASC) Utility Template</t>
  </si>
  <si>
    <t>UTILITY NAME:</t>
  </si>
  <si>
    <r>
      <t>(Less)</t>
    </r>
    <r>
      <rPr>
        <sz val="10"/>
        <color indexed="12"/>
        <rFont val="Times New Roman"/>
        <family val="1"/>
      </rPr>
      <t xml:space="preserve"> Long-Term Portion of Derivative Assets - Hedges </t>
    </r>
  </si>
  <si>
    <t>End of Year Report Period:</t>
  </si>
  <si>
    <t>ASC Filing Date:</t>
  </si>
  <si>
    <r>
      <t>(Less)</t>
    </r>
    <r>
      <rPr>
        <sz val="10"/>
        <color indexed="12"/>
        <rFont val="Times New Roman"/>
        <family val="1"/>
      </rPr>
      <t xml:space="preserve"> Loss from Disposition of Allowances</t>
    </r>
  </si>
  <si>
    <r>
      <t>(Less)</t>
    </r>
    <r>
      <rPr>
        <b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Regulatory Debits</t>
    </r>
  </si>
  <si>
    <r>
      <t>(Less)</t>
    </r>
    <r>
      <rPr>
        <b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Loss from Disposition of Utility Plant</t>
    </r>
  </si>
  <si>
    <t>Customer Assistance Expenses (Major only)</t>
  </si>
  <si>
    <t>RESIDENTIAL PURCHASE AND SALES AGREEMENT</t>
  </si>
  <si>
    <t>Calculation: Automatic Input from Sch 1A</t>
  </si>
  <si>
    <t>(Automatic Input from Schedule 3- Expenses)</t>
  </si>
  <si>
    <t>Description</t>
  </si>
  <si>
    <t>PUD No. 1 of Franklin County</t>
  </si>
  <si>
    <t>PUD No.1 of Franklin County</t>
  </si>
  <si>
    <t>1996 Revenues &amp; Refunding Bonds</t>
  </si>
  <si>
    <t>5.0% - 5.5%</t>
  </si>
  <si>
    <t>1998 Revenues &amp; Refunding Bonds</t>
  </si>
  <si>
    <t>4.0% - 5.0%</t>
  </si>
  <si>
    <t>2001 Revenue &amp; Refunding Bonds</t>
  </si>
  <si>
    <t>3.75% - 5.625%</t>
  </si>
  <si>
    <t>2002 Revenue &amp; Refunding Bonds</t>
  </si>
  <si>
    <t>4.0% - 5.625%</t>
  </si>
  <si>
    <t>2003 Revenue &amp; Refunding Bonds</t>
  </si>
  <si>
    <t>2.0% - 3.25%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</si>
</sst>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d\ mmm\ yy"/>
    <numFmt numFmtId="166" formatCode="_(* #,##0_);_(* \(#,##0\);_(* &quot;-&quot;??_);_(@_)"/>
    <numFmt numFmtId="167" formatCode="0.0%"/>
    <numFmt numFmtId="168" formatCode="_(* #,##0.0_);_(* \(#,##0.0\);_(* &quot;-&quot;??_);_(@_)"/>
    <numFmt numFmtId="169" formatCode="0.000%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0.0000000000000000%"/>
    <numFmt numFmtId="175" formatCode="0_);\(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&quot;$&quot;* #,##0.000_);_(&quot;$&quot;* \(#,##0.000\);_(&quot;$&quot;* &quot;-&quot;??_);_(@_)"/>
    <numFmt numFmtId="179" formatCode="#,##0.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#,##0.0_);[Red]\(#,##0.0\)"/>
    <numFmt numFmtId="187" formatCode="[$-409]dddd\,\ mmmm\ dd\,\ yyyy"/>
    <numFmt numFmtId="188" formatCode="[$-409]d\-mmm\-yy;@"/>
    <numFmt numFmtId="189" formatCode="&quot;$&quot;#,##0"/>
    <numFmt numFmtId="190" formatCode="0.0000%"/>
    <numFmt numFmtId="191" formatCode="0.00000%"/>
    <numFmt numFmtId="192" formatCode="0.000000%"/>
    <numFmt numFmtId="193" formatCode="0.000000"/>
    <numFmt numFmtId="194" formatCode="_(* #,##0.000_);_(* \(#,##0.000\);_(* &quot;-&quot;???_);_(@_)"/>
    <numFmt numFmtId="195" formatCode="&quot;$&quot;#,##0.000_);[Red]\(&quot;$&quot;#,##0.000\)"/>
    <numFmt numFmtId="196" formatCode="&quot;$&quot;#,##0.0_);[Red]\(&quot;$&quot;#,##0.0\)"/>
    <numFmt numFmtId="197" formatCode="0.0000000%"/>
    <numFmt numFmtId="198" formatCode="0.00000000%"/>
    <numFmt numFmtId="199" formatCode="0.000000000000000%"/>
    <numFmt numFmtId="200" formatCode="&quot;$&quot;#,##0.00"/>
    <numFmt numFmtId="201" formatCode="0.000000000%"/>
    <numFmt numFmtId="202" formatCode="0.0000000"/>
    <numFmt numFmtId="203" formatCode="0.00000"/>
    <numFmt numFmtId="204" formatCode="0.0000"/>
  </numFmts>
  <fonts count="76">
    <font>
      <sz val="12"/>
      <name val="Times New Roman"/>
      <family val="0"/>
    </font>
    <font>
      <sz val="10"/>
      <name val="Helv"/>
      <family val="0"/>
    </font>
    <font>
      <sz val="8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color indexed="12"/>
      <name val="Times New Roman"/>
      <family val="1"/>
    </font>
    <font>
      <sz val="8"/>
      <name val="Arial"/>
      <family val="0"/>
    </font>
    <font>
      <sz val="10"/>
      <name val="Garamond"/>
      <family val="1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b/>
      <i/>
      <u val="single"/>
      <sz val="10"/>
      <color indexed="48"/>
      <name val="Times New Roman"/>
      <family val="1"/>
    </font>
    <font>
      <b/>
      <sz val="10"/>
      <name val="Garamond"/>
      <family val="1"/>
    </font>
    <font>
      <b/>
      <i/>
      <u val="single"/>
      <sz val="14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b/>
      <u val="single"/>
      <sz val="8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i/>
      <u val="single"/>
      <sz val="12"/>
      <color indexed="12"/>
      <name val="Times New Roman"/>
      <family val="1"/>
    </font>
    <font>
      <i/>
      <sz val="8"/>
      <color indexed="12"/>
      <name val="Times New Roman"/>
      <family val="1"/>
    </font>
    <font>
      <sz val="14"/>
      <name val="Times New Roman"/>
      <family val="1"/>
    </font>
    <font>
      <b/>
      <i/>
      <sz val="10"/>
      <color indexed="12"/>
      <name val="Times New Roman"/>
      <family val="1"/>
    </font>
    <font>
      <b/>
      <i/>
      <u val="single"/>
      <sz val="8"/>
      <color indexed="12"/>
      <name val="Times New Roman"/>
      <family val="1"/>
    </font>
    <font>
      <i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56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i/>
      <u val="single"/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i/>
      <sz val="12"/>
      <color indexed="62"/>
      <name val="Times New Roman"/>
      <family val="1"/>
    </font>
    <font>
      <sz val="12"/>
      <color indexed="9"/>
      <name val="Times New Roman"/>
      <family val="1"/>
    </font>
    <font>
      <b/>
      <sz val="11"/>
      <color indexed="10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sz val="10"/>
      <color indexed="62"/>
      <name val="Times New Roman"/>
      <family val="1"/>
    </font>
    <font>
      <b/>
      <sz val="11"/>
      <color indexed="57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  <border>
      <left style="thick">
        <color indexed="18"/>
      </left>
      <right>
        <color indexed="63"/>
      </right>
      <top style="thin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ck">
        <color indexed="18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thin"/>
      <right style="thin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ck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thick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thick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thick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thick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 style="thick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thick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ck">
        <color indexed="62"/>
      </bottom>
    </border>
    <border>
      <left style="medium">
        <color indexed="62"/>
      </left>
      <right style="thick">
        <color indexed="62"/>
      </right>
      <top>
        <color indexed="63"/>
      </top>
      <bottom style="thick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thick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thick">
        <color indexed="62"/>
      </top>
      <bottom style="medium">
        <color indexed="62"/>
      </bottom>
    </border>
    <border>
      <left style="medium">
        <color indexed="62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thick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medium">
        <color indexed="62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thick">
        <color indexed="62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 style="thin">
        <color indexed="62"/>
      </left>
      <right style="thin"/>
      <top style="thin">
        <color indexed="62"/>
      </top>
      <bottom style="thin">
        <color indexed="62"/>
      </bottom>
    </border>
    <border>
      <left style="thin"/>
      <right style="thick">
        <color indexed="62"/>
      </right>
      <top style="thin"/>
      <bottom style="thin"/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medium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/>
      <bottom style="thin">
        <color indexed="62"/>
      </bottom>
    </border>
    <border>
      <left style="thin">
        <color indexed="62"/>
      </left>
      <right style="thin">
        <color indexed="62"/>
      </right>
      <top style="thin"/>
      <bottom style="thin">
        <color indexed="62"/>
      </bottom>
    </border>
    <border>
      <left style="thin">
        <color indexed="62"/>
      </left>
      <right style="thick">
        <color indexed="62"/>
      </right>
      <top style="thin"/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 style="medium"/>
      <top style="medium"/>
      <bottom style="medium"/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medium">
        <color indexed="62"/>
      </bottom>
    </border>
    <border>
      <left style="thick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ck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ck">
        <color indexed="62"/>
      </left>
      <right>
        <color indexed="63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ck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/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 style="thin">
        <color indexed="62"/>
      </bottom>
    </border>
    <border>
      <left style="medium">
        <color indexed="62"/>
      </left>
      <right>
        <color indexed="63"/>
      </right>
      <top style="thin"/>
      <bottom style="thin">
        <color indexed="62"/>
      </bottom>
    </border>
    <border>
      <left>
        <color indexed="63"/>
      </left>
      <right style="thin">
        <color indexed="62"/>
      </right>
      <top style="thin"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/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ck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thin"/>
      <right>
        <color indexed="63"/>
      </right>
      <top style="thin">
        <color indexed="62"/>
      </top>
      <bottom style="thin"/>
    </border>
    <border>
      <left>
        <color indexed="63"/>
      </left>
      <right>
        <color indexed="63"/>
      </right>
      <top style="thin">
        <color indexed="62"/>
      </top>
      <bottom style="thin"/>
    </border>
    <border>
      <left>
        <color indexed="63"/>
      </left>
      <right style="thin">
        <color indexed="62"/>
      </right>
      <top style="thin">
        <color indexed="62"/>
      </top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/>
    </border>
    <border>
      <left style="thin">
        <color indexed="62"/>
      </left>
      <right style="thick">
        <color indexed="62"/>
      </right>
      <top style="thin">
        <color indexed="62"/>
      </top>
      <bottom style="thin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62"/>
      </left>
      <right style="thick">
        <color indexed="56"/>
      </right>
      <top style="medium">
        <color indexed="62"/>
      </top>
      <bottom>
        <color indexed="63"/>
      </bottom>
    </border>
    <border>
      <left style="medium">
        <color indexed="62"/>
      </left>
      <right style="thick">
        <color indexed="56"/>
      </right>
      <top>
        <color indexed="63"/>
      </top>
      <bottom>
        <color indexed="63"/>
      </bottom>
    </border>
    <border>
      <left style="medium">
        <color indexed="62"/>
      </left>
      <right style="thick">
        <color indexed="56"/>
      </right>
      <top>
        <color indexed="63"/>
      </top>
      <bottom style="medium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ck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18"/>
      </left>
      <right style="thin"/>
      <top style="thin">
        <color indexed="18"/>
      </top>
      <bottom style="thin">
        <color indexed="18"/>
      </bottom>
    </border>
    <border>
      <left style="thin"/>
      <right style="thick">
        <color indexed="18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medium">
        <color indexed="1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>
        <color indexed="63"/>
      </right>
      <top style="medium">
        <color indexed="62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thick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ck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ck">
        <color indexed="62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3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7" borderId="1" applyNumberFormat="0" applyAlignment="0" applyProtection="0"/>
    <xf numFmtId="0" fontId="54" fillId="0" borderId="6" applyNumberFormat="0" applyFill="0" applyAlignment="0" applyProtection="0"/>
    <xf numFmtId="0" fontId="55" fillId="22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5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7" fillId="0" borderId="0" xfId="60" applyFont="1" applyBorder="1" applyAlignment="1" applyProtection="1">
      <alignment horizontal="centerContinuous"/>
      <protection/>
    </xf>
    <xf numFmtId="0" fontId="7" fillId="0" borderId="0" xfId="60" applyFont="1" applyFill="1" applyBorder="1" applyAlignment="1" applyProtection="1">
      <alignment horizontal="centerContinuous"/>
      <protection/>
    </xf>
    <xf numFmtId="0" fontId="8" fillId="0" borderId="0" xfId="60" applyFont="1" applyFill="1" applyBorder="1" applyAlignment="1" applyProtection="1">
      <alignment horizontal="centerContinuous"/>
      <protection/>
    </xf>
    <xf numFmtId="38" fontId="9" fillId="0" borderId="0" xfId="60" applyNumberFormat="1" applyFont="1" applyFill="1" applyBorder="1" applyAlignment="1" applyProtection="1">
      <alignment horizontal="centerContinuous"/>
      <protection/>
    </xf>
    <xf numFmtId="38" fontId="7" fillId="0" borderId="0" xfId="60" applyNumberFormat="1" applyFont="1" applyFill="1" applyBorder="1" applyAlignment="1" applyProtection="1">
      <alignment horizontal="centerContinuous"/>
      <protection/>
    </xf>
    <xf numFmtId="0" fontId="11" fillId="0" borderId="0" xfId="60" applyFont="1" applyFill="1" applyBorder="1" applyAlignment="1" applyProtection="1">
      <alignment horizontal="centerContinuous"/>
      <protection/>
    </xf>
    <xf numFmtId="38" fontId="6" fillId="0" borderId="0" xfId="60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12" fillId="0" borderId="0" xfId="60" applyFont="1" applyFill="1" applyBorder="1" applyAlignment="1" applyProtection="1">
      <alignment horizontal="center"/>
      <protection/>
    </xf>
    <xf numFmtId="38" fontId="12" fillId="0" borderId="0" xfId="6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13" fillId="0" borderId="0" xfId="60" applyFont="1" applyFill="1" applyBorder="1" applyProtection="1">
      <alignment/>
      <protection locked="0"/>
    </xf>
    <xf numFmtId="0" fontId="6" fillId="0" borderId="0" xfId="60" applyFont="1" applyBorder="1">
      <alignment/>
      <protection/>
    </xf>
    <xf numFmtId="0" fontId="14" fillId="0" borderId="0" xfId="0" applyFont="1" applyBorder="1" applyAlignment="1">
      <alignment horizontal="center"/>
    </xf>
    <xf numFmtId="0" fontId="15" fillId="0" borderId="0" xfId="60" applyFont="1" applyFill="1" applyBorder="1" applyAlignment="1" applyProtection="1">
      <alignment horizontal="right"/>
      <protection/>
    </xf>
    <xf numFmtId="0" fontId="15" fillId="0" borderId="0" xfId="6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center"/>
    </xf>
    <xf numFmtId="38" fontId="7" fillId="0" borderId="0" xfId="60" applyNumberFormat="1" applyFont="1" applyBorder="1" applyAlignment="1">
      <alignment horizontal="centerContinuous"/>
      <protection/>
    </xf>
    <xf numFmtId="38" fontId="8" fillId="0" borderId="0" xfId="60" applyNumberFormat="1" applyFont="1" applyFill="1" applyBorder="1" applyAlignment="1" applyProtection="1">
      <alignment horizontal="centerContinuous"/>
      <protection/>
    </xf>
    <xf numFmtId="38" fontId="6" fillId="0" borderId="0" xfId="60" applyNumberFormat="1" applyFont="1" applyBorder="1" applyAlignment="1">
      <alignment horizontal="centerContinuous"/>
      <protection/>
    </xf>
    <xf numFmtId="38" fontId="11" fillId="0" borderId="0" xfId="60" applyNumberFormat="1" applyFont="1" applyFill="1" applyBorder="1" applyAlignment="1" applyProtection="1">
      <alignment horizontal="centerContinuous"/>
      <protection/>
    </xf>
    <xf numFmtId="0" fontId="2" fillId="0" borderId="0" xfId="60" applyFont="1" applyFill="1" applyBorder="1" applyAlignment="1" applyProtection="1">
      <alignment horizontal="center"/>
      <protection/>
    </xf>
    <xf numFmtId="0" fontId="16" fillId="0" borderId="0" xfId="60" applyFont="1" applyFill="1" applyBorder="1" applyAlignment="1" applyProtection="1">
      <alignment horizontal="center"/>
      <protection/>
    </xf>
    <xf numFmtId="38" fontId="16" fillId="0" borderId="0" xfId="60" applyNumberFormat="1" applyFont="1" applyFill="1" applyBorder="1" applyAlignment="1" applyProtection="1">
      <alignment horizontal="center"/>
      <protection/>
    </xf>
    <xf numFmtId="38" fontId="16" fillId="0" borderId="0" xfId="60" applyNumberFormat="1" applyFont="1" applyBorder="1" applyAlignment="1" applyProtection="1">
      <alignment horizontal="center"/>
      <protection/>
    </xf>
    <xf numFmtId="0" fontId="16" fillId="0" borderId="0" xfId="60" applyFont="1" applyBorder="1" applyAlignment="1" applyProtection="1">
      <alignment horizontal="right"/>
      <protection/>
    </xf>
    <xf numFmtId="0" fontId="17" fillId="0" borderId="0" xfId="60" applyFont="1" applyFill="1" applyBorder="1" applyAlignment="1" applyProtection="1">
      <alignment horizontal="right"/>
      <protection/>
    </xf>
    <xf numFmtId="0" fontId="17" fillId="0" borderId="0" xfId="60" applyFont="1" applyFill="1" applyBorder="1" applyAlignment="1" applyProtection="1">
      <alignment horizontal="left"/>
      <protection/>
    </xf>
    <xf numFmtId="0" fontId="16" fillId="0" borderId="0" xfId="60" applyFont="1" applyBorder="1" applyAlignment="1" applyProtection="1">
      <alignment horizontal="left"/>
      <protection/>
    </xf>
    <xf numFmtId="38" fontId="2" fillId="0" borderId="0" xfId="60" applyNumberFormat="1" applyFont="1" applyFill="1" applyBorder="1" applyProtection="1">
      <alignment/>
      <protection/>
    </xf>
    <xf numFmtId="38" fontId="2" fillId="0" borderId="0" xfId="60" applyNumberFormat="1" applyFont="1" applyBorder="1" applyProtection="1">
      <alignment/>
      <protection/>
    </xf>
    <xf numFmtId="164" fontId="16" fillId="0" borderId="0" xfId="60" applyNumberFormat="1" applyFont="1" applyFill="1" applyBorder="1" applyAlignment="1" applyProtection="1">
      <alignment horizontal="right"/>
      <protection/>
    </xf>
    <xf numFmtId="164" fontId="16" fillId="0" borderId="0" xfId="60" applyNumberFormat="1" applyFont="1" applyFill="1" applyBorder="1" applyAlignment="1" applyProtection="1">
      <alignment horizontal="left"/>
      <protection/>
    </xf>
    <xf numFmtId="0" fontId="6" fillId="0" borderId="0" xfId="60" applyFont="1" applyFill="1" applyBorder="1" applyProtection="1">
      <alignment/>
      <protection/>
    </xf>
    <xf numFmtId="164" fontId="16" fillId="0" borderId="0" xfId="60" applyNumberFormat="1" applyFont="1" applyBorder="1" applyAlignment="1" applyProtection="1">
      <alignment horizontal="right"/>
      <protection/>
    </xf>
    <xf numFmtId="164" fontId="16" fillId="0" borderId="0" xfId="60" applyNumberFormat="1" applyFont="1" applyBorder="1" applyAlignment="1" applyProtection="1">
      <alignment horizontal="left"/>
      <protection/>
    </xf>
    <xf numFmtId="0" fontId="6" fillId="0" borderId="0" xfId="60" applyFont="1" applyFill="1" applyBorder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 applyProtection="1">
      <alignment/>
      <protection/>
    </xf>
    <xf numFmtId="0" fontId="2" fillId="0" borderId="0" xfId="60" applyFont="1" applyBorder="1" applyAlignment="1" applyProtection="1">
      <alignment horizontal="center"/>
      <protection locked="0"/>
    </xf>
    <xf numFmtId="0" fontId="12" fillId="0" borderId="0" xfId="60" applyFont="1" applyBorder="1" applyAlignment="1" applyProtection="1">
      <alignment horizontal="center"/>
      <protection/>
    </xf>
    <xf numFmtId="38" fontId="2" fillId="0" borderId="0" xfId="0" applyNumberFormat="1" applyFont="1" applyBorder="1" applyAlignment="1">
      <alignment/>
    </xf>
    <xf numFmtId="0" fontId="2" fillId="0" borderId="0" xfId="60" applyFont="1" applyFill="1" applyBorder="1" applyAlignment="1" applyProtection="1">
      <alignment horizontal="left"/>
      <protection/>
    </xf>
    <xf numFmtId="0" fontId="2" fillId="0" borderId="0" xfId="60" applyFont="1" applyBorder="1">
      <alignment/>
      <protection/>
    </xf>
    <xf numFmtId="38" fontId="16" fillId="0" borderId="0" xfId="60" applyNumberFormat="1" applyFont="1" applyBorder="1" applyAlignment="1" applyProtection="1">
      <alignment horizontal="right"/>
      <protection/>
    </xf>
    <xf numFmtId="0" fontId="12" fillId="0" borderId="0" xfId="60" applyFont="1" applyBorder="1" applyProtection="1">
      <alignment/>
      <protection locked="0"/>
    </xf>
    <xf numFmtId="0" fontId="12" fillId="0" borderId="0" xfId="60" applyFont="1" applyBorder="1" applyProtection="1">
      <alignment/>
      <protection/>
    </xf>
    <xf numFmtId="0" fontId="12" fillId="0" borderId="0" xfId="60" applyFont="1" applyFill="1" applyBorder="1" applyProtection="1">
      <alignment/>
      <protection/>
    </xf>
    <xf numFmtId="0" fontId="11" fillId="0" borderId="0" xfId="60" applyFont="1" applyFill="1" applyBorder="1" applyProtection="1">
      <alignment/>
      <protection/>
    </xf>
    <xf numFmtId="0" fontId="12" fillId="0" borderId="0" xfId="60" applyFont="1" applyFill="1" applyBorder="1" applyAlignment="1" applyProtection="1">
      <alignment horizontal="center"/>
      <protection locked="0"/>
    </xf>
    <xf numFmtId="38" fontId="12" fillId="0" borderId="0" xfId="60" applyNumberFormat="1" applyFont="1" applyBorder="1" applyProtection="1">
      <alignment/>
      <protection locked="0"/>
    </xf>
    <xf numFmtId="38" fontId="12" fillId="0" borderId="0" xfId="60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38" fontId="0" fillId="0" borderId="0" xfId="0" applyNumberFormat="1" applyFont="1" applyBorder="1" applyAlignment="1">
      <alignment/>
    </xf>
    <xf numFmtId="164" fontId="2" fillId="0" borderId="0" xfId="60" applyNumberFormat="1" applyFont="1" applyFill="1" applyBorder="1" applyAlignment="1" applyProtection="1">
      <alignment horizontal="right"/>
      <protection/>
    </xf>
    <xf numFmtId="38" fontId="12" fillId="0" borderId="0" xfId="60" applyNumberFormat="1" applyFont="1" applyFill="1" applyBorder="1" applyProtection="1">
      <alignment/>
      <protection/>
    </xf>
    <xf numFmtId="3" fontId="19" fillId="0" borderId="0" xfId="60" applyNumberFormat="1" applyFont="1" applyBorder="1" applyProtection="1">
      <alignment/>
      <protection/>
    </xf>
    <xf numFmtId="3" fontId="19" fillId="0" borderId="0" xfId="60" applyNumberFormat="1" applyFont="1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right"/>
      <protection/>
    </xf>
    <xf numFmtId="9" fontId="16" fillId="0" borderId="0" xfId="65" applyFont="1" applyFill="1" applyBorder="1" applyAlignment="1" applyProtection="1">
      <alignment horizontal="right"/>
      <protection/>
    </xf>
    <xf numFmtId="10" fontId="16" fillId="0" borderId="0" xfId="65" applyNumberFormat="1" applyFont="1" applyFill="1" applyBorder="1" applyAlignment="1" applyProtection="1">
      <alignment horizontal="right"/>
      <protection/>
    </xf>
    <xf numFmtId="3" fontId="16" fillId="0" borderId="0" xfId="60" applyNumberFormat="1" applyFont="1" applyFill="1" applyBorder="1" applyAlignment="1" applyProtection="1">
      <alignment horizontal="right"/>
      <protection/>
    </xf>
    <xf numFmtId="3" fontId="16" fillId="0" borderId="0" xfId="60" applyNumberFormat="1" applyFont="1" applyFill="1" applyBorder="1" applyAlignment="1" applyProtection="1">
      <alignment horizontal="left"/>
      <protection/>
    </xf>
    <xf numFmtId="0" fontId="16" fillId="0" borderId="0" xfId="60" applyFont="1" applyFill="1" applyBorder="1" applyAlignment="1" applyProtection="1">
      <alignment horizontal="right"/>
      <protection/>
    </xf>
    <xf numFmtId="0" fontId="16" fillId="0" borderId="0" xfId="60" applyFont="1" applyFill="1" applyBorder="1" applyAlignment="1" applyProtection="1">
      <alignment horizontal="left"/>
      <protection/>
    </xf>
    <xf numFmtId="0" fontId="2" fillId="0" borderId="0" xfId="60" applyFont="1" applyFill="1" applyBorder="1" applyAlignment="1" applyProtection="1">
      <alignment horizontal="right"/>
      <protection/>
    </xf>
    <xf numFmtId="0" fontId="6" fillId="0" borderId="0" xfId="60" applyFont="1" applyFill="1" applyBorder="1" applyAlignment="1">
      <alignment horizontal="right"/>
      <protection/>
    </xf>
    <xf numFmtId="3" fontId="16" fillId="0" borderId="0" xfId="60" applyNumberFormat="1" applyFont="1" applyFill="1" applyBorder="1" applyAlignment="1" applyProtection="1">
      <alignment horizontal="center"/>
      <protection/>
    </xf>
    <xf numFmtId="0" fontId="6" fillId="0" borderId="0" xfId="60" applyFont="1" applyFill="1" applyBorder="1" applyAlignment="1">
      <alignment horizontal="left"/>
      <protection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2" fillId="0" borderId="0" xfId="60" applyFont="1" applyBorder="1" applyAlignment="1">
      <alignment horizontal="center"/>
      <protection/>
    </xf>
    <xf numFmtId="38" fontId="0" fillId="0" borderId="0" xfId="0" applyNumberFormat="1" applyFont="1" applyFill="1" applyBorder="1" applyAlignment="1">
      <alignment/>
    </xf>
    <xf numFmtId="38" fontId="12" fillId="0" borderId="0" xfId="60" applyNumberFormat="1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1" fillId="0" borderId="0" xfId="60" applyFont="1" applyBorder="1" applyProtection="1">
      <alignment/>
      <protection locked="0"/>
    </xf>
    <xf numFmtId="0" fontId="11" fillId="0" borderId="0" xfId="60" applyFont="1" applyFill="1" applyBorder="1" applyAlignment="1" applyProtection="1">
      <alignment horizontal="left"/>
      <protection/>
    </xf>
    <xf numFmtId="0" fontId="11" fillId="0" borderId="0" xfId="60" applyFont="1" applyFill="1" applyBorder="1" applyAlignment="1" applyProtection="1">
      <alignment horizontal="center"/>
      <protection locked="0"/>
    </xf>
    <xf numFmtId="0" fontId="11" fillId="0" borderId="0" xfId="60" applyFont="1" applyFill="1" applyBorder="1" applyAlignment="1" applyProtection="1">
      <alignment horizontal="left"/>
      <protection locked="0"/>
    </xf>
    <xf numFmtId="0" fontId="11" fillId="0" borderId="0" xfId="60" applyFont="1" applyFill="1" applyBorder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/>
      <protection locked="0"/>
    </xf>
    <xf numFmtId="0" fontId="0" fillId="0" borderId="0" xfId="60" applyFont="1" applyBorder="1" applyAlignment="1" applyProtection="1">
      <alignment horizontal="center"/>
      <protection/>
    </xf>
    <xf numFmtId="0" fontId="0" fillId="0" borderId="0" xfId="60" applyFont="1" applyFill="1" applyBorder="1" applyAlignment="1" applyProtection="1">
      <alignment horizontal="center"/>
      <protection/>
    </xf>
    <xf numFmtId="38" fontId="20" fillId="0" borderId="0" xfId="60" applyNumberFormat="1" applyFont="1" applyBorder="1" applyAlignment="1" applyProtection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11" fillId="0" borderId="0" xfId="60" applyFont="1" applyFill="1" applyBorder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60" applyFont="1" applyBorder="1" applyAlignment="1" applyProtection="1">
      <alignment horizontal="left"/>
      <protection/>
    </xf>
    <xf numFmtId="0" fontId="13" fillId="0" borderId="0" xfId="60" applyFont="1" applyFill="1" applyBorder="1" applyAlignment="1" applyProtection="1">
      <alignment horizontal="center"/>
      <protection/>
    </xf>
    <xf numFmtId="38" fontId="0" fillId="0" borderId="0" xfId="60" applyNumberFormat="1" applyFont="1" applyBorder="1" applyAlignment="1" applyProtection="1">
      <alignment horizontal="left"/>
      <protection locked="0"/>
    </xf>
    <xf numFmtId="38" fontId="20" fillId="0" borderId="0" xfId="60" applyNumberFormat="1" applyFont="1" applyBorder="1" applyAlignment="1" applyProtection="1">
      <alignment horizontal="left"/>
      <protection/>
    </xf>
    <xf numFmtId="38" fontId="20" fillId="0" borderId="0" xfId="6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8" fillId="0" borderId="0" xfId="62" applyFont="1" applyFill="1" applyBorder="1">
      <alignment/>
      <protection/>
    </xf>
    <xf numFmtId="0" fontId="12" fillId="0" borderId="0" xfId="60" applyFont="1" applyFill="1" applyBorder="1" applyProtection="1">
      <alignment/>
      <protection locked="0"/>
    </xf>
    <xf numFmtId="0" fontId="12" fillId="0" borderId="0" xfId="60" applyFont="1" applyFill="1" applyBorder="1" applyAlignment="1" applyProtection="1">
      <alignment horizontal="left"/>
      <protection/>
    </xf>
    <xf numFmtId="0" fontId="21" fillId="0" borderId="0" xfId="60" applyFont="1" applyFill="1" applyBorder="1" applyAlignment="1" applyProtection="1">
      <alignment horizontal="left"/>
      <protection locked="0"/>
    </xf>
    <xf numFmtId="0" fontId="18" fillId="0" borderId="0" xfId="60" applyFont="1" applyFill="1" applyBorder="1" applyProtection="1">
      <alignment/>
      <protection locked="0"/>
    </xf>
    <xf numFmtId="0" fontId="12" fillId="0" borderId="0" xfId="0" applyFont="1" applyFill="1" applyBorder="1" applyAlignment="1">
      <alignment/>
    </xf>
    <xf numFmtId="0" fontId="13" fillId="0" borderId="0" xfId="62" applyFont="1" applyFill="1" applyBorder="1">
      <alignment/>
      <protection/>
    </xf>
    <xf numFmtId="0" fontId="13" fillId="0" borderId="0" xfId="60" applyFont="1" applyFill="1" applyBorder="1" applyProtection="1">
      <alignment/>
      <protection/>
    </xf>
    <xf numFmtId="0" fontId="23" fillId="0" borderId="0" xfId="59" applyFont="1">
      <alignment/>
      <protection/>
    </xf>
    <xf numFmtId="177" fontId="23" fillId="0" borderId="0" xfId="45" applyNumberFormat="1" applyFont="1" applyAlignment="1">
      <alignment/>
    </xf>
    <xf numFmtId="38" fontId="11" fillId="0" borderId="0" xfId="6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centerContinuous"/>
    </xf>
    <xf numFmtId="38" fontId="26" fillId="0" borderId="0" xfId="60" applyNumberFormat="1" applyFont="1" applyFill="1" applyBorder="1" applyAlignment="1" applyProtection="1">
      <alignment horizontal="centerContinuous"/>
      <protection/>
    </xf>
    <xf numFmtId="0" fontId="27" fillId="0" borderId="0" xfId="59" applyFont="1">
      <alignment/>
      <protection/>
    </xf>
    <xf numFmtId="43" fontId="6" fillId="0" borderId="0" xfId="42" applyFont="1" applyAlignment="1">
      <alignment/>
    </xf>
    <xf numFmtId="38" fontId="11" fillId="0" borderId="0" xfId="60" applyNumberFormat="1" applyFont="1" applyBorder="1" applyAlignment="1" applyProtection="1">
      <alignment horizontal="center"/>
      <protection/>
    </xf>
    <xf numFmtId="0" fontId="30" fillId="0" borderId="0" xfId="60" applyFont="1" applyBorder="1" applyAlignment="1" applyProtection="1">
      <alignment horizontal="center"/>
      <protection/>
    </xf>
    <xf numFmtId="0" fontId="30" fillId="0" borderId="0" xfId="60" applyFont="1" applyBorder="1" applyAlignment="1" applyProtection="1">
      <alignment horizontal="center"/>
      <protection locked="0"/>
    </xf>
    <xf numFmtId="0" fontId="30" fillId="0" borderId="0" xfId="6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1" fillId="0" borderId="0" xfId="60" applyFont="1" applyFill="1" applyBorder="1" applyProtection="1">
      <alignment/>
      <protection locked="0"/>
    </xf>
    <xf numFmtId="0" fontId="18" fillId="0" borderId="0" xfId="60" applyFont="1" applyFill="1" applyBorder="1" applyAlignment="1" applyProtection="1">
      <alignment horizontal="left"/>
      <protection/>
    </xf>
    <xf numFmtId="0" fontId="21" fillId="0" borderId="0" xfId="60" applyFont="1" applyFill="1" applyBorder="1" applyAlignment="1" applyProtection="1">
      <alignment horizontal="left"/>
      <protection/>
    </xf>
    <xf numFmtId="0" fontId="21" fillId="0" borderId="0" xfId="60" applyFont="1" applyFill="1" applyBorder="1" applyAlignment="1" applyProtection="1">
      <alignment horizontal="center"/>
      <protection/>
    </xf>
    <xf numFmtId="0" fontId="11" fillId="0" borderId="0" xfId="60" applyFont="1" applyFill="1" applyBorder="1">
      <alignment/>
      <protection/>
    </xf>
    <xf numFmtId="0" fontId="11" fillId="0" borderId="0" xfId="60" applyFont="1" applyFill="1" applyBorder="1" applyAlignment="1">
      <alignment horizontal="center"/>
      <protection/>
    </xf>
    <xf numFmtId="164" fontId="12" fillId="0" borderId="0" xfId="60" applyNumberFormat="1" applyFont="1" applyFill="1" applyBorder="1" applyProtection="1">
      <alignment/>
      <protection/>
    </xf>
    <xf numFmtId="0" fontId="13" fillId="0" borderId="0" xfId="0" applyFont="1" applyBorder="1" applyAlignment="1">
      <alignment/>
    </xf>
    <xf numFmtId="3" fontId="11" fillId="0" borderId="0" xfId="60" applyNumberFormat="1" applyFont="1" applyFill="1" applyBorder="1" applyAlignment="1" applyProtection="1">
      <alignment horizontal="center"/>
      <protection locked="0"/>
    </xf>
    <xf numFmtId="0" fontId="30" fillId="0" borderId="0" xfId="6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3" fontId="12" fillId="0" borderId="0" xfId="6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0" xfId="60" applyFont="1" applyBorder="1" applyAlignment="1" applyProtection="1">
      <alignment horizontal="centerContinuous"/>
      <protection/>
    </xf>
    <xf numFmtId="0" fontId="34" fillId="0" borderId="0" xfId="6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horizontal="left" vertical="center"/>
    </xf>
    <xf numFmtId="0" fontId="12" fillId="0" borderId="0" xfId="6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1" fillId="0" borderId="10" xfId="60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Continuous"/>
    </xf>
    <xf numFmtId="9" fontId="8" fillId="0" borderId="0" xfId="62" applyNumberFormat="1" applyFont="1" applyBorder="1" applyAlignment="1">
      <alignment horizontal="center"/>
      <protection/>
    </xf>
    <xf numFmtId="0" fontId="11" fillId="0" borderId="0" xfId="60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/>
    </xf>
    <xf numFmtId="0" fontId="13" fillId="0" borderId="0" xfId="0" applyFont="1" applyAlignment="1">
      <alignment/>
    </xf>
    <xf numFmtId="38" fontId="8" fillId="0" borderId="0" xfId="60" applyNumberFormat="1" applyFont="1" applyFill="1" applyBorder="1" applyAlignment="1" applyProtection="1">
      <alignment horizontal="center"/>
      <protection/>
    </xf>
    <xf numFmtId="38" fontId="8" fillId="0" borderId="0" xfId="60" applyNumberFormat="1" applyFont="1" applyBorder="1" applyAlignment="1" applyProtection="1">
      <alignment horizontal="center"/>
      <protection/>
    </xf>
    <xf numFmtId="0" fontId="39" fillId="0" borderId="0" xfId="60" applyFont="1" applyBorder="1" applyAlignment="1">
      <alignment horizontal="center"/>
      <protection/>
    </xf>
    <xf numFmtId="0" fontId="39" fillId="0" borderId="0" xfId="60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8" fillId="0" borderId="0" xfId="61" applyFont="1" applyBorder="1">
      <alignment/>
      <protection/>
    </xf>
    <xf numFmtId="0" fontId="13" fillId="0" borderId="0" xfId="61" applyFont="1" applyBorder="1">
      <alignment/>
      <protection/>
    </xf>
    <xf numFmtId="43" fontId="6" fillId="0" borderId="0" xfId="42" applyFont="1" applyBorder="1" applyAlignment="1">
      <alignment horizontal="centerContinuous"/>
    </xf>
    <xf numFmtId="38" fontId="11" fillId="0" borderId="11" xfId="60" applyNumberFormat="1" applyFont="1" applyFill="1" applyBorder="1" applyAlignment="1" applyProtection="1">
      <alignment horizontal="right"/>
      <protection/>
    </xf>
    <xf numFmtId="43" fontId="11" fillId="0" borderId="11" xfId="42" applyFont="1" applyFill="1" applyBorder="1" applyAlignment="1">
      <alignment/>
    </xf>
    <xf numFmtId="0" fontId="35" fillId="0" borderId="12" xfId="0" applyFont="1" applyBorder="1" applyAlignment="1">
      <alignment horizontal="centerContinuous"/>
    </xf>
    <xf numFmtId="0" fontId="35" fillId="0" borderId="13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43" fontId="6" fillId="0" borderId="13" xfId="42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4" xfId="60" applyFont="1" applyBorder="1" applyAlignment="1" applyProtection="1">
      <alignment horizontal="centerContinuous"/>
      <protection/>
    </xf>
    <xf numFmtId="166" fontId="6" fillId="0" borderId="0" xfId="42" applyNumberFormat="1" applyFont="1" applyFill="1" applyBorder="1" applyAlignment="1">
      <alignment/>
    </xf>
    <xf numFmtId="0" fontId="8" fillId="0" borderId="14" xfId="59" applyFont="1" applyBorder="1">
      <alignment/>
      <protection/>
    </xf>
    <xf numFmtId="0" fontId="13" fillId="0" borderId="0" xfId="59" applyFont="1" applyBorder="1">
      <alignment/>
      <protection/>
    </xf>
    <xf numFmtId="166" fontId="13" fillId="0" borderId="0" xfId="42" applyNumberFormat="1" applyFont="1" applyFill="1" applyBorder="1" applyAlignment="1">
      <alignment/>
    </xf>
    <xf numFmtId="166" fontId="13" fillId="0" borderId="15" xfId="42" applyNumberFormat="1" applyFont="1" applyFill="1" applyBorder="1" applyAlignment="1">
      <alignment/>
    </xf>
    <xf numFmtId="177" fontId="13" fillId="0" borderId="0" xfId="45" applyNumberFormat="1" applyFont="1" applyBorder="1" applyAlignment="1">
      <alignment/>
    </xf>
    <xf numFmtId="177" fontId="13" fillId="0" borderId="15" xfId="45" applyNumberFormat="1" applyFont="1" applyBorder="1" applyAlignment="1">
      <alignment/>
    </xf>
    <xf numFmtId="0" fontId="13" fillId="0" borderId="0" xfId="59" applyFont="1" applyFill="1" applyBorder="1">
      <alignment/>
      <protection/>
    </xf>
    <xf numFmtId="0" fontId="8" fillId="0" borderId="0" xfId="59" applyFont="1" applyBorder="1">
      <alignment/>
      <protection/>
    </xf>
    <xf numFmtId="0" fontId="8" fillId="0" borderId="16" xfId="59" applyFont="1" applyBorder="1">
      <alignment/>
      <protection/>
    </xf>
    <xf numFmtId="0" fontId="13" fillId="0" borderId="17" xfId="59" applyFont="1" applyBorder="1">
      <alignment/>
      <protection/>
    </xf>
    <xf numFmtId="177" fontId="13" fillId="0" borderId="17" xfId="45" applyNumberFormat="1" applyFont="1" applyBorder="1" applyAlignment="1">
      <alignment/>
    </xf>
    <xf numFmtId="177" fontId="13" fillId="0" borderId="18" xfId="45" applyNumberFormat="1" applyFont="1" applyBorder="1" applyAlignment="1">
      <alignment/>
    </xf>
    <xf numFmtId="177" fontId="23" fillId="0" borderId="13" xfId="45" applyNumberFormat="1" applyFont="1" applyBorder="1" applyAlignment="1">
      <alignment horizontal="centerContinuous"/>
    </xf>
    <xf numFmtId="177" fontId="23" fillId="0" borderId="19" xfId="45" applyNumberFormat="1" applyFont="1" applyBorder="1" applyAlignment="1">
      <alignment horizontal="centerContinuous"/>
    </xf>
    <xf numFmtId="177" fontId="23" fillId="0" borderId="0" xfId="45" applyNumberFormat="1" applyFont="1" applyBorder="1" applyAlignment="1">
      <alignment horizontal="centerContinuous"/>
    </xf>
    <xf numFmtId="177" fontId="23" fillId="0" borderId="15" xfId="45" applyNumberFormat="1" applyFont="1" applyBorder="1" applyAlignment="1">
      <alignment horizontal="centerContinuous"/>
    </xf>
    <xf numFmtId="0" fontId="35" fillId="0" borderId="14" xfId="59" applyFont="1" applyBorder="1">
      <alignment/>
      <protection/>
    </xf>
    <xf numFmtId="0" fontId="8" fillId="0" borderId="0" xfId="59" applyFont="1" applyBorder="1" applyAlignment="1">
      <alignment horizontal="center"/>
      <protection/>
    </xf>
    <xf numFmtId="0" fontId="13" fillId="0" borderId="20" xfId="59" applyFont="1" applyBorder="1">
      <alignment/>
      <protection/>
    </xf>
    <xf numFmtId="177" fontId="13" fillId="22" borderId="20" xfId="45" applyNumberFormat="1" applyFont="1" applyFill="1" applyBorder="1" applyAlignment="1">
      <alignment/>
    </xf>
    <xf numFmtId="166" fontId="13" fillId="22" borderId="20" xfId="42" applyNumberFormat="1" applyFont="1" applyFill="1" applyBorder="1" applyAlignment="1">
      <alignment/>
    </xf>
    <xf numFmtId="166" fontId="13" fillId="22" borderId="21" xfId="42" applyNumberFormat="1" applyFont="1" applyFill="1" applyBorder="1" applyAlignment="1">
      <alignment/>
    </xf>
    <xf numFmtId="0" fontId="13" fillId="0" borderId="22" xfId="59" applyFont="1" applyBorder="1">
      <alignment/>
      <protection/>
    </xf>
    <xf numFmtId="0" fontId="8" fillId="0" borderId="22" xfId="59" applyFont="1" applyBorder="1">
      <alignment/>
      <protection/>
    </xf>
    <xf numFmtId="177" fontId="13" fillId="22" borderId="21" xfId="45" applyNumberFormat="1" applyFont="1" applyFill="1" applyBorder="1" applyAlignment="1">
      <alignment/>
    </xf>
    <xf numFmtId="9" fontId="8" fillId="0" borderId="0" xfId="65" applyFont="1" applyFill="1" applyBorder="1" applyAlignment="1">
      <alignment/>
    </xf>
    <xf numFmtId="9" fontId="8" fillId="0" borderId="15" xfId="65" applyFont="1" applyFill="1" applyBorder="1" applyAlignment="1">
      <alignment/>
    </xf>
    <xf numFmtId="0" fontId="28" fillId="0" borderId="23" xfId="0" applyFont="1" applyBorder="1" applyAlignment="1">
      <alignment horizontal="centerContinuous"/>
    </xf>
    <xf numFmtId="0" fontId="28" fillId="0" borderId="24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43" fontId="6" fillId="0" borderId="24" xfId="42" applyFont="1" applyBorder="1" applyAlignment="1">
      <alignment horizontal="centerContinuous"/>
    </xf>
    <xf numFmtId="177" fontId="23" fillId="0" borderId="24" xfId="45" applyNumberFormat="1" applyFont="1" applyBorder="1" applyAlignment="1">
      <alignment horizontal="centerContinuous"/>
    </xf>
    <xf numFmtId="177" fontId="23" fillId="0" borderId="25" xfId="45" applyNumberFormat="1" applyFont="1" applyBorder="1" applyAlignment="1">
      <alignment horizontal="centerContinuous"/>
    </xf>
    <xf numFmtId="0" fontId="13" fillId="0" borderId="26" xfId="59" applyFont="1" applyBorder="1">
      <alignment/>
      <protection/>
    </xf>
    <xf numFmtId="177" fontId="13" fillId="0" borderId="27" xfId="45" applyNumberFormat="1" applyFont="1" applyBorder="1" applyAlignment="1">
      <alignment/>
    </xf>
    <xf numFmtId="177" fontId="13" fillId="0" borderId="28" xfId="45" applyNumberFormat="1" applyFont="1" applyBorder="1" applyAlignment="1">
      <alignment/>
    </xf>
    <xf numFmtId="38" fontId="37" fillId="0" borderId="0" xfId="60" applyNumberFormat="1" applyFont="1" applyFill="1" applyBorder="1" applyAlignment="1" applyProtection="1">
      <alignment horizontal="centerContinuous"/>
      <protection/>
    </xf>
    <xf numFmtId="38" fontId="8" fillId="0" borderId="0" xfId="60" applyNumberFormat="1" applyFont="1" applyBorder="1" applyAlignment="1">
      <alignment horizontal="centerContinuous"/>
      <protection/>
    </xf>
    <xf numFmtId="38" fontId="11" fillId="0" borderId="0" xfId="60" applyNumberFormat="1" applyFont="1" applyBorder="1">
      <alignment/>
      <protection/>
    </xf>
    <xf numFmtId="38" fontId="11" fillId="0" borderId="0" xfId="60" applyNumberFormat="1" applyFont="1" applyBorder="1" applyProtection="1">
      <alignment/>
      <protection/>
    </xf>
    <xf numFmtId="0" fontId="40" fillId="0" borderId="0" xfId="0" applyFont="1" applyFill="1" applyBorder="1" applyAlignment="1">
      <alignment/>
    </xf>
    <xf numFmtId="0" fontId="13" fillId="0" borderId="0" xfId="0" applyFont="1" applyBorder="1" applyAlignment="1">
      <alignment horizontal="centerContinuous"/>
    </xf>
    <xf numFmtId="0" fontId="12" fillId="0" borderId="0" xfId="60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37" fillId="0" borderId="0" xfId="60" applyFont="1" applyFill="1" applyBorder="1" applyAlignment="1" applyProtection="1">
      <alignment horizontal="centerContinuous"/>
      <protection/>
    </xf>
    <xf numFmtId="0" fontId="13" fillId="0" borderId="0" xfId="60" applyFont="1" applyFill="1" applyBorder="1" applyAlignment="1" applyProtection="1">
      <alignment horizontal="centerContinuous"/>
      <protection/>
    </xf>
    <xf numFmtId="0" fontId="12" fillId="0" borderId="0" xfId="60" applyFont="1" applyFill="1" applyBorder="1" applyAlignment="1" applyProtection="1">
      <alignment horizontal="centerContinuous"/>
      <protection/>
    </xf>
    <xf numFmtId="0" fontId="8" fillId="0" borderId="0" xfId="0" applyFont="1" applyBorder="1" applyAlignment="1">
      <alignment/>
    </xf>
    <xf numFmtId="0" fontId="37" fillId="0" borderId="0" xfId="60" applyFont="1" applyBorder="1" applyAlignment="1" applyProtection="1">
      <alignment horizontal="centerContinuous"/>
      <protection/>
    </xf>
    <xf numFmtId="0" fontId="13" fillId="0" borderId="0" xfId="60" applyFont="1" applyBorder="1" applyAlignment="1" applyProtection="1">
      <alignment horizontal="centerContinuous"/>
      <protection/>
    </xf>
    <xf numFmtId="0" fontId="11" fillId="0" borderId="0" xfId="62" applyFont="1" applyBorder="1" applyAlignment="1" quotePrefix="1">
      <alignment horizontal="center"/>
      <protection/>
    </xf>
    <xf numFmtId="0" fontId="13" fillId="0" borderId="0" xfId="62" applyFont="1" applyBorder="1" applyAlignment="1">
      <alignment horizontal="center"/>
      <protection/>
    </xf>
    <xf numFmtId="189" fontId="13" fillId="0" borderId="0" xfId="0" applyNumberFormat="1" applyFont="1" applyBorder="1" applyAlignment="1">
      <alignment/>
    </xf>
    <xf numFmtId="0" fontId="11" fillId="0" borderId="0" xfId="62" applyFont="1" applyBorder="1" applyAlignment="1">
      <alignment horizontal="center"/>
      <protection/>
    </xf>
    <xf numFmtId="169" fontId="13" fillId="0" borderId="0" xfId="65" applyNumberFormat="1" applyFont="1" applyBorder="1" applyAlignment="1">
      <alignment/>
    </xf>
    <xf numFmtId="0" fontId="13" fillId="0" borderId="0" xfId="0" applyFont="1" applyBorder="1" applyAlignment="1">
      <alignment wrapText="1"/>
    </xf>
    <xf numFmtId="0" fontId="11" fillId="0" borderId="0" xfId="62" applyFont="1" applyBorder="1" applyAlignment="1" quotePrefix="1">
      <alignment horizontal="center" wrapText="1"/>
      <protection/>
    </xf>
    <xf numFmtId="0" fontId="42" fillId="0" borderId="0" xfId="0" applyFont="1" applyBorder="1" applyAlignment="1">
      <alignment/>
    </xf>
    <xf numFmtId="0" fontId="8" fillId="0" borderId="0" xfId="60" applyFont="1" applyFill="1" applyBorder="1" applyAlignment="1" applyProtection="1">
      <alignment horizontal="left"/>
      <protection/>
    </xf>
    <xf numFmtId="0" fontId="13" fillId="0" borderId="0" xfId="60" applyFont="1" applyFill="1" applyBorder="1" applyAlignment="1">
      <alignment horizontal="center"/>
      <protection/>
    </xf>
    <xf numFmtId="0" fontId="35" fillId="0" borderId="29" xfId="0" applyFont="1" applyBorder="1" applyAlignment="1">
      <alignment horizontal="centerContinuous"/>
    </xf>
    <xf numFmtId="0" fontId="14" fillId="0" borderId="30" xfId="0" applyFont="1" applyBorder="1" applyAlignment="1">
      <alignment horizontal="centerContinuous"/>
    </xf>
    <xf numFmtId="0" fontId="25" fillId="0" borderId="30" xfId="0" applyFont="1" applyBorder="1" applyAlignment="1">
      <alignment horizontal="centerContinuous"/>
    </xf>
    <xf numFmtId="0" fontId="14" fillId="0" borderId="31" xfId="0" applyFont="1" applyBorder="1" applyAlignment="1">
      <alignment horizontal="centerContinuous"/>
    </xf>
    <xf numFmtId="0" fontId="8" fillId="0" borderId="32" xfId="0" applyFont="1" applyBorder="1" applyAlignment="1">
      <alignment horizontal="centerContinuous"/>
    </xf>
    <xf numFmtId="0" fontId="7" fillId="0" borderId="33" xfId="0" applyFont="1" applyBorder="1" applyAlignment="1">
      <alignment horizontal="centerContinuous"/>
    </xf>
    <xf numFmtId="0" fontId="8" fillId="0" borderId="32" xfId="60" applyFont="1" applyBorder="1" applyAlignment="1" applyProtection="1">
      <alignment horizontal="centerContinuous"/>
      <protection/>
    </xf>
    <xf numFmtId="38" fontId="8" fillId="0" borderId="33" xfId="60" applyNumberFormat="1" applyFont="1" applyFill="1" applyBorder="1" applyAlignment="1" applyProtection="1">
      <alignment horizontal="centerContinuous"/>
      <protection/>
    </xf>
    <xf numFmtId="0" fontId="8" fillId="0" borderId="32" xfId="60" applyFont="1" applyBorder="1" applyProtection="1">
      <alignment/>
      <protection/>
    </xf>
    <xf numFmtId="0" fontId="11" fillId="0" borderId="32" xfId="60" applyFont="1" applyBorder="1" applyAlignment="1" applyProtection="1">
      <alignment horizontal="center"/>
      <protection/>
    </xf>
    <xf numFmtId="0" fontId="12" fillId="0" borderId="32" xfId="60" applyFont="1" applyBorder="1" applyAlignment="1" applyProtection="1">
      <alignment horizontal="center"/>
      <protection/>
    </xf>
    <xf numFmtId="0" fontId="12" fillId="0" borderId="32" xfId="60" applyFont="1" applyFill="1" applyBorder="1" applyAlignment="1" applyProtection="1">
      <alignment horizontal="center"/>
      <protection/>
    </xf>
    <xf numFmtId="0" fontId="31" fillId="0" borderId="32" xfId="60" applyFont="1" applyFill="1" applyBorder="1">
      <alignment/>
      <protection/>
    </xf>
    <xf numFmtId="0" fontId="11" fillId="0" borderId="32" xfId="60" applyFont="1" applyFill="1" applyBorder="1">
      <alignment/>
      <protection/>
    </xf>
    <xf numFmtId="0" fontId="8" fillId="0" borderId="32" xfId="60" applyFont="1" applyFill="1" applyBorder="1">
      <alignment/>
      <protection/>
    </xf>
    <xf numFmtId="0" fontId="12" fillId="0" borderId="32" xfId="60" applyFont="1" applyFill="1" applyBorder="1">
      <alignment/>
      <protection/>
    </xf>
    <xf numFmtId="0" fontId="21" fillId="0" borderId="32" xfId="60" applyFont="1" applyFill="1" applyBorder="1">
      <alignment/>
      <protection/>
    </xf>
    <xf numFmtId="0" fontId="34" fillId="0" borderId="32" xfId="60" applyFont="1" applyFill="1" applyBorder="1" applyAlignment="1" applyProtection="1">
      <alignment horizontal="left" vertical="center"/>
      <protection/>
    </xf>
    <xf numFmtId="0" fontId="13" fillId="0" borderId="32" xfId="0" applyFont="1" applyFill="1" applyBorder="1" applyAlignment="1">
      <alignment horizontal="left" vertical="center" wrapText="1"/>
    </xf>
    <xf numFmtId="0" fontId="32" fillId="0" borderId="32" xfId="60" applyFont="1" applyFill="1" applyBorder="1">
      <alignment/>
      <protection/>
    </xf>
    <xf numFmtId="0" fontId="13" fillId="0" borderId="32" xfId="0" applyFont="1" applyFill="1" applyBorder="1" applyAlignment="1">
      <alignment/>
    </xf>
    <xf numFmtId="0" fontId="0" fillId="0" borderId="33" xfId="0" applyFont="1" applyBorder="1" applyAlignment="1">
      <alignment/>
    </xf>
    <xf numFmtId="0" fontId="31" fillId="0" borderId="32" xfId="60" applyFont="1" applyFill="1" applyBorder="1" applyProtection="1">
      <alignment/>
      <protection/>
    </xf>
    <xf numFmtId="0" fontId="34" fillId="0" borderId="34" xfId="60" applyFont="1" applyFill="1" applyBorder="1" applyProtection="1">
      <alignment/>
      <protection/>
    </xf>
    <xf numFmtId="0" fontId="12" fillId="0" borderId="3" xfId="60" applyFont="1" applyFill="1" applyBorder="1" applyProtection="1">
      <alignment/>
      <protection/>
    </xf>
    <xf numFmtId="0" fontId="12" fillId="0" borderId="3" xfId="60" applyFont="1" applyFill="1" applyBorder="1" applyAlignment="1" applyProtection="1">
      <alignment horizontal="center"/>
      <protection/>
    </xf>
    <xf numFmtId="38" fontId="24" fillId="0" borderId="3" xfId="60" applyNumberFormat="1" applyFont="1" applyFill="1" applyBorder="1" applyAlignment="1" applyProtection="1">
      <alignment horizontal="right"/>
      <protection/>
    </xf>
    <xf numFmtId="38" fontId="12" fillId="0" borderId="3" xfId="60" applyNumberFormat="1" applyFont="1" applyFill="1" applyBorder="1" applyAlignment="1" applyProtection="1">
      <alignment horizontal="right"/>
      <protection/>
    </xf>
    <xf numFmtId="38" fontId="12" fillId="0" borderId="35" xfId="60" applyNumberFormat="1" applyFont="1" applyFill="1" applyBorder="1" applyAlignment="1" applyProtection="1">
      <alignment horizontal="right"/>
      <protection/>
    </xf>
    <xf numFmtId="0" fontId="28" fillId="0" borderId="32" xfId="60" applyFont="1" applyBorder="1" applyAlignment="1" applyProtection="1">
      <alignment horizontal="centerContinuous"/>
      <protection/>
    </xf>
    <xf numFmtId="38" fontId="24" fillId="0" borderId="0" xfId="60" applyNumberFormat="1" applyFont="1" applyBorder="1" applyProtection="1">
      <alignment/>
      <protection/>
    </xf>
    <xf numFmtId="38" fontId="2" fillId="0" borderId="33" xfId="60" applyNumberFormat="1" applyFont="1" applyBorder="1" applyProtection="1">
      <alignment/>
      <protection/>
    </xf>
    <xf numFmtId="0" fontId="8" fillId="0" borderId="0" xfId="60" applyFont="1" applyFill="1" applyBorder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center"/>
      <protection locked="0"/>
    </xf>
    <xf numFmtId="0" fontId="11" fillId="0" borderId="36" xfId="60" applyFont="1" applyFill="1" applyBorder="1" applyAlignment="1" applyProtection="1">
      <alignment horizontal="center"/>
      <protection/>
    </xf>
    <xf numFmtId="0" fontId="11" fillId="0" borderId="36" xfId="60" applyFont="1" applyBorder="1" applyAlignment="1" applyProtection="1">
      <alignment horizontal="center"/>
      <protection/>
    </xf>
    <xf numFmtId="177" fontId="11" fillId="22" borderId="36" xfId="45" applyNumberFormat="1" applyFont="1" applyFill="1" applyBorder="1" applyAlignment="1">
      <alignment/>
    </xf>
    <xf numFmtId="177" fontId="11" fillId="22" borderId="37" xfId="45" applyNumberFormat="1" applyFont="1" applyFill="1" applyBorder="1" applyAlignment="1">
      <alignment/>
    </xf>
    <xf numFmtId="0" fontId="11" fillId="0" borderId="36" xfId="60" applyFont="1" applyBorder="1" applyAlignment="1" applyProtection="1">
      <alignment horizontal="center"/>
      <protection locked="0"/>
    </xf>
    <xf numFmtId="0" fontId="11" fillId="0" borderId="36" xfId="60" applyFont="1" applyFill="1" applyBorder="1" applyAlignment="1" applyProtection="1">
      <alignment horizontal="center"/>
      <protection locked="0"/>
    </xf>
    <xf numFmtId="38" fontId="12" fillId="0" borderId="33" xfId="60" applyNumberFormat="1" applyFont="1" applyFill="1" applyBorder="1" applyAlignment="1" applyProtection="1">
      <alignment horizontal="right"/>
      <protection/>
    </xf>
    <xf numFmtId="0" fontId="12" fillId="0" borderId="0" xfId="60" applyFont="1" applyFill="1" applyBorder="1" applyAlignment="1">
      <alignment horizontal="center"/>
      <protection/>
    </xf>
    <xf numFmtId="0" fontId="11" fillId="0" borderId="36" xfId="60" applyNumberFormat="1" applyFont="1" applyBorder="1" applyAlignment="1" applyProtection="1">
      <alignment horizontal="center"/>
      <protection/>
    </xf>
    <xf numFmtId="1" fontId="11" fillId="0" borderId="36" xfId="60" applyNumberFormat="1" applyFont="1" applyBorder="1" applyAlignment="1" applyProtection="1">
      <alignment horizontal="center"/>
      <protection/>
    </xf>
    <xf numFmtId="0" fontId="12" fillId="0" borderId="34" xfId="60" applyFont="1" applyFill="1" applyBorder="1">
      <alignment/>
      <protection/>
    </xf>
    <xf numFmtId="0" fontId="11" fillId="0" borderId="3" xfId="60" applyFont="1" applyFill="1" applyBorder="1" applyProtection="1">
      <alignment/>
      <protection locked="0"/>
    </xf>
    <xf numFmtId="0" fontId="11" fillId="0" borderId="3" xfId="60" applyFont="1" applyFill="1" applyBorder="1" applyAlignment="1">
      <alignment horizontal="center"/>
      <protection/>
    </xf>
    <xf numFmtId="0" fontId="11" fillId="0" borderId="3" xfId="60" applyFont="1" applyFill="1" applyBorder="1" applyAlignment="1" applyProtection="1">
      <alignment horizontal="center"/>
      <protection/>
    </xf>
    <xf numFmtId="0" fontId="11" fillId="0" borderId="3" xfId="60" applyFont="1" applyFill="1" applyBorder="1" applyProtection="1">
      <alignment/>
      <protection/>
    </xf>
    <xf numFmtId="0" fontId="13" fillId="0" borderId="34" xfId="0" applyFont="1" applyFill="1" applyBorder="1" applyAlignment="1">
      <alignment/>
    </xf>
    <xf numFmtId="0" fontId="12" fillId="0" borderId="3" xfId="60" applyFont="1" applyFill="1" applyBorder="1" applyProtection="1">
      <alignment/>
      <protection locked="0"/>
    </xf>
    <xf numFmtId="0" fontId="12" fillId="0" borderId="3" xfId="60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/>
    </xf>
    <xf numFmtId="0" fontId="13" fillId="0" borderId="0" xfId="62" applyFont="1" applyBorder="1" applyAlignment="1" quotePrefix="1">
      <alignment horizontal="center"/>
      <protection/>
    </xf>
    <xf numFmtId="0" fontId="13" fillId="0" borderId="0" xfId="60" applyFont="1" applyFill="1" applyBorder="1" applyAlignment="1" applyProtection="1">
      <alignment horizontal="center"/>
      <protection locked="0"/>
    </xf>
    <xf numFmtId="38" fontId="13" fillId="0" borderId="0" xfId="62" applyNumberFormat="1" applyFont="1" applyBorder="1">
      <alignment/>
      <protection/>
    </xf>
    <xf numFmtId="38" fontId="13" fillId="0" borderId="0" xfId="0" applyNumberFormat="1" applyFont="1" applyBorder="1" applyAlignment="1" applyProtection="1">
      <alignment horizontal="right"/>
      <protection/>
    </xf>
    <xf numFmtId="0" fontId="13" fillId="0" borderId="0" xfId="62" applyFont="1" applyFill="1" applyBorder="1" applyAlignment="1">
      <alignment horizontal="center"/>
      <protection/>
    </xf>
    <xf numFmtId="0" fontId="13" fillId="0" borderId="0" xfId="62" applyFont="1" applyFill="1" applyBorder="1" applyAlignment="1" quotePrefix="1">
      <alignment horizontal="center"/>
      <protection/>
    </xf>
    <xf numFmtId="0" fontId="8" fillId="0" borderId="32" xfId="60" applyFont="1" applyBorder="1" applyAlignment="1">
      <alignment horizontal="left"/>
      <protection/>
    </xf>
    <xf numFmtId="38" fontId="13" fillId="0" borderId="33" xfId="0" applyNumberFormat="1" applyFont="1" applyBorder="1" applyAlignment="1" applyProtection="1">
      <alignment horizontal="right"/>
      <protection/>
    </xf>
    <xf numFmtId="0" fontId="8" fillId="0" borderId="32" xfId="62" applyFont="1" applyFill="1" applyBorder="1">
      <alignment/>
      <protection/>
    </xf>
    <xf numFmtId="0" fontId="8" fillId="0" borderId="32" xfId="0" applyFont="1" applyFill="1" applyBorder="1" applyAlignment="1">
      <alignment/>
    </xf>
    <xf numFmtId="0" fontId="13" fillId="0" borderId="34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35" xfId="0" applyFont="1" applyBorder="1" applyAlignment="1">
      <alignment/>
    </xf>
    <xf numFmtId="0" fontId="13" fillId="0" borderId="3" xfId="62" applyFont="1" applyFill="1" applyBorder="1">
      <alignment/>
      <protection/>
    </xf>
    <xf numFmtId="0" fontId="13" fillId="0" borderId="3" xfId="62" applyFont="1" applyBorder="1" applyAlignment="1">
      <alignment horizontal="center"/>
      <protection/>
    </xf>
    <xf numFmtId="0" fontId="11" fillId="0" borderId="32" xfId="0" applyFont="1" applyBorder="1" applyAlignment="1">
      <alignment/>
    </xf>
    <xf numFmtId="0" fontId="8" fillId="0" borderId="0" xfId="60" applyFont="1" applyBorder="1" applyAlignment="1" applyProtection="1">
      <alignment horizontal="center"/>
      <protection/>
    </xf>
    <xf numFmtId="38" fontId="8" fillId="0" borderId="33" xfId="60" applyNumberFormat="1" applyFont="1" applyBorder="1" applyAlignment="1" applyProtection="1">
      <alignment horizontal="center"/>
      <protection/>
    </xf>
    <xf numFmtId="0" fontId="35" fillId="0" borderId="30" xfId="0" applyFont="1" applyBorder="1" applyAlignment="1">
      <alignment horizontal="centerContinuous"/>
    </xf>
    <xf numFmtId="0" fontId="8" fillId="0" borderId="32" xfId="60" applyFont="1" applyBorder="1" applyAlignment="1" applyProtection="1">
      <alignment horizontal="left"/>
      <protection/>
    </xf>
    <xf numFmtId="0" fontId="31" fillId="0" borderId="32" xfId="60" applyFont="1" applyFill="1" applyBorder="1" applyAlignment="1" applyProtection="1">
      <alignment horizontal="left"/>
      <protection/>
    </xf>
    <xf numFmtId="0" fontId="11" fillId="0" borderId="32" xfId="60" applyFont="1" applyFill="1" applyBorder="1" applyAlignment="1" applyProtection="1">
      <alignment horizontal="left"/>
      <protection/>
    </xf>
    <xf numFmtId="0" fontId="8" fillId="0" borderId="32" xfId="60" applyFont="1" applyFill="1" applyBorder="1" applyAlignment="1" applyProtection="1">
      <alignment horizontal="left"/>
      <protection/>
    </xf>
    <xf numFmtId="0" fontId="21" fillId="0" borderId="32" xfId="60" applyFont="1" applyFill="1" applyBorder="1" applyAlignment="1" applyProtection="1">
      <alignment horizontal="left"/>
      <protection/>
    </xf>
    <xf numFmtId="0" fontId="11" fillId="0" borderId="32" xfId="60" applyFont="1" applyFill="1" applyBorder="1" applyProtection="1">
      <alignment/>
      <protection/>
    </xf>
    <xf numFmtId="0" fontId="8" fillId="0" borderId="32" xfId="60" applyFont="1" applyFill="1" applyBorder="1" applyProtection="1">
      <alignment/>
      <protection/>
    </xf>
    <xf numFmtId="0" fontId="18" fillId="0" borderId="32" xfId="60" applyFont="1" applyFill="1" applyBorder="1" applyAlignment="1" applyProtection="1">
      <alignment horizontal="left"/>
      <protection/>
    </xf>
    <xf numFmtId="0" fontId="33" fillId="0" borderId="32" xfId="60" applyFont="1" applyFill="1" applyBorder="1" applyProtection="1">
      <alignment/>
      <protection/>
    </xf>
    <xf numFmtId="0" fontId="34" fillId="0" borderId="32" xfId="60" applyFont="1" applyFill="1" applyBorder="1" applyProtection="1">
      <alignment/>
      <protection/>
    </xf>
    <xf numFmtId="0" fontId="0" fillId="0" borderId="32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5" xfId="0" applyFont="1" applyBorder="1" applyAlignment="1">
      <alignment/>
    </xf>
    <xf numFmtId="0" fontId="8" fillId="0" borderId="38" xfId="60" applyFont="1" applyBorder="1" applyAlignment="1" applyProtection="1">
      <alignment horizontal="center"/>
      <protection/>
    </xf>
    <xf numFmtId="0" fontId="13" fillId="0" borderId="33" xfId="0" applyFont="1" applyBorder="1" applyAlignment="1">
      <alignment/>
    </xf>
    <xf numFmtId="0" fontId="13" fillId="0" borderId="0" xfId="60" applyFont="1" applyFill="1" applyBorder="1" applyAlignment="1" applyProtection="1">
      <alignment horizontal="left"/>
      <protection/>
    </xf>
    <xf numFmtId="38" fontId="13" fillId="0" borderId="0" xfId="60" applyNumberFormat="1" applyFont="1" applyFill="1" applyBorder="1" applyAlignment="1" applyProtection="1">
      <alignment horizontal="right"/>
      <protection/>
    </xf>
    <xf numFmtId="38" fontId="13" fillId="0" borderId="33" xfId="60" applyNumberFormat="1" applyFont="1" applyFill="1" applyBorder="1" applyAlignment="1" applyProtection="1">
      <alignment horizontal="right"/>
      <protection/>
    </xf>
    <xf numFmtId="0" fontId="0" fillId="0" borderId="33" xfId="0" applyBorder="1" applyAlignment="1">
      <alignment horizontal="centerContinuous"/>
    </xf>
    <xf numFmtId="0" fontId="36" fillId="0" borderId="32" xfId="0" applyFont="1" applyBorder="1" applyAlignment="1">
      <alignment horizontal="centerContinuous"/>
    </xf>
    <xf numFmtId="0" fontId="37" fillId="0" borderId="32" xfId="60" applyFont="1" applyBorder="1" applyAlignment="1" applyProtection="1">
      <alignment horizontal="centerContinuous"/>
      <protection/>
    </xf>
    <xf numFmtId="0" fontId="13" fillId="0" borderId="32" xfId="0" applyFont="1" applyBorder="1" applyAlignment="1">
      <alignment/>
    </xf>
    <xf numFmtId="0" fontId="31" fillId="0" borderId="32" xfId="60" applyFont="1" applyBorder="1" applyProtection="1">
      <alignment/>
      <protection/>
    </xf>
    <xf numFmtId="0" fontId="34" fillId="0" borderId="32" xfId="60" applyFont="1" applyBorder="1" applyProtection="1">
      <alignment/>
      <protection/>
    </xf>
    <xf numFmtId="38" fontId="11" fillId="0" borderId="33" xfId="60" applyNumberFormat="1" applyFont="1" applyFill="1" applyBorder="1" applyAlignment="1" applyProtection="1">
      <alignment horizontal="right"/>
      <protection/>
    </xf>
    <xf numFmtId="0" fontId="38" fillId="0" borderId="32" xfId="60" applyFont="1" applyBorder="1" applyProtection="1">
      <alignment/>
      <protection/>
    </xf>
    <xf numFmtId="0" fontId="13" fillId="0" borderId="32" xfId="60" applyFont="1" applyBorder="1" applyProtection="1">
      <alignment/>
      <protection/>
    </xf>
    <xf numFmtId="38" fontId="20" fillId="0" borderId="33" xfId="60" applyNumberFormat="1" applyFont="1" applyBorder="1" applyAlignment="1" applyProtection="1">
      <alignment horizontal="center"/>
      <protection/>
    </xf>
    <xf numFmtId="38" fontId="0" fillId="0" borderId="33" xfId="0" applyNumberFormat="1" applyFont="1" applyBorder="1" applyAlignment="1">
      <alignment/>
    </xf>
    <xf numFmtId="0" fontId="13" fillId="0" borderId="33" xfId="60" applyFont="1" applyBorder="1" applyAlignment="1">
      <alignment horizontal="center"/>
      <protection/>
    </xf>
    <xf numFmtId="0" fontId="12" fillId="0" borderId="32" xfId="60" applyFont="1" applyBorder="1" applyProtection="1">
      <alignment/>
      <protection/>
    </xf>
    <xf numFmtId="38" fontId="13" fillId="22" borderId="39" xfId="60" applyNumberFormat="1" applyFont="1" applyFill="1" applyBorder="1" applyAlignment="1" applyProtection="1">
      <alignment horizontal="right"/>
      <protection/>
    </xf>
    <xf numFmtId="38" fontId="13" fillId="22" borderId="40" xfId="60" applyNumberFormat="1" applyFont="1" applyFill="1" applyBorder="1" applyAlignment="1" applyProtection="1">
      <alignment horizontal="right"/>
      <protection/>
    </xf>
    <xf numFmtId="38" fontId="13" fillId="22" borderId="41" xfId="60" applyNumberFormat="1" applyFont="1" applyFill="1" applyBorder="1" applyAlignment="1" applyProtection="1">
      <alignment horizontal="right"/>
      <protection/>
    </xf>
    <xf numFmtId="0" fontId="13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2" xfId="0" applyBorder="1" applyAlignment="1">
      <alignment horizontal="centerContinuous"/>
    </xf>
    <xf numFmtId="0" fontId="0" fillId="0" borderId="43" xfId="0" applyBorder="1" applyAlignment="1">
      <alignment horizontal="centerContinuous"/>
    </xf>
    <xf numFmtId="0" fontId="8" fillId="0" borderId="33" xfId="60" applyFont="1" applyFill="1" applyBorder="1" applyAlignment="1" applyProtection="1">
      <alignment horizontal="center"/>
      <protection/>
    </xf>
    <xf numFmtId="0" fontId="6" fillId="0" borderId="33" xfId="0" applyFont="1" applyBorder="1" applyAlignment="1">
      <alignment/>
    </xf>
    <xf numFmtId="0" fontId="6" fillId="0" borderId="3" xfId="0" applyFont="1" applyBorder="1" applyAlignment="1">
      <alignment/>
    </xf>
    <xf numFmtId="43" fontId="24" fillId="0" borderId="3" xfId="42" applyFont="1" applyFill="1" applyBorder="1" applyAlignment="1">
      <alignment/>
    </xf>
    <xf numFmtId="0" fontId="6" fillId="0" borderId="35" xfId="0" applyFont="1" applyBorder="1" applyAlignment="1">
      <alignment/>
    </xf>
    <xf numFmtId="0" fontId="8" fillId="0" borderId="44" xfId="60" applyFont="1" applyFill="1" applyBorder="1" applyAlignment="1" applyProtection="1">
      <alignment horizontal="centerContinuous"/>
      <protection/>
    </xf>
    <xf numFmtId="0" fontId="8" fillId="0" borderId="45" xfId="60" applyFont="1" applyBorder="1" applyAlignment="1" applyProtection="1">
      <alignment horizontal="center"/>
      <protection/>
    </xf>
    <xf numFmtId="0" fontId="11" fillId="0" borderId="33" xfId="0" applyFont="1" applyBorder="1" applyAlignment="1">
      <alignment/>
    </xf>
    <xf numFmtId="43" fontId="6" fillId="0" borderId="0" xfId="42" applyFont="1" applyFill="1" applyBorder="1" applyAlignment="1">
      <alignment/>
    </xf>
    <xf numFmtId="166" fontId="11" fillId="0" borderId="36" xfId="42" applyNumberFormat="1" applyFont="1" applyFill="1" applyBorder="1" applyAlignment="1">
      <alignment horizontal="center"/>
    </xf>
    <xf numFmtId="3" fontId="11" fillId="22" borderId="37" xfId="0" applyNumberFormat="1" applyFont="1" applyFill="1" applyBorder="1" applyAlignment="1">
      <alignment/>
    </xf>
    <xf numFmtId="0" fontId="11" fillId="0" borderId="46" xfId="60" applyFont="1" applyFill="1" applyBorder="1" applyAlignment="1" applyProtection="1">
      <alignment horizontal="center"/>
      <protection/>
    </xf>
    <xf numFmtId="166" fontId="11" fillId="22" borderId="36" xfId="42" applyNumberFormat="1" applyFont="1" applyFill="1" applyBorder="1" applyAlignment="1">
      <alignment/>
    </xf>
    <xf numFmtId="0" fontId="11" fillId="0" borderId="36" xfId="60" applyNumberFormat="1" applyFont="1" applyFill="1" applyBorder="1" applyAlignment="1" applyProtection="1">
      <alignment horizontal="center"/>
      <protection/>
    </xf>
    <xf numFmtId="0" fontId="11" fillId="0" borderId="10" xfId="60" applyFont="1" applyFill="1" applyBorder="1" applyAlignment="1" applyProtection="1">
      <alignment horizontal="center"/>
      <protection locked="0"/>
    </xf>
    <xf numFmtId="0" fontId="35" fillId="0" borderId="31" xfId="0" applyFont="1" applyBorder="1" applyAlignment="1">
      <alignment horizontal="centerContinuous"/>
    </xf>
    <xf numFmtId="0" fontId="8" fillId="0" borderId="33" xfId="0" applyFont="1" applyBorder="1" applyAlignment="1">
      <alignment horizontal="centerContinuous"/>
    </xf>
    <xf numFmtId="0" fontId="8" fillId="0" borderId="32" xfId="60" applyFont="1" applyBorder="1">
      <alignment/>
      <protection/>
    </xf>
    <xf numFmtId="38" fontId="12" fillId="0" borderId="33" xfId="60" applyNumberFormat="1" applyFont="1" applyBorder="1" applyProtection="1">
      <alignment/>
      <protection/>
    </xf>
    <xf numFmtId="0" fontId="11" fillId="0" borderId="32" xfId="60" applyFont="1" applyBorder="1">
      <alignment/>
      <protection/>
    </xf>
    <xf numFmtId="0" fontId="33" fillId="0" borderId="32" xfId="60" applyFont="1" applyBorder="1" applyProtection="1">
      <alignment/>
      <protection/>
    </xf>
    <xf numFmtId="38" fontId="11" fillId="0" borderId="33" xfId="60" applyNumberFormat="1" applyFont="1" applyBorder="1">
      <alignment/>
      <protection/>
    </xf>
    <xf numFmtId="38" fontId="11" fillId="0" borderId="33" xfId="60" applyNumberFormat="1" applyFont="1" applyBorder="1" applyProtection="1">
      <alignment/>
      <protection/>
    </xf>
    <xf numFmtId="0" fontId="8" fillId="0" borderId="30" xfId="0" applyFont="1" applyBorder="1" applyAlignment="1">
      <alignment horizontal="centerContinuous"/>
    </xf>
    <xf numFmtId="0" fontId="13" fillId="0" borderId="30" xfId="0" applyFont="1" applyBorder="1" applyAlignment="1">
      <alignment horizontal="centerContinuous"/>
    </xf>
    <xf numFmtId="0" fontId="13" fillId="0" borderId="31" xfId="0" applyFont="1" applyBorder="1" applyAlignment="1">
      <alignment horizontal="centerContinuous"/>
    </xf>
    <xf numFmtId="0" fontId="13" fillId="0" borderId="33" xfId="0" applyFont="1" applyBorder="1" applyAlignment="1">
      <alignment horizontal="centerContinuous"/>
    </xf>
    <xf numFmtId="38" fontId="41" fillId="0" borderId="33" xfId="60" applyNumberFormat="1" applyFont="1" applyFill="1" applyBorder="1" applyAlignment="1" applyProtection="1">
      <alignment/>
      <protection/>
    </xf>
    <xf numFmtId="38" fontId="41" fillId="0" borderId="33" xfId="60" applyNumberFormat="1" applyFont="1" applyFill="1" applyBorder="1" applyAlignment="1" applyProtection="1">
      <alignment horizontal="centerContinuous"/>
      <protection/>
    </xf>
    <xf numFmtId="0" fontId="8" fillId="0" borderId="32" xfId="0" applyFont="1" applyBorder="1" applyAlignment="1">
      <alignment/>
    </xf>
    <xf numFmtId="0" fontId="42" fillId="0" borderId="32" xfId="0" applyFont="1" applyBorder="1" applyAlignment="1">
      <alignment wrapText="1"/>
    </xf>
    <xf numFmtId="0" fontId="42" fillId="0" borderId="32" xfId="0" applyFont="1" applyFill="1" applyBorder="1" applyAlignment="1">
      <alignment/>
    </xf>
    <xf numFmtId="0" fontId="13" fillId="0" borderId="34" xfId="0" applyFont="1" applyBorder="1" applyAlignment="1">
      <alignment horizontal="left"/>
    </xf>
    <xf numFmtId="0" fontId="10" fillId="0" borderId="47" xfId="60" applyFont="1" applyBorder="1" applyAlignment="1" applyProtection="1">
      <alignment horizontal="centerContinuous"/>
      <protection/>
    </xf>
    <xf numFmtId="0" fontId="8" fillId="4" borderId="48" xfId="0" applyFont="1" applyFill="1" applyBorder="1" applyAlignment="1">
      <alignment horizontal="centerContinuous"/>
    </xf>
    <xf numFmtId="0" fontId="37" fillId="4" borderId="48" xfId="60" applyFont="1" applyFill="1" applyBorder="1" applyAlignment="1" applyProtection="1">
      <alignment horizontal="centerContinuous"/>
      <protection/>
    </xf>
    <xf numFmtId="0" fontId="13" fillId="4" borderId="48" xfId="60" applyFont="1" applyFill="1" applyBorder="1" applyAlignment="1" applyProtection="1">
      <alignment horizontal="centerContinuous"/>
      <protection/>
    </xf>
    <xf numFmtId="0" fontId="13" fillId="4" borderId="49" xfId="60" applyFont="1" applyFill="1" applyBorder="1" applyAlignment="1" applyProtection="1">
      <alignment horizontal="centerContinuous"/>
      <protection/>
    </xf>
    <xf numFmtId="0" fontId="8" fillId="0" borderId="50" xfId="0" applyFont="1" applyBorder="1" applyAlignment="1">
      <alignment horizontal="center"/>
    </xf>
    <xf numFmtId="38" fontId="8" fillId="0" borderId="51" xfId="60" applyNumberFormat="1" applyFont="1" applyFill="1" applyBorder="1" applyAlignment="1" applyProtection="1">
      <alignment horizontal="center"/>
      <protection/>
    </xf>
    <xf numFmtId="38" fontId="8" fillId="0" borderId="50" xfId="60" applyNumberFormat="1" applyFont="1" applyBorder="1" applyAlignment="1" applyProtection="1">
      <alignment horizontal="center"/>
      <protection/>
    </xf>
    <xf numFmtId="0" fontId="12" fillId="0" borderId="32" xfId="0" applyFont="1" applyFill="1" applyBorder="1" applyAlignment="1">
      <alignment horizontal="center"/>
    </xf>
    <xf numFmtId="166" fontId="11" fillId="22" borderId="37" xfId="42" applyNumberFormat="1" applyFont="1" applyFill="1" applyBorder="1" applyAlignment="1">
      <alignment/>
    </xf>
    <xf numFmtId="0" fontId="31" fillId="0" borderId="32" xfId="60" applyFont="1" applyFill="1" applyBorder="1" applyAlignment="1" applyProtection="1">
      <alignment/>
      <protection/>
    </xf>
    <xf numFmtId="0" fontId="32" fillId="0" borderId="32" xfId="60" applyFont="1" applyFill="1" applyBorder="1" applyAlignment="1" applyProtection="1">
      <alignment/>
      <protection/>
    </xf>
    <xf numFmtId="0" fontId="33" fillId="0" borderId="32" xfId="60" applyFont="1" applyFill="1" applyBorder="1" applyAlignment="1" applyProtection="1">
      <alignment horizontal="left"/>
      <protection/>
    </xf>
    <xf numFmtId="0" fontId="18" fillId="0" borderId="32" xfId="60" applyFont="1" applyFill="1" applyBorder="1" applyProtection="1">
      <alignment/>
      <protection/>
    </xf>
    <xf numFmtId="0" fontId="12" fillId="0" borderId="32" xfId="60" applyFont="1" applyFill="1" applyBorder="1" applyAlignment="1" applyProtection="1">
      <alignment horizontal="left"/>
      <protection/>
    </xf>
    <xf numFmtId="0" fontId="21" fillId="0" borderId="32" xfId="60" applyFont="1" applyFill="1" applyBorder="1" applyProtection="1">
      <alignment/>
      <protection/>
    </xf>
    <xf numFmtId="0" fontId="8" fillId="0" borderId="32" xfId="60" applyFont="1" applyFill="1" applyBorder="1" applyProtection="1">
      <alignment/>
      <protection locked="0"/>
    </xf>
    <xf numFmtId="0" fontId="8" fillId="0" borderId="32" xfId="0" applyFont="1" applyFill="1" applyBorder="1" applyAlignment="1">
      <alignment horizontal="left"/>
    </xf>
    <xf numFmtId="0" fontId="8" fillId="0" borderId="32" xfId="60" applyFont="1" applyFill="1" applyBorder="1" applyAlignment="1" applyProtection="1">
      <alignment horizontal="left"/>
      <protection locked="0"/>
    </xf>
    <xf numFmtId="0" fontId="13" fillId="0" borderId="32" xfId="60" applyFont="1" applyFill="1" applyBorder="1" applyProtection="1">
      <alignment/>
      <protection/>
    </xf>
    <xf numFmtId="38" fontId="0" fillId="0" borderId="33" xfId="0" applyNumberFormat="1" applyFont="1" applyFill="1" applyBorder="1" applyAlignment="1">
      <alignment horizontal="right"/>
    </xf>
    <xf numFmtId="0" fontId="34" fillId="0" borderId="34" xfId="60" applyFont="1" applyBorder="1" applyProtection="1">
      <alignment/>
      <protection/>
    </xf>
    <xf numFmtId="0" fontId="12" fillId="0" borderId="3" xfId="60" applyFont="1" applyBorder="1" applyProtection="1">
      <alignment/>
      <protection/>
    </xf>
    <xf numFmtId="0" fontId="12" fillId="0" borderId="3" xfId="60" applyFont="1" applyBorder="1" applyAlignment="1" applyProtection="1">
      <alignment horizontal="center"/>
      <protection/>
    </xf>
    <xf numFmtId="38" fontId="12" fillId="0" borderId="3" xfId="60" applyNumberFormat="1" applyFont="1" applyFill="1" applyBorder="1" applyProtection="1">
      <alignment/>
      <protection/>
    </xf>
    <xf numFmtId="38" fontId="2" fillId="0" borderId="3" xfId="60" applyNumberFormat="1" applyFont="1" applyFill="1" applyBorder="1" applyProtection="1">
      <alignment/>
      <protection/>
    </xf>
    <xf numFmtId="38" fontId="16" fillId="0" borderId="3" xfId="60" applyNumberFormat="1" applyFont="1" applyBorder="1" applyAlignment="1" applyProtection="1">
      <alignment horizontal="right"/>
      <protection/>
    </xf>
    <xf numFmtId="38" fontId="0" fillId="0" borderId="35" xfId="0" applyNumberFormat="1" applyFont="1" applyFill="1" applyBorder="1" applyAlignment="1">
      <alignment horizontal="right"/>
    </xf>
    <xf numFmtId="0" fontId="12" fillId="0" borderId="34" xfId="60" applyFont="1" applyFill="1" applyBorder="1" applyAlignment="1" applyProtection="1">
      <alignment horizontal="center"/>
      <protection/>
    </xf>
    <xf numFmtId="0" fontId="30" fillId="0" borderId="3" xfId="0" applyFont="1" applyFill="1" applyBorder="1" applyAlignment="1">
      <alignment horizontal="center"/>
    </xf>
    <xf numFmtId="0" fontId="30" fillId="0" borderId="3" xfId="60" applyFont="1" applyFill="1" applyBorder="1" applyAlignment="1" applyProtection="1">
      <alignment horizontal="center"/>
      <protection/>
    </xf>
    <xf numFmtId="164" fontId="12" fillId="0" borderId="3" xfId="60" applyNumberFormat="1" applyFont="1" applyFill="1" applyBorder="1" applyProtection="1">
      <alignment/>
      <protection/>
    </xf>
    <xf numFmtId="0" fontId="42" fillId="0" borderId="32" xfId="0" applyFont="1" applyBorder="1" applyAlignment="1">
      <alignment/>
    </xf>
    <xf numFmtId="0" fontId="13" fillId="0" borderId="3" xfId="0" applyFont="1" applyFill="1" applyBorder="1" applyAlignment="1">
      <alignment/>
    </xf>
    <xf numFmtId="0" fontId="11" fillId="0" borderId="3" xfId="62" applyFont="1" applyBorder="1" applyAlignment="1" quotePrefix="1">
      <alignment horizontal="center"/>
      <protection/>
    </xf>
    <xf numFmtId="189" fontId="13" fillId="0" borderId="3" xfId="0" applyNumberFormat="1" applyFont="1" applyBorder="1" applyAlignment="1">
      <alignment/>
    </xf>
    <xf numFmtId="0" fontId="8" fillId="0" borderId="52" xfId="0" applyFont="1" applyBorder="1" applyAlignment="1">
      <alignment/>
    </xf>
    <xf numFmtId="0" fontId="13" fillId="0" borderId="53" xfId="0" applyFont="1" applyBorder="1" applyAlignment="1">
      <alignment/>
    </xf>
    <xf numFmtId="0" fontId="8" fillId="0" borderId="54" xfId="0" applyFont="1" applyFill="1" applyBorder="1" applyAlignment="1">
      <alignment horizontal="center"/>
    </xf>
    <xf numFmtId="38" fontId="8" fillId="0" borderId="55" xfId="60" applyNumberFormat="1" applyFont="1" applyBorder="1" applyAlignment="1" applyProtection="1">
      <alignment horizontal="center"/>
      <protection/>
    </xf>
    <xf numFmtId="0" fontId="8" fillId="0" borderId="53" xfId="0" applyFont="1" applyFill="1" applyBorder="1" applyAlignment="1">
      <alignment/>
    </xf>
    <xf numFmtId="0" fontId="60" fillId="0" borderId="33" xfId="0" applyFont="1" applyBorder="1" applyAlignment="1">
      <alignment/>
    </xf>
    <xf numFmtId="10" fontId="60" fillId="0" borderId="0" xfId="0" applyNumberFormat="1" applyFont="1" applyBorder="1" applyAlignment="1">
      <alignment/>
    </xf>
    <xf numFmtId="0" fontId="8" fillId="0" borderId="50" xfId="60" applyFont="1" applyBorder="1" applyAlignment="1" applyProtection="1">
      <alignment horizontal="center"/>
      <protection/>
    </xf>
    <xf numFmtId="6" fontId="13" fillId="0" borderId="0" xfId="62" applyNumberFormat="1" applyFont="1" applyFill="1" applyBorder="1">
      <alignment/>
      <protection/>
    </xf>
    <xf numFmtId="6" fontId="13" fillId="0" borderId="33" xfId="62" applyNumberFormat="1" applyFont="1" applyFill="1" applyBorder="1">
      <alignment/>
      <protection/>
    </xf>
    <xf numFmtId="49" fontId="11" fillId="0" borderId="36" xfId="60" applyNumberFormat="1" applyFont="1" applyFill="1" applyBorder="1" applyAlignment="1" applyProtection="1">
      <alignment horizontal="center"/>
      <protection locked="0"/>
    </xf>
    <xf numFmtId="0" fontId="8" fillId="0" borderId="56" xfId="60" applyFont="1" applyBorder="1" applyAlignment="1" applyProtection="1">
      <alignment horizontal="center"/>
      <protection/>
    </xf>
    <xf numFmtId="0" fontId="13" fillId="0" borderId="57" xfId="0" applyFont="1" applyBorder="1" applyAlignment="1">
      <alignment/>
    </xf>
    <xf numFmtId="0" fontId="8" fillId="0" borderId="54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8" fillId="0" borderId="58" xfId="62" applyFont="1" applyBorder="1" applyAlignment="1">
      <alignment horizontal="center"/>
      <protection/>
    </xf>
    <xf numFmtId="0" fontId="8" fillId="0" borderId="59" xfId="62" applyFont="1" applyBorder="1" applyAlignment="1">
      <alignment horizontal="center"/>
      <protection/>
    </xf>
    <xf numFmtId="0" fontId="8" fillId="0" borderId="57" xfId="0" applyFont="1" applyFill="1" applyBorder="1" applyAlignment="1">
      <alignment/>
    </xf>
    <xf numFmtId="0" fontId="8" fillId="0" borderId="54" xfId="0" applyFont="1" applyBorder="1" applyAlignment="1">
      <alignment/>
    </xf>
    <xf numFmtId="0" fontId="8" fillId="0" borderId="60" xfId="62" applyFont="1" applyBorder="1" applyAlignment="1">
      <alignment horizontal="center"/>
      <protection/>
    </xf>
    <xf numFmtId="0" fontId="8" fillId="0" borderId="61" xfId="0" applyFont="1" applyBorder="1" applyAlignment="1">
      <alignment/>
    </xf>
    <xf numFmtId="0" fontId="8" fillId="0" borderId="62" xfId="0" applyFont="1" applyBorder="1" applyAlignment="1">
      <alignment horizontal="center"/>
    </xf>
    <xf numFmtId="0" fontId="8" fillId="0" borderId="62" xfId="62" applyFont="1" applyBorder="1" applyAlignment="1">
      <alignment horizontal="center"/>
      <protection/>
    </xf>
    <xf numFmtId="0" fontId="8" fillId="0" borderId="63" xfId="62" applyFont="1" applyBorder="1" applyAlignment="1">
      <alignment horizontal="center"/>
      <protection/>
    </xf>
    <xf numFmtId="0" fontId="8" fillId="0" borderId="62" xfId="0" applyFont="1" applyFill="1" applyBorder="1" applyAlignment="1">
      <alignment horizontal="center"/>
    </xf>
    <xf numFmtId="0" fontId="8" fillId="0" borderId="62" xfId="62" applyFont="1" applyFill="1" applyBorder="1" applyAlignment="1">
      <alignment horizontal="center"/>
      <protection/>
    </xf>
    <xf numFmtId="0" fontId="8" fillId="0" borderId="61" xfId="0" applyFont="1" applyFill="1" applyBorder="1" applyAlignment="1">
      <alignment horizontal="center"/>
    </xf>
    <xf numFmtId="0" fontId="60" fillId="0" borderId="36" xfId="60" applyFont="1" applyBorder="1" applyAlignment="1" applyProtection="1">
      <alignment horizontal="center"/>
      <protection/>
    </xf>
    <xf numFmtId="0" fontId="61" fillId="0" borderId="36" xfId="60" applyFont="1" applyFill="1" applyBorder="1" applyAlignment="1" applyProtection="1">
      <alignment horizontal="center"/>
      <protection locked="0"/>
    </xf>
    <xf numFmtId="0" fontId="60" fillId="0" borderId="0" xfId="62" applyFont="1" applyBorder="1" applyAlignment="1">
      <alignment horizontal="center"/>
      <protection/>
    </xf>
    <xf numFmtId="0" fontId="8" fillId="0" borderId="20" xfId="59" applyFont="1" applyBorder="1" applyAlignment="1">
      <alignment horizontal="center" vertical="center"/>
      <protection/>
    </xf>
    <xf numFmtId="177" fontId="8" fillId="0" borderId="20" xfId="45" applyNumberFormat="1" applyFont="1" applyBorder="1" applyAlignment="1">
      <alignment horizontal="center" vertical="center"/>
    </xf>
    <xf numFmtId="177" fontId="8" fillId="0" borderId="21" xfId="45" applyNumberFormat="1" applyFont="1" applyBorder="1" applyAlignment="1">
      <alignment horizontal="center" vertical="center"/>
    </xf>
    <xf numFmtId="38" fontId="8" fillId="0" borderId="64" xfId="60" applyNumberFormat="1" applyFont="1" applyFill="1" applyBorder="1" applyAlignment="1" applyProtection="1">
      <alignment horizontal="center" vertical="center"/>
      <protection/>
    </xf>
    <xf numFmtId="38" fontId="8" fillId="0" borderId="64" xfId="60" applyNumberFormat="1" applyFont="1" applyBorder="1" applyAlignment="1" applyProtection="1">
      <alignment horizontal="center" vertical="center"/>
      <protection/>
    </xf>
    <xf numFmtId="38" fontId="8" fillId="0" borderId="65" xfId="60" applyNumberFormat="1" applyFont="1" applyBorder="1" applyAlignment="1" applyProtection="1">
      <alignment horizontal="center" vertical="center"/>
      <protection/>
    </xf>
    <xf numFmtId="38" fontId="16" fillId="0" borderId="44" xfId="60" applyNumberFormat="1" applyFont="1" applyFill="1" applyBorder="1" applyAlignment="1" applyProtection="1">
      <alignment horizontal="center" vertical="center"/>
      <protection/>
    </xf>
    <xf numFmtId="38" fontId="16" fillId="0" borderId="44" xfId="60" applyNumberFormat="1" applyFont="1" applyBorder="1" applyAlignment="1" applyProtection="1">
      <alignment horizontal="center" vertical="center"/>
      <protection/>
    </xf>
    <xf numFmtId="38" fontId="16" fillId="0" borderId="66" xfId="60" applyNumberFormat="1" applyFont="1" applyBorder="1" applyAlignment="1" applyProtection="1">
      <alignment horizontal="center" vertical="center"/>
      <protection/>
    </xf>
    <xf numFmtId="0" fontId="8" fillId="0" borderId="38" xfId="60" applyFont="1" applyBorder="1" applyAlignment="1" applyProtection="1">
      <alignment horizontal="center" vertical="center"/>
      <protection/>
    </xf>
    <xf numFmtId="0" fontId="8" fillId="0" borderId="67" xfId="60" applyFont="1" applyFill="1" applyBorder="1" applyAlignment="1" applyProtection="1">
      <alignment horizontal="center" vertical="center"/>
      <protection/>
    </xf>
    <xf numFmtId="38" fontId="8" fillId="0" borderId="38" xfId="60" applyNumberFormat="1" applyFont="1" applyFill="1" applyBorder="1" applyAlignment="1" applyProtection="1">
      <alignment horizontal="center" vertical="center"/>
      <protection/>
    </xf>
    <xf numFmtId="38" fontId="8" fillId="0" borderId="38" xfId="60" applyNumberFormat="1" applyFont="1" applyBorder="1" applyAlignment="1" applyProtection="1">
      <alignment horizontal="center" vertical="center"/>
      <protection/>
    </xf>
    <xf numFmtId="38" fontId="8" fillId="0" borderId="68" xfId="60" applyNumberFormat="1" applyFont="1" applyBorder="1" applyAlignment="1" applyProtection="1">
      <alignment horizontal="center" vertical="center"/>
      <protection/>
    </xf>
    <xf numFmtId="0" fontId="8" fillId="0" borderId="69" xfId="60" applyFont="1" applyBorder="1" applyAlignment="1" applyProtection="1">
      <alignment horizontal="center" vertical="center"/>
      <protection/>
    </xf>
    <xf numFmtId="0" fontId="8" fillId="0" borderId="70" xfId="60" applyFont="1" applyFill="1" applyBorder="1" applyAlignment="1" applyProtection="1">
      <alignment horizontal="center" vertical="center"/>
      <protection/>
    </xf>
    <xf numFmtId="0" fontId="8" fillId="0" borderId="71" xfId="60" applyFont="1" applyFill="1" applyBorder="1" applyAlignment="1" applyProtection="1">
      <alignment horizontal="center" vertical="center"/>
      <protection/>
    </xf>
    <xf numFmtId="38" fontId="8" fillId="0" borderId="69" xfId="60" applyNumberFormat="1" applyFont="1" applyFill="1" applyBorder="1" applyAlignment="1" applyProtection="1">
      <alignment horizontal="center" vertical="center"/>
      <protection/>
    </xf>
    <xf numFmtId="38" fontId="8" fillId="0" borderId="69" xfId="60" applyNumberFormat="1" applyFont="1" applyBorder="1" applyAlignment="1" applyProtection="1">
      <alignment horizontal="center" vertical="center"/>
      <protection/>
    </xf>
    <xf numFmtId="38" fontId="8" fillId="0" borderId="72" xfId="60" applyNumberFormat="1" applyFont="1" applyBorder="1" applyAlignment="1" applyProtection="1">
      <alignment horizontal="center" vertical="center"/>
      <protection/>
    </xf>
    <xf numFmtId="0" fontId="8" fillId="0" borderId="73" xfId="60" applyFont="1" applyFill="1" applyBorder="1" applyAlignment="1" applyProtection="1">
      <alignment horizontal="centerContinuous" vertical="center"/>
      <protection/>
    </xf>
    <xf numFmtId="0" fontId="12" fillId="0" borderId="49" xfId="60" applyFont="1" applyFill="1" applyBorder="1" applyAlignment="1" applyProtection="1">
      <alignment horizontal="centerContinuous" vertical="center"/>
      <protection/>
    </xf>
    <xf numFmtId="0" fontId="8" fillId="0" borderId="74" xfId="60" applyFont="1" applyFill="1" applyBorder="1" applyAlignment="1" applyProtection="1">
      <alignment horizontal="centerContinuous" vertical="center"/>
      <protection/>
    </xf>
    <xf numFmtId="0" fontId="8" fillId="0" borderId="75" xfId="60" applyFont="1" applyFill="1" applyBorder="1" applyAlignment="1" applyProtection="1">
      <alignment horizontal="centerContinuous" vertical="center"/>
      <protection/>
    </xf>
    <xf numFmtId="0" fontId="8" fillId="0" borderId="76" xfId="60" applyFont="1" applyFill="1" applyBorder="1" applyAlignment="1" applyProtection="1">
      <alignment horizontal="centerContinuous" vertical="center"/>
      <protection/>
    </xf>
    <xf numFmtId="0" fontId="8" fillId="0" borderId="77" xfId="60" applyFont="1" applyFill="1" applyBorder="1" applyAlignment="1" applyProtection="1">
      <alignment horizontal="centerContinuous" vertical="center"/>
      <protection/>
    </xf>
    <xf numFmtId="0" fontId="8" fillId="0" borderId="45" xfId="60" applyFont="1" applyFill="1" applyBorder="1" applyAlignment="1" applyProtection="1">
      <alignment horizontal="centerContinuous" vertical="center"/>
      <protection/>
    </xf>
    <xf numFmtId="0" fontId="8" fillId="0" borderId="44" xfId="60" applyFont="1" applyBorder="1" applyAlignment="1" applyProtection="1">
      <alignment horizontal="center" vertical="center"/>
      <protection/>
    </xf>
    <xf numFmtId="0" fontId="8" fillId="0" borderId="44" xfId="60" applyFont="1" applyFill="1" applyBorder="1" applyAlignment="1" applyProtection="1">
      <alignment horizontal="center" vertical="center"/>
      <protection/>
    </xf>
    <xf numFmtId="0" fontId="8" fillId="0" borderId="38" xfId="60" applyFont="1" applyFill="1" applyBorder="1" applyAlignment="1" applyProtection="1">
      <alignment horizontal="center" vertical="center"/>
      <protection/>
    </xf>
    <xf numFmtId="0" fontId="8" fillId="0" borderId="45" xfId="60" applyFont="1" applyBorder="1" applyAlignment="1" applyProtection="1">
      <alignment horizontal="center" vertical="center"/>
      <protection/>
    </xf>
    <xf numFmtId="0" fontId="8" fillId="0" borderId="45" xfId="60" applyFont="1" applyFill="1" applyBorder="1" applyAlignment="1" applyProtection="1">
      <alignment horizontal="center" vertical="center"/>
      <protection/>
    </xf>
    <xf numFmtId="38" fontId="8" fillId="0" borderId="78" xfId="60" applyNumberFormat="1" applyFont="1" applyBorder="1" applyAlignment="1" applyProtection="1">
      <alignment horizontal="center" vertical="center"/>
      <protection/>
    </xf>
    <xf numFmtId="0" fontId="8" fillId="0" borderId="79" xfId="60" applyFont="1" applyFill="1" applyBorder="1" applyAlignment="1" applyProtection="1">
      <alignment horizontal="centerContinuous" vertical="center"/>
      <protection/>
    </xf>
    <xf numFmtId="38" fontId="8" fillId="0" borderId="80" xfId="60" applyNumberFormat="1" applyFont="1" applyBorder="1" applyAlignment="1" applyProtection="1">
      <alignment horizontal="center" vertical="center"/>
      <protection/>
    </xf>
    <xf numFmtId="0" fontId="8" fillId="0" borderId="69" xfId="60" applyFont="1" applyFill="1" applyBorder="1" applyAlignment="1" applyProtection="1">
      <alignment horizontal="center" vertical="center"/>
      <protection/>
    </xf>
    <xf numFmtId="38" fontId="8" fillId="0" borderId="66" xfId="60" applyNumberFormat="1" applyFont="1" applyBorder="1" applyAlignment="1" applyProtection="1">
      <alignment horizontal="center" vertical="center"/>
      <protection/>
    </xf>
    <xf numFmtId="0" fontId="8" fillId="0" borderId="64" xfId="60" applyFont="1" applyFill="1" applyBorder="1" applyAlignment="1" applyProtection="1">
      <alignment horizontal="centerContinuous" vertical="center"/>
      <protection/>
    </xf>
    <xf numFmtId="0" fontId="12" fillId="0" borderId="64" xfId="60" applyFont="1" applyFill="1" applyBorder="1" applyAlignment="1" applyProtection="1">
      <alignment horizontal="centerContinuous" vertical="center"/>
      <protection/>
    </xf>
    <xf numFmtId="38" fontId="37" fillId="0" borderId="33" xfId="60" applyNumberFormat="1" applyFont="1" applyFill="1" applyBorder="1" applyAlignment="1" applyProtection="1">
      <alignment horizontal="centerContinuous"/>
      <protection/>
    </xf>
    <xf numFmtId="0" fontId="60" fillId="0" borderId="0" xfId="62" applyFont="1" applyBorder="1" applyAlignment="1" quotePrefix="1">
      <alignment horizontal="center"/>
      <protection/>
    </xf>
    <xf numFmtId="0" fontId="8" fillId="4" borderId="81" xfId="0" applyFont="1" applyFill="1" applyBorder="1" applyAlignment="1">
      <alignment horizontal="centerContinuous" vertical="center"/>
    </xf>
    <xf numFmtId="0" fontId="10" fillId="0" borderId="32" xfId="60" applyFont="1" applyBorder="1" applyAlignment="1" applyProtection="1">
      <alignment horizontal="centerContinuous"/>
      <protection/>
    </xf>
    <xf numFmtId="38" fontId="11" fillId="22" borderId="36" xfId="42" applyNumberFormat="1" applyFont="1" applyFill="1" applyBorder="1" applyAlignment="1" applyProtection="1">
      <alignment/>
      <protection/>
    </xf>
    <xf numFmtId="38" fontId="21" fillId="0" borderId="0" xfId="60" applyNumberFormat="1" applyFont="1" applyFill="1" applyBorder="1" applyProtection="1">
      <alignment/>
      <protection/>
    </xf>
    <xf numFmtId="38" fontId="21" fillId="0" borderId="33" xfId="60" applyNumberFormat="1" applyFont="1" applyFill="1" applyBorder="1" applyProtection="1">
      <alignment/>
      <protection/>
    </xf>
    <xf numFmtId="38" fontId="11" fillId="0" borderId="0" xfId="42" applyNumberFormat="1" applyFont="1" applyFill="1" applyBorder="1" applyAlignment="1" applyProtection="1">
      <alignment horizontal="right"/>
      <protection locked="0"/>
    </xf>
    <xf numFmtId="38" fontId="11" fillId="0" borderId="33" xfId="42" applyNumberFormat="1" applyFont="1" applyFill="1" applyBorder="1" applyAlignment="1" applyProtection="1">
      <alignment horizontal="right"/>
      <protection locked="0"/>
    </xf>
    <xf numFmtId="38" fontId="21" fillId="0" borderId="3" xfId="60" applyNumberFormat="1" applyFont="1" applyFill="1" applyBorder="1" applyProtection="1">
      <alignment/>
      <protection/>
    </xf>
    <xf numFmtId="38" fontId="21" fillId="0" borderId="35" xfId="60" applyNumberFormat="1" applyFont="1" applyFill="1" applyBorder="1" applyProtection="1">
      <alignment/>
      <protection/>
    </xf>
    <xf numFmtId="38" fontId="11" fillId="0" borderId="0" xfId="42" applyNumberFormat="1" applyFont="1" applyBorder="1" applyAlignment="1">
      <alignment/>
    </xf>
    <xf numFmtId="38" fontId="11" fillId="0" borderId="0" xfId="0" applyNumberFormat="1" applyFont="1" applyBorder="1" applyAlignment="1" applyProtection="1">
      <alignment horizontal="right"/>
      <protection/>
    </xf>
    <xf numFmtId="38" fontId="11" fillId="0" borderId="33" xfId="0" applyNumberFormat="1" applyFont="1" applyBorder="1" applyAlignment="1" applyProtection="1">
      <alignment horizontal="right"/>
      <protection/>
    </xf>
    <xf numFmtId="38" fontId="11" fillId="0" borderId="0" xfId="60" applyNumberFormat="1" applyFont="1" applyFill="1" applyBorder="1">
      <alignment/>
      <protection/>
    </xf>
    <xf numFmtId="38" fontId="11" fillId="0" borderId="0" xfId="0" applyNumberFormat="1" applyFont="1" applyBorder="1" applyAlignment="1">
      <alignment/>
    </xf>
    <xf numFmtId="38" fontId="11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0" xfId="0" applyFont="1" applyBorder="1" applyAlignment="1">
      <alignment/>
    </xf>
    <xf numFmtId="0" fontId="0" fillId="0" borderId="82" xfId="0" applyBorder="1" applyAlignment="1">
      <alignment/>
    </xf>
    <xf numFmtId="0" fontId="0" fillId="0" borderId="47" xfId="0" applyBorder="1" applyAlignment="1">
      <alignment/>
    </xf>
    <xf numFmtId="0" fontId="8" fillId="0" borderId="76" xfId="60" applyFont="1" applyBorder="1" applyAlignment="1" applyProtection="1">
      <alignment horizontal="center" vertical="center"/>
      <protection/>
    </xf>
    <xf numFmtId="0" fontId="8" fillId="0" borderId="64" xfId="60" applyFont="1" applyFill="1" applyBorder="1" applyAlignment="1" applyProtection="1">
      <alignment horizontal="center" vertical="center"/>
      <protection/>
    </xf>
    <xf numFmtId="0" fontId="8" fillId="0" borderId="65" xfId="60" applyFont="1" applyFill="1" applyBorder="1" applyAlignment="1" applyProtection="1">
      <alignment horizontal="center" vertical="center"/>
      <protection/>
    </xf>
    <xf numFmtId="0" fontId="60" fillId="0" borderId="83" xfId="62" applyFont="1" applyBorder="1" applyAlignment="1">
      <alignment horizontal="centerContinuous"/>
      <protection/>
    </xf>
    <xf numFmtId="0" fontId="60" fillId="0" borderId="84" xfId="0" applyFont="1" applyBorder="1" applyAlignment="1">
      <alignment horizontal="centerContinuous"/>
    </xf>
    <xf numFmtId="0" fontId="60" fillId="0" borderId="42" xfId="0" applyFont="1" applyBorder="1" applyAlignment="1">
      <alignment horizontal="centerContinuous"/>
    </xf>
    <xf numFmtId="0" fontId="60" fillId="0" borderId="43" xfId="0" applyFont="1" applyBorder="1" applyAlignment="1">
      <alignment horizontal="centerContinuous"/>
    </xf>
    <xf numFmtId="0" fontId="60" fillId="0" borderId="44" xfId="62" applyFont="1" applyBorder="1" applyAlignment="1">
      <alignment horizontal="center"/>
      <protection/>
    </xf>
    <xf numFmtId="0" fontId="60" fillId="0" borderId="45" xfId="62" applyFont="1" applyBorder="1" applyAlignment="1">
      <alignment horizontal="center"/>
      <protection/>
    </xf>
    <xf numFmtId="169" fontId="13" fillId="0" borderId="0" xfId="0" applyNumberFormat="1" applyFont="1" applyBorder="1" applyAlignment="1">
      <alignment/>
    </xf>
    <xf numFmtId="0" fontId="10" fillId="0" borderId="0" xfId="60" applyFont="1" applyBorder="1" applyAlignment="1" applyProtection="1">
      <alignment/>
      <protection/>
    </xf>
    <xf numFmtId="0" fontId="10" fillId="0" borderId="33" xfId="6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44" fontId="0" fillId="0" borderId="0" xfId="45" applyBorder="1" applyAlignment="1">
      <alignment horizontal="right"/>
    </xf>
    <xf numFmtId="44" fontId="0" fillId="0" borderId="33" xfId="45" applyBorder="1" applyAlignment="1">
      <alignment horizontal="right"/>
    </xf>
    <xf numFmtId="169" fontId="11" fillId="0" borderId="0" xfId="65" applyNumberFormat="1" applyFont="1" applyBorder="1" applyAlignment="1" quotePrefix="1">
      <alignment horizontal="center"/>
    </xf>
    <xf numFmtId="0" fontId="64" fillId="0" borderId="85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60" applyFont="1" applyBorder="1" applyAlignment="1" applyProtection="1">
      <alignment/>
      <protection/>
    </xf>
    <xf numFmtId="0" fontId="65" fillId="0" borderId="32" xfId="60" applyFont="1" applyBorder="1" applyAlignment="1" applyProtection="1">
      <alignment horizontal="centerContinuous"/>
      <protection/>
    </xf>
    <xf numFmtId="0" fontId="63" fillId="0" borderId="32" xfId="60" applyFont="1" applyBorder="1" applyAlignment="1" applyProtection="1">
      <alignment horizontal="right"/>
      <protection/>
    </xf>
    <xf numFmtId="0" fontId="63" fillId="0" borderId="0" xfId="0" applyFont="1" applyBorder="1" applyAlignment="1">
      <alignment horizontal="right"/>
    </xf>
    <xf numFmtId="0" fontId="64" fillId="0" borderId="0" xfId="0" applyFont="1" applyBorder="1" applyAlignment="1">
      <alignment horizontal="centerContinuous"/>
    </xf>
    <xf numFmtId="0" fontId="66" fillId="0" borderId="0" xfId="60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68" fillId="24" borderId="0" xfId="0" applyFont="1" applyFill="1" applyBorder="1" applyAlignment="1" applyProtection="1">
      <alignment/>
      <protection hidden="1"/>
    </xf>
    <xf numFmtId="0" fontId="10" fillId="0" borderId="42" xfId="60" applyFont="1" applyBorder="1" applyAlignment="1" applyProtection="1">
      <alignment horizontal="center"/>
      <protection/>
    </xf>
    <xf numFmtId="0" fontId="8" fillId="0" borderId="32" xfId="60" applyFont="1" applyBorder="1" applyAlignment="1" applyProtection="1">
      <alignment horizontal="center"/>
      <protection/>
    </xf>
    <xf numFmtId="0" fontId="8" fillId="0" borderId="33" xfId="60" applyFont="1" applyBorder="1" applyAlignment="1" applyProtection="1">
      <alignment horizontal="center"/>
      <protection/>
    </xf>
    <xf numFmtId="0" fontId="10" fillId="0" borderId="47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2" xfId="60" applyFont="1" applyFill="1" applyBorder="1" applyAlignment="1" applyProtection="1">
      <alignment horizontal="center"/>
      <protection/>
    </xf>
    <xf numFmtId="0" fontId="60" fillId="0" borderId="33" xfId="0" applyFont="1" applyFill="1" applyBorder="1" applyAlignment="1">
      <alignment/>
    </xf>
    <xf numFmtId="0" fontId="8" fillId="0" borderId="86" xfId="60" applyFont="1" applyFill="1" applyBorder="1" applyAlignment="1" applyProtection="1">
      <alignment horizontal="centerContinuous" vertical="center"/>
      <protection/>
    </xf>
    <xf numFmtId="0" fontId="8" fillId="0" borderId="87" xfId="60" applyFont="1" applyFill="1" applyBorder="1" applyAlignment="1" applyProtection="1">
      <alignment horizontal="centerContinuous" vertical="center"/>
      <protection/>
    </xf>
    <xf numFmtId="0" fontId="23" fillId="0" borderId="0" xfId="59" applyFont="1" applyBorder="1">
      <alignment/>
      <protection/>
    </xf>
    <xf numFmtId="0" fontId="32" fillId="0" borderId="32" xfId="60" applyFont="1" applyFill="1" applyBorder="1" applyProtection="1">
      <alignment/>
      <protection/>
    </xf>
    <xf numFmtId="0" fontId="8" fillId="0" borderId="32" xfId="61" applyFont="1" applyBorder="1">
      <alignment/>
      <protection/>
    </xf>
    <xf numFmtId="0" fontId="11" fillId="0" borderId="32" xfId="61" applyFont="1" applyBorder="1">
      <alignment/>
      <protection/>
    </xf>
    <xf numFmtId="0" fontId="6" fillId="0" borderId="34" xfId="0" applyFont="1" applyBorder="1" applyAlignment="1">
      <alignment/>
    </xf>
    <xf numFmtId="0" fontId="10" fillId="0" borderId="88" xfId="60" applyFont="1" applyBorder="1" applyAlignment="1" applyProtection="1">
      <alignment horizontal="center"/>
      <protection/>
    </xf>
    <xf numFmtId="0" fontId="10" fillId="0" borderId="0" xfId="60" applyFont="1" applyBorder="1" applyAlignment="1" applyProtection="1">
      <alignment horizontal="center"/>
      <protection/>
    </xf>
    <xf numFmtId="0" fontId="10" fillId="0" borderId="89" xfId="60" applyFont="1" applyBorder="1" applyAlignment="1" applyProtection="1">
      <alignment horizontal="center"/>
      <protection/>
    </xf>
    <xf numFmtId="38" fontId="11" fillId="0" borderId="0" xfId="60" applyNumberFormat="1" applyFont="1" applyFill="1" applyBorder="1" applyProtection="1">
      <alignment/>
      <protection/>
    </xf>
    <xf numFmtId="38" fontId="11" fillId="0" borderId="33" xfId="60" applyNumberFormat="1" applyFont="1" applyFill="1" applyBorder="1" applyProtection="1">
      <alignment/>
      <protection/>
    </xf>
    <xf numFmtId="38" fontId="11" fillId="0" borderId="0" xfId="60" applyNumberFormat="1" applyFont="1" applyFill="1" applyBorder="1" applyProtection="1">
      <alignment/>
      <protection locked="0"/>
    </xf>
    <xf numFmtId="38" fontId="11" fillId="0" borderId="33" xfId="60" applyNumberFormat="1" applyFont="1" applyFill="1" applyBorder="1" applyProtection="1">
      <alignment/>
      <protection locked="0"/>
    </xf>
    <xf numFmtId="38" fontId="11" fillId="0" borderId="0" xfId="42" applyNumberFormat="1" applyFont="1" applyFill="1" applyBorder="1" applyAlignment="1" applyProtection="1">
      <alignment/>
      <protection locked="0"/>
    </xf>
    <xf numFmtId="38" fontId="11" fillId="0" borderId="33" xfId="42" applyNumberFormat="1" applyFont="1" applyFill="1" applyBorder="1" applyAlignment="1" applyProtection="1">
      <alignment/>
      <protection locked="0"/>
    </xf>
    <xf numFmtId="38" fontId="11" fillId="0" borderId="0" xfId="60" applyNumberFormat="1" applyFont="1" applyBorder="1" applyAlignment="1" applyProtection="1">
      <alignment horizontal="right"/>
      <protection/>
    </xf>
    <xf numFmtId="38" fontId="11" fillId="0" borderId="33" xfId="60" applyNumberFormat="1" applyFont="1" applyBorder="1" applyAlignment="1" applyProtection="1">
      <alignment horizontal="right"/>
      <protection/>
    </xf>
    <xf numFmtId="38" fontId="11" fillId="0" borderId="3" xfId="60" applyNumberFormat="1" applyFont="1" applyFill="1" applyBorder="1" applyAlignment="1" applyProtection="1">
      <alignment horizontal="right"/>
      <protection/>
    </xf>
    <xf numFmtId="38" fontId="11" fillId="0" borderId="35" xfId="60" applyNumberFormat="1" applyFont="1" applyFill="1" applyBorder="1" applyAlignment="1" applyProtection="1">
      <alignment horizontal="right"/>
      <protection/>
    </xf>
    <xf numFmtId="38" fontId="11" fillId="0" borderId="0" xfId="42" applyNumberFormat="1" applyFont="1" applyBorder="1" applyAlignment="1" applyProtection="1">
      <alignment/>
      <protection locked="0"/>
    </xf>
    <xf numFmtId="38" fontId="11" fillId="0" borderId="0" xfId="0" applyNumberFormat="1" applyFont="1" applyFill="1" applyBorder="1" applyAlignment="1" applyProtection="1">
      <alignment horizontal="right"/>
      <protection/>
    </xf>
    <xf numFmtId="38" fontId="11" fillId="0" borderId="33" xfId="0" applyNumberFormat="1" applyFont="1" applyFill="1" applyBorder="1" applyAlignment="1" applyProtection="1">
      <alignment horizontal="right"/>
      <protection/>
    </xf>
    <xf numFmtId="38" fontId="11" fillId="0" borderId="0" xfId="60" applyNumberFormat="1" applyFont="1" applyBorder="1" applyProtection="1">
      <alignment/>
      <protection locked="0"/>
    </xf>
    <xf numFmtId="38" fontId="11" fillId="0" borderId="3" xfId="60" applyNumberFormat="1" applyFont="1" applyFill="1" applyBorder="1" applyProtection="1">
      <alignment/>
      <protection/>
    </xf>
    <xf numFmtId="38" fontId="11" fillId="0" borderId="0" xfId="42" applyNumberFormat="1" applyFont="1" applyFill="1" applyBorder="1" applyAlignment="1" applyProtection="1">
      <alignment/>
      <protection/>
    </xf>
    <xf numFmtId="38" fontId="11" fillId="0" borderId="0" xfId="42" applyNumberFormat="1" applyFont="1" applyFill="1" applyBorder="1" applyAlignment="1">
      <alignment/>
    </xf>
    <xf numFmtId="38" fontId="11" fillId="0" borderId="33" xfId="42" applyNumberFormat="1" applyFont="1" applyFill="1" applyBorder="1" applyAlignment="1">
      <alignment/>
    </xf>
    <xf numFmtId="0" fontId="8" fillId="0" borderId="88" xfId="60" applyFont="1" applyBorder="1" applyAlignment="1" applyProtection="1">
      <alignment horizontal="center"/>
      <protection/>
    </xf>
    <xf numFmtId="0" fontId="8" fillId="0" borderId="89" xfId="60" applyFont="1" applyBorder="1" applyAlignment="1" applyProtection="1">
      <alignment horizontal="center"/>
      <protection/>
    </xf>
    <xf numFmtId="38" fontId="11" fillId="0" borderId="3" xfId="42" applyNumberFormat="1" applyFont="1" applyFill="1" applyBorder="1" applyAlignment="1" applyProtection="1">
      <alignment horizontal="right"/>
      <protection/>
    </xf>
    <xf numFmtId="38" fontId="11" fillId="0" borderId="35" xfId="42" applyNumberFormat="1" applyFont="1" applyFill="1" applyBorder="1" applyAlignment="1" applyProtection="1">
      <alignment horizontal="right"/>
      <protection/>
    </xf>
    <xf numFmtId="177" fontId="11" fillId="0" borderId="0" xfId="42" applyNumberFormat="1" applyFont="1" applyFill="1" applyBorder="1" applyAlignment="1" applyProtection="1">
      <alignment horizontal="right"/>
      <protection locked="0"/>
    </xf>
    <xf numFmtId="177" fontId="11" fillId="0" borderId="0" xfId="0" applyNumberFormat="1" applyFont="1" applyBorder="1" applyAlignment="1" applyProtection="1">
      <alignment horizontal="right"/>
      <protection/>
    </xf>
    <xf numFmtId="177" fontId="11" fillId="0" borderId="33" xfId="0" applyNumberFormat="1" applyFont="1" applyBorder="1" applyAlignment="1" applyProtection="1">
      <alignment horizontal="right"/>
      <protection/>
    </xf>
    <xf numFmtId="166" fontId="11" fillId="22" borderId="90" xfId="42" applyNumberFormat="1" applyFont="1" applyFill="1" applyBorder="1" applyAlignment="1">
      <alignment/>
    </xf>
    <xf numFmtId="166" fontId="11" fillId="22" borderId="91" xfId="42" applyNumberFormat="1" applyFont="1" applyFill="1" applyBorder="1" applyAlignment="1">
      <alignment/>
    </xf>
    <xf numFmtId="166" fontId="11" fillId="0" borderId="0" xfId="42" applyNumberFormat="1" applyFont="1" applyFill="1" applyBorder="1" applyAlignment="1">
      <alignment/>
    </xf>
    <xf numFmtId="166" fontId="11" fillId="0" borderId="33" xfId="42" applyNumberFormat="1" applyFont="1" applyFill="1" applyBorder="1" applyAlignment="1">
      <alignment/>
    </xf>
    <xf numFmtId="0" fontId="11" fillId="0" borderId="0" xfId="60" applyFont="1" applyBorder="1" applyProtection="1">
      <alignment/>
      <protection/>
    </xf>
    <xf numFmtId="0" fontId="11" fillId="0" borderId="57" xfId="0" applyFont="1" applyBorder="1" applyAlignment="1">
      <alignment/>
    </xf>
    <xf numFmtId="176" fontId="11" fillId="22" borderId="36" xfId="45" applyNumberFormat="1" applyFont="1" applyFill="1" applyBorder="1" applyAlignment="1">
      <alignment horizontal="center"/>
    </xf>
    <xf numFmtId="167" fontId="11" fillId="22" borderId="92" xfId="65" applyNumberFormat="1" applyFont="1" applyFill="1" applyBorder="1" applyAlignment="1">
      <alignment horizontal="center"/>
    </xf>
    <xf numFmtId="10" fontId="11" fillId="22" borderId="92" xfId="65" applyNumberFormat="1" applyFont="1" applyFill="1" applyBorder="1" applyAlignment="1">
      <alignment horizontal="center"/>
    </xf>
    <xf numFmtId="169" fontId="11" fillId="22" borderId="93" xfId="65" applyNumberFormat="1" applyFont="1" applyFill="1" applyBorder="1" applyAlignment="1">
      <alignment horizontal="center"/>
    </xf>
    <xf numFmtId="169" fontId="11" fillId="0" borderId="0" xfId="0" applyNumberFormat="1" applyFont="1" applyBorder="1" applyAlignment="1">
      <alignment/>
    </xf>
    <xf numFmtId="0" fontId="11" fillId="0" borderId="53" xfId="0" applyFont="1" applyBorder="1" applyAlignment="1">
      <alignment/>
    </xf>
    <xf numFmtId="167" fontId="11" fillId="22" borderId="36" xfId="65" applyNumberFormat="1" applyFont="1" applyFill="1" applyBorder="1" applyAlignment="1">
      <alignment horizontal="center"/>
    </xf>
    <xf numFmtId="10" fontId="11" fillId="22" borderId="36" xfId="65" applyNumberFormat="1" applyFont="1" applyFill="1" applyBorder="1" applyAlignment="1">
      <alignment horizontal="center"/>
    </xf>
    <xf numFmtId="169" fontId="11" fillId="22" borderId="94" xfId="65" applyNumberFormat="1" applyFont="1" applyFill="1" applyBorder="1" applyAlignment="1">
      <alignment horizontal="center"/>
    </xf>
    <xf numFmtId="177" fontId="11" fillId="22" borderId="95" xfId="45" applyNumberFormat="1" applyFont="1" applyFill="1" applyBorder="1" applyAlignment="1">
      <alignment/>
    </xf>
    <xf numFmtId="177" fontId="11" fillId="22" borderId="96" xfId="45" applyNumberFormat="1" applyFont="1" applyFill="1" applyBorder="1" applyAlignment="1">
      <alignment/>
    </xf>
    <xf numFmtId="177" fontId="11" fillId="22" borderId="97" xfId="45" applyNumberFormat="1" applyFont="1" applyFill="1" applyBorder="1" applyAlignment="1">
      <alignment/>
    </xf>
    <xf numFmtId="169" fontId="11" fillId="22" borderId="98" xfId="0" applyNumberFormat="1" applyFont="1" applyFill="1" applyBorder="1" applyAlignment="1">
      <alignment/>
    </xf>
    <xf numFmtId="169" fontId="11" fillId="22" borderId="36" xfId="0" applyNumberFormat="1" applyFont="1" applyFill="1" applyBorder="1" applyAlignment="1">
      <alignment/>
    </xf>
    <xf numFmtId="169" fontId="11" fillId="22" borderId="37" xfId="0" applyNumberFormat="1" applyFont="1" applyFill="1" applyBorder="1" applyAlignment="1">
      <alignment/>
    </xf>
    <xf numFmtId="0" fontId="11" fillId="0" borderId="0" xfId="62" applyFont="1" applyFill="1" applyBorder="1">
      <alignment/>
      <protection/>
    </xf>
    <xf numFmtId="176" fontId="21" fillId="7" borderId="58" xfId="45" applyNumberFormat="1" applyFont="1" applyFill="1" applyBorder="1" applyAlignment="1">
      <alignment horizontal="center"/>
    </xf>
    <xf numFmtId="169" fontId="21" fillId="7" borderId="58" xfId="65" applyNumberFormat="1" applyFont="1" applyFill="1" applyBorder="1" applyAlignment="1">
      <alignment horizontal="center"/>
    </xf>
    <xf numFmtId="0" fontId="21" fillId="7" borderId="58" xfId="0" applyFont="1" applyFill="1" applyBorder="1" applyAlignment="1">
      <alignment horizontal="center"/>
    </xf>
    <xf numFmtId="169" fontId="21" fillId="7" borderId="60" xfId="65" applyNumberFormat="1" applyFont="1" applyFill="1" applyBorder="1" applyAlignment="1">
      <alignment horizontal="center"/>
    </xf>
    <xf numFmtId="169" fontId="62" fillId="7" borderId="99" xfId="65" applyNumberFormat="1" applyFont="1" applyFill="1" applyBorder="1" applyAlignment="1">
      <alignment horizontal="center"/>
    </xf>
    <xf numFmtId="189" fontId="21" fillId="7" borderId="100" xfId="0" applyNumberFormat="1" applyFont="1" applyFill="1" applyBorder="1" applyAlignment="1">
      <alignment/>
    </xf>
    <xf numFmtId="189" fontId="21" fillId="7" borderId="58" xfId="0" applyNumberFormat="1" applyFont="1" applyFill="1" applyBorder="1" applyAlignment="1">
      <alignment/>
    </xf>
    <xf numFmtId="189" fontId="21" fillId="7" borderId="101" xfId="0" applyNumberFormat="1" applyFont="1" applyFill="1" applyBorder="1" applyAlignment="1">
      <alignment/>
    </xf>
    <xf numFmtId="0" fontId="13" fillId="0" borderId="102" xfId="0" applyFont="1" applyBorder="1" applyAlignment="1">
      <alignment/>
    </xf>
    <xf numFmtId="0" fontId="13" fillId="0" borderId="103" xfId="0" applyFont="1" applyBorder="1" applyAlignment="1">
      <alignment/>
    </xf>
    <xf numFmtId="0" fontId="8" fillId="0" borderId="104" xfId="0" applyFont="1" applyFill="1" applyBorder="1" applyAlignment="1">
      <alignment horizontal="center"/>
    </xf>
    <xf numFmtId="167" fontId="11" fillId="22" borderId="50" xfId="65" applyNumberFormat="1" applyFont="1" applyFill="1" applyBorder="1" applyAlignment="1">
      <alignment horizontal="center"/>
    </xf>
    <xf numFmtId="10" fontId="11" fillId="22" borderId="50" xfId="65" applyNumberFormat="1" applyFont="1" applyFill="1" applyBorder="1" applyAlignment="1">
      <alignment horizontal="center"/>
    </xf>
    <xf numFmtId="169" fontId="11" fillId="22" borderId="105" xfId="65" applyNumberFormat="1" applyFont="1" applyFill="1" applyBorder="1" applyAlignment="1">
      <alignment horizontal="center"/>
    </xf>
    <xf numFmtId="169" fontId="13" fillId="0" borderId="33" xfId="65" applyNumberFormat="1" applyFont="1" applyFill="1" applyBorder="1" applyAlignment="1">
      <alignment horizontal="center"/>
    </xf>
    <xf numFmtId="10" fontId="13" fillId="0" borderId="33" xfId="65" applyNumberFormat="1" applyFont="1" applyFill="1" applyBorder="1" applyAlignment="1">
      <alignment horizontal="center"/>
    </xf>
    <xf numFmtId="0" fontId="13" fillId="0" borderId="106" xfId="0" applyFont="1" applyBorder="1" applyAlignment="1">
      <alignment/>
    </xf>
    <xf numFmtId="0" fontId="13" fillId="0" borderId="107" xfId="0" applyFont="1" applyBorder="1" applyAlignment="1">
      <alignment/>
    </xf>
    <xf numFmtId="0" fontId="13" fillId="0" borderId="108" xfId="0" applyFont="1" applyBorder="1" applyAlignment="1">
      <alignment/>
    </xf>
    <xf numFmtId="177" fontId="11" fillId="22" borderId="98" xfId="45" applyNumberFormat="1" applyFont="1" applyFill="1" applyBorder="1" applyAlignment="1">
      <alignment/>
    </xf>
    <xf numFmtId="6" fontId="21" fillId="7" borderId="58" xfId="0" applyNumberFormat="1" applyFont="1" applyFill="1" applyBorder="1" applyAlignment="1">
      <alignment/>
    </xf>
    <xf numFmtId="0" fontId="21" fillId="7" borderId="58" xfId="0" applyFont="1" applyFill="1" applyBorder="1" applyAlignment="1">
      <alignment/>
    </xf>
    <xf numFmtId="10" fontId="21" fillId="7" borderId="58" xfId="62" applyNumberFormat="1" applyFont="1" applyFill="1" applyBorder="1">
      <alignment/>
      <protection/>
    </xf>
    <xf numFmtId="6" fontId="21" fillId="7" borderId="60" xfId="62" applyNumberFormat="1" applyFont="1" applyFill="1" applyBorder="1" applyAlignment="1">
      <alignment horizontal="right"/>
      <protection/>
    </xf>
    <xf numFmtId="10" fontId="21" fillId="7" borderId="64" xfId="62" applyNumberFormat="1" applyFont="1" applyFill="1" applyBorder="1" applyAlignment="1" quotePrefix="1">
      <alignment horizontal="center"/>
      <protection/>
    </xf>
    <xf numFmtId="10" fontId="21" fillId="7" borderId="41" xfId="65" applyNumberFormat="1" applyFont="1" applyFill="1" applyBorder="1" applyAlignment="1">
      <alignment horizontal="center"/>
    </xf>
    <xf numFmtId="10" fontId="11" fillId="22" borderId="64" xfId="65" applyNumberFormat="1" applyFont="1" applyFill="1" applyBorder="1" applyAlignment="1">
      <alignment horizontal="center"/>
    </xf>
    <xf numFmtId="10" fontId="11" fillId="22" borderId="51" xfId="65" applyNumberFormat="1" applyFont="1" applyFill="1" applyBorder="1" applyAlignment="1">
      <alignment horizontal="center"/>
    </xf>
    <xf numFmtId="169" fontId="11" fillId="22" borderId="55" xfId="65" applyNumberFormat="1" applyFont="1" applyFill="1" applyBorder="1" applyAlignment="1">
      <alignment horizontal="center"/>
    </xf>
    <xf numFmtId="10" fontId="62" fillId="0" borderId="0" xfId="0" applyNumberFormat="1" applyFont="1" applyAlignment="1">
      <alignment/>
    </xf>
    <xf numFmtId="10" fontId="11" fillId="22" borderId="98" xfId="65" applyNumberFormat="1" applyFont="1" applyFill="1" applyBorder="1" applyAlignment="1">
      <alignment horizontal="center"/>
    </xf>
    <xf numFmtId="10" fontId="11" fillId="22" borderId="37" xfId="65" applyNumberFormat="1" applyFont="1" applyFill="1" applyBorder="1" applyAlignment="1">
      <alignment horizontal="center"/>
    </xf>
    <xf numFmtId="169" fontId="21" fillId="7" borderId="109" xfId="65" applyNumberFormat="1" applyFont="1" applyFill="1" applyBorder="1" applyAlignment="1">
      <alignment horizontal="center"/>
    </xf>
    <xf numFmtId="10" fontId="62" fillId="0" borderId="0" xfId="62" applyNumberFormat="1" applyFont="1" applyBorder="1" applyAlignment="1" quotePrefix="1">
      <alignment horizontal="center"/>
      <protection/>
    </xf>
    <xf numFmtId="10" fontId="11" fillId="7" borderId="100" xfId="65" applyNumberFormat="1" applyFont="1" applyFill="1" applyBorder="1" applyAlignment="1">
      <alignment horizontal="center"/>
    </xf>
    <xf numFmtId="10" fontId="11" fillId="7" borderId="101" xfId="65" applyNumberFormat="1" applyFont="1" applyFill="1" applyBorder="1" applyAlignment="1">
      <alignment horizontal="center"/>
    </xf>
    <xf numFmtId="6" fontId="11" fillId="22" borderId="92" xfId="0" applyNumberFormat="1" applyFont="1" applyFill="1" applyBorder="1" applyAlignment="1">
      <alignment/>
    </xf>
    <xf numFmtId="10" fontId="11" fillId="22" borderId="92" xfId="65" applyNumberFormat="1" applyFont="1" applyFill="1" applyBorder="1" applyAlignment="1">
      <alignment/>
    </xf>
    <xf numFmtId="6" fontId="11" fillId="22" borderId="93" xfId="62" applyNumberFormat="1" applyFont="1" applyFill="1" applyBorder="1" applyAlignment="1">
      <alignment horizontal="right"/>
      <protection/>
    </xf>
    <xf numFmtId="10" fontId="11" fillId="0" borderId="110" xfId="65" applyNumberFormat="1" applyFont="1" applyFill="1" applyBorder="1" applyAlignment="1">
      <alignment horizontal="center"/>
    </xf>
    <xf numFmtId="10" fontId="11" fillId="22" borderId="40" xfId="65" applyNumberFormat="1" applyFont="1" applyFill="1" applyBorder="1" applyAlignment="1">
      <alignment horizontal="center"/>
    </xf>
    <xf numFmtId="38" fontId="11" fillId="22" borderId="36" xfId="0" applyNumberFormat="1" applyFont="1" applyFill="1" applyBorder="1" applyAlignment="1">
      <alignment/>
    </xf>
    <xf numFmtId="38" fontId="11" fillId="22" borderId="94" xfId="62" applyNumberFormat="1" applyFont="1" applyFill="1" applyBorder="1" applyAlignment="1">
      <alignment horizontal="right"/>
      <protection/>
    </xf>
    <xf numFmtId="10" fontId="62" fillId="0" borderId="0" xfId="0" applyNumberFormat="1" applyFont="1" applyFill="1" applyAlignment="1">
      <alignment/>
    </xf>
    <xf numFmtId="10" fontId="11" fillId="22" borderId="39" xfId="65" applyNumberFormat="1" applyFont="1" applyFill="1" applyBorder="1" applyAlignment="1">
      <alignment horizontal="center"/>
    </xf>
    <xf numFmtId="10" fontId="29" fillId="22" borderId="92" xfId="65" applyNumberFormat="1" applyFont="1" applyFill="1" applyBorder="1" applyAlignment="1">
      <alignment horizontal="center"/>
    </xf>
    <xf numFmtId="169" fontId="29" fillId="22" borderId="93" xfId="65" applyNumberFormat="1" applyFont="1" applyFill="1" applyBorder="1" applyAlignment="1">
      <alignment horizontal="center"/>
    </xf>
    <xf numFmtId="10" fontId="29" fillId="22" borderId="64" xfId="65" applyNumberFormat="1" applyFont="1" applyFill="1" applyBorder="1" applyAlignment="1">
      <alignment horizontal="center"/>
    </xf>
    <xf numFmtId="10" fontId="29" fillId="22" borderId="51" xfId="65" applyNumberFormat="1" applyFont="1" applyFill="1" applyBorder="1" applyAlignment="1">
      <alignment horizontal="center"/>
    </xf>
    <xf numFmtId="169" fontId="29" fillId="22" borderId="55" xfId="65" applyNumberFormat="1" applyFont="1" applyFill="1" applyBorder="1" applyAlignment="1">
      <alignment horizontal="center"/>
    </xf>
    <xf numFmtId="10" fontId="29" fillId="22" borderId="36" xfId="65" applyNumberFormat="1" applyFont="1" applyFill="1" applyBorder="1" applyAlignment="1">
      <alignment horizontal="center"/>
    </xf>
    <xf numFmtId="169" fontId="29" fillId="22" borderId="94" xfId="65" applyNumberFormat="1" applyFont="1" applyFill="1" applyBorder="1" applyAlignment="1">
      <alignment horizontal="center"/>
    </xf>
    <xf numFmtId="10" fontId="69" fillId="0" borderId="0" xfId="0" applyNumberFormat="1" applyFont="1" applyAlignment="1">
      <alignment/>
    </xf>
    <xf numFmtId="10" fontId="29" fillId="22" borderId="98" xfId="65" applyNumberFormat="1" applyFont="1" applyFill="1" applyBorder="1" applyAlignment="1">
      <alignment horizontal="center"/>
    </xf>
    <xf numFmtId="169" fontId="29" fillId="22" borderId="37" xfId="65" applyNumberFormat="1" applyFont="1" applyFill="1" applyBorder="1" applyAlignment="1">
      <alignment horizontal="center"/>
    </xf>
    <xf numFmtId="0" fontId="30" fillId="7" borderId="58" xfId="0" applyFont="1" applyFill="1" applyBorder="1" applyAlignment="1">
      <alignment horizontal="center"/>
    </xf>
    <xf numFmtId="169" fontId="30" fillId="7" borderId="60" xfId="65" applyNumberFormat="1" applyFont="1" applyFill="1" applyBorder="1" applyAlignment="1">
      <alignment horizontal="center"/>
    </xf>
    <xf numFmtId="10" fontId="69" fillId="0" borderId="0" xfId="62" applyNumberFormat="1" applyFont="1" applyBorder="1" applyAlignment="1" quotePrefix="1">
      <alignment horizontal="center"/>
      <protection/>
    </xf>
    <xf numFmtId="10" fontId="29" fillId="7" borderId="100" xfId="65" applyNumberFormat="1" applyFont="1" applyFill="1" applyBorder="1" applyAlignment="1">
      <alignment horizontal="center"/>
    </xf>
    <xf numFmtId="10" fontId="29" fillId="7" borderId="101" xfId="65" applyNumberFormat="1" applyFont="1" applyFill="1" applyBorder="1" applyAlignment="1">
      <alignment horizontal="center"/>
    </xf>
    <xf numFmtId="177" fontId="11" fillId="22" borderId="92" xfId="45" applyNumberFormat="1" applyFont="1" applyFill="1" applyBorder="1" applyAlignment="1">
      <alignment horizontal="center"/>
    </xf>
    <xf numFmtId="1" fontId="11" fillId="22" borderId="92" xfId="65" applyNumberFormat="1" applyFont="1" applyFill="1" applyBorder="1" applyAlignment="1">
      <alignment horizontal="center"/>
    </xf>
    <xf numFmtId="177" fontId="11" fillId="22" borderId="111" xfId="45" applyNumberFormat="1" applyFont="1" applyFill="1" applyBorder="1" applyAlignment="1">
      <alignment horizontal="center"/>
    </xf>
    <xf numFmtId="177" fontId="11" fillId="22" borderId="36" xfId="45" applyNumberFormat="1" applyFont="1" applyFill="1" applyBorder="1" applyAlignment="1">
      <alignment horizontal="center"/>
    </xf>
    <xf numFmtId="177" fontId="11" fillId="22" borderId="112" xfId="45" applyNumberFormat="1" applyFont="1" applyFill="1" applyBorder="1" applyAlignment="1">
      <alignment/>
    </xf>
    <xf numFmtId="177" fontId="11" fillId="22" borderId="113" xfId="45" applyNumberFormat="1" applyFont="1" applyFill="1" applyBorder="1" applyAlignment="1">
      <alignment/>
    </xf>
    <xf numFmtId="9" fontId="11" fillId="22" borderId="98" xfId="65" applyFont="1" applyFill="1" applyBorder="1" applyAlignment="1">
      <alignment/>
    </xf>
    <xf numFmtId="9" fontId="11" fillId="22" borderId="36" xfId="65" applyFont="1" applyFill="1" applyBorder="1" applyAlignment="1">
      <alignment/>
    </xf>
    <xf numFmtId="9" fontId="11" fillId="22" borderId="37" xfId="65" applyFont="1" applyFill="1" applyBorder="1" applyAlignment="1">
      <alignment/>
    </xf>
    <xf numFmtId="169" fontId="70" fillId="0" borderId="0" xfId="60" applyNumberFormat="1" applyFont="1" applyBorder="1" applyAlignment="1" applyProtection="1">
      <alignment/>
      <protection/>
    </xf>
    <xf numFmtId="9" fontId="70" fillId="0" borderId="0" xfId="65" applyFont="1" applyBorder="1" applyAlignment="1">
      <alignment/>
    </xf>
    <xf numFmtId="169" fontId="72" fillId="0" borderId="0" xfId="0" applyNumberFormat="1" applyFont="1" applyBorder="1" applyAlignment="1">
      <alignment horizontal="right"/>
    </xf>
    <xf numFmtId="169" fontId="62" fillId="7" borderId="99" xfId="65" applyNumberFormat="1" applyFont="1" applyFill="1" applyBorder="1" applyAlignment="1">
      <alignment horizontal="center"/>
    </xf>
    <xf numFmtId="0" fontId="34" fillId="0" borderId="32" xfId="0" applyFont="1" applyFill="1" applyBorder="1" applyAlignment="1">
      <alignment/>
    </xf>
    <xf numFmtId="0" fontId="34" fillId="0" borderId="32" xfId="0" applyFont="1" applyBorder="1" applyAlignment="1">
      <alignment/>
    </xf>
    <xf numFmtId="0" fontId="34" fillId="0" borderId="32" xfId="0" applyFont="1" applyBorder="1" applyAlignment="1">
      <alignment horizontal="left"/>
    </xf>
    <xf numFmtId="38" fontId="11" fillId="22" borderId="36" xfId="42" applyNumberFormat="1" applyFont="1" applyFill="1" applyBorder="1" applyAlignment="1">
      <alignment/>
    </xf>
    <xf numFmtId="38" fontId="11" fillId="0" borderId="3" xfId="60" applyNumberFormat="1" applyFont="1" applyBorder="1">
      <alignment/>
      <protection/>
    </xf>
    <xf numFmtId="38" fontId="11" fillId="0" borderId="35" xfId="60" applyNumberFormat="1" applyFont="1" applyBorder="1">
      <alignment/>
      <protection/>
    </xf>
    <xf numFmtId="0" fontId="30" fillId="7" borderId="36" xfId="60" applyFont="1" applyFill="1" applyBorder="1" applyAlignment="1" applyProtection="1">
      <alignment horizontal="center"/>
      <protection/>
    </xf>
    <xf numFmtId="177" fontId="21" fillId="7" borderId="36" xfId="45" applyNumberFormat="1" applyFont="1" applyFill="1" applyBorder="1" applyAlignment="1">
      <alignment/>
    </xf>
    <xf numFmtId="177" fontId="21" fillId="7" borderId="37" xfId="45" applyNumberFormat="1" applyFont="1" applyFill="1" applyBorder="1" applyAlignment="1">
      <alignment/>
    </xf>
    <xf numFmtId="166" fontId="21" fillId="7" borderId="37" xfId="42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applyProtection="1">
      <alignment horizontal="right"/>
      <protection/>
    </xf>
    <xf numFmtId="3" fontId="11" fillId="0" borderId="33" xfId="0" applyNumberFormat="1" applyFont="1" applyBorder="1" applyAlignment="1" applyProtection="1">
      <alignment horizontal="right"/>
      <protection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11" fillId="0" borderId="33" xfId="0" applyNumberFormat="1" applyFont="1" applyFill="1" applyBorder="1" applyAlignment="1" applyProtection="1">
      <alignment horizontal="right"/>
      <protection/>
    </xf>
    <xf numFmtId="3" fontId="11" fillId="0" borderId="3" xfId="60" applyNumberFormat="1" applyFont="1" applyFill="1" applyBorder="1" applyAlignment="1" applyProtection="1">
      <alignment horizontal="right"/>
      <protection/>
    </xf>
    <xf numFmtId="3" fontId="11" fillId="0" borderId="35" xfId="60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Border="1" applyAlignment="1">
      <alignment vertical="center"/>
    </xf>
    <xf numFmtId="3" fontId="11" fillId="0" borderId="0" xfId="60" applyNumberFormat="1" applyFont="1" applyBorder="1">
      <alignment/>
      <protection/>
    </xf>
    <xf numFmtId="3" fontId="11" fillId="0" borderId="33" xfId="60" applyNumberFormat="1" applyFont="1" applyBorder="1">
      <alignment/>
      <protection/>
    </xf>
    <xf numFmtId="3" fontId="11" fillId="0" borderId="114" xfId="60" applyNumberFormat="1" applyFont="1" applyFill="1" applyBorder="1">
      <alignment/>
      <protection/>
    </xf>
    <xf numFmtId="44" fontId="21" fillId="7" borderId="36" xfId="45" applyFont="1" applyFill="1" applyBorder="1" applyAlignment="1">
      <alignment/>
    </xf>
    <xf numFmtId="0" fontId="30" fillId="7" borderId="92" xfId="60" applyFont="1" applyFill="1" applyBorder="1" applyAlignment="1" applyProtection="1">
      <alignment horizontal="center"/>
      <protection/>
    </xf>
    <xf numFmtId="0" fontId="30" fillId="7" borderId="115" xfId="60" applyFont="1" applyFill="1" applyBorder="1" applyAlignment="1" applyProtection="1">
      <alignment horizontal="center"/>
      <protection/>
    </xf>
    <xf numFmtId="0" fontId="30" fillId="7" borderId="107" xfId="60" applyFont="1" applyFill="1" applyBorder="1" applyAlignment="1" applyProtection="1">
      <alignment horizontal="center"/>
      <protection/>
    </xf>
    <xf numFmtId="0" fontId="30" fillId="7" borderId="116" xfId="60" applyFont="1" applyFill="1" applyBorder="1" applyAlignment="1" applyProtection="1">
      <alignment horizontal="center"/>
      <protection/>
    </xf>
    <xf numFmtId="44" fontId="21" fillId="7" borderId="37" xfId="45" applyFont="1" applyFill="1" applyBorder="1" applyAlignment="1">
      <alignment/>
    </xf>
    <xf numFmtId="177" fontId="21" fillId="7" borderId="92" xfId="45" applyNumberFormat="1" applyFont="1" applyFill="1" applyBorder="1" applyAlignment="1">
      <alignment/>
    </xf>
    <xf numFmtId="177" fontId="21" fillId="7" borderId="117" xfId="45" applyNumberFormat="1" applyFont="1" applyFill="1" applyBorder="1" applyAlignment="1">
      <alignment/>
    </xf>
    <xf numFmtId="177" fontId="30" fillId="7" borderId="36" xfId="45" applyNumberFormat="1" applyFont="1" applyFill="1" applyBorder="1" applyAlignment="1" applyProtection="1">
      <alignment horizontal="center"/>
      <protection/>
    </xf>
    <xf numFmtId="0" fontId="11" fillId="0" borderId="50" xfId="61" applyFont="1" applyBorder="1">
      <alignment/>
      <protection/>
    </xf>
    <xf numFmtId="166" fontId="11" fillId="0" borderId="50" xfId="44" applyNumberFormat="1" applyFont="1" applyFill="1" applyBorder="1" applyAlignment="1">
      <alignment/>
    </xf>
    <xf numFmtId="0" fontId="11" fillId="0" borderId="36" xfId="61" applyFont="1" applyBorder="1">
      <alignment/>
      <protection/>
    </xf>
    <xf numFmtId="166" fontId="11" fillId="0" borderId="36" xfId="44" applyNumberFormat="1" applyFont="1" applyFill="1" applyBorder="1" applyAlignment="1">
      <alignment/>
    </xf>
    <xf numFmtId="177" fontId="11" fillId="22" borderId="50" xfId="45" applyNumberFormat="1" applyFont="1" applyFill="1" applyBorder="1" applyAlignment="1">
      <alignment/>
    </xf>
    <xf numFmtId="166" fontId="11" fillId="22" borderId="55" xfId="42" applyNumberFormat="1" applyFont="1" applyFill="1" applyBorder="1" applyAlignment="1">
      <alignment/>
    </xf>
    <xf numFmtId="177" fontId="21" fillId="7" borderId="36" xfId="45" applyNumberFormat="1" applyFont="1" applyFill="1" applyBorder="1" applyAlignment="1" applyProtection="1">
      <alignment horizontal="right"/>
      <protection/>
    </xf>
    <xf numFmtId="177" fontId="21" fillId="7" borderId="118" xfId="45" applyNumberFormat="1" applyFont="1" applyFill="1" applyBorder="1" applyAlignment="1" applyProtection="1">
      <alignment horizontal="right"/>
      <protection/>
    </xf>
    <xf numFmtId="166" fontId="21" fillId="7" borderId="119" xfId="42" applyNumberFormat="1" applyFont="1" applyFill="1" applyBorder="1" applyAlignment="1">
      <alignment/>
    </xf>
    <xf numFmtId="0" fontId="30" fillId="7" borderId="120" xfId="60" applyFont="1" applyFill="1" applyBorder="1" applyAlignment="1" applyProtection="1">
      <alignment horizontal="center"/>
      <protection/>
    </xf>
    <xf numFmtId="0" fontId="30" fillId="7" borderId="121" xfId="60" applyFont="1" applyFill="1" applyBorder="1" applyAlignment="1" applyProtection="1">
      <alignment horizontal="center"/>
      <protection/>
    </xf>
    <xf numFmtId="0" fontId="30" fillId="7" borderId="122" xfId="60" applyFont="1" applyFill="1" applyBorder="1" applyAlignment="1" applyProtection="1">
      <alignment horizontal="center"/>
      <protection/>
    </xf>
    <xf numFmtId="177" fontId="21" fillId="7" borderId="123" xfId="45" applyNumberFormat="1" applyFont="1" applyFill="1" applyBorder="1" applyAlignment="1">
      <alignment/>
    </xf>
    <xf numFmtId="177" fontId="21" fillId="7" borderId="124" xfId="45" applyNumberFormat="1" applyFont="1" applyFill="1" applyBorder="1" applyAlignment="1">
      <alignment/>
    </xf>
    <xf numFmtId="0" fontId="30" fillId="7" borderId="125" xfId="60" applyFont="1" applyFill="1" applyBorder="1" applyAlignment="1" applyProtection="1">
      <alignment horizontal="center"/>
      <protection/>
    </xf>
    <xf numFmtId="177" fontId="21" fillId="7" borderId="36" xfId="45" applyNumberFormat="1" applyFont="1" applyFill="1" applyBorder="1" applyAlignment="1" applyProtection="1">
      <alignment/>
      <protection/>
    </xf>
    <xf numFmtId="177" fontId="21" fillId="7" borderId="37" xfId="45" applyNumberFormat="1" applyFont="1" applyFill="1" applyBorder="1" applyAlignment="1" applyProtection="1">
      <alignment/>
      <protection/>
    </xf>
    <xf numFmtId="0" fontId="30" fillId="7" borderId="126" xfId="60" applyFont="1" applyFill="1" applyBorder="1" applyAlignment="1" applyProtection="1">
      <alignment horizontal="center"/>
      <protection/>
    </xf>
    <xf numFmtId="0" fontId="30" fillId="7" borderId="127" xfId="60" applyFont="1" applyFill="1" applyBorder="1" applyAlignment="1" applyProtection="1">
      <alignment horizontal="center"/>
      <protection/>
    </xf>
    <xf numFmtId="0" fontId="30" fillId="7" borderId="128" xfId="60" applyFont="1" applyFill="1" applyBorder="1" applyAlignment="1" applyProtection="1">
      <alignment horizontal="center"/>
      <protection/>
    </xf>
    <xf numFmtId="177" fontId="21" fillId="7" borderId="129" xfId="60" applyNumberFormat="1" applyFont="1" applyFill="1" applyBorder="1" applyProtection="1">
      <alignment/>
      <protection/>
    </xf>
    <xf numFmtId="177" fontId="21" fillId="7" borderId="91" xfId="60" applyNumberFormat="1" applyFont="1" applyFill="1" applyBorder="1" applyProtection="1">
      <alignment/>
      <protection/>
    </xf>
    <xf numFmtId="166" fontId="11" fillId="22" borderId="125" xfId="42" applyNumberFormat="1" applyFont="1" applyFill="1" applyBorder="1" applyAlignment="1">
      <alignment/>
    </xf>
    <xf numFmtId="166" fontId="11" fillId="22" borderId="107" xfId="42" applyNumberFormat="1" applyFont="1" applyFill="1" applyBorder="1" applyAlignment="1">
      <alignment/>
    </xf>
    <xf numFmtId="177" fontId="21" fillId="7" borderId="58" xfId="45" applyNumberFormat="1" applyFont="1" applyFill="1" applyBorder="1" applyAlignment="1">
      <alignment horizontal="right"/>
    </xf>
    <xf numFmtId="177" fontId="11" fillId="22" borderId="50" xfId="45" applyNumberFormat="1" applyFont="1" applyFill="1" applyBorder="1" applyAlignment="1">
      <alignment horizontal="center"/>
    </xf>
    <xf numFmtId="177" fontId="11" fillId="22" borderId="92" xfId="45" applyNumberFormat="1" applyFont="1" applyFill="1" applyBorder="1" applyAlignment="1">
      <alignment horizontal="right"/>
    </xf>
    <xf numFmtId="177" fontId="11" fillId="22" borderId="36" xfId="45" applyNumberFormat="1" applyFont="1" applyFill="1" applyBorder="1" applyAlignment="1">
      <alignment horizontal="right"/>
    </xf>
    <xf numFmtId="10" fontId="21" fillId="7" borderId="58" xfId="0" applyNumberFormat="1" applyFont="1" applyFill="1" applyBorder="1" applyAlignment="1">
      <alignment horizontal="center"/>
    </xf>
    <xf numFmtId="0" fontId="73" fillId="0" borderId="0" xfId="60" applyFont="1" applyBorder="1" applyAlignment="1" applyProtection="1">
      <alignment horizontal="right"/>
      <protection/>
    </xf>
    <xf numFmtId="0" fontId="8" fillId="0" borderId="88" xfId="60" applyFont="1" applyBorder="1" applyAlignment="1" applyProtection="1">
      <alignment horizontal="centerContinuous"/>
      <protection/>
    </xf>
    <xf numFmtId="38" fontId="8" fillId="0" borderId="89" xfId="60" applyNumberFormat="1" applyFont="1" applyFill="1" applyBorder="1" applyAlignment="1" applyProtection="1">
      <alignment horizontal="centerContinuous"/>
      <protection/>
    </xf>
    <xf numFmtId="38" fontId="16" fillId="0" borderId="130" xfId="60" applyNumberFormat="1" applyFont="1" applyBorder="1" applyAlignment="1" applyProtection="1">
      <alignment horizontal="center" vertical="center"/>
      <protection/>
    </xf>
    <xf numFmtId="38" fontId="8" fillId="0" borderId="131" xfId="60" applyNumberFormat="1" applyFont="1" applyBorder="1" applyAlignment="1" applyProtection="1">
      <alignment horizontal="center" vertical="center"/>
      <protection/>
    </xf>
    <xf numFmtId="38" fontId="8" fillId="0" borderId="132" xfId="60" applyNumberFormat="1" applyFont="1" applyBorder="1" applyAlignment="1" applyProtection="1">
      <alignment horizontal="center" vertical="center"/>
      <protection/>
    </xf>
    <xf numFmtId="0" fontId="20" fillId="0" borderId="0" xfId="60" applyFont="1" applyFill="1" applyBorder="1" applyAlignment="1" applyProtection="1">
      <alignment horizontal="right"/>
      <protection/>
    </xf>
    <xf numFmtId="0" fontId="20" fillId="0" borderId="0" xfId="60" applyFont="1" applyFill="1" applyBorder="1" applyAlignment="1" applyProtection="1">
      <alignment horizontal="left"/>
      <protection/>
    </xf>
    <xf numFmtId="0" fontId="10" fillId="0" borderId="32" xfId="60" applyFont="1" applyFill="1" applyBorder="1" applyAlignment="1" applyProtection="1">
      <alignment horizontal="centerContinuous"/>
      <protection/>
    </xf>
    <xf numFmtId="0" fontId="73" fillId="0" borderId="0" xfId="60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13" fillId="0" borderId="29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30" xfId="62" applyFont="1" applyFill="1" applyBorder="1">
      <alignment/>
      <protection/>
    </xf>
    <xf numFmtId="0" fontId="13" fillId="0" borderId="30" xfId="62" applyFont="1" applyBorder="1" applyAlignment="1">
      <alignment horizontal="center"/>
      <protection/>
    </xf>
    <xf numFmtId="0" fontId="11" fillId="0" borderId="30" xfId="62" applyFont="1" applyBorder="1" applyAlignment="1" quotePrefix="1">
      <alignment horizontal="center"/>
      <protection/>
    </xf>
    <xf numFmtId="189" fontId="13" fillId="0" borderId="30" xfId="0" applyNumberFormat="1" applyFont="1" applyBorder="1" applyAlignment="1">
      <alignment/>
    </xf>
    <xf numFmtId="0" fontId="13" fillId="0" borderId="31" xfId="0" applyFont="1" applyBorder="1" applyAlignment="1">
      <alignment/>
    </xf>
    <xf numFmtId="0" fontId="34" fillId="0" borderId="34" xfId="0" applyFont="1" applyFill="1" applyBorder="1" applyAlignment="1">
      <alignment horizontal="left"/>
    </xf>
    <xf numFmtId="3" fontId="11" fillId="0" borderId="0" xfId="60" applyNumberFormat="1" applyFont="1" applyFill="1" applyBorder="1" applyAlignment="1">
      <alignment horizontal="left"/>
      <protection/>
    </xf>
    <xf numFmtId="3" fontId="11" fillId="0" borderId="33" xfId="60" applyNumberFormat="1" applyFont="1" applyFill="1" applyBorder="1" applyAlignment="1">
      <alignment horizontal="left"/>
      <protection/>
    </xf>
    <xf numFmtId="0" fontId="8" fillId="0" borderId="32" xfId="60" applyFont="1" applyFill="1" applyBorder="1" applyAlignment="1" applyProtection="1">
      <alignment horizontal="centerContinuous"/>
      <protection/>
    </xf>
    <xf numFmtId="38" fontId="7" fillId="0" borderId="0" xfId="60" applyNumberFormat="1" applyFont="1" applyFill="1" applyBorder="1" applyAlignment="1">
      <alignment horizontal="centerContinuous"/>
      <protection/>
    </xf>
    <xf numFmtId="0" fontId="10" fillId="0" borderId="32" xfId="60" applyFont="1" applyFill="1" applyBorder="1" applyAlignment="1" applyProtection="1">
      <alignment horizontal="center"/>
      <protection/>
    </xf>
    <xf numFmtId="0" fontId="10" fillId="0" borderId="0" xfId="60" applyFont="1" applyFill="1" applyBorder="1" applyAlignment="1" applyProtection="1">
      <alignment horizontal="center"/>
      <protection/>
    </xf>
    <xf numFmtId="0" fontId="10" fillId="0" borderId="33" xfId="60" applyFont="1" applyFill="1" applyBorder="1" applyAlignment="1" applyProtection="1">
      <alignment horizontal="center"/>
      <protection/>
    </xf>
    <xf numFmtId="38" fontId="12" fillId="0" borderId="66" xfId="60" applyNumberFormat="1" applyFont="1" applyBorder="1" applyAlignment="1" applyProtection="1">
      <alignment horizontal="center" vertical="center"/>
      <protection/>
    </xf>
    <xf numFmtId="0" fontId="11" fillId="0" borderId="36" xfId="62" applyFont="1" applyFill="1" applyBorder="1" applyAlignment="1">
      <alignment horizontal="center"/>
      <protection/>
    </xf>
    <xf numFmtId="0" fontId="11" fillId="0" borderId="36" xfId="62" applyFont="1" applyFill="1" applyBorder="1" applyAlignment="1" quotePrefix="1">
      <alignment horizontal="center"/>
      <protection/>
    </xf>
    <xf numFmtId="0" fontId="11" fillId="0" borderId="36" xfId="62" applyFont="1" applyBorder="1" applyAlignment="1">
      <alignment horizontal="center"/>
      <protection/>
    </xf>
    <xf numFmtId="0" fontId="11" fillId="0" borderId="36" xfId="62" applyFont="1" applyBorder="1" applyAlignment="1" quotePrefix="1">
      <alignment horizontal="center"/>
      <protection/>
    </xf>
    <xf numFmtId="38" fontId="11" fillId="0" borderId="0" xfId="62" applyNumberFormat="1" applyFont="1" applyFill="1" applyBorder="1">
      <alignment/>
      <protection/>
    </xf>
    <xf numFmtId="38" fontId="11" fillId="0" borderId="33" xfId="62" applyNumberFormat="1" applyFont="1" applyFill="1" applyBorder="1">
      <alignment/>
      <protection/>
    </xf>
    <xf numFmtId="38" fontId="11" fillId="0" borderId="0" xfId="62" applyNumberFormat="1" applyFont="1" applyBorder="1">
      <alignment/>
      <protection/>
    </xf>
    <xf numFmtId="38" fontId="11" fillId="0" borderId="33" xfId="62" applyNumberFormat="1" applyFont="1" applyBorder="1">
      <alignment/>
      <protection/>
    </xf>
    <xf numFmtId="6" fontId="11" fillId="0" borderId="0" xfId="62" applyNumberFormat="1" applyFont="1" applyFill="1" applyBorder="1">
      <alignment/>
      <protection/>
    </xf>
    <xf numFmtId="6" fontId="11" fillId="0" borderId="33" xfId="62" applyNumberFormat="1" applyFont="1" applyFill="1" applyBorder="1">
      <alignment/>
      <protection/>
    </xf>
    <xf numFmtId="177" fontId="0" fillId="0" borderId="0" xfId="45" applyNumberFormat="1" applyAlignment="1">
      <alignment/>
    </xf>
    <xf numFmtId="0" fontId="21" fillId="0" borderId="32" xfId="60" applyFont="1" applyBorder="1" applyAlignment="1" applyProtection="1">
      <alignment horizontal="left"/>
      <protection/>
    </xf>
    <xf numFmtId="0" fontId="11" fillId="0" borderId="36" xfId="60" applyFont="1" applyBorder="1" applyAlignment="1">
      <alignment horizontal="center"/>
      <protection/>
    </xf>
    <xf numFmtId="166" fontId="11" fillId="22" borderId="20" xfId="42" applyNumberFormat="1" applyFont="1" applyFill="1" applyBorder="1" applyAlignment="1">
      <alignment/>
    </xf>
    <xf numFmtId="166" fontId="11" fillId="22" borderId="21" xfId="42" applyNumberFormat="1" applyFont="1" applyFill="1" applyBorder="1" applyAlignment="1">
      <alignment/>
    </xf>
    <xf numFmtId="0" fontId="11" fillId="0" borderId="36" xfId="60" applyFont="1" applyFill="1" applyBorder="1" applyAlignment="1">
      <alignment horizontal="center"/>
      <protection/>
    </xf>
    <xf numFmtId="0" fontId="11" fillId="0" borderId="32" xfId="60" applyFont="1" applyFill="1" applyBorder="1" applyAlignment="1" applyProtection="1">
      <alignment horizontal="center"/>
      <protection/>
    </xf>
    <xf numFmtId="0" fontId="13" fillId="7" borderId="133" xfId="60" applyFont="1" applyFill="1" applyBorder="1" applyAlignment="1" applyProtection="1">
      <alignment horizontal="center"/>
      <protection/>
    </xf>
    <xf numFmtId="0" fontId="13" fillId="7" borderId="134" xfId="60" applyFont="1" applyFill="1" applyBorder="1" applyAlignment="1" applyProtection="1">
      <alignment horizontal="center"/>
      <protection/>
    </xf>
    <xf numFmtId="0" fontId="13" fillId="7" borderId="116" xfId="60" applyFont="1" applyFill="1" applyBorder="1" applyAlignment="1" applyProtection="1">
      <alignment horizontal="center"/>
      <protection/>
    </xf>
    <xf numFmtId="177" fontId="21" fillId="7" borderId="20" xfId="45" applyNumberFormat="1" applyFont="1" applyFill="1" applyBorder="1" applyAlignment="1">
      <alignment/>
    </xf>
    <xf numFmtId="177" fontId="21" fillId="7" borderId="21" xfId="45" applyNumberFormat="1" applyFont="1" applyFill="1" applyBorder="1" applyAlignment="1">
      <alignment/>
    </xf>
    <xf numFmtId="0" fontId="13" fillId="7" borderId="125" xfId="60" applyFont="1" applyFill="1" applyBorder="1" applyAlignment="1" applyProtection="1">
      <alignment horizontal="center"/>
      <protection/>
    </xf>
    <xf numFmtId="0" fontId="13" fillId="7" borderId="107" xfId="60" applyFont="1" applyFill="1" applyBorder="1" applyAlignment="1" applyProtection="1">
      <alignment horizontal="center"/>
      <protection/>
    </xf>
    <xf numFmtId="0" fontId="13" fillId="7" borderId="135" xfId="60" applyFont="1" applyFill="1" applyBorder="1" applyAlignment="1" applyProtection="1">
      <alignment horizontal="center"/>
      <protection/>
    </xf>
    <xf numFmtId="177" fontId="21" fillId="7" borderId="136" xfId="45" applyNumberFormat="1" applyFont="1" applyFill="1" applyBorder="1" applyAlignment="1">
      <alignment/>
    </xf>
    <xf numFmtId="0" fontId="40" fillId="0" borderId="0" xfId="60" applyFont="1" applyBorder="1" applyProtection="1">
      <alignment/>
      <protection locked="0"/>
    </xf>
    <xf numFmtId="0" fontId="40" fillId="0" borderId="0" xfId="60" applyFont="1" applyBorder="1" applyAlignment="1" applyProtection="1">
      <alignment horizontal="left"/>
      <protection locked="0"/>
    </xf>
    <xf numFmtId="177" fontId="13" fillId="22" borderId="40" xfId="45" applyNumberFormat="1" applyFont="1" applyFill="1" applyBorder="1" applyAlignment="1" applyProtection="1">
      <alignment horizontal="right"/>
      <protection/>
    </xf>
    <xf numFmtId="177" fontId="13" fillId="22" borderId="39" xfId="45" applyNumberFormat="1" applyFont="1" applyFill="1" applyBorder="1" applyAlignment="1" applyProtection="1">
      <alignment horizontal="right"/>
      <protection/>
    </xf>
    <xf numFmtId="177" fontId="13" fillId="22" borderId="41" xfId="45" applyNumberFormat="1" applyFont="1" applyFill="1" applyBorder="1" applyAlignment="1" applyProtection="1">
      <alignment horizontal="center"/>
      <protection/>
    </xf>
    <xf numFmtId="0" fontId="11" fillId="0" borderId="0" xfId="61" applyFont="1" applyBorder="1">
      <alignment/>
      <protection/>
    </xf>
    <xf numFmtId="38" fontId="11" fillId="7" borderId="125" xfId="60" applyNumberFormat="1" applyFont="1" applyFill="1" applyBorder="1" applyAlignment="1" applyProtection="1">
      <alignment horizontal="right"/>
      <protection/>
    </xf>
    <xf numFmtId="189" fontId="21" fillId="7" borderId="108" xfId="0" applyNumberFormat="1" applyFont="1" applyFill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164" fontId="16" fillId="0" borderId="0" xfId="60" applyNumberFormat="1" applyFont="1" applyBorder="1" applyAlignment="1" applyProtection="1">
      <alignment horizontal="center"/>
      <protection/>
    </xf>
    <xf numFmtId="0" fontId="8" fillId="0" borderId="32" xfId="60" applyFont="1" applyFill="1" applyBorder="1" applyAlignment="1" applyProtection="1">
      <alignment horizontal="center"/>
      <protection/>
    </xf>
    <xf numFmtId="0" fontId="28" fillId="0" borderId="0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0" fillId="0" borderId="32" xfId="0" applyFont="1" applyBorder="1" applyAlignment="1">
      <alignment/>
    </xf>
    <xf numFmtId="166" fontId="11" fillId="0" borderId="36" xfId="42" applyNumberFormat="1" applyFont="1" applyFill="1" applyBorder="1" applyAlignment="1">
      <alignment/>
    </xf>
    <xf numFmtId="166" fontId="11" fillId="0" borderId="37" xfId="42" applyNumberFormat="1" applyFont="1" applyFill="1" applyBorder="1" applyAlignment="1">
      <alignment/>
    </xf>
    <xf numFmtId="177" fontId="21" fillId="7" borderId="58" xfId="45" applyNumberFormat="1" applyFont="1" applyFill="1" applyBorder="1" applyAlignment="1">
      <alignment horizontal="center"/>
    </xf>
    <xf numFmtId="1" fontId="21" fillId="7" borderId="58" xfId="65" applyNumberFormat="1" applyFont="1" applyFill="1" applyBorder="1" applyAlignment="1">
      <alignment horizontal="center"/>
    </xf>
    <xf numFmtId="10" fontId="21" fillId="7" borderId="58" xfId="65" applyNumberFormat="1" applyFont="1" applyFill="1" applyBorder="1" applyAlignment="1">
      <alignment horizontal="center"/>
    </xf>
    <xf numFmtId="177" fontId="21" fillId="7" borderId="59" xfId="45" applyNumberFormat="1" applyFont="1" applyFill="1" applyBorder="1" applyAlignment="1">
      <alignment horizontal="center"/>
    </xf>
    <xf numFmtId="169" fontId="21" fillId="7" borderId="64" xfId="65" applyNumberFormat="1" applyFont="1" applyFill="1" applyBorder="1" applyAlignment="1">
      <alignment horizontal="center"/>
    </xf>
    <xf numFmtId="169" fontId="71" fillId="25" borderId="99" xfId="45" applyNumberFormat="1" applyFont="1" applyFill="1" applyBorder="1" applyAlignment="1">
      <alignment horizontal="right"/>
    </xf>
    <xf numFmtId="38" fontId="11" fillId="26" borderId="36" xfId="42" applyNumberFormat="1" applyFont="1" applyFill="1" applyBorder="1" applyAlignment="1">
      <alignment/>
    </xf>
    <xf numFmtId="0" fontId="13" fillId="7" borderId="125" xfId="62" applyFont="1" applyFill="1" applyBorder="1" applyAlignment="1">
      <alignment horizontal="center"/>
      <protection/>
    </xf>
    <xf numFmtId="0" fontId="13" fillId="7" borderId="107" xfId="62" applyFont="1" applyFill="1" applyBorder="1" applyAlignment="1" quotePrefix="1">
      <alignment horizontal="center"/>
      <protection/>
    </xf>
    <xf numFmtId="0" fontId="13" fillId="7" borderId="116" xfId="60" applyFont="1" applyFill="1" applyBorder="1" applyAlignment="1" applyProtection="1">
      <alignment horizontal="center"/>
      <protection locked="0"/>
    </xf>
    <xf numFmtId="177" fontId="13" fillId="8" borderId="64" xfId="45" applyNumberFormat="1" applyFont="1" applyFill="1" applyBorder="1" applyAlignment="1" applyProtection="1">
      <alignment horizontal="right"/>
      <protection/>
    </xf>
    <xf numFmtId="177" fontId="13" fillId="8" borderId="65" xfId="45" applyNumberFormat="1" applyFont="1" applyFill="1" applyBorder="1" applyAlignment="1" applyProtection="1">
      <alignment horizontal="right"/>
      <protection/>
    </xf>
    <xf numFmtId="177" fontId="8" fillId="8" borderId="64" xfId="45" applyNumberFormat="1" applyFont="1" applyFill="1" applyBorder="1" applyAlignment="1" applyProtection="1">
      <alignment horizontal="right"/>
      <protection/>
    </xf>
    <xf numFmtId="177" fontId="8" fillId="8" borderId="65" xfId="45" applyNumberFormat="1" applyFont="1" applyFill="1" applyBorder="1" applyAlignment="1" applyProtection="1">
      <alignment horizontal="right"/>
      <protection/>
    </xf>
    <xf numFmtId="0" fontId="8" fillId="8" borderId="137" xfId="60" applyFont="1" applyFill="1" applyBorder="1" applyProtection="1">
      <alignment/>
      <protection/>
    </xf>
    <xf numFmtId="0" fontId="35" fillId="8" borderId="137" xfId="60" applyFont="1" applyFill="1" applyBorder="1" applyProtection="1">
      <alignment/>
      <protection/>
    </xf>
    <xf numFmtId="38" fontId="8" fillId="8" borderId="64" xfId="60" applyNumberFormat="1" applyFont="1" applyFill="1" applyBorder="1" applyAlignment="1" applyProtection="1">
      <alignment horizontal="right"/>
      <protection/>
    </xf>
    <xf numFmtId="2" fontId="35" fillId="8" borderId="64" xfId="45" applyNumberFormat="1" applyFont="1" applyFill="1" applyBorder="1" applyAlignment="1" applyProtection="1">
      <alignment horizontal="right"/>
      <protection/>
    </xf>
    <xf numFmtId="0" fontId="13" fillId="7" borderId="138" xfId="59" applyFont="1" applyFill="1" applyBorder="1">
      <alignment/>
      <protection/>
    </xf>
    <xf numFmtId="177" fontId="13" fillId="7" borderId="129" xfId="45" applyNumberFormat="1" applyFont="1" applyFill="1" applyBorder="1" applyAlignment="1">
      <alignment/>
    </xf>
    <xf numFmtId="177" fontId="13" fillId="7" borderId="139" xfId="45" applyNumberFormat="1" applyFont="1" applyFill="1" applyBorder="1" applyAlignment="1">
      <alignment/>
    </xf>
    <xf numFmtId="9" fontId="8" fillId="7" borderId="129" xfId="65" applyFont="1" applyFill="1" applyBorder="1" applyAlignment="1">
      <alignment/>
    </xf>
    <xf numFmtId="9" fontId="8" fillId="7" borderId="139" xfId="65" applyFont="1" applyFill="1" applyBorder="1" applyAlignment="1">
      <alignment/>
    </xf>
    <xf numFmtId="0" fontId="13" fillId="7" borderId="20" xfId="59" applyFont="1" applyFill="1" applyBorder="1">
      <alignment/>
      <protection/>
    </xf>
    <xf numFmtId="177" fontId="13" fillId="7" borderId="20" xfId="45" applyNumberFormat="1" applyFont="1" applyFill="1" applyBorder="1" applyAlignment="1">
      <alignment/>
    </xf>
    <xf numFmtId="177" fontId="13" fillId="7" borderId="21" xfId="45" applyNumberFormat="1" applyFont="1" applyFill="1" applyBorder="1" applyAlignment="1">
      <alignment/>
    </xf>
    <xf numFmtId="9" fontId="8" fillId="7" borderId="20" xfId="65" applyFont="1" applyFill="1" applyBorder="1" applyAlignment="1">
      <alignment/>
    </xf>
    <xf numFmtId="9" fontId="8" fillId="7" borderId="21" xfId="65" applyFont="1" applyFill="1" applyBorder="1" applyAlignment="1">
      <alignment/>
    </xf>
    <xf numFmtId="0" fontId="13" fillId="7" borderId="140" xfId="59" applyFont="1" applyFill="1" applyBorder="1">
      <alignment/>
      <protection/>
    </xf>
    <xf numFmtId="9" fontId="8" fillId="7" borderId="140" xfId="65" applyFont="1" applyFill="1" applyBorder="1" applyAlignment="1">
      <alignment/>
    </xf>
    <xf numFmtId="9" fontId="8" fillId="7" borderId="141" xfId="65" applyFont="1" applyFill="1" applyBorder="1" applyAlignment="1">
      <alignment/>
    </xf>
    <xf numFmtId="10" fontId="8" fillId="7" borderId="142" xfId="65" applyNumberFormat="1" applyFont="1" applyFill="1" applyBorder="1" applyAlignment="1">
      <alignment/>
    </xf>
    <xf numFmtId="10" fontId="8" fillId="7" borderId="143" xfId="65" applyNumberFormat="1" applyFont="1" applyFill="1" applyBorder="1" applyAlignment="1">
      <alignment/>
    </xf>
    <xf numFmtId="10" fontId="8" fillId="7" borderId="144" xfId="65" applyNumberFormat="1" applyFont="1" applyFill="1" applyBorder="1" applyAlignment="1">
      <alignment/>
    </xf>
    <xf numFmtId="10" fontId="8" fillId="7" borderId="145" xfId="65" applyNumberFormat="1" applyFont="1" applyFill="1" applyBorder="1" applyAlignment="1">
      <alignment/>
    </xf>
    <xf numFmtId="10" fontId="8" fillId="7" borderId="20" xfId="65" applyNumberFormat="1" applyFont="1" applyFill="1" applyBorder="1" applyAlignment="1">
      <alignment/>
    </xf>
    <xf numFmtId="10" fontId="8" fillId="7" borderId="21" xfId="65" applyNumberFormat="1" applyFont="1" applyFill="1" applyBorder="1" applyAlignment="1">
      <alignment/>
    </xf>
    <xf numFmtId="10" fontId="8" fillId="7" borderId="146" xfId="65" applyNumberFormat="1" applyFont="1" applyFill="1" applyBorder="1" applyAlignment="1">
      <alignment/>
    </xf>
    <xf numFmtId="10" fontId="8" fillId="7" borderId="147" xfId="65" applyNumberFormat="1" applyFont="1" applyFill="1" applyBorder="1" applyAlignment="1">
      <alignment/>
    </xf>
    <xf numFmtId="10" fontId="8" fillId="7" borderId="148" xfId="65" applyNumberFormat="1" applyFont="1" applyFill="1" applyBorder="1" applyAlignment="1">
      <alignment/>
    </xf>
    <xf numFmtId="177" fontId="13" fillId="0" borderId="0" xfId="45" applyNumberFormat="1" applyFont="1" applyFill="1" applyBorder="1" applyAlignment="1">
      <alignment/>
    </xf>
    <xf numFmtId="177" fontId="13" fillId="0" borderId="15" xfId="45" applyNumberFormat="1" applyFont="1" applyFill="1" applyBorder="1" applyAlignment="1">
      <alignment/>
    </xf>
    <xf numFmtId="166" fontId="11" fillId="27" borderId="20" xfId="42" applyNumberFormat="1" applyFont="1" applyFill="1" applyBorder="1" applyAlignment="1">
      <alignment/>
    </xf>
    <xf numFmtId="38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1" fillId="0" borderId="107" xfId="60" applyFont="1" applyFill="1" applyBorder="1" applyAlignment="1" applyProtection="1">
      <alignment horizontal="center"/>
      <protection/>
    </xf>
    <xf numFmtId="0" fontId="11" fillId="0" borderId="116" xfId="60" applyFont="1" applyFill="1" applyBorder="1" applyAlignment="1" applyProtection="1">
      <alignment horizontal="center"/>
      <protection/>
    </xf>
    <xf numFmtId="0" fontId="10" fillId="0" borderId="88" xfId="60" applyFont="1" applyBorder="1" applyAlignment="1" applyProtection="1">
      <alignment horizontal="center"/>
      <protection/>
    </xf>
    <xf numFmtId="0" fontId="10" fillId="0" borderId="0" xfId="60" applyFont="1" applyBorder="1" applyAlignment="1" applyProtection="1">
      <alignment horizontal="center"/>
      <protection/>
    </xf>
    <xf numFmtId="0" fontId="10" fillId="0" borderId="89" xfId="60" applyFont="1" applyBorder="1" applyAlignment="1" applyProtection="1">
      <alignment horizontal="center"/>
      <protection/>
    </xf>
    <xf numFmtId="0" fontId="74" fillId="0" borderId="47" xfId="60" applyFont="1" applyBorder="1" applyAlignment="1" applyProtection="1">
      <alignment horizontal="center"/>
      <protection/>
    </xf>
    <xf numFmtId="0" fontId="74" fillId="0" borderId="42" xfId="60" applyFont="1" applyBorder="1" applyAlignment="1" applyProtection="1">
      <alignment horizontal="center"/>
      <protection/>
    </xf>
    <xf numFmtId="0" fontId="74" fillId="0" borderId="43" xfId="60" applyFont="1" applyBorder="1" applyAlignment="1" applyProtection="1">
      <alignment horizontal="center"/>
      <protection/>
    </xf>
    <xf numFmtId="15" fontId="8" fillId="7" borderId="149" xfId="60" applyNumberFormat="1" applyFont="1" applyFill="1" applyBorder="1" applyAlignment="1" applyProtection="1">
      <alignment horizontal="center"/>
      <protection/>
    </xf>
    <xf numFmtId="15" fontId="8" fillId="7" borderId="150" xfId="60" applyNumberFormat="1" applyFont="1" applyFill="1" applyBorder="1" applyAlignment="1" applyProtection="1">
      <alignment horizontal="center"/>
      <protection/>
    </xf>
    <xf numFmtId="0" fontId="8" fillId="7" borderId="151" xfId="60" applyFont="1" applyFill="1" applyBorder="1" applyAlignment="1" applyProtection="1">
      <alignment horizontal="center"/>
      <protection/>
    </xf>
    <xf numFmtId="0" fontId="8" fillId="7" borderId="152" xfId="60" applyFont="1" applyFill="1" applyBorder="1" applyAlignment="1" applyProtection="1">
      <alignment horizontal="center"/>
      <protection/>
    </xf>
    <xf numFmtId="0" fontId="8" fillId="7" borderId="153" xfId="60" applyFont="1" applyFill="1" applyBorder="1" applyAlignment="1" applyProtection="1">
      <alignment horizontal="center"/>
      <protection/>
    </xf>
    <xf numFmtId="0" fontId="8" fillId="7" borderId="154" xfId="60" applyFont="1" applyFill="1" applyBorder="1" applyAlignment="1" applyProtection="1">
      <alignment horizontal="center"/>
      <protection/>
    </xf>
    <xf numFmtId="0" fontId="8" fillId="7" borderId="127" xfId="60" applyFont="1" applyFill="1" applyBorder="1" applyAlignment="1" applyProtection="1">
      <alignment horizontal="center"/>
      <protection/>
    </xf>
    <xf numFmtId="0" fontId="8" fillId="7" borderId="155" xfId="60" applyFont="1" applyFill="1" applyBorder="1" applyAlignment="1" applyProtection="1">
      <alignment horizontal="center"/>
      <protection/>
    </xf>
    <xf numFmtId="14" fontId="8" fillId="7" borderId="149" xfId="60" applyNumberFormat="1" applyFont="1" applyFill="1" applyBorder="1" applyAlignment="1" applyProtection="1">
      <alignment horizontal="center"/>
      <protection/>
    </xf>
    <xf numFmtId="0" fontId="8" fillId="7" borderId="150" xfId="60" applyFont="1" applyFill="1" applyBorder="1" applyAlignment="1" applyProtection="1">
      <alignment horizontal="center"/>
      <protection/>
    </xf>
    <xf numFmtId="0" fontId="8" fillId="7" borderId="156" xfId="60" applyFont="1" applyFill="1" applyBorder="1" applyAlignment="1" applyProtection="1">
      <alignment horizontal="center"/>
      <protection/>
    </xf>
    <xf numFmtId="0" fontId="11" fillId="0" borderId="125" xfId="60" applyFont="1" applyFill="1" applyBorder="1" applyAlignment="1" applyProtection="1">
      <alignment horizontal="center"/>
      <protection/>
    </xf>
    <xf numFmtId="0" fontId="35" fillId="0" borderId="157" xfId="0" applyFont="1" applyBorder="1" applyAlignment="1">
      <alignment horizontal="center"/>
    </xf>
    <xf numFmtId="0" fontId="35" fillId="0" borderId="158" xfId="0" applyFont="1" applyBorder="1" applyAlignment="1">
      <alignment horizontal="center"/>
    </xf>
    <xf numFmtId="0" fontId="35" fillId="0" borderId="159" xfId="0" applyFont="1" applyBorder="1" applyAlignment="1">
      <alignment horizontal="center"/>
    </xf>
    <xf numFmtId="0" fontId="8" fillId="0" borderId="160" xfId="60" applyFont="1" applyFill="1" applyBorder="1" applyAlignment="1" applyProtection="1">
      <alignment horizontal="center" vertical="center"/>
      <protection/>
    </xf>
    <xf numFmtId="0" fontId="8" fillId="0" borderId="75" xfId="60" applyFont="1" applyFill="1" applyBorder="1" applyAlignment="1" applyProtection="1">
      <alignment horizontal="center" vertical="center"/>
      <protection/>
    </xf>
    <xf numFmtId="0" fontId="8" fillId="0" borderId="88" xfId="60" applyFont="1" applyFill="1" applyBorder="1" applyAlignment="1" applyProtection="1">
      <alignment horizontal="center" vertical="center"/>
      <protection/>
    </xf>
    <xf numFmtId="0" fontId="8" fillId="0" borderId="67" xfId="60" applyFont="1" applyFill="1" applyBorder="1" applyAlignment="1" applyProtection="1">
      <alignment horizontal="center" vertical="center"/>
      <protection/>
    </xf>
    <xf numFmtId="0" fontId="8" fillId="0" borderId="161" xfId="60" applyFont="1" applyFill="1" applyBorder="1" applyAlignment="1" applyProtection="1">
      <alignment horizontal="center" vertical="center"/>
      <protection/>
    </xf>
    <xf numFmtId="0" fontId="8" fillId="0" borderId="77" xfId="60" applyFont="1" applyFill="1" applyBorder="1" applyAlignment="1" applyProtection="1">
      <alignment horizontal="center" vertical="center"/>
      <protection/>
    </xf>
    <xf numFmtId="38" fontId="8" fillId="0" borderId="44" xfId="60" applyNumberFormat="1" applyFont="1" applyBorder="1" applyAlignment="1" applyProtection="1">
      <alignment horizontal="center" vertical="center"/>
      <protection/>
    </xf>
    <xf numFmtId="38" fontId="8" fillId="0" borderId="38" xfId="60" applyNumberFormat="1" applyFont="1" applyBorder="1" applyAlignment="1" applyProtection="1">
      <alignment horizontal="center" vertical="center"/>
      <protection/>
    </xf>
    <xf numFmtId="38" fontId="8" fillId="0" borderId="45" xfId="60" applyNumberFormat="1" applyFont="1" applyBorder="1" applyAlignment="1" applyProtection="1">
      <alignment horizontal="center" vertical="center"/>
      <protection/>
    </xf>
    <xf numFmtId="38" fontId="8" fillId="0" borderId="44" xfId="60" applyNumberFormat="1" applyFont="1" applyFill="1" applyBorder="1" applyAlignment="1" applyProtection="1">
      <alignment horizontal="center" vertical="center"/>
      <protection/>
    </xf>
    <xf numFmtId="38" fontId="8" fillId="0" borderId="38" xfId="60" applyNumberFormat="1" applyFont="1" applyFill="1" applyBorder="1" applyAlignment="1" applyProtection="1">
      <alignment horizontal="center" vertical="center"/>
      <protection/>
    </xf>
    <xf numFmtId="38" fontId="8" fillId="0" borderId="45" xfId="60" applyNumberFormat="1" applyFont="1" applyFill="1" applyBorder="1" applyAlignment="1" applyProtection="1">
      <alignment horizontal="center" vertical="center"/>
      <protection/>
    </xf>
    <xf numFmtId="0" fontId="8" fillId="0" borderId="88" xfId="60" applyFont="1" applyBorder="1" applyAlignment="1" applyProtection="1">
      <alignment horizontal="center"/>
      <protection/>
    </xf>
    <xf numFmtId="0" fontId="8" fillId="0" borderId="0" xfId="60" applyFont="1" applyBorder="1" applyAlignment="1" applyProtection="1">
      <alignment horizontal="center"/>
      <protection/>
    </xf>
    <xf numFmtId="0" fontId="8" fillId="0" borderId="89" xfId="60" applyFont="1" applyBorder="1" applyAlignment="1" applyProtection="1">
      <alignment horizontal="center"/>
      <protection/>
    </xf>
    <xf numFmtId="0" fontId="8" fillId="0" borderId="8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9" xfId="0" applyFont="1" applyBorder="1" applyAlignment="1">
      <alignment horizontal="center"/>
    </xf>
    <xf numFmtId="15" fontId="8" fillId="7" borderId="156" xfId="60" applyNumberFormat="1" applyFont="1" applyFill="1" applyBorder="1" applyAlignment="1" applyProtection="1">
      <alignment horizontal="center"/>
      <protection/>
    </xf>
    <xf numFmtId="0" fontId="8" fillId="0" borderId="82" xfId="60" applyFont="1" applyFill="1" applyBorder="1" applyAlignment="1" applyProtection="1">
      <alignment horizontal="center" vertical="center"/>
      <protection/>
    </xf>
    <xf numFmtId="0" fontId="8" fillId="0" borderId="47" xfId="60" applyFont="1" applyFill="1" applyBorder="1" applyAlignment="1" applyProtection="1">
      <alignment horizontal="center" vertical="center"/>
      <protection/>
    </xf>
    <xf numFmtId="0" fontId="34" fillId="0" borderId="32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8" fillId="0" borderId="50" xfId="60" applyFont="1" applyBorder="1" applyAlignment="1" applyProtection="1">
      <alignment horizontal="center"/>
      <protection/>
    </xf>
    <xf numFmtId="0" fontId="8" fillId="0" borderId="105" xfId="60" applyFont="1" applyBorder="1" applyAlignment="1" applyProtection="1">
      <alignment horizontal="center"/>
      <protection/>
    </xf>
    <xf numFmtId="0" fontId="8" fillId="0" borderId="50" xfId="0" applyFont="1" applyBorder="1" applyAlignment="1">
      <alignment horizontal="center"/>
    </xf>
    <xf numFmtId="0" fontId="8" fillId="0" borderId="29" xfId="60" applyFont="1" applyFill="1" applyBorder="1" applyAlignment="1" applyProtection="1">
      <alignment horizontal="center" vertical="center"/>
      <protection/>
    </xf>
    <xf numFmtId="0" fontId="8" fillId="0" borderId="87" xfId="60" applyFont="1" applyFill="1" applyBorder="1" applyAlignment="1" applyProtection="1">
      <alignment horizontal="center" vertical="center"/>
      <protection/>
    </xf>
    <xf numFmtId="0" fontId="8" fillId="0" borderId="32" xfId="60" applyFont="1" applyFill="1" applyBorder="1" applyAlignment="1" applyProtection="1">
      <alignment horizontal="center" vertical="center"/>
      <protection/>
    </xf>
    <xf numFmtId="0" fontId="8" fillId="0" borderId="34" xfId="60" applyFont="1" applyFill="1" applyBorder="1" applyAlignment="1" applyProtection="1">
      <alignment horizontal="center" vertical="center"/>
      <protection/>
    </xf>
    <xf numFmtId="0" fontId="8" fillId="0" borderId="70" xfId="60" applyFont="1" applyFill="1" applyBorder="1" applyAlignment="1" applyProtection="1">
      <alignment horizontal="center" vertical="center"/>
      <protection/>
    </xf>
    <xf numFmtId="38" fontId="21" fillId="0" borderId="162" xfId="60" applyNumberFormat="1" applyFont="1" applyFill="1" applyBorder="1" applyAlignment="1" applyProtection="1">
      <alignment horizontal="center" vertical="center"/>
      <protection/>
    </xf>
    <xf numFmtId="38" fontId="21" fillId="0" borderId="38" xfId="60" applyNumberFormat="1" applyFont="1" applyFill="1" applyBorder="1" applyAlignment="1" applyProtection="1">
      <alignment horizontal="center" vertical="center"/>
      <protection/>
    </xf>
    <xf numFmtId="38" fontId="21" fillId="0" borderId="69" xfId="60" applyNumberFormat="1" applyFont="1" applyFill="1" applyBorder="1" applyAlignment="1" applyProtection="1">
      <alignment horizontal="center" vertical="center"/>
      <protection/>
    </xf>
    <xf numFmtId="38" fontId="8" fillId="0" borderId="162" xfId="60" applyNumberFormat="1" applyFont="1" applyBorder="1" applyAlignment="1" applyProtection="1">
      <alignment horizontal="center" vertical="center"/>
      <protection/>
    </xf>
    <xf numFmtId="38" fontId="8" fillId="0" borderId="69" xfId="60" applyNumberFormat="1" applyFont="1" applyBorder="1" applyAlignment="1" applyProtection="1">
      <alignment horizontal="center" vertical="center"/>
      <protection/>
    </xf>
    <xf numFmtId="0" fontId="11" fillId="0" borderId="163" xfId="61" applyFont="1" applyBorder="1" applyAlignment="1">
      <alignment horizontal="center"/>
      <protection/>
    </xf>
    <xf numFmtId="0" fontId="11" fillId="0" borderId="164" xfId="61" applyFont="1" applyBorder="1" applyAlignment="1">
      <alignment horizontal="center"/>
      <protection/>
    </xf>
    <xf numFmtId="0" fontId="8" fillId="26" borderId="74" xfId="0" applyFont="1" applyFill="1" applyBorder="1" applyAlignment="1">
      <alignment horizontal="center" vertical="center"/>
    </xf>
    <xf numFmtId="0" fontId="8" fillId="26" borderId="84" xfId="0" applyFont="1" applyFill="1" applyBorder="1" applyAlignment="1">
      <alignment horizontal="center" vertical="center"/>
    </xf>
    <xf numFmtId="0" fontId="8" fillId="26" borderId="76" xfId="0" applyFont="1" applyFill="1" applyBorder="1" applyAlignment="1">
      <alignment horizontal="center" vertical="center"/>
    </xf>
    <xf numFmtId="0" fontId="8" fillId="26" borderId="43" xfId="0" applyFont="1" applyFill="1" applyBorder="1" applyAlignment="1">
      <alignment horizontal="center" vertical="center"/>
    </xf>
    <xf numFmtId="0" fontId="11" fillId="0" borderId="125" xfId="61" applyFont="1" applyBorder="1" applyAlignment="1">
      <alignment horizontal="center"/>
      <protection/>
    </xf>
    <xf numFmtId="0" fontId="11" fillId="0" borderId="116" xfId="61" applyFont="1" applyBorder="1" applyAlignment="1">
      <alignment horizontal="center"/>
      <protection/>
    </xf>
    <xf numFmtId="0" fontId="35" fillId="0" borderId="29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2" xfId="60" applyFont="1" applyBorder="1" applyAlignment="1" applyProtection="1">
      <alignment horizontal="center"/>
      <protection/>
    </xf>
    <xf numFmtId="0" fontId="8" fillId="0" borderId="33" xfId="60" applyFont="1" applyBorder="1" applyAlignment="1" applyProtection="1">
      <alignment horizontal="center"/>
      <protection/>
    </xf>
    <xf numFmtId="0" fontId="10" fillId="0" borderId="47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8" fillId="0" borderId="44" xfId="60" applyFont="1" applyFill="1" applyBorder="1" applyAlignment="1" applyProtection="1">
      <alignment horizontal="center" vertical="center" wrapText="1"/>
      <protection/>
    </xf>
    <xf numFmtId="0" fontId="8" fillId="0" borderId="38" xfId="60" applyFont="1" applyFill="1" applyBorder="1" applyAlignment="1" applyProtection="1">
      <alignment horizontal="center" vertical="center" wrapText="1"/>
      <protection/>
    </xf>
    <xf numFmtId="0" fontId="8" fillId="0" borderId="45" xfId="60" applyFont="1" applyFill="1" applyBorder="1" applyAlignment="1" applyProtection="1">
      <alignment horizontal="center" vertical="center" wrapText="1"/>
      <protection/>
    </xf>
    <xf numFmtId="0" fontId="10" fillId="0" borderId="32" xfId="60" applyFont="1" applyFill="1" applyBorder="1" applyAlignment="1" applyProtection="1">
      <alignment horizontal="center"/>
      <protection/>
    </xf>
    <xf numFmtId="0" fontId="10" fillId="0" borderId="0" xfId="60" applyFont="1" applyFill="1" applyBorder="1" applyAlignment="1" applyProtection="1">
      <alignment horizontal="center"/>
      <protection/>
    </xf>
    <xf numFmtId="0" fontId="10" fillId="0" borderId="33" xfId="60" applyFont="1" applyFill="1" applyBorder="1" applyAlignment="1" applyProtection="1">
      <alignment horizontal="center"/>
      <protection/>
    </xf>
    <xf numFmtId="0" fontId="10" fillId="0" borderId="3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8" fillId="0" borderId="66" xfId="60" applyFont="1" applyFill="1" applyBorder="1" applyAlignment="1" applyProtection="1">
      <alignment horizontal="center" vertical="center"/>
      <protection/>
    </xf>
    <xf numFmtId="0" fontId="8" fillId="0" borderId="68" xfId="60" applyFont="1" applyFill="1" applyBorder="1" applyAlignment="1" applyProtection="1">
      <alignment horizontal="center" vertical="center"/>
      <protection/>
    </xf>
    <xf numFmtId="0" fontId="8" fillId="0" borderId="78" xfId="60" applyFont="1" applyFill="1" applyBorder="1" applyAlignment="1" applyProtection="1">
      <alignment horizontal="center" vertical="center"/>
      <protection/>
    </xf>
    <xf numFmtId="0" fontId="8" fillId="0" borderId="82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Book1" xfId="59"/>
    <cellStyle name="Normal_Last Approved" xfId="60"/>
    <cellStyle name="Normal_Sheet2" xfId="61"/>
    <cellStyle name="Normal_Sheet7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3"/>
  </sheetPr>
  <dimension ref="A1:T565"/>
  <sheetViews>
    <sheetView view="pageBreakPreview" zoomScaleSheetLayoutView="100" workbookViewId="0" topLeftCell="A38">
      <selection activeCell="E96" sqref="E96"/>
    </sheetView>
  </sheetViews>
  <sheetFormatPr defaultColWidth="9.00390625" defaultRowHeight="15" customHeight="1"/>
  <cols>
    <col min="1" max="1" width="5.375" style="57" customWidth="1"/>
    <col min="2" max="2" width="48.375" style="57" customWidth="1"/>
    <col min="3" max="3" width="9.25390625" style="55" customWidth="1"/>
    <col min="4" max="4" width="8.625" style="55" customWidth="1"/>
    <col min="5" max="5" width="10.00390625" style="1" customWidth="1"/>
    <col min="6" max="6" width="8.50390625" style="1" customWidth="1"/>
    <col min="7" max="7" width="14.50390625" style="44" customWidth="1"/>
    <col min="8" max="10" width="14.50390625" style="58" customWidth="1"/>
    <col min="11" max="11" width="2.25390625" style="74" customWidth="1"/>
    <col min="12" max="18" width="17.625" style="1" customWidth="1"/>
    <col min="19" max="16384" width="9.00390625" style="1" customWidth="1"/>
  </cols>
  <sheetData>
    <row r="1" spans="1:18" ht="19.5" customHeight="1" thickTop="1">
      <c r="A1" s="862" t="s">
        <v>89</v>
      </c>
      <c r="B1" s="863"/>
      <c r="C1" s="863"/>
      <c r="D1" s="863"/>
      <c r="E1" s="863"/>
      <c r="F1" s="863"/>
      <c r="G1" s="863"/>
      <c r="H1" s="863"/>
      <c r="I1" s="863"/>
      <c r="J1" s="864"/>
      <c r="K1" s="16"/>
      <c r="L1" s="17"/>
      <c r="P1" s="527" t="s">
        <v>2</v>
      </c>
      <c r="Q1" s="527" t="s">
        <v>2</v>
      </c>
      <c r="R1" s="527" t="s">
        <v>2</v>
      </c>
    </row>
    <row r="2" spans="1:18" ht="19.5" customHeight="1">
      <c r="A2" s="880" t="s">
        <v>468</v>
      </c>
      <c r="B2" s="881"/>
      <c r="C2" s="881"/>
      <c r="D2" s="881"/>
      <c r="E2" s="881"/>
      <c r="F2" s="881"/>
      <c r="G2" s="881"/>
      <c r="H2" s="881"/>
      <c r="I2" s="881"/>
      <c r="J2" s="882"/>
      <c r="K2" s="732"/>
      <c r="L2" s="733"/>
      <c r="P2" s="527"/>
      <c r="Q2" s="527"/>
      <c r="R2" s="527"/>
    </row>
    <row r="3" spans="1:18" ht="17.25" customHeight="1">
      <c r="A3" s="877" t="s">
        <v>459</v>
      </c>
      <c r="B3" s="878"/>
      <c r="C3" s="878"/>
      <c r="D3" s="878"/>
      <c r="E3" s="878"/>
      <c r="F3" s="878"/>
      <c r="G3" s="878"/>
      <c r="H3" s="878"/>
      <c r="I3" s="878"/>
      <c r="J3" s="879"/>
      <c r="K3" s="732"/>
      <c r="L3" s="733"/>
      <c r="P3" s="527" t="s">
        <v>11</v>
      </c>
      <c r="Q3" s="527" t="s">
        <v>392</v>
      </c>
      <c r="R3" s="527" t="s">
        <v>394</v>
      </c>
    </row>
    <row r="4" spans="1:18" ht="9" customHeight="1" thickBot="1">
      <c r="A4" s="564"/>
      <c r="B4" s="296"/>
      <c r="C4" s="296"/>
      <c r="D4" s="296"/>
      <c r="E4" s="296"/>
      <c r="F4" s="296"/>
      <c r="G4" s="296"/>
      <c r="H4" s="296"/>
      <c r="I4" s="296"/>
      <c r="J4" s="565"/>
      <c r="K4" s="16"/>
      <c r="L4" s="17"/>
      <c r="P4" s="527"/>
      <c r="Q4" s="527"/>
      <c r="R4" s="527"/>
    </row>
    <row r="5" spans="1:18" ht="15.75" customHeight="1">
      <c r="A5" s="564"/>
      <c r="B5" s="296"/>
      <c r="C5" s="296"/>
      <c r="D5" s="726" t="s">
        <v>460</v>
      </c>
      <c r="E5" s="852" t="s">
        <v>472</v>
      </c>
      <c r="F5" s="853"/>
      <c r="G5" s="854"/>
      <c r="H5" s="296"/>
      <c r="I5" s="296"/>
      <c r="J5" s="565"/>
      <c r="K5" s="16"/>
      <c r="L5" s="17"/>
      <c r="P5" s="527"/>
      <c r="Q5" s="527"/>
      <c r="R5" s="527"/>
    </row>
    <row r="6" spans="1:18" ht="15.75" customHeight="1">
      <c r="A6" s="564"/>
      <c r="B6" s="296"/>
      <c r="C6" s="296"/>
      <c r="D6" s="726" t="s">
        <v>462</v>
      </c>
      <c r="E6" s="855">
        <v>2006</v>
      </c>
      <c r="F6" s="856"/>
      <c r="G6" s="857"/>
      <c r="H6" s="296"/>
      <c r="I6" s="296"/>
      <c r="J6" s="565"/>
      <c r="K6" s="16"/>
      <c r="L6" s="17"/>
      <c r="P6" s="527"/>
      <c r="Q6" s="527"/>
      <c r="R6" s="527"/>
    </row>
    <row r="7" spans="1:18" ht="15.75" customHeight="1" thickBot="1">
      <c r="A7" s="564"/>
      <c r="B7" s="296"/>
      <c r="C7" s="296"/>
      <c r="D7" s="726" t="s">
        <v>463</v>
      </c>
      <c r="E7" s="858">
        <v>39575</v>
      </c>
      <c r="F7" s="859"/>
      <c r="G7" s="860"/>
      <c r="H7" s="296"/>
      <c r="I7" s="296"/>
      <c r="J7" s="565"/>
      <c r="K7" s="16"/>
      <c r="L7" s="17"/>
      <c r="P7" s="527"/>
      <c r="Q7" s="527"/>
      <c r="R7" s="527"/>
    </row>
    <row r="8" spans="1:12" ht="9.75" customHeight="1">
      <c r="A8" s="727"/>
      <c r="B8" s="136"/>
      <c r="C8" s="3"/>
      <c r="D8" s="3"/>
      <c r="E8" s="4"/>
      <c r="F8" s="4"/>
      <c r="G8" s="5"/>
      <c r="H8" s="6"/>
      <c r="I8" s="19"/>
      <c r="J8" s="728"/>
      <c r="K8" s="16"/>
      <c r="L8" s="17"/>
    </row>
    <row r="9" spans="1:12" ht="1.5" customHeight="1">
      <c r="A9" s="727"/>
      <c r="B9" s="136"/>
      <c r="C9" s="3"/>
      <c r="D9" s="3"/>
      <c r="E9" s="4"/>
      <c r="F9" s="4"/>
      <c r="G9" s="5"/>
      <c r="H9" s="6"/>
      <c r="I9" s="19"/>
      <c r="J9" s="728"/>
      <c r="K9" s="16"/>
      <c r="L9" s="17"/>
    </row>
    <row r="10" spans="1:12" ht="15.75" customHeight="1">
      <c r="A10" s="844" t="s">
        <v>169</v>
      </c>
      <c r="B10" s="845"/>
      <c r="C10" s="845"/>
      <c r="D10" s="845"/>
      <c r="E10" s="845"/>
      <c r="F10" s="845"/>
      <c r="G10" s="845"/>
      <c r="H10" s="845"/>
      <c r="I10" s="845"/>
      <c r="J10" s="846"/>
      <c r="K10" s="16"/>
      <c r="L10" s="17"/>
    </row>
    <row r="11" spans="1:12" ht="7.5" customHeight="1" thickBot="1">
      <c r="A11" s="543"/>
      <c r="B11" s="544"/>
      <c r="C11" s="528"/>
      <c r="D11" s="528"/>
      <c r="E11" s="544"/>
      <c r="F11" s="544"/>
      <c r="G11" s="544"/>
      <c r="H11" s="544"/>
      <c r="I11" s="544"/>
      <c r="J11" s="545"/>
      <c r="K11" s="16"/>
      <c r="L11" s="17"/>
    </row>
    <row r="12" spans="1:14" ht="15" customHeight="1" thickBot="1">
      <c r="A12" s="865" t="s">
        <v>12</v>
      </c>
      <c r="B12" s="866"/>
      <c r="C12" s="476" t="s">
        <v>315</v>
      </c>
      <c r="D12" s="477"/>
      <c r="E12" s="461" t="s">
        <v>351</v>
      </c>
      <c r="F12" s="462"/>
      <c r="G12" s="874" t="s">
        <v>14</v>
      </c>
      <c r="H12" s="871" t="s">
        <v>15</v>
      </c>
      <c r="I12" s="871" t="s">
        <v>16</v>
      </c>
      <c r="J12" s="729"/>
      <c r="K12" s="27"/>
      <c r="L12" s="871" t="s">
        <v>15</v>
      </c>
      <c r="M12" s="871" t="s">
        <v>16</v>
      </c>
      <c r="N12" s="447"/>
    </row>
    <row r="13" spans="1:14" ht="15" customHeight="1" thickBot="1">
      <c r="A13" s="867"/>
      <c r="B13" s="868"/>
      <c r="C13" s="448" t="s">
        <v>311</v>
      </c>
      <c r="D13" s="468" t="s">
        <v>8</v>
      </c>
      <c r="E13" s="463" t="s">
        <v>13</v>
      </c>
      <c r="F13" s="464"/>
      <c r="G13" s="875"/>
      <c r="H13" s="872"/>
      <c r="I13" s="872"/>
      <c r="J13" s="730" t="s">
        <v>10</v>
      </c>
      <c r="K13" s="28"/>
      <c r="L13" s="872"/>
      <c r="M13" s="872"/>
      <c r="N13" s="452" t="s">
        <v>10</v>
      </c>
    </row>
    <row r="14" spans="1:14" ht="15" customHeight="1" thickBot="1">
      <c r="A14" s="869"/>
      <c r="B14" s="870"/>
      <c r="C14" s="469" t="s">
        <v>312</v>
      </c>
      <c r="D14" s="470" t="s">
        <v>238</v>
      </c>
      <c r="E14" s="470" t="s">
        <v>349</v>
      </c>
      <c r="F14" s="470" t="s">
        <v>350</v>
      </c>
      <c r="G14" s="876"/>
      <c r="H14" s="873"/>
      <c r="I14" s="873"/>
      <c r="J14" s="731" t="s">
        <v>17</v>
      </c>
      <c r="K14" s="29"/>
      <c r="L14" s="873"/>
      <c r="M14" s="873"/>
      <c r="N14" s="471" t="s">
        <v>17</v>
      </c>
    </row>
    <row r="15" spans="1:12" ht="15" customHeight="1">
      <c r="A15" s="302" t="s">
        <v>51</v>
      </c>
      <c r="B15" s="122"/>
      <c r="C15" s="43"/>
      <c r="D15" s="10"/>
      <c r="E15" s="10"/>
      <c r="F15" s="10"/>
      <c r="G15" s="31"/>
      <c r="H15" s="32"/>
      <c r="I15" s="32"/>
      <c r="J15" s="257"/>
      <c r="K15" s="27"/>
      <c r="L15" s="30"/>
    </row>
    <row r="16" spans="1:20" ht="15" customHeight="1">
      <c r="A16" s="381"/>
      <c r="B16" s="82" t="s">
        <v>177</v>
      </c>
      <c r="C16" s="351" t="s">
        <v>105</v>
      </c>
      <c r="D16" s="261">
        <v>301</v>
      </c>
      <c r="E16" s="266" t="s">
        <v>392</v>
      </c>
      <c r="F16" s="266" t="s">
        <v>9</v>
      </c>
      <c r="G16" s="352"/>
      <c r="H16" s="352">
        <f>VLOOKUP($E16,Ratio,2,FALSE)*$G16</f>
        <v>0</v>
      </c>
      <c r="I16" s="352">
        <f>VLOOKUP($E16,Ratio,3,FALSE)*$G16</f>
        <v>0</v>
      </c>
      <c r="J16" s="382">
        <f>VLOOKUP($E16,Ratio,4,FALSE)*$G16</f>
        <v>0</v>
      </c>
      <c r="K16" s="33"/>
      <c r="O16" s="14"/>
      <c r="P16" s="35"/>
      <c r="Q16" s="35"/>
      <c r="R16" s="35"/>
      <c r="S16" s="35"/>
      <c r="T16" s="35"/>
    </row>
    <row r="17" spans="1:20" ht="15" customHeight="1">
      <c r="A17" s="381"/>
      <c r="B17" s="82" t="s">
        <v>178</v>
      </c>
      <c r="C17" s="351" t="s">
        <v>105</v>
      </c>
      <c r="D17" s="261">
        <v>302</v>
      </c>
      <c r="E17" s="266" t="s">
        <v>2</v>
      </c>
      <c r="F17" s="266" t="s">
        <v>11</v>
      </c>
      <c r="G17" s="352"/>
      <c r="H17" s="352">
        <f>IF($E17="DIRECT",$L17,VLOOKUP($E17,Ratio,2,FALSE)*$G17)</f>
        <v>0</v>
      </c>
      <c r="I17" s="352">
        <f>IF($E17="DIRECT",$M17,VLOOKUP($E17,Ratio,3,FALSE)*$G17)</f>
        <v>0</v>
      </c>
      <c r="J17" s="382">
        <f>IF($E17="DIRECT",$N17,VLOOKUP($E17,Ratio,4,FALSE)*$G17)</f>
        <v>0</v>
      </c>
      <c r="K17" s="33"/>
      <c r="L17" s="352"/>
      <c r="M17" s="352"/>
      <c r="N17" s="382"/>
      <c r="O17" s="14"/>
      <c r="P17" s="35"/>
      <c r="Q17" s="35"/>
      <c r="R17" s="35"/>
      <c r="S17" s="35"/>
      <c r="T17" s="35"/>
    </row>
    <row r="18" spans="1:20" ht="15" customHeight="1">
      <c r="A18" s="381"/>
      <c r="B18" s="82" t="s">
        <v>179</v>
      </c>
      <c r="C18" s="351" t="s">
        <v>105</v>
      </c>
      <c r="D18" s="261">
        <v>303</v>
      </c>
      <c r="E18" s="266" t="s">
        <v>2</v>
      </c>
      <c r="F18" s="266" t="s">
        <v>392</v>
      </c>
      <c r="G18" s="352"/>
      <c r="H18" s="352">
        <f>IF($E18="DIRECT",$L18,VLOOKUP($E18,Ratio,2,FALSE)*$G18)</f>
        <v>0</v>
      </c>
      <c r="I18" s="352">
        <f>IF($E18="DIRECT",$M18,VLOOKUP($E18,Ratio,3,FALSE)*$G18)</f>
        <v>0</v>
      </c>
      <c r="J18" s="382">
        <f>IF($E18="DIRECT",$N18,VLOOKUP($E18,Ratio,4,FALSE)*$G18)</f>
        <v>0</v>
      </c>
      <c r="K18" s="33"/>
      <c r="L18" s="352"/>
      <c r="M18" s="352"/>
      <c r="N18" s="382"/>
      <c r="O18" s="14"/>
      <c r="P18" s="35"/>
      <c r="Q18" s="35"/>
      <c r="R18" s="35"/>
      <c r="S18" s="35"/>
      <c r="T18" s="35"/>
    </row>
    <row r="19" spans="1:20" ht="15" customHeight="1">
      <c r="A19" s="383" t="s">
        <v>156</v>
      </c>
      <c r="B19" s="51"/>
      <c r="C19" s="690"/>
      <c r="D19" s="691"/>
      <c r="E19" s="691"/>
      <c r="F19" s="692"/>
      <c r="G19" s="688">
        <f>SUM(G16:G18)</f>
        <v>0</v>
      </c>
      <c r="H19" s="688">
        <f>SUM(H16:H18)</f>
        <v>0</v>
      </c>
      <c r="I19" s="688">
        <f>SUM(I16:I18)</f>
        <v>0</v>
      </c>
      <c r="J19" s="693">
        <f>SUM(J16:J18)</f>
        <v>0</v>
      </c>
      <c r="K19" s="36"/>
      <c r="L19" s="37"/>
      <c r="M19" s="14"/>
      <c r="N19" s="14"/>
      <c r="O19" s="14"/>
      <c r="P19" s="35"/>
      <c r="Q19" s="35"/>
      <c r="R19" s="35"/>
      <c r="S19" s="35"/>
      <c r="T19" s="35"/>
    </row>
    <row r="20" spans="1:20" s="12" customFormat="1" ht="7.5" customHeight="1">
      <c r="A20" s="384"/>
      <c r="B20" s="51"/>
      <c r="C20" s="85"/>
      <c r="D20" s="85"/>
      <c r="E20" s="85"/>
      <c r="F20" s="85"/>
      <c r="G20" s="546"/>
      <c r="H20" s="109"/>
      <c r="I20" s="546"/>
      <c r="J20" s="547"/>
      <c r="K20" s="33"/>
      <c r="L20" s="34"/>
      <c r="M20" s="38"/>
      <c r="N20" s="38"/>
      <c r="O20" s="38"/>
      <c r="P20" s="35"/>
      <c r="Q20" s="35"/>
      <c r="R20" s="35"/>
      <c r="S20" s="35"/>
      <c r="T20" s="35"/>
    </row>
    <row r="21" spans="1:12" ht="15" customHeight="1">
      <c r="A21" s="302" t="s">
        <v>20</v>
      </c>
      <c r="B21" s="123"/>
      <c r="C21" s="85"/>
      <c r="D21" s="85"/>
      <c r="E21" s="85"/>
      <c r="F21" s="85"/>
      <c r="G21" s="546"/>
      <c r="H21" s="205"/>
      <c r="I21" s="205"/>
      <c r="J21" s="362"/>
      <c r="K21" s="27"/>
      <c r="L21" s="30"/>
    </row>
    <row r="22" spans="1:15" ht="15" customHeight="1">
      <c r="A22" s="237"/>
      <c r="B22" s="84" t="s">
        <v>21</v>
      </c>
      <c r="C22" s="351" t="s">
        <v>105</v>
      </c>
      <c r="D22" s="261" t="s">
        <v>22</v>
      </c>
      <c r="E22" s="266" t="s">
        <v>394</v>
      </c>
      <c r="F22" s="266"/>
      <c r="G22" s="482"/>
      <c r="H22" s="352">
        <f>VLOOKUP($E22,Ratio,2,FALSE)*$G22</f>
        <v>0</v>
      </c>
      <c r="I22" s="352">
        <f>VLOOKUP($E22,Ratio,3,FALSE)*$G22</f>
        <v>0</v>
      </c>
      <c r="J22" s="382">
        <f>VLOOKUP($E22,Ratio,4,FALSE)*$G22</f>
        <v>0</v>
      </c>
      <c r="K22" s="36"/>
      <c r="L22" s="37"/>
      <c r="M22" s="39"/>
      <c r="N22" s="39"/>
      <c r="O22" s="39"/>
    </row>
    <row r="23" spans="1:20" ht="15" customHeight="1">
      <c r="A23" s="237"/>
      <c r="B23" s="84" t="s">
        <v>23</v>
      </c>
      <c r="C23" s="351" t="s">
        <v>105</v>
      </c>
      <c r="D23" s="261" t="s">
        <v>24</v>
      </c>
      <c r="E23" s="266" t="s">
        <v>394</v>
      </c>
      <c r="F23" s="266"/>
      <c r="G23" s="482"/>
      <c r="H23" s="352">
        <f>VLOOKUP($E23,Ratio,2,FALSE)*$G23</f>
        <v>0</v>
      </c>
      <c r="I23" s="352">
        <f>VLOOKUP($E23,Ratio,3,FALSE)*$G23</f>
        <v>0</v>
      </c>
      <c r="J23" s="382">
        <f>VLOOKUP($E23,Ratio,4,FALSE)*$G23</f>
        <v>0</v>
      </c>
      <c r="K23" s="36"/>
      <c r="L23" s="37"/>
      <c r="M23" s="40"/>
      <c r="N23" s="41"/>
      <c r="O23" s="39"/>
      <c r="P23" s="35"/>
      <c r="Q23" s="35"/>
      <c r="R23" s="35"/>
      <c r="S23" s="35"/>
      <c r="T23" s="35"/>
    </row>
    <row r="24" spans="1:20" ht="15" customHeight="1">
      <c r="A24" s="237"/>
      <c r="B24" s="84" t="s">
        <v>25</v>
      </c>
      <c r="C24" s="351" t="s">
        <v>105</v>
      </c>
      <c r="D24" s="261" t="s">
        <v>26</v>
      </c>
      <c r="E24" s="266" t="s">
        <v>394</v>
      </c>
      <c r="F24" s="266"/>
      <c r="G24" s="482"/>
      <c r="H24" s="352">
        <f>VLOOKUP($E24,Ratio,2,FALSE)*$G24</f>
        <v>0</v>
      </c>
      <c r="I24" s="352">
        <f>VLOOKUP($E24,Ratio,3,FALSE)*$G24</f>
        <v>0</v>
      </c>
      <c r="J24" s="382">
        <f>VLOOKUP($E24,Ratio,4,FALSE)*$G24</f>
        <v>0</v>
      </c>
      <c r="K24" s="36"/>
      <c r="L24" s="37"/>
      <c r="M24" s="14"/>
      <c r="N24" s="14"/>
      <c r="O24" s="14"/>
      <c r="P24" s="35"/>
      <c r="Q24" s="35"/>
      <c r="R24" s="35"/>
      <c r="S24" s="35"/>
      <c r="T24" s="35"/>
    </row>
    <row r="25" spans="1:20" ht="15" customHeight="1">
      <c r="A25" s="237"/>
      <c r="B25" s="84" t="s">
        <v>27</v>
      </c>
      <c r="C25" s="351" t="s">
        <v>105</v>
      </c>
      <c r="D25" s="261" t="s">
        <v>28</v>
      </c>
      <c r="E25" s="266" t="s">
        <v>394</v>
      </c>
      <c r="F25" s="266"/>
      <c r="G25" s="482">
        <v>18232751</v>
      </c>
      <c r="H25" s="352">
        <f>VLOOKUP($E25,Ratio,2,FALSE)*$G25</f>
        <v>18232751</v>
      </c>
      <c r="I25" s="352">
        <f>VLOOKUP($E25,Ratio,3,FALSE)*$G25</f>
        <v>0</v>
      </c>
      <c r="J25" s="382">
        <f>VLOOKUP($E25,Ratio,4,FALSE)*$G25</f>
        <v>0</v>
      </c>
      <c r="K25" s="36"/>
      <c r="L25" s="37"/>
      <c r="M25" s="14"/>
      <c r="N25" s="14"/>
      <c r="O25" s="14"/>
      <c r="P25" s="35"/>
      <c r="Q25" s="35"/>
      <c r="R25" s="35"/>
      <c r="S25" s="35"/>
      <c r="T25" s="35"/>
    </row>
    <row r="26" spans="1:20" ht="15" customHeight="1">
      <c r="A26" s="383" t="s">
        <v>29</v>
      </c>
      <c r="B26" s="51"/>
      <c r="C26" s="690"/>
      <c r="D26" s="691"/>
      <c r="E26" s="691"/>
      <c r="F26" s="692"/>
      <c r="G26" s="688">
        <f>SUM(G22:G25)</f>
        <v>18232751</v>
      </c>
      <c r="H26" s="688">
        <f>SUM(H22:H25)</f>
        <v>18232751</v>
      </c>
      <c r="I26" s="688">
        <f>SUM(I22:I25)</f>
        <v>0</v>
      </c>
      <c r="J26" s="693">
        <f>SUM(J22:J25)</f>
        <v>0</v>
      </c>
      <c r="K26" s="36"/>
      <c r="L26" s="37"/>
      <c r="M26" s="14"/>
      <c r="N26" s="14"/>
      <c r="O26" s="14"/>
      <c r="P26" s="35"/>
      <c r="Q26" s="35"/>
      <c r="R26" s="35"/>
      <c r="S26" s="35"/>
      <c r="T26" s="35"/>
    </row>
    <row r="27" spans="1:15" ht="7.5" customHeight="1">
      <c r="A27" s="384"/>
      <c r="B27" s="51"/>
      <c r="C27" s="85"/>
      <c r="D27" s="85"/>
      <c r="E27" s="85"/>
      <c r="F27" s="85"/>
      <c r="G27" s="493"/>
      <c r="H27" s="205"/>
      <c r="I27" s="205"/>
      <c r="J27" s="362"/>
      <c r="K27" s="36"/>
      <c r="L27" s="37"/>
      <c r="M27" s="14"/>
      <c r="N27" s="14"/>
      <c r="O27" s="14"/>
    </row>
    <row r="28" spans="1:15" ht="15" customHeight="1">
      <c r="A28" s="302" t="s">
        <v>262</v>
      </c>
      <c r="B28" s="82"/>
      <c r="C28" s="85"/>
      <c r="D28" s="85"/>
      <c r="E28" s="124"/>
      <c r="F28" s="124"/>
      <c r="G28" s="546"/>
      <c r="H28" s="205"/>
      <c r="I28" s="205"/>
      <c r="J28" s="362"/>
      <c r="K28" s="36"/>
      <c r="L28" s="37"/>
      <c r="M28" s="14"/>
      <c r="N28" s="14"/>
      <c r="O28" s="14"/>
    </row>
    <row r="29" spans="1:20" ht="15" customHeight="1">
      <c r="A29" s="237"/>
      <c r="B29" s="84" t="s">
        <v>259</v>
      </c>
      <c r="C29" s="351" t="s">
        <v>105</v>
      </c>
      <c r="D29" s="261" t="s">
        <v>30</v>
      </c>
      <c r="E29" s="266" t="s">
        <v>393</v>
      </c>
      <c r="F29" s="266"/>
      <c r="G29" s="482">
        <v>3971116</v>
      </c>
      <c r="H29" s="352">
        <f>VLOOKUP($E29,Ratio,2,FALSE)*$G29</f>
        <v>0</v>
      </c>
      <c r="I29" s="352">
        <f>VLOOKUP($E29,Ratio,3,FALSE)*$G29</f>
        <v>3971116</v>
      </c>
      <c r="J29" s="382">
        <f>VLOOKUP($E29,Ratio,4,FALSE)*$G29</f>
        <v>0</v>
      </c>
      <c r="K29" s="36"/>
      <c r="L29" s="37"/>
      <c r="M29" s="14"/>
      <c r="N29" s="14"/>
      <c r="O29" s="14"/>
      <c r="P29" s="35"/>
      <c r="Q29" s="35"/>
      <c r="R29" s="35"/>
      <c r="S29" s="35"/>
      <c r="T29" s="35"/>
    </row>
    <row r="30" spans="1:20" ht="15" customHeight="1">
      <c r="A30" s="383" t="s">
        <v>31</v>
      </c>
      <c r="B30" s="125"/>
      <c r="C30" s="690"/>
      <c r="D30" s="691"/>
      <c r="E30" s="691"/>
      <c r="F30" s="692"/>
      <c r="G30" s="688">
        <f>SUM(G29)</f>
        <v>3971116</v>
      </c>
      <c r="H30" s="688">
        <f>SUM(H29)</f>
        <v>0</v>
      </c>
      <c r="I30" s="688">
        <f>SUM(I29)</f>
        <v>3971116</v>
      </c>
      <c r="J30" s="693">
        <f>SUM(J29)</f>
        <v>0</v>
      </c>
      <c r="K30" s="36"/>
      <c r="L30" s="37"/>
      <c r="M30" s="14"/>
      <c r="N30" s="14"/>
      <c r="O30" s="14"/>
      <c r="P30" s="35"/>
      <c r="Q30" s="35"/>
      <c r="R30" s="35"/>
      <c r="S30" s="35"/>
      <c r="T30" s="35"/>
    </row>
    <row r="31" spans="1:20" s="12" customFormat="1" ht="7.5" customHeight="1">
      <c r="A31" s="384"/>
      <c r="B31" s="125"/>
      <c r="C31" s="126"/>
      <c r="D31" s="85"/>
      <c r="E31" s="85"/>
      <c r="F31" s="85"/>
      <c r="G31" s="548"/>
      <c r="H31" s="548"/>
      <c r="I31" s="548"/>
      <c r="J31" s="549"/>
      <c r="K31" s="33"/>
      <c r="L31" s="34"/>
      <c r="M31" s="38"/>
      <c r="N31" s="38"/>
      <c r="O31" s="38"/>
      <c r="P31" s="35"/>
      <c r="Q31" s="35"/>
      <c r="R31" s="35"/>
      <c r="S31" s="35"/>
      <c r="T31" s="35"/>
    </row>
    <row r="32" spans="1:15" ht="15" customHeight="1">
      <c r="A32" s="302" t="s">
        <v>50</v>
      </c>
      <c r="B32" s="82"/>
      <c r="C32" s="85"/>
      <c r="D32" s="85"/>
      <c r="E32" s="51"/>
      <c r="F32" s="51"/>
      <c r="G32" s="546"/>
      <c r="H32" s="205"/>
      <c r="I32" s="205"/>
      <c r="J32" s="362"/>
      <c r="K32" s="36"/>
      <c r="L32" s="37"/>
      <c r="M32" s="14"/>
      <c r="N32" s="14"/>
      <c r="O32" s="14"/>
    </row>
    <row r="33" spans="1:20" ht="15" customHeight="1">
      <c r="A33" s="237"/>
      <c r="B33" s="84" t="s">
        <v>260</v>
      </c>
      <c r="C33" s="351" t="s">
        <v>105</v>
      </c>
      <c r="D33" s="261" t="s">
        <v>33</v>
      </c>
      <c r="E33" s="266" t="s">
        <v>392</v>
      </c>
      <c r="F33" s="266"/>
      <c r="G33" s="482">
        <v>89849816</v>
      </c>
      <c r="H33" s="352">
        <f>VLOOKUP($E33,Ratio,2,FALSE)*$G33</f>
        <v>0</v>
      </c>
      <c r="I33" s="352">
        <f>VLOOKUP($E33,Ratio,3,FALSE)*$G33</f>
        <v>0</v>
      </c>
      <c r="J33" s="382">
        <f>VLOOKUP($E33,Ratio,4,FALSE)*$G33</f>
        <v>89849816</v>
      </c>
      <c r="K33" s="36"/>
      <c r="L33" s="37"/>
      <c r="M33" s="14"/>
      <c r="N33" s="14"/>
      <c r="O33" s="14"/>
      <c r="P33" s="35"/>
      <c r="Q33" s="35"/>
      <c r="R33" s="35"/>
      <c r="S33" s="35"/>
      <c r="T33" s="35"/>
    </row>
    <row r="34" spans="1:20" ht="15" customHeight="1">
      <c r="A34" s="300" t="s">
        <v>32</v>
      </c>
      <c r="B34" s="82"/>
      <c r="C34" s="690"/>
      <c r="D34" s="691"/>
      <c r="E34" s="691"/>
      <c r="F34" s="692"/>
      <c r="G34" s="688">
        <f>SUM(G33)</f>
        <v>89849816</v>
      </c>
      <c r="H34" s="688">
        <f>SUM(H33)</f>
        <v>0</v>
      </c>
      <c r="I34" s="688">
        <f>SUM(I33)</f>
        <v>0</v>
      </c>
      <c r="J34" s="693">
        <f>SUM(J33)</f>
        <v>89849816</v>
      </c>
      <c r="K34" s="36"/>
      <c r="L34" s="37"/>
      <c r="M34" s="14"/>
      <c r="N34" s="14"/>
      <c r="O34" s="14"/>
      <c r="P34" s="35"/>
      <c r="Q34" s="35"/>
      <c r="R34" s="35"/>
      <c r="S34" s="35"/>
      <c r="T34" s="35"/>
    </row>
    <row r="35" spans="1:20" s="12" customFormat="1" ht="7.5" customHeight="1">
      <c r="A35" s="385"/>
      <c r="B35" s="82"/>
      <c r="C35" s="85"/>
      <c r="D35" s="85"/>
      <c r="E35" s="85"/>
      <c r="F35" s="85"/>
      <c r="G35" s="550"/>
      <c r="H35" s="550"/>
      <c r="I35" s="550"/>
      <c r="J35" s="551"/>
      <c r="K35" s="33"/>
      <c r="L35" s="34"/>
      <c r="M35" s="38"/>
      <c r="N35" s="38"/>
      <c r="O35" s="38"/>
      <c r="P35" s="35"/>
      <c r="Q35" s="35"/>
      <c r="R35" s="35"/>
      <c r="S35" s="35"/>
      <c r="T35" s="35"/>
    </row>
    <row r="36" spans="1:15" ht="15" customHeight="1">
      <c r="A36" s="302" t="s">
        <v>34</v>
      </c>
      <c r="B36" s="125"/>
      <c r="C36" s="85"/>
      <c r="D36" s="83"/>
      <c r="E36" s="83"/>
      <c r="F36" s="83"/>
      <c r="G36" s="552"/>
      <c r="H36" s="552"/>
      <c r="I36" s="552"/>
      <c r="J36" s="553"/>
      <c r="K36" s="36"/>
      <c r="L36" s="37"/>
      <c r="M36" s="14"/>
      <c r="N36" s="14"/>
      <c r="O36" s="14"/>
    </row>
    <row r="37" spans="1:15" ht="15" customHeight="1">
      <c r="A37" s="237"/>
      <c r="B37" s="91" t="s">
        <v>35</v>
      </c>
      <c r="C37" s="351" t="s">
        <v>105</v>
      </c>
      <c r="D37" s="261">
        <v>389</v>
      </c>
      <c r="E37" s="266" t="s">
        <v>11</v>
      </c>
      <c r="F37" s="266"/>
      <c r="G37" s="482">
        <v>128960</v>
      </c>
      <c r="H37" s="352">
        <f aca="true" t="shared" si="0" ref="H37:H46">VLOOKUP($E37,Ratio,2,FALSE)*$G37</f>
        <v>20983.652710103248</v>
      </c>
      <c r="I37" s="352">
        <f aca="true" t="shared" si="1" ref="I37:I46">VLOOKUP($E37,Ratio,3,FALSE)*$G37</f>
        <v>4570.265837312995</v>
      </c>
      <c r="J37" s="382">
        <f aca="true" t="shared" si="2" ref="J37:J46">VLOOKUP($E37,Ratio,4,FALSE)*$G37</f>
        <v>103406.08145258376</v>
      </c>
      <c r="K37" s="36"/>
      <c r="L37" s="37"/>
      <c r="M37" s="14"/>
      <c r="N37" s="14"/>
      <c r="O37" s="14"/>
    </row>
    <row r="38" spans="1:15" ht="15" customHeight="1">
      <c r="A38" s="237"/>
      <c r="B38" s="91" t="s">
        <v>36</v>
      </c>
      <c r="C38" s="351" t="s">
        <v>105</v>
      </c>
      <c r="D38" s="261">
        <v>390</v>
      </c>
      <c r="E38" s="266" t="s">
        <v>11</v>
      </c>
      <c r="F38" s="266"/>
      <c r="G38" s="482">
        <v>5222950</v>
      </c>
      <c r="H38" s="352">
        <f t="shared" si="0"/>
        <v>849849.3247691824</v>
      </c>
      <c r="I38" s="352">
        <f t="shared" si="1"/>
        <v>185098.2471696178</v>
      </c>
      <c r="J38" s="382">
        <f t="shared" si="2"/>
        <v>4188002.4280612</v>
      </c>
      <c r="K38" s="36"/>
      <c r="L38" s="37"/>
      <c r="M38" s="14"/>
      <c r="N38" s="14"/>
      <c r="O38" s="14"/>
    </row>
    <row r="39" spans="1:15" ht="15" customHeight="1">
      <c r="A39" s="237"/>
      <c r="B39" s="91" t="s">
        <v>37</v>
      </c>
      <c r="C39" s="351" t="s">
        <v>105</v>
      </c>
      <c r="D39" s="261">
        <v>391</v>
      </c>
      <c r="E39" s="266" t="s">
        <v>7</v>
      </c>
      <c r="F39" s="266"/>
      <c r="G39" s="482">
        <v>3856888</v>
      </c>
      <c r="H39" s="352">
        <f t="shared" si="0"/>
        <v>378757.93018713966</v>
      </c>
      <c r="I39" s="352">
        <f t="shared" si="1"/>
        <v>43682.58568691837</v>
      </c>
      <c r="J39" s="382">
        <f t="shared" si="2"/>
        <v>3434447.484125942</v>
      </c>
      <c r="K39" s="36"/>
      <c r="L39" s="37"/>
      <c r="M39" s="14"/>
      <c r="N39" s="14"/>
      <c r="O39" s="14"/>
    </row>
    <row r="40" spans="1:15" ht="15" customHeight="1">
      <c r="A40" s="237"/>
      <c r="B40" s="91" t="s">
        <v>38</v>
      </c>
      <c r="C40" s="351" t="s">
        <v>105</v>
      </c>
      <c r="D40" s="261">
        <v>392</v>
      </c>
      <c r="E40" s="266" t="s">
        <v>19</v>
      </c>
      <c r="F40" s="266"/>
      <c r="G40" s="482">
        <v>2793281</v>
      </c>
      <c r="H40" s="352">
        <f t="shared" si="0"/>
        <v>0</v>
      </c>
      <c r="I40" s="352">
        <f t="shared" si="1"/>
        <v>118229.93691424851</v>
      </c>
      <c r="J40" s="382">
        <f t="shared" si="2"/>
        <v>2675051.0630857516</v>
      </c>
      <c r="K40" s="36"/>
      <c r="L40" s="37"/>
      <c r="M40" s="14"/>
      <c r="N40" s="14"/>
      <c r="O40" s="14"/>
    </row>
    <row r="41" spans="1:15" ht="15" customHeight="1">
      <c r="A41" s="237"/>
      <c r="B41" s="91" t="s">
        <v>39</v>
      </c>
      <c r="C41" s="351" t="s">
        <v>105</v>
      </c>
      <c r="D41" s="261">
        <v>393</v>
      </c>
      <c r="E41" s="266" t="s">
        <v>11</v>
      </c>
      <c r="F41" s="266"/>
      <c r="G41" s="482">
        <v>20788</v>
      </c>
      <c r="H41" s="352">
        <f t="shared" si="0"/>
        <v>3382.507541389782</v>
      </c>
      <c r="I41" s="352">
        <f t="shared" si="1"/>
        <v>736.7143783038349</v>
      </c>
      <c r="J41" s="382">
        <f t="shared" si="2"/>
        <v>16668.778080306383</v>
      </c>
      <c r="K41" s="36"/>
      <c r="L41" s="37"/>
      <c r="M41" s="14"/>
      <c r="N41" s="14"/>
      <c r="O41" s="14"/>
    </row>
    <row r="42" spans="1:15" ht="15" customHeight="1">
      <c r="A42" s="237"/>
      <c r="B42" s="91" t="s">
        <v>40</v>
      </c>
      <c r="C42" s="351" t="s">
        <v>105</v>
      </c>
      <c r="D42" s="261">
        <v>394</v>
      </c>
      <c r="E42" s="266" t="s">
        <v>11</v>
      </c>
      <c r="F42" s="266"/>
      <c r="G42" s="482">
        <v>730593</v>
      </c>
      <c r="H42" s="352">
        <f t="shared" si="0"/>
        <v>118878.02252196388</v>
      </c>
      <c r="I42" s="352">
        <f t="shared" si="1"/>
        <v>25891.78217183633</v>
      </c>
      <c r="J42" s="382">
        <f t="shared" si="2"/>
        <v>585823.1953061998</v>
      </c>
      <c r="K42" s="36"/>
      <c r="L42" s="37"/>
      <c r="M42" s="14"/>
      <c r="N42" s="14"/>
      <c r="O42" s="14"/>
    </row>
    <row r="43" spans="1:15" ht="15" customHeight="1">
      <c r="A43" s="237"/>
      <c r="B43" s="91" t="s">
        <v>41</v>
      </c>
      <c r="C43" s="351" t="s">
        <v>105</v>
      </c>
      <c r="D43" s="261">
        <v>395</v>
      </c>
      <c r="E43" s="266" t="s">
        <v>11</v>
      </c>
      <c r="F43" s="266"/>
      <c r="G43" s="482">
        <v>25767</v>
      </c>
      <c r="H43" s="352">
        <f t="shared" si="0"/>
        <v>4192.662681306067</v>
      </c>
      <c r="I43" s="352">
        <f t="shared" si="1"/>
        <v>913.1671823049314</v>
      </c>
      <c r="J43" s="382">
        <f t="shared" si="2"/>
        <v>20661.170136389002</v>
      </c>
      <c r="K43" s="36"/>
      <c r="L43" s="37"/>
      <c r="M43" s="14"/>
      <c r="N43" s="14"/>
      <c r="O43" s="14"/>
    </row>
    <row r="44" spans="1:15" ht="15" customHeight="1">
      <c r="A44" s="237"/>
      <c r="B44" s="91" t="s">
        <v>42</v>
      </c>
      <c r="C44" s="351" t="s">
        <v>105</v>
      </c>
      <c r="D44" s="261">
        <v>396</v>
      </c>
      <c r="E44" s="266" t="s">
        <v>19</v>
      </c>
      <c r="F44" s="266"/>
      <c r="G44" s="482">
        <v>6521</v>
      </c>
      <c r="H44" s="352">
        <f t="shared" si="0"/>
        <v>0</v>
      </c>
      <c r="I44" s="352">
        <f t="shared" si="1"/>
        <v>276.0114068787976</v>
      </c>
      <c r="J44" s="382">
        <f t="shared" si="2"/>
        <v>6244.988593121203</v>
      </c>
      <c r="K44" s="36"/>
      <c r="L44" s="37"/>
      <c r="M44" s="14"/>
      <c r="N44" s="14"/>
      <c r="O44" s="14"/>
    </row>
    <row r="45" spans="1:15" ht="15" customHeight="1">
      <c r="A45" s="237"/>
      <c r="B45" s="91" t="s">
        <v>43</v>
      </c>
      <c r="C45" s="351" t="s">
        <v>105</v>
      </c>
      <c r="D45" s="261">
        <v>397</v>
      </c>
      <c r="E45" s="266" t="s">
        <v>11</v>
      </c>
      <c r="F45" s="266"/>
      <c r="G45" s="482">
        <v>8934819</v>
      </c>
      <c r="H45" s="352">
        <f t="shared" si="0"/>
        <v>1453823.968080273</v>
      </c>
      <c r="I45" s="352">
        <f t="shared" si="1"/>
        <v>316644.68081788975</v>
      </c>
      <c r="J45" s="382">
        <f t="shared" si="2"/>
        <v>7164350.351101838</v>
      </c>
      <c r="K45" s="36"/>
      <c r="L45" s="37"/>
      <c r="M45" s="14"/>
      <c r="N45" s="14"/>
      <c r="O45" s="14"/>
    </row>
    <row r="46" spans="1:15" ht="15" customHeight="1">
      <c r="A46" s="237"/>
      <c r="B46" s="91" t="s">
        <v>44</v>
      </c>
      <c r="C46" s="351" t="s">
        <v>105</v>
      </c>
      <c r="D46" s="261">
        <v>398</v>
      </c>
      <c r="E46" s="266" t="s">
        <v>11</v>
      </c>
      <c r="F46" s="266"/>
      <c r="G46" s="482">
        <v>262763</v>
      </c>
      <c r="H46" s="352">
        <f t="shared" si="0"/>
        <v>42755.33139783545</v>
      </c>
      <c r="I46" s="352">
        <f t="shared" si="1"/>
        <v>9312.164719369375</v>
      </c>
      <c r="J46" s="382">
        <f t="shared" si="2"/>
        <v>210695.5038827952</v>
      </c>
      <c r="K46" s="36"/>
      <c r="L46" s="37"/>
      <c r="M46" s="14"/>
      <c r="N46" s="14"/>
      <c r="O46" s="14"/>
    </row>
    <row r="47" spans="1:15" ht="15" customHeight="1">
      <c r="A47" s="237"/>
      <c r="B47" s="91" t="s">
        <v>242</v>
      </c>
      <c r="C47" s="351" t="s">
        <v>105</v>
      </c>
      <c r="D47" s="261">
        <v>399</v>
      </c>
      <c r="E47" s="266" t="s">
        <v>11</v>
      </c>
      <c r="F47" s="266" t="s">
        <v>11</v>
      </c>
      <c r="G47" s="482">
        <v>1237870</v>
      </c>
      <c r="H47" s="352">
        <f>IF($E47="DIRECT",$L47,VLOOKUP($E47,Ratio,2,FALSE)*$G47)</f>
        <v>201419.30971041802</v>
      </c>
      <c r="I47" s="352">
        <f>IF($E47="DIRECT",$M47,VLOOKUP($E47,Ratio,3,FALSE)*$G47)</f>
        <v>43869.37788488398</v>
      </c>
      <c r="J47" s="382">
        <f>IF($E47="DIRECT",$N47,VLOOKUP($E47,Ratio,4,FALSE)*$G47)</f>
        <v>992581.312404698</v>
      </c>
      <c r="K47" s="36"/>
      <c r="L47" s="352"/>
      <c r="M47" s="352"/>
      <c r="N47" s="382"/>
      <c r="O47" s="14"/>
    </row>
    <row r="48" spans="1:15" ht="15" customHeight="1">
      <c r="A48" s="237"/>
      <c r="B48" s="91" t="s">
        <v>159</v>
      </c>
      <c r="C48" s="351" t="s">
        <v>160</v>
      </c>
      <c r="D48" s="261">
        <v>399.1</v>
      </c>
      <c r="E48" s="266" t="s">
        <v>11</v>
      </c>
      <c r="F48" s="266"/>
      <c r="G48" s="482"/>
      <c r="H48" s="352">
        <f>VLOOKUP($E48,Ratio,2,FALSE)*$G48</f>
        <v>0</v>
      </c>
      <c r="I48" s="352">
        <f>VLOOKUP($E48,Ratio,3,FALSE)*$G48</f>
        <v>0</v>
      </c>
      <c r="J48" s="382">
        <f>VLOOKUP($E48,Ratio,4,FALSE)*$G48</f>
        <v>0</v>
      </c>
      <c r="K48" s="36"/>
      <c r="L48"/>
      <c r="M48"/>
      <c r="N48"/>
      <c r="O48" s="14"/>
    </row>
    <row r="49" spans="1:15" ht="7.5" customHeight="1">
      <c r="A49" s="386"/>
      <c r="B49" s="100"/>
      <c r="C49" s="10"/>
      <c r="D49" s="52"/>
      <c r="E49" s="52"/>
      <c r="F49" s="52"/>
      <c r="G49" s="489"/>
      <c r="H49" s="490"/>
      <c r="I49" s="490"/>
      <c r="J49" s="491"/>
      <c r="K49" s="36"/>
      <c r="L49" s="37"/>
      <c r="M49" s="14"/>
      <c r="N49" s="14"/>
      <c r="O49" s="14"/>
    </row>
    <row r="50" spans="1:15" ht="15" customHeight="1">
      <c r="A50" s="248" t="s">
        <v>45</v>
      </c>
      <c r="B50" s="50"/>
      <c r="C50" s="706"/>
      <c r="D50" s="707"/>
      <c r="E50" s="707"/>
      <c r="F50" s="708"/>
      <c r="G50" s="709">
        <f>SUM(G37:G49)</f>
        <v>23221200</v>
      </c>
      <c r="H50" s="709">
        <f>SUM(H37:H49)</f>
        <v>3074042.709599611</v>
      </c>
      <c r="I50" s="709">
        <f>SUM(I37:I49)</f>
        <v>749224.9341695649</v>
      </c>
      <c r="J50" s="710">
        <f>SUM(J37:J49)</f>
        <v>19397932.356230825</v>
      </c>
      <c r="K50" s="36"/>
      <c r="L50" s="37"/>
      <c r="M50" s="14"/>
      <c r="N50" s="14"/>
      <c r="O50" s="14"/>
    </row>
    <row r="51" spans="1:15" ht="7.5" customHeight="1">
      <c r="A51" s="539"/>
      <c r="B51" s="50"/>
      <c r="C51" s="10"/>
      <c r="D51" s="10"/>
      <c r="E51" s="10"/>
      <c r="F51" s="10"/>
      <c r="G51" s="109"/>
      <c r="H51" s="109"/>
      <c r="I51" s="109"/>
      <c r="J51" s="325"/>
      <c r="K51" s="36"/>
      <c r="L51" s="37"/>
      <c r="M51" s="14"/>
      <c r="N51" s="14"/>
      <c r="O51" s="14"/>
    </row>
    <row r="52" spans="1:15" ht="15" customHeight="1">
      <c r="A52" s="300" t="s">
        <v>46</v>
      </c>
      <c r="B52" s="50"/>
      <c r="C52" s="711"/>
      <c r="D52" s="691"/>
      <c r="E52" s="691"/>
      <c r="F52" s="692"/>
      <c r="G52" s="673">
        <f>G19+G26+G30+G34+G50</f>
        <v>135274883</v>
      </c>
      <c r="H52" s="673">
        <f>H19+H26+H30+H34+H50</f>
        <v>21306793.70959961</v>
      </c>
      <c r="I52" s="673">
        <f>I19+I26+I30+I34+I50</f>
        <v>4720340.934169564</v>
      </c>
      <c r="J52" s="674">
        <f>J19+J26+J30+J34+J50</f>
        <v>109247748.35623083</v>
      </c>
      <c r="K52" s="36"/>
      <c r="L52" s="790"/>
      <c r="M52" s="14"/>
      <c r="N52" s="14"/>
      <c r="O52" s="14"/>
    </row>
    <row r="53" spans="1:15" s="12" customFormat="1" ht="15" customHeight="1" thickBot="1">
      <c r="A53" s="249" t="s">
        <v>157</v>
      </c>
      <c r="B53" s="250"/>
      <c r="C53" s="251"/>
      <c r="D53" s="251"/>
      <c r="E53" s="275"/>
      <c r="F53" s="275"/>
      <c r="G53" s="554"/>
      <c r="H53" s="554"/>
      <c r="I53" s="554"/>
      <c r="J53" s="555"/>
      <c r="K53" s="33"/>
      <c r="L53" s="34"/>
      <c r="M53" s="38"/>
      <c r="N53" s="38"/>
      <c r="O53" s="38"/>
    </row>
    <row r="54" spans="1:15" ht="15" customHeight="1" thickTop="1">
      <c r="A54" s="306"/>
      <c r="B54" s="101"/>
      <c r="C54" s="10"/>
      <c r="D54" s="10"/>
      <c r="E54" s="10"/>
      <c r="F54" s="10"/>
      <c r="G54" s="552"/>
      <c r="H54" s="552"/>
      <c r="I54" s="552"/>
      <c r="J54" s="553"/>
      <c r="K54" s="36"/>
      <c r="L54" s="37"/>
      <c r="M54" s="14"/>
      <c r="N54" s="14"/>
      <c r="O54" s="14"/>
    </row>
    <row r="55" spans="1:15" ht="15" customHeight="1">
      <c r="A55" s="302" t="s">
        <v>52</v>
      </c>
      <c r="B55" s="101"/>
      <c r="C55" s="10"/>
      <c r="D55" s="10"/>
      <c r="E55" s="10"/>
      <c r="F55" s="10"/>
      <c r="G55" s="205"/>
      <c r="H55" s="205"/>
      <c r="I55" s="205"/>
      <c r="J55" s="362"/>
      <c r="K55" s="36"/>
      <c r="L55" s="37"/>
      <c r="M55" s="14"/>
      <c r="N55" s="14"/>
      <c r="O55" s="14"/>
    </row>
    <row r="56" spans="1:15" ht="15" customHeight="1">
      <c r="A56" s="302" t="s">
        <v>444</v>
      </c>
      <c r="B56" s="101"/>
      <c r="C56" s="10"/>
      <c r="D56" s="10"/>
      <c r="E56" s="10"/>
      <c r="F56" s="10"/>
      <c r="G56" s="205"/>
      <c r="H56" s="205"/>
      <c r="I56" s="205"/>
      <c r="J56" s="362"/>
      <c r="K56" s="36"/>
      <c r="L56" s="37"/>
      <c r="M56" s="14"/>
      <c r="N56" s="14"/>
      <c r="O56" s="14"/>
    </row>
    <row r="57" spans="1:15" ht="15" customHeight="1">
      <c r="A57" s="237"/>
      <c r="B57" s="84" t="s">
        <v>0</v>
      </c>
      <c r="C57" s="261">
        <v>219</v>
      </c>
      <c r="D57" s="353">
        <v>108</v>
      </c>
      <c r="E57" s="266" t="str">
        <f>E22</f>
        <v>PROD</v>
      </c>
      <c r="F57" s="266"/>
      <c r="G57" s="482"/>
      <c r="H57" s="352">
        <f aca="true" t="shared" si="3" ref="H57:H64">VLOOKUP($E57,Ratio,2,FALSE)*$G57</f>
        <v>0</v>
      </c>
      <c r="I57" s="352">
        <f aca="true" t="shared" si="4" ref="I57:I64">VLOOKUP($E57,Ratio,3,FALSE)*$G57</f>
        <v>0</v>
      </c>
      <c r="J57" s="382">
        <f aca="true" t="shared" si="5" ref="J57:J64">VLOOKUP($E57,Ratio,4,FALSE)*$G57</f>
        <v>0</v>
      </c>
      <c r="K57" s="36"/>
      <c r="L57" s="37"/>
      <c r="M57" s="14"/>
      <c r="N57" s="14"/>
      <c r="O57" s="14"/>
    </row>
    <row r="58" spans="1:15" ht="15" customHeight="1">
      <c r="A58" s="237"/>
      <c r="B58" s="84" t="s">
        <v>1</v>
      </c>
      <c r="C58" s="261">
        <v>219</v>
      </c>
      <c r="D58" s="353">
        <v>108</v>
      </c>
      <c r="E58" s="266" t="str">
        <f>E23</f>
        <v>PROD</v>
      </c>
      <c r="F58" s="266"/>
      <c r="G58" s="482"/>
      <c r="H58" s="352">
        <f t="shared" si="3"/>
        <v>0</v>
      </c>
      <c r="I58" s="352">
        <f t="shared" si="4"/>
        <v>0</v>
      </c>
      <c r="J58" s="382">
        <f t="shared" si="5"/>
        <v>0</v>
      </c>
      <c r="K58" s="36"/>
      <c r="L58" s="37"/>
      <c r="M58" s="14"/>
      <c r="N58" s="14"/>
      <c r="O58" s="14"/>
    </row>
    <row r="59" spans="1:15" ht="15" customHeight="1">
      <c r="A59" s="237"/>
      <c r="B59" s="84" t="s">
        <v>170</v>
      </c>
      <c r="C59" s="261">
        <v>219</v>
      </c>
      <c r="D59" s="261">
        <v>108</v>
      </c>
      <c r="E59" s="266" t="str">
        <f>E24</f>
        <v>PROD</v>
      </c>
      <c r="F59" s="266"/>
      <c r="G59" s="482"/>
      <c r="H59" s="352">
        <f t="shared" si="3"/>
        <v>0</v>
      </c>
      <c r="I59" s="352">
        <f t="shared" si="4"/>
        <v>0</v>
      </c>
      <c r="J59" s="382">
        <f t="shared" si="5"/>
        <v>0</v>
      </c>
      <c r="K59" s="36"/>
      <c r="L59" s="37"/>
      <c r="M59" s="14"/>
      <c r="N59" s="14"/>
      <c r="O59" s="14"/>
    </row>
    <row r="60" spans="1:15" ht="15" customHeight="1">
      <c r="A60" s="237"/>
      <c r="B60" s="84" t="s">
        <v>47</v>
      </c>
      <c r="C60" s="261">
        <v>219</v>
      </c>
      <c r="D60" s="353">
        <v>108</v>
      </c>
      <c r="E60" s="266" t="str">
        <f>E25</f>
        <v>PROD</v>
      </c>
      <c r="F60" s="266"/>
      <c r="G60" s="482">
        <v>6449441</v>
      </c>
      <c r="H60" s="352">
        <f t="shared" si="3"/>
        <v>6449441</v>
      </c>
      <c r="I60" s="352">
        <f t="shared" si="4"/>
        <v>0</v>
      </c>
      <c r="J60" s="382">
        <f t="shared" si="5"/>
        <v>0</v>
      </c>
      <c r="K60" s="36"/>
      <c r="L60" s="37"/>
      <c r="M60" s="14"/>
      <c r="N60" s="14"/>
      <c r="O60" s="14"/>
    </row>
    <row r="61" spans="1:15" ht="15" customHeight="1">
      <c r="A61" s="237"/>
      <c r="B61" s="84" t="s">
        <v>263</v>
      </c>
      <c r="C61" s="261">
        <v>219</v>
      </c>
      <c r="D61" s="353">
        <v>108</v>
      </c>
      <c r="E61" s="266" t="str">
        <f>E29</f>
        <v>TRANS</v>
      </c>
      <c r="F61" s="266"/>
      <c r="G61" s="482">
        <v>1381217</v>
      </c>
      <c r="H61" s="352">
        <f t="shared" si="3"/>
        <v>0</v>
      </c>
      <c r="I61" s="352">
        <f t="shared" si="4"/>
        <v>1381217</v>
      </c>
      <c r="J61" s="382">
        <f t="shared" si="5"/>
        <v>0</v>
      </c>
      <c r="K61" s="36"/>
      <c r="L61" s="37"/>
      <c r="M61" s="14"/>
      <c r="N61" s="14"/>
      <c r="O61" s="14"/>
    </row>
    <row r="62" spans="1:15" ht="15" customHeight="1">
      <c r="A62" s="237"/>
      <c r="B62" s="84" t="s">
        <v>48</v>
      </c>
      <c r="C62" s="261">
        <v>219</v>
      </c>
      <c r="D62" s="353">
        <v>108</v>
      </c>
      <c r="E62" s="266" t="str">
        <f>E33</f>
        <v>DIST</v>
      </c>
      <c r="F62" s="266"/>
      <c r="G62" s="482">
        <v>31873542</v>
      </c>
      <c r="H62" s="352">
        <f t="shared" si="3"/>
        <v>0</v>
      </c>
      <c r="I62" s="352">
        <f t="shared" si="4"/>
        <v>0</v>
      </c>
      <c r="J62" s="382">
        <f t="shared" si="5"/>
        <v>31873542</v>
      </c>
      <c r="K62" s="36"/>
      <c r="L62" s="37"/>
      <c r="M62" s="14"/>
      <c r="N62" s="14"/>
      <c r="O62" s="14"/>
    </row>
    <row r="63" spans="1:15" ht="15" customHeight="1">
      <c r="A63" s="237"/>
      <c r="B63" s="84" t="s">
        <v>4</v>
      </c>
      <c r="C63" s="261">
        <v>219</v>
      </c>
      <c r="D63" s="353">
        <v>108</v>
      </c>
      <c r="E63" s="266" t="s">
        <v>3</v>
      </c>
      <c r="F63" s="266"/>
      <c r="G63" s="482">
        <v>4407478</v>
      </c>
      <c r="H63" s="352">
        <f t="shared" si="3"/>
        <v>583465.7818554026</v>
      </c>
      <c r="I63" s="352">
        <f t="shared" si="4"/>
        <v>142205.93313023465</v>
      </c>
      <c r="J63" s="382">
        <f t="shared" si="5"/>
        <v>3681806.285014363</v>
      </c>
      <c r="K63" s="36"/>
      <c r="L63" s="37"/>
      <c r="M63" s="14"/>
      <c r="N63" s="14"/>
      <c r="O63" s="14"/>
    </row>
    <row r="64" spans="1:15" ht="15" customHeight="1">
      <c r="A64" s="237"/>
      <c r="B64" s="84" t="s">
        <v>370</v>
      </c>
      <c r="C64" s="261">
        <v>219</v>
      </c>
      <c r="D64" s="353">
        <v>111</v>
      </c>
      <c r="E64" s="266" t="str">
        <f>E16</f>
        <v>DIST</v>
      </c>
      <c r="F64" s="419" t="str">
        <f>F16</f>
        <v> </v>
      </c>
      <c r="G64" s="482"/>
      <c r="H64" s="352">
        <f t="shared" si="3"/>
        <v>0</v>
      </c>
      <c r="I64" s="352">
        <f t="shared" si="4"/>
        <v>0</v>
      </c>
      <c r="J64" s="382">
        <f t="shared" si="5"/>
        <v>0</v>
      </c>
      <c r="K64" s="36"/>
      <c r="L64" s="37"/>
      <c r="M64" s="14"/>
      <c r="N64" s="14"/>
      <c r="O64" s="14"/>
    </row>
    <row r="65" spans="1:15" ht="15" customHeight="1">
      <c r="A65" s="237"/>
      <c r="B65" s="84" t="s">
        <v>371</v>
      </c>
      <c r="C65" s="261">
        <v>219</v>
      </c>
      <c r="D65" s="353">
        <v>111</v>
      </c>
      <c r="E65" s="266" t="s">
        <v>2</v>
      </c>
      <c r="F65" s="419" t="s">
        <v>11</v>
      </c>
      <c r="G65" s="352"/>
      <c r="H65" s="352">
        <f>IF($E65="DIRECT",$L65,VLOOKUP($E65,Ratio,2,FALSE)*$G65)</f>
        <v>0</v>
      </c>
      <c r="I65" s="352">
        <f>IF($E65="DIRECT",$M65,VLOOKUP($E65,Ratio,3,FALSE)*$G65)</f>
        <v>0</v>
      </c>
      <c r="J65" s="382">
        <f>IF($E65="DIRECT",$N65,VLOOKUP($E65,Ratio,4,FALSE)*$G65)</f>
        <v>0</v>
      </c>
      <c r="K65" s="36"/>
      <c r="L65" s="352"/>
      <c r="M65" s="352"/>
      <c r="N65" s="382"/>
      <c r="O65" s="14"/>
    </row>
    <row r="66" spans="1:15" ht="15" customHeight="1">
      <c r="A66" s="237"/>
      <c r="B66" s="84" t="s">
        <v>401</v>
      </c>
      <c r="C66" s="261">
        <v>219</v>
      </c>
      <c r="D66" s="353">
        <v>111</v>
      </c>
      <c r="E66" s="266" t="s">
        <v>2</v>
      </c>
      <c r="F66" s="419" t="s">
        <v>392</v>
      </c>
      <c r="G66" s="352"/>
      <c r="H66" s="352">
        <f>IF($E66="DIRECT",$L66,VLOOKUP($E66,Ratio,2,FALSE)*$G66)</f>
        <v>0</v>
      </c>
      <c r="I66" s="352">
        <f>IF($E66="DIRECT",$M66,VLOOKUP($E66,Ratio,3,FALSE)*$G66)</f>
        <v>0</v>
      </c>
      <c r="J66" s="382">
        <f>IF($E66="DIRECT",$N66,VLOOKUP($E66,Ratio,4,FALSE)*$G66)</f>
        <v>0</v>
      </c>
      <c r="K66" s="36"/>
      <c r="L66" s="352"/>
      <c r="M66" s="352"/>
      <c r="N66" s="382"/>
      <c r="O66" s="14"/>
    </row>
    <row r="67" spans="1:15" ht="15" customHeight="1">
      <c r="A67" s="237"/>
      <c r="B67" s="84" t="s">
        <v>239</v>
      </c>
      <c r="C67" s="261">
        <v>219</v>
      </c>
      <c r="D67" s="353">
        <v>108</v>
      </c>
      <c r="E67" s="266" t="s">
        <v>394</v>
      </c>
      <c r="F67" s="266"/>
      <c r="G67" s="482"/>
      <c r="H67" s="352">
        <f>VLOOKUP($E67,Ratio,2,FALSE)*$G67</f>
        <v>0</v>
      </c>
      <c r="I67" s="352">
        <f>VLOOKUP($E67,Ratio,3,FALSE)*$G67</f>
        <v>0</v>
      </c>
      <c r="J67" s="382">
        <f>VLOOKUP($E67,Ratio,4,FALSE)*$G67</f>
        <v>0</v>
      </c>
      <c r="K67" s="36"/>
      <c r="L67" s="37"/>
      <c r="M67" s="14"/>
      <c r="N67" s="14"/>
      <c r="O67" s="14"/>
    </row>
    <row r="68" spans="1:15" ht="15" customHeight="1">
      <c r="A68" s="237"/>
      <c r="B68" s="84" t="s">
        <v>224</v>
      </c>
      <c r="C68" s="261">
        <v>219</v>
      </c>
      <c r="D68" s="353">
        <v>108</v>
      </c>
      <c r="E68" s="266" t="s">
        <v>392</v>
      </c>
      <c r="F68" s="266"/>
      <c r="G68" s="482"/>
      <c r="H68" s="352">
        <f>VLOOKUP($E68,Ratio,2,FALSE)*$G68</f>
        <v>0</v>
      </c>
      <c r="I68" s="352">
        <f>VLOOKUP($E68,Ratio,3,FALSE)*$G68</f>
        <v>0</v>
      </c>
      <c r="J68" s="382">
        <f>VLOOKUP($E68,Ratio,4,FALSE)*$G68</f>
        <v>0</v>
      </c>
      <c r="K68" s="36"/>
      <c r="L68" s="37"/>
      <c r="M68" s="14"/>
      <c r="N68" s="14"/>
      <c r="O68" s="14"/>
    </row>
    <row r="69" spans="1:15" ht="15" customHeight="1">
      <c r="A69" s="237"/>
      <c r="B69" s="84" t="s">
        <v>225</v>
      </c>
      <c r="C69" s="261">
        <v>219</v>
      </c>
      <c r="D69" s="353">
        <v>108</v>
      </c>
      <c r="E69" s="266" t="s">
        <v>2</v>
      </c>
      <c r="F69" s="266" t="s">
        <v>11</v>
      </c>
      <c r="G69" s="482"/>
      <c r="H69" s="352">
        <f>IF($E69="DIRECT",$L69,VLOOKUP($E69,Ratio,2,FALSE)*$G69)</f>
        <v>0</v>
      </c>
      <c r="I69" s="352">
        <f>IF($E69="DIRECT",$M69,VLOOKUP($E69,Ratio,3,FALSE)*$G69)</f>
        <v>0</v>
      </c>
      <c r="J69" s="382">
        <f>IF($E69="DIRECT",$N69,VLOOKUP($E69,Ratio,4,FALSE)*$G69)</f>
        <v>0</v>
      </c>
      <c r="K69" s="36"/>
      <c r="L69" s="352"/>
      <c r="M69" s="352"/>
      <c r="N69" s="382"/>
      <c r="O69" s="14"/>
    </row>
    <row r="70" spans="1:15" ht="15" customHeight="1">
      <c r="A70" s="237"/>
      <c r="B70" s="84" t="s">
        <v>194</v>
      </c>
      <c r="C70" s="261" t="s">
        <v>104</v>
      </c>
      <c r="D70" s="353">
        <v>108</v>
      </c>
      <c r="E70" s="266" t="s">
        <v>2</v>
      </c>
      <c r="F70" s="266" t="s">
        <v>392</v>
      </c>
      <c r="G70" s="482"/>
      <c r="H70" s="352">
        <f>IF($E70="DIRECT",$L70,VLOOKUP($E70,Ratio,2,FALSE)*$G70)</f>
        <v>0</v>
      </c>
      <c r="I70" s="352">
        <f>IF($E70="DIRECT",$M70,VLOOKUP($E70,Ratio,3,FALSE)*$G70)</f>
        <v>0</v>
      </c>
      <c r="J70" s="382">
        <f>IF($E70="DIRECT",$N70,VLOOKUP($E70,Ratio,4,FALSE)*$G70)</f>
        <v>0</v>
      </c>
      <c r="K70" s="36"/>
      <c r="L70" s="352"/>
      <c r="M70" s="352"/>
      <c r="N70" s="382"/>
      <c r="O70" s="14"/>
    </row>
    <row r="71" spans="1:15" s="12" customFormat="1" ht="15" customHeight="1">
      <c r="A71" s="237"/>
      <c r="B71" s="84" t="s">
        <v>402</v>
      </c>
      <c r="C71" s="261" t="s">
        <v>104</v>
      </c>
      <c r="D71" s="261">
        <v>108</v>
      </c>
      <c r="E71" s="266" t="s">
        <v>2</v>
      </c>
      <c r="F71" s="266" t="s">
        <v>11</v>
      </c>
      <c r="G71" s="482"/>
      <c r="H71" s="352">
        <f>IF($E71="DIRECT",$L71,VLOOKUP($E71,Ratio,2,FALSE)*$G71)</f>
        <v>0</v>
      </c>
      <c r="I71" s="352">
        <f>IF($E71="DIRECT",$M71,VLOOKUP($E71,Ratio,3,FALSE)*$G71)</f>
        <v>0</v>
      </c>
      <c r="J71" s="382">
        <f>IF($E71="DIRECT",$N71,VLOOKUP($E71,Ratio,4,FALSE)*$G71)</f>
        <v>0</v>
      </c>
      <c r="K71" s="33"/>
      <c r="L71" s="352"/>
      <c r="M71" s="352"/>
      <c r="N71" s="382"/>
      <c r="O71" s="38"/>
    </row>
    <row r="72" spans="1:15" s="12" customFormat="1" ht="15" customHeight="1">
      <c r="A72" s="237"/>
      <c r="B72" s="84" t="s">
        <v>403</v>
      </c>
      <c r="C72" s="261" t="s">
        <v>104</v>
      </c>
      <c r="D72" s="261">
        <v>108</v>
      </c>
      <c r="E72" s="266" t="s">
        <v>2</v>
      </c>
      <c r="F72" s="266" t="s">
        <v>392</v>
      </c>
      <c r="G72" s="482"/>
      <c r="H72" s="352">
        <f>IF($E72="DIRECT",$L72,VLOOKUP($E72,Ratio,2,FALSE)*$G72)</f>
        <v>0</v>
      </c>
      <c r="I72" s="352">
        <f>IF($E72="DIRECT",$M72,VLOOKUP($E72,Ratio,3,FALSE)*$G72)</f>
        <v>0</v>
      </c>
      <c r="J72" s="382">
        <f>IF($E72="DIRECT",$N72,VLOOKUP($E72,Ratio,4,FALSE)*$G72)</f>
        <v>0</v>
      </c>
      <c r="K72" s="33"/>
      <c r="L72" s="352"/>
      <c r="M72" s="352"/>
      <c r="N72" s="382"/>
      <c r="O72" s="38"/>
    </row>
    <row r="73" spans="1:15" s="12" customFormat="1" ht="15" customHeight="1">
      <c r="A73" s="237"/>
      <c r="B73" s="84" t="s">
        <v>429</v>
      </c>
      <c r="C73" s="261" t="s">
        <v>104</v>
      </c>
      <c r="D73" s="261">
        <v>115</v>
      </c>
      <c r="E73" s="266" t="s">
        <v>2</v>
      </c>
      <c r="F73" s="266" t="s">
        <v>392</v>
      </c>
      <c r="G73" s="482"/>
      <c r="H73" s="352">
        <f>IF($E73="DIRECT",$L73,VLOOKUP($E73,Ratio,2,FALSE)*$G73)</f>
        <v>0</v>
      </c>
      <c r="I73" s="352">
        <f>IF($E73="DIRECT",$M73,VLOOKUP($E73,Ratio,3,FALSE)*$G73)</f>
        <v>0</v>
      </c>
      <c r="J73" s="382">
        <f>IF($E73="DIRECT",$N73,VLOOKUP($E73,Ratio,4,FALSE)*$G73)</f>
        <v>0</v>
      </c>
      <c r="K73" s="33"/>
      <c r="L73" s="719"/>
      <c r="M73" s="720"/>
      <c r="N73" s="720"/>
      <c r="O73" s="38"/>
    </row>
    <row r="74" spans="1:15" s="12" customFormat="1" ht="15" customHeight="1">
      <c r="A74" s="237"/>
      <c r="B74" s="84"/>
      <c r="C74" s="85"/>
      <c r="D74" s="83"/>
      <c r="E74" s="83"/>
      <c r="F74" s="83"/>
      <c r="G74" s="556"/>
      <c r="H74" s="557"/>
      <c r="I74" s="557"/>
      <c r="J74" s="558"/>
      <c r="K74" s="33"/>
      <c r="L74" s="34"/>
      <c r="M74" s="38"/>
      <c r="N74" s="38"/>
      <c r="O74" s="38"/>
    </row>
    <row r="75" spans="1:15" ht="15" customHeight="1">
      <c r="A75" s="302" t="s">
        <v>445</v>
      </c>
      <c r="B75" s="84"/>
      <c r="C75" s="261"/>
      <c r="D75" s="261"/>
      <c r="E75" s="266" t="s">
        <v>2</v>
      </c>
      <c r="F75" s="266" t="s">
        <v>2</v>
      </c>
      <c r="G75" s="482"/>
      <c r="H75" s="352"/>
      <c r="I75" s="352"/>
      <c r="J75" s="382"/>
      <c r="K75" s="36"/>
      <c r="L75" s="37"/>
      <c r="M75" s="14"/>
      <c r="N75" s="14"/>
      <c r="O75" s="14"/>
    </row>
    <row r="76" spans="1:15" ht="15" customHeight="1">
      <c r="A76" s="387"/>
      <c r="B76" s="84"/>
      <c r="C76" s="85"/>
      <c r="D76" s="83"/>
      <c r="E76" s="83"/>
      <c r="F76" s="83"/>
      <c r="G76" s="559"/>
      <c r="H76" s="490"/>
      <c r="I76" s="490"/>
      <c r="J76" s="491"/>
      <c r="K76" s="36"/>
      <c r="L76" s="37"/>
      <c r="M76" s="14"/>
      <c r="N76" s="14"/>
      <c r="O76" s="14"/>
    </row>
    <row r="77" spans="1:15" ht="15" customHeight="1">
      <c r="A77" s="300" t="s">
        <v>446</v>
      </c>
      <c r="B77" s="51"/>
      <c r="C77" s="711"/>
      <c r="D77" s="691"/>
      <c r="E77" s="691"/>
      <c r="F77" s="692"/>
      <c r="G77" s="673">
        <f>SUM(G57:G75)</f>
        <v>44111678</v>
      </c>
      <c r="H77" s="673">
        <f>SUM(H57:H75)</f>
        <v>7032906.7818554025</v>
      </c>
      <c r="I77" s="673">
        <f>SUM(I57:I75)</f>
        <v>1523422.9331302347</v>
      </c>
      <c r="J77" s="674">
        <f>SUM(J57:J75)</f>
        <v>35555348.28501436</v>
      </c>
      <c r="K77" s="36"/>
      <c r="L77" s="37"/>
      <c r="M77" s="14"/>
      <c r="N77" s="14"/>
      <c r="O77" s="14"/>
    </row>
    <row r="78" spans="1:15" ht="15" customHeight="1">
      <c r="A78" s="387"/>
      <c r="B78" s="102"/>
      <c r="C78" s="85"/>
      <c r="D78" s="83"/>
      <c r="E78" s="83"/>
      <c r="F78" s="83"/>
      <c r="G78" s="548"/>
      <c r="H78" s="548"/>
      <c r="I78" s="548"/>
      <c r="J78" s="549"/>
      <c r="K78" s="36"/>
      <c r="L78" s="37"/>
      <c r="M78" s="14"/>
      <c r="N78" s="14"/>
      <c r="O78" s="14"/>
    </row>
    <row r="79" spans="1:15" ht="15" customHeight="1">
      <c r="A79" s="300" t="s">
        <v>53</v>
      </c>
      <c r="B79" s="50"/>
      <c r="C79" s="711"/>
      <c r="D79" s="691"/>
      <c r="E79" s="691"/>
      <c r="F79" s="692"/>
      <c r="G79" s="673">
        <f>G52-G77</f>
        <v>91163205</v>
      </c>
      <c r="H79" s="673">
        <f>H52-H77</f>
        <v>14273886.927744208</v>
      </c>
      <c r="I79" s="673">
        <f>I52-I77</f>
        <v>3196918.00103933</v>
      </c>
      <c r="J79" s="674">
        <f>J52-J77</f>
        <v>73692400.07121646</v>
      </c>
      <c r="K79" s="36"/>
      <c r="L79" s="37"/>
      <c r="M79" s="14"/>
      <c r="N79" s="14"/>
      <c r="O79" s="14"/>
    </row>
    <row r="80" spans="1:15" s="12" customFormat="1" ht="15" customHeight="1">
      <c r="A80" s="308" t="s">
        <v>119</v>
      </c>
      <c r="B80" s="50"/>
      <c r="C80" s="10"/>
      <c r="D80" s="10"/>
      <c r="E80" s="127"/>
      <c r="F80" s="127"/>
      <c r="G80" s="546"/>
      <c r="H80" s="546"/>
      <c r="I80" s="546"/>
      <c r="J80" s="325"/>
      <c r="K80" s="33"/>
      <c r="L80" s="34"/>
      <c r="M80" s="38"/>
      <c r="N80" s="38"/>
      <c r="O80" s="38"/>
    </row>
    <row r="81" spans="1:15" s="12" customFormat="1" ht="15" customHeight="1" thickBot="1">
      <c r="A81" s="249"/>
      <c r="B81" s="250"/>
      <c r="C81" s="251"/>
      <c r="D81" s="251"/>
      <c r="E81" s="404"/>
      <c r="F81" s="404"/>
      <c r="G81" s="560"/>
      <c r="H81" s="560"/>
      <c r="I81" s="560"/>
      <c r="J81" s="555"/>
      <c r="K81" s="33"/>
      <c r="L81" s="34"/>
      <c r="M81" s="38"/>
      <c r="N81" s="38"/>
      <c r="O81" s="38"/>
    </row>
    <row r="82" spans="1:15" ht="15" customHeight="1" thickTop="1">
      <c r="A82" s="305" t="s">
        <v>111</v>
      </c>
      <c r="B82" s="50"/>
      <c r="C82" s="10"/>
      <c r="D82" s="10"/>
      <c r="E82" s="127"/>
      <c r="F82" s="127"/>
      <c r="G82" s="205"/>
      <c r="H82" s="205"/>
      <c r="I82" s="205"/>
      <c r="J82" s="553"/>
      <c r="K82" s="36"/>
      <c r="L82" s="37"/>
      <c r="M82" s="14"/>
      <c r="N82" s="14"/>
      <c r="O82" s="14"/>
    </row>
    <row r="83" spans="1:15" ht="15" customHeight="1">
      <c r="A83" s="388"/>
      <c r="B83" s="50"/>
      <c r="C83" s="10"/>
      <c r="D83" s="10"/>
      <c r="E83" s="127"/>
      <c r="F83" s="127"/>
      <c r="G83" s="205"/>
      <c r="H83" s="205"/>
      <c r="I83" s="205"/>
      <c r="J83" s="553"/>
      <c r="K83" s="36"/>
      <c r="L83" s="37"/>
      <c r="M83" s="14"/>
      <c r="N83" s="14"/>
      <c r="O83" s="14"/>
    </row>
    <row r="84" spans="1:15" ht="15" customHeight="1">
      <c r="A84" s="389" t="s">
        <v>264</v>
      </c>
      <c r="B84" s="121"/>
      <c r="C84" s="861" t="s">
        <v>469</v>
      </c>
      <c r="D84" s="842"/>
      <c r="E84" s="842"/>
      <c r="F84" s="843"/>
      <c r="G84" s="482">
        <f>'Sch 1A - Cash Working Capital'!C23</f>
        <v>2050010.875</v>
      </c>
      <c r="H84" s="352">
        <f>'Sch 1A - Cash Working Capital'!D23</f>
        <v>1052408.7456117198</v>
      </c>
      <c r="I84" s="571">
        <f>'Sch 1A - Cash Working Capital'!E23</f>
        <v>8047.664242090996</v>
      </c>
      <c r="J84" s="572">
        <f>'Sch 1A - Cash Working Capital'!F23</f>
        <v>989554.465146189</v>
      </c>
      <c r="K84" s="36"/>
      <c r="L84" s="37"/>
      <c r="M84" s="14"/>
      <c r="N84" s="14"/>
      <c r="O84" s="14"/>
    </row>
    <row r="85" spans="1:15" ht="15" customHeight="1">
      <c r="A85" s="237"/>
      <c r="B85" s="91"/>
      <c r="C85" s="85"/>
      <c r="D85" s="85"/>
      <c r="E85" s="83"/>
      <c r="F85" s="83"/>
      <c r="G85" s="561"/>
      <c r="H85" s="573"/>
      <c r="I85" s="573"/>
      <c r="J85" s="574"/>
      <c r="K85" s="36"/>
      <c r="L85" s="37"/>
      <c r="M85" s="14"/>
      <c r="N85" s="14"/>
      <c r="O85" s="14"/>
    </row>
    <row r="86" spans="1:15" ht="15" customHeight="1">
      <c r="A86" s="390" t="s">
        <v>313</v>
      </c>
      <c r="B86" s="128"/>
      <c r="C86" s="129"/>
      <c r="D86" s="83"/>
      <c r="E86" s="83"/>
      <c r="F86" s="83"/>
      <c r="G86" s="489"/>
      <c r="H86" s="490"/>
      <c r="I86" s="490"/>
      <c r="J86" s="491"/>
      <c r="K86" s="37"/>
      <c r="L86" s="37"/>
      <c r="M86" s="14"/>
      <c r="N86" s="14"/>
      <c r="O86" s="14"/>
    </row>
    <row r="87" spans="1:15" ht="15" customHeight="1">
      <c r="A87" s="237"/>
      <c r="B87" s="91" t="s">
        <v>150</v>
      </c>
      <c r="C87" s="261" t="s">
        <v>104</v>
      </c>
      <c r="D87" s="261">
        <v>105</v>
      </c>
      <c r="E87" s="266" t="s">
        <v>392</v>
      </c>
      <c r="F87" s="266"/>
      <c r="G87" s="482"/>
      <c r="H87" s="352">
        <f>VLOOKUP($E87,Ratio,2,FALSE)*$G87</f>
        <v>0</v>
      </c>
      <c r="I87" s="352">
        <f>VLOOKUP($E87,Ratio,3,FALSE)*$G87</f>
        <v>0</v>
      </c>
      <c r="J87" s="382">
        <f>VLOOKUP($E87,Ratio,4,FALSE)*$G87</f>
        <v>0</v>
      </c>
      <c r="K87" s="37"/>
      <c r="L87" s="37"/>
      <c r="M87" s="14"/>
      <c r="N87" s="14"/>
      <c r="O87" s="14"/>
    </row>
    <row r="88" spans="1:15" ht="15" customHeight="1">
      <c r="A88" s="237"/>
      <c r="B88" s="91" t="s">
        <v>112</v>
      </c>
      <c r="C88" s="261" t="s">
        <v>104</v>
      </c>
      <c r="D88" s="353">
        <v>106</v>
      </c>
      <c r="E88" s="437" t="s">
        <v>11</v>
      </c>
      <c r="F88" s="266"/>
      <c r="G88" s="482"/>
      <c r="H88" s="352">
        <f>VLOOKUP($E88,Ratio,2,FALSE)*$G88</f>
        <v>0</v>
      </c>
      <c r="I88" s="352">
        <f>VLOOKUP($E88,Ratio,3,FALSE)*$G88</f>
        <v>0</v>
      </c>
      <c r="J88" s="382">
        <f>VLOOKUP($E88,Ratio,4,FALSE)*$G88</f>
        <v>0</v>
      </c>
      <c r="K88" s="37"/>
      <c r="L88" s="37"/>
      <c r="M88" s="14"/>
      <c r="N88" s="14"/>
      <c r="O88" s="14"/>
    </row>
    <row r="89" spans="1:15" ht="15" customHeight="1">
      <c r="A89" s="237"/>
      <c r="B89" s="51" t="s">
        <v>54</v>
      </c>
      <c r="C89" s="261"/>
      <c r="D89" s="261" t="s">
        <v>243</v>
      </c>
      <c r="E89" s="266" t="s">
        <v>394</v>
      </c>
      <c r="F89" s="266"/>
      <c r="G89" s="482"/>
      <c r="H89" s="352">
        <f>VLOOKUP($E89,Ratio,2,FALSE)*$G89</f>
        <v>0</v>
      </c>
      <c r="I89" s="352">
        <f>VLOOKUP($E89,Ratio,3,FALSE)*$G89</f>
        <v>0</v>
      </c>
      <c r="J89" s="382">
        <f>VLOOKUP($E89,Ratio,4,FALSE)*$G89</f>
        <v>0</v>
      </c>
      <c r="K89" s="36"/>
      <c r="L89" s="37"/>
      <c r="M89" s="14"/>
      <c r="N89" s="14"/>
      <c r="O89" s="14"/>
    </row>
    <row r="90" spans="1:15" ht="15" customHeight="1">
      <c r="A90" s="237"/>
      <c r="B90" s="91" t="s">
        <v>115</v>
      </c>
      <c r="C90" s="261" t="s">
        <v>104</v>
      </c>
      <c r="D90" s="261" t="s">
        <v>244</v>
      </c>
      <c r="E90" s="266" t="s">
        <v>392</v>
      </c>
      <c r="F90" s="266"/>
      <c r="G90" s="482">
        <v>3799899</v>
      </c>
      <c r="H90" s="352">
        <f>VLOOKUP($E90,Ratio,2,FALSE)*$G90</f>
        <v>0</v>
      </c>
      <c r="I90" s="352">
        <f>VLOOKUP($E90,Ratio,3,FALSE)*$G90</f>
        <v>0</v>
      </c>
      <c r="J90" s="382">
        <f>VLOOKUP($E90,Ratio,4,FALSE)*$G90</f>
        <v>3799899</v>
      </c>
      <c r="K90" s="37"/>
      <c r="L90" s="37"/>
      <c r="M90" s="14"/>
      <c r="N90" s="14"/>
      <c r="O90" s="14"/>
    </row>
    <row r="91" spans="1:15" ht="15" customHeight="1">
      <c r="A91" s="237"/>
      <c r="B91" s="91" t="s">
        <v>447</v>
      </c>
      <c r="C91" s="261" t="s">
        <v>448</v>
      </c>
      <c r="D91" s="261"/>
      <c r="E91" s="266" t="s">
        <v>2</v>
      </c>
      <c r="F91" s="266" t="s">
        <v>2</v>
      </c>
      <c r="G91" s="482"/>
      <c r="H91" s="352"/>
      <c r="I91" s="352"/>
      <c r="J91" s="382"/>
      <c r="K91" s="37"/>
      <c r="L91" s="37"/>
      <c r="M91" s="14"/>
      <c r="N91" s="14"/>
      <c r="O91" s="14"/>
    </row>
    <row r="92" spans="1:15" s="12" customFormat="1" ht="15" customHeight="1">
      <c r="A92" s="237"/>
      <c r="B92" s="91" t="s">
        <v>106</v>
      </c>
      <c r="C92" s="261" t="s">
        <v>104</v>
      </c>
      <c r="D92" s="261">
        <v>114</v>
      </c>
      <c r="E92" s="266" t="s">
        <v>2</v>
      </c>
      <c r="F92" s="266" t="s">
        <v>392</v>
      </c>
      <c r="G92" s="482"/>
      <c r="H92" s="352">
        <f>IF($E92="DIRECT",$L92,VLOOKUP($E92,Ratio,2,FALSE)*$G92)</f>
        <v>0</v>
      </c>
      <c r="I92" s="352">
        <f>IF($E92="DIRECT",$M92,VLOOKUP($E92,Ratio,3,FALSE)*$G92)</f>
        <v>0</v>
      </c>
      <c r="J92" s="382">
        <f>IF($E92="DIRECT",$N92,VLOOKUP($E92,Ratio,4,FALSE)*$G92)</f>
        <v>0</v>
      </c>
      <c r="K92" s="34"/>
      <c r="L92" s="352"/>
      <c r="M92" s="352"/>
      <c r="N92" s="382"/>
      <c r="O92" s="38"/>
    </row>
    <row r="93" spans="1:15" ht="15" customHeight="1">
      <c r="A93" s="237"/>
      <c r="B93" s="120" t="s">
        <v>14</v>
      </c>
      <c r="C93" s="711"/>
      <c r="D93" s="691"/>
      <c r="E93" s="691"/>
      <c r="F93" s="692"/>
      <c r="G93" s="712">
        <f>SUM(G87:G92)</f>
        <v>3799899</v>
      </c>
      <c r="H93" s="712">
        <f>SUM(H87:H92)</f>
        <v>0</v>
      </c>
      <c r="I93" s="712">
        <f>SUM(I87:I92)</f>
        <v>0</v>
      </c>
      <c r="J93" s="713">
        <f>SUM(J87:J92)</f>
        <v>3799899</v>
      </c>
      <c r="K93" s="37"/>
      <c r="L93" s="37"/>
      <c r="M93" s="14"/>
      <c r="N93" s="14"/>
      <c r="O93" s="14"/>
    </row>
    <row r="94" spans="1:15" ht="15" customHeight="1">
      <c r="A94" s="237"/>
      <c r="B94" s="120"/>
      <c r="C94" s="130"/>
      <c r="D94" s="130"/>
      <c r="E94" s="130"/>
      <c r="F94" s="130"/>
      <c r="G94" s="483"/>
      <c r="H94" s="483"/>
      <c r="I94" s="483"/>
      <c r="J94" s="484"/>
      <c r="K94" s="37"/>
      <c r="L94" s="37"/>
      <c r="M94" s="14"/>
      <c r="N94" s="14"/>
      <c r="O94" s="14"/>
    </row>
    <row r="95" spans="1:15" ht="15" customHeight="1">
      <c r="A95" s="391" t="s">
        <v>314</v>
      </c>
      <c r="B95" s="128"/>
      <c r="C95" s="129"/>
      <c r="D95" s="83"/>
      <c r="E95" s="83"/>
      <c r="F95" s="83"/>
      <c r="G95" s="485"/>
      <c r="H95" s="485"/>
      <c r="I95" s="485"/>
      <c r="J95" s="486"/>
      <c r="K95" s="37"/>
      <c r="L95" s="37"/>
      <c r="M95" s="14"/>
      <c r="N95" s="14"/>
      <c r="O95" s="14"/>
    </row>
    <row r="96" spans="1:15" ht="15" customHeight="1">
      <c r="A96" s="237"/>
      <c r="B96" s="84" t="s">
        <v>161</v>
      </c>
      <c r="C96" s="261" t="s">
        <v>113</v>
      </c>
      <c r="D96" s="261">
        <v>123</v>
      </c>
      <c r="E96" s="266" t="s">
        <v>392</v>
      </c>
      <c r="F96" s="266" t="s">
        <v>392</v>
      </c>
      <c r="G96" s="482">
        <v>145500</v>
      </c>
      <c r="H96" s="352">
        <f>IF($E96="DIRECT",$L96,VLOOKUP($E96,Ratio,2,FALSE)*$G96)</f>
        <v>0</v>
      </c>
      <c r="I96" s="352">
        <f>IF($E96="DIRECT",$M96,VLOOKUP($E96,Ratio,3,FALSE)*$G96)</f>
        <v>0</v>
      </c>
      <c r="J96" s="382">
        <f>IF($E96="DIRECT",$N96,VLOOKUP($E96,Ratio,4,FALSE)*$G96)</f>
        <v>145500</v>
      </c>
      <c r="K96" s="37"/>
      <c r="L96" s="352"/>
      <c r="M96" s="352"/>
      <c r="N96" s="382"/>
      <c r="O96" s="14"/>
    </row>
    <row r="97" spans="1:15" ht="15" customHeight="1">
      <c r="A97" s="237"/>
      <c r="B97" s="91" t="s">
        <v>55</v>
      </c>
      <c r="C97" s="261" t="s">
        <v>113</v>
      </c>
      <c r="D97" s="261">
        <v>124</v>
      </c>
      <c r="E97" s="266" t="s">
        <v>392</v>
      </c>
      <c r="F97" s="266"/>
      <c r="G97" s="482">
        <v>1995932</v>
      </c>
      <c r="H97" s="352">
        <f>VLOOKUP($E97,Ratio,2,FALSE)*$G97</f>
        <v>0</v>
      </c>
      <c r="I97" s="352">
        <f>VLOOKUP($E97,Ratio,3,FALSE)*$G97</f>
        <v>0</v>
      </c>
      <c r="J97" s="382">
        <f>VLOOKUP($E97,Ratio,4,FALSE)*$G97</f>
        <v>1995932</v>
      </c>
      <c r="K97" s="37"/>
      <c r="L97" s="37"/>
      <c r="M97" s="14"/>
      <c r="N97" s="14"/>
      <c r="O97" s="14"/>
    </row>
    <row r="98" spans="1:15" ht="15" customHeight="1">
      <c r="A98" s="237"/>
      <c r="B98" s="92" t="s">
        <v>202</v>
      </c>
      <c r="C98" s="261" t="s">
        <v>113</v>
      </c>
      <c r="D98" s="261">
        <v>175</v>
      </c>
      <c r="E98" s="266" t="s">
        <v>392</v>
      </c>
      <c r="F98" s="266"/>
      <c r="G98" s="482"/>
      <c r="H98" s="352">
        <f>VLOOKUP($E98,Ratio,2,FALSE)*$G98</f>
        <v>0</v>
      </c>
      <c r="I98" s="352">
        <f>VLOOKUP($E98,Ratio,3,FALSE)*$G98</f>
        <v>0</v>
      </c>
      <c r="J98" s="382">
        <f>VLOOKUP($E98,Ratio,4,FALSE)*$G98</f>
        <v>0</v>
      </c>
      <c r="K98" s="37"/>
      <c r="L98" s="37"/>
      <c r="M98" s="14"/>
      <c r="N98" s="14"/>
      <c r="O98" s="14"/>
    </row>
    <row r="99" spans="1:15" ht="15" customHeight="1">
      <c r="A99" s="237"/>
      <c r="B99" s="92" t="s">
        <v>372</v>
      </c>
      <c r="C99" s="261" t="s">
        <v>113</v>
      </c>
      <c r="D99" s="261">
        <v>176</v>
      </c>
      <c r="E99" s="266" t="s">
        <v>392</v>
      </c>
      <c r="F99" s="266"/>
      <c r="G99" s="482"/>
      <c r="H99" s="352">
        <f>VLOOKUP($E99,Ratio,2,FALSE)*$G99</f>
        <v>0</v>
      </c>
      <c r="I99" s="352">
        <f>VLOOKUP($E99,Ratio,3,FALSE)*$G99</f>
        <v>0</v>
      </c>
      <c r="J99" s="382">
        <f>VLOOKUP($E99,Ratio,4,FALSE)*$G99</f>
        <v>0</v>
      </c>
      <c r="K99" s="37"/>
      <c r="L99" s="37"/>
      <c r="M99" s="14"/>
      <c r="N99" s="14"/>
      <c r="O99" s="14"/>
    </row>
    <row r="100" spans="1:15" ht="15" customHeight="1">
      <c r="A100" s="237"/>
      <c r="B100" s="120" t="s">
        <v>14</v>
      </c>
      <c r="C100" s="711"/>
      <c r="D100" s="691"/>
      <c r="E100" s="691"/>
      <c r="F100" s="692"/>
      <c r="G100" s="712">
        <f>SUM(G96:G99)</f>
        <v>2141432</v>
      </c>
      <c r="H100" s="712">
        <f>SUM(H96:H99)</f>
        <v>0</v>
      </c>
      <c r="I100" s="712">
        <f>SUM(I96:I99)</f>
        <v>0</v>
      </c>
      <c r="J100" s="713">
        <f>SUM(J96:J99)</f>
        <v>2141432</v>
      </c>
      <c r="K100" s="37"/>
      <c r="L100" s="37"/>
      <c r="M100" s="14"/>
      <c r="N100" s="14"/>
      <c r="O100" s="14"/>
    </row>
    <row r="101" spans="1:15" ht="15" customHeight="1">
      <c r="A101" s="237"/>
      <c r="B101" s="120"/>
      <c r="C101" s="130"/>
      <c r="D101" s="130"/>
      <c r="E101" s="130"/>
      <c r="F101" s="130"/>
      <c r="G101" s="483"/>
      <c r="H101" s="483"/>
      <c r="I101" s="483"/>
      <c r="J101" s="484"/>
      <c r="K101" s="37"/>
      <c r="L101" s="37"/>
      <c r="M101" s="14"/>
      <c r="N101" s="14"/>
      <c r="O101" s="14"/>
    </row>
    <row r="102" spans="1:15" s="12" customFormat="1" ht="15" customHeight="1">
      <c r="A102" s="390" t="s">
        <v>404</v>
      </c>
      <c r="B102" s="131"/>
      <c r="C102" s="129"/>
      <c r="D102" s="83"/>
      <c r="E102" s="83"/>
      <c r="F102" s="83"/>
      <c r="G102" s="562"/>
      <c r="H102" s="562"/>
      <c r="I102" s="562"/>
      <c r="J102" s="563"/>
      <c r="K102" s="34"/>
      <c r="L102" s="34"/>
      <c r="M102" s="38"/>
      <c r="N102" s="38"/>
      <c r="O102" s="38"/>
    </row>
    <row r="103" spans="1:15" ht="15" customHeight="1">
      <c r="A103" s="237"/>
      <c r="B103" s="91" t="s">
        <v>153</v>
      </c>
      <c r="C103" s="261" t="s">
        <v>113</v>
      </c>
      <c r="D103" s="261">
        <v>151</v>
      </c>
      <c r="E103" s="266" t="s">
        <v>394</v>
      </c>
      <c r="F103" s="266"/>
      <c r="G103" s="482"/>
      <c r="H103" s="352">
        <f aca="true" t="shared" si="6" ref="H103:H115">VLOOKUP($E103,Ratio,2,FALSE)*$G103</f>
        <v>0</v>
      </c>
      <c r="I103" s="352">
        <f aca="true" t="shared" si="7" ref="I103:I115">VLOOKUP($E103,Ratio,3,FALSE)*$G103</f>
        <v>0</v>
      </c>
      <c r="J103" s="382">
        <f aca="true" t="shared" si="8" ref="J103:J115">VLOOKUP($E103,Ratio,4,FALSE)*$G103</f>
        <v>0</v>
      </c>
      <c r="K103" s="37"/>
      <c r="L103" s="37"/>
      <c r="M103" s="14"/>
      <c r="N103" s="14"/>
      <c r="O103" s="14"/>
    </row>
    <row r="104" spans="1:15" ht="15" customHeight="1">
      <c r="A104" s="237"/>
      <c r="B104" s="92" t="s">
        <v>203</v>
      </c>
      <c r="C104" s="261" t="s">
        <v>113</v>
      </c>
      <c r="D104" s="261">
        <v>152</v>
      </c>
      <c r="E104" s="266" t="s">
        <v>394</v>
      </c>
      <c r="F104" s="266"/>
      <c r="G104" s="482"/>
      <c r="H104" s="352">
        <f t="shared" si="6"/>
        <v>0</v>
      </c>
      <c r="I104" s="352">
        <f t="shared" si="7"/>
        <v>0</v>
      </c>
      <c r="J104" s="382">
        <f t="shared" si="8"/>
        <v>0</v>
      </c>
      <c r="K104" s="37"/>
      <c r="L104" s="37"/>
      <c r="M104" s="14"/>
      <c r="N104" s="14"/>
      <c r="O104" s="14"/>
    </row>
    <row r="105" spans="1:15" ht="15" customHeight="1">
      <c r="A105" s="237"/>
      <c r="B105" s="91" t="s">
        <v>114</v>
      </c>
      <c r="C105" s="261" t="s">
        <v>113</v>
      </c>
      <c r="D105" s="261">
        <v>154</v>
      </c>
      <c r="E105" s="266" t="s">
        <v>11</v>
      </c>
      <c r="F105" s="266"/>
      <c r="G105" s="482">
        <v>3878323</v>
      </c>
      <c r="H105" s="352">
        <f t="shared" si="6"/>
        <v>631059.1108064962</v>
      </c>
      <c r="I105" s="352">
        <f t="shared" si="7"/>
        <v>137445.46458564865</v>
      </c>
      <c r="J105" s="382">
        <f t="shared" si="8"/>
        <v>3109818.4246078553</v>
      </c>
      <c r="K105" s="37"/>
      <c r="L105" s="37"/>
      <c r="M105" s="14"/>
      <c r="N105" s="14"/>
      <c r="O105" s="14"/>
    </row>
    <row r="106" spans="1:15" ht="15" customHeight="1">
      <c r="A106" s="237"/>
      <c r="B106" s="91" t="s">
        <v>352</v>
      </c>
      <c r="C106" s="261" t="s">
        <v>241</v>
      </c>
      <c r="D106" s="261">
        <v>155</v>
      </c>
      <c r="E106" s="266" t="s">
        <v>392</v>
      </c>
      <c r="F106" s="266"/>
      <c r="G106" s="482"/>
      <c r="H106" s="352">
        <f t="shared" si="6"/>
        <v>0</v>
      </c>
      <c r="I106" s="352">
        <f t="shared" si="7"/>
        <v>0</v>
      </c>
      <c r="J106" s="382">
        <f t="shared" si="8"/>
        <v>0</v>
      </c>
      <c r="K106" s="37"/>
      <c r="L106" s="37"/>
      <c r="M106" s="14"/>
      <c r="N106" s="14"/>
      <c r="O106" s="14"/>
    </row>
    <row r="107" spans="1:15" ht="15" customHeight="1">
      <c r="A107" s="237"/>
      <c r="B107" s="91" t="s">
        <v>353</v>
      </c>
      <c r="C107" s="261" t="s">
        <v>113</v>
      </c>
      <c r="D107" s="261">
        <v>156</v>
      </c>
      <c r="E107" s="266" t="s">
        <v>392</v>
      </c>
      <c r="F107" s="266"/>
      <c r="G107" s="482"/>
      <c r="H107" s="352">
        <f t="shared" si="6"/>
        <v>0</v>
      </c>
      <c r="I107" s="352">
        <f t="shared" si="7"/>
        <v>0</v>
      </c>
      <c r="J107" s="382">
        <f t="shared" si="8"/>
        <v>0</v>
      </c>
      <c r="K107" s="37"/>
      <c r="L107" s="37"/>
      <c r="M107" s="14"/>
      <c r="N107" s="14"/>
      <c r="O107" s="14"/>
    </row>
    <row r="108" spans="1:15" ht="15" customHeight="1">
      <c r="A108" s="237"/>
      <c r="B108" s="91" t="s">
        <v>354</v>
      </c>
      <c r="C108" s="261" t="s">
        <v>241</v>
      </c>
      <c r="D108" s="261">
        <v>158.1</v>
      </c>
      <c r="E108" s="266" t="s">
        <v>394</v>
      </c>
      <c r="F108" s="266"/>
      <c r="G108" s="482"/>
      <c r="H108" s="352">
        <f t="shared" si="6"/>
        <v>0</v>
      </c>
      <c r="I108" s="352">
        <f t="shared" si="7"/>
        <v>0</v>
      </c>
      <c r="J108" s="382">
        <f t="shared" si="8"/>
        <v>0</v>
      </c>
      <c r="K108" s="37"/>
      <c r="L108" s="37"/>
      <c r="M108" s="14"/>
      <c r="N108" s="14"/>
      <c r="O108" s="14"/>
    </row>
    <row r="109" spans="1:15" ht="15" customHeight="1">
      <c r="A109" s="237"/>
      <c r="B109" s="91" t="s">
        <v>405</v>
      </c>
      <c r="C109" s="261" t="s">
        <v>241</v>
      </c>
      <c r="D109" s="261">
        <v>158.2</v>
      </c>
      <c r="E109" s="266" t="s">
        <v>394</v>
      </c>
      <c r="F109" s="266"/>
      <c r="G109" s="482"/>
      <c r="H109" s="352">
        <f t="shared" si="6"/>
        <v>0</v>
      </c>
      <c r="I109" s="352">
        <f t="shared" si="7"/>
        <v>0</v>
      </c>
      <c r="J109" s="382">
        <f t="shared" si="8"/>
        <v>0</v>
      </c>
      <c r="K109" s="37"/>
      <c r="L109" s="37"/>
      <c r="M109" s="14"/>
      <c r="N109" s="14"/>
      <c r="O109" s="14"/>
    </row>
    <row r="110" spans="1:15" ht="14.25" customHeight="1">
      <c r="A110" s="237"/>
      <c r="B110" s="91" t="s">
        <v>90</v>
      </c>
      <c r="C110" s="261" t="s">
        <v>113</v>
      </c>
      <c r="D110" s="261">
        <v>163</v>
      </c>
      <c r="E110" s="266" t="s">
        <v>11</v>
      </c>
      <c r="F110" s="266"/>
      <c r="G110" s="482"/>
      <c r="H110" s="352">
        <f t="shared" si="6"/>
        <v>0</v>
      </c>
      <c r="I110" s="352">
        <f t="shared" si="7"/>
        <v>0</v>
      </c>
      <c r="J110" s="382">
        <f t="shared" si="8"/>
        <v>0</v>
      </c>
      <c r="K110" s="37"/>
      <c r="L110" s="37"/>
      <c r="M110" s="14"/>
      <c r="N110" s="14"/>
      <c r="O110" s="14"/>
    </row>
    <row r="111" spans="1:15" ht="15" customHeight="1">
      <c r="A111" s="237"/>
      <c r="B111" s="91" t="s">
        <v>204</v>
      </c>
      <c r="C111" s="261" t="s">
        <v>113</v>
      </c>
      <c r="D111" s="261">
        <v>165</v>
      </c>
      <c r="E111" s="266" t="s">
        <v>11</v>
      </c>
      <c r="F111" s="266"/>
      <c r="G111" s="482">
        <v>86044</v>
      </c>
      <c r="H111" s="352">
        <f t="shared" si="6"/>
        <v>14000.600293022051</v>
      </c>
      <c r="I111" s="352">
        <f t="shared" si="7"/>
        <v>3049.3482762543376</v>
      </c>
      <c r="J111" s="382">
        <f t="shared" si="8"/>
        <v>68994.05143072362</v>
      </c>
      <c r="K111" s="34"/>
      <c r="L111" s="34"/>
      <c r="M111" s="14"/>
      <c r="N111" s="14"/>
      <c r="O111" s="14"/>
    </row>
    <row r="112" spans="1:15" ht="15" customHeight="1">
      <c r="A112" s="237"/>
      <c r="B112" s="92" t="s">
        <v>205</v>
      </c>
      <c r="C112" s="261" t="s">
        <v>113</v>
      </c>
      <c r="D112" s="261">
        <v>175</v>
      </c>
      <c r="E112" s="266" t="s">
        <v>392</v>
      </c>
      <c r="F112" s="266"/>
      <c r="G112" s="482"/>
      <c r="H112" s="352">
        <f t="shared" si="6"/>
        <v>0</v>
      </c>
      <c r="I112" s="352">
        <f t="shared" si="7"/>
        <v>0</v>
      </c>
      <c r="J112" s="382">
        <f t="shared" si="8"/>
        <v>0</v>
      </c>
      <c r="K112" s="34"/>
      <c r="L112" s="34"/>
      <c r="M112" s="14"/>
      <c r="N112" s="14"/>
      <c r="O112" s="14"/>
    </row>
    <row r="113" spans="1:15" ht="15" customHeight="1">
      <c r="A113" s="237"/>
      <c r="B113" s="206" t="s">
        <v>411</v>
      </c>
      <c r="C113" s="261" t="s">
        <v>241</v>
      </c>
      <c r="D113" s="261">
        <v>175</v>
      </c>
      <c r="E113" s="266" t="s">
        <v>392</v>
      </c>
      <c r="F113" s="266"/>
      <c r="G113" s="482"/>
      <c r="H113" s="352">
        <f t="shared" si="6"/>
        <v>0</v>
      </c>
      <c r="I113" s="352">
        <f t="shared" si="7"/>
        <v>0</v>
      </c>
      <c r="J113" s="382">
        <f t="shared" si="8"/>
        <v>0</v>
      </c>
      <c r="K113" s="34"/>
      <c r="L113" s="34"/>
      <c r="M113" s="14"/>
      <c r="N113" s="14"/>
      <c r="O113" s="14"/>
    </row>
    <row r="114" spans="1:15" ht="15" customHeight="1">
      <c r="A114" s="237"/>
      <c r="B114" s="92" t="s">
        <v>331</v>
      </c>
      <c r="C114" s="142" t="s">
        <v>113</v>
      </c>
      <c r="D114" s="142">
        <v>176</v>
      </c>
      <c r="E114" s="354" t="s">
        <v>392</v>
      </c>
      <c r="F114" s="266"/>
      <c r="G114" s="482"/>
      <c r="H114" s="352">
        <f t="shared" si="6"/>
        <v>0</v>
      </c>
      <c r="I114" s="352">
        <f t="shared" si="7"/>
        <v>0</v>
      </c>
      <c r="J114" s="382">
        <f t="shared" si="8"/>
        <v>0</v>
      </c>
      <c r="K114" s="37"/>
      <c r="L114" s="37"/>
      <c r="M114" s="14"/>
      <c r="N114" s="14"/>
      <c r="O114" s="14"/>
    </row>
    <row r="115" spans="1:15" ht="15" customHeight="1">
      <c r="A115" s="237"/>
      <c r="B115" s="206" t="s">
        <v>461</v>
      </c>
      <c r="C115" s="142" t="s">
        <v>241</v>
      </c>
      <c r="D115" s="142">
        <v>176</v>
      </c>
      <c r="E115" s="354" t="s">
        <v>392</v>
      </c>
      <c r="F115" s="266"/>
      <c r="G115" s="482"/>
      <c r="H115" s="352">
        <f t="shared" si="6"/>
        <v>0</v>
      </c>
      <c r="I115" s="352">
        <f t="shared" si="7"/>
        <v>0</v>
      </c>
      <c r="J115" s="382">
        <f t="shared" si="8"/>
        <v>0</v>
      </c>
      <c r="K115" s="37"/>
      <c r="L115" s="37"/>
      <c r="M115" s="14"/>
      <c r="N115" s="14"/>
      <c r="O115" s="14"/>
    </row>
    <row r="116" spans="1:15" ht="15" customHeight="1">
      <c r="A116" s="237"/>
      <c r="B116" s="120" t="s">
        <v>14</v>
      </c>
      <c r="C116" s="711"/>
      <c r="D116" s="691"/>
      <c r="E116" s="691"/>
      <c r="F116" s="692"/>
      <c r="G116" s="712">
        <f>SUM(G103:G112,G114)-G113-G115</f>
        <v>3964367</v>
      </c>
      <c r="H116" s="712">
        <f>SUM(H103:H112,H114)-H113-H115</f>
        <v>645059.7110995182</v>
      </c>
      <c r="I116" s="712">
        <f>SUM(I103:I112,I114)-I113-I115</f>
        <v>140494.812861903</v>
      </c>
      <c r="J116" s="713">
        <f>SUM(J103:J112,J114)-J113-J115</f>
        <v>3178812.476038579</v>
      </c>
      <c r="K116" s="37"/>
      <c r="L116" s="37"/>
      <c r="M116" s="14"/>
      <c r="N116" s="14"/>
      <c r="O116" s="14"/>
    </row>
    <row r="117" spans="1:15" ht="15" customHeight="1" thickBot="1">
      <c r="A117" s="401"/>
      <c r="B117" s="402"/>
      <c r="C117" s="403"/>
      <c r="D117" s="403"/>
      <c r="E117" s="403"/>
      <c r="F117" s="403"/>
      <c r="G117" s="487"/>
      <c r="H117" s="487"/>
      <c r="I117" s="487"/>
      <c r="J117" s="488"/>
      <c r="K117" s="37"/>
      <c r="L117" s="37"/>
      <c r="M117" s="14"/>
      <c r="N117" s="14"/>
      <c r="O117" s="14"/>
    </row>
    <row r="118" spans="1:15" ht="15" customHeight="1" thickTop="1">
      <c r="A118" s="390" t="s">
        <v>406</v>
      </c>
      <c r="B118" s="132"/>
      <c r="C118" s="129"/>
      <c r="D118" s="83"/>
      <c r="E118" s="83"/>
      <c r="F118" s="83"/>
      <c r="G118" s="489"/>
      <c r="H118" s="490"/>
      <c r="I118" s="490"/>
      <c r="J118" s="491"/>
      <c r="K118" s="37"/>
      <c r="L118" s="37"/>
      <c r="M118" s="14"/>
      <c r="N118" s="14"/>
      <c r="O118" s="14"/>
    </row>
    <row r="119" spans="1:15" ht="15" customHeight="1">
      <c r="A119" s="237"/>
      <c r="B119" s="92" t="s">
        <v>206</v>
      </c>
      <c r="C119" s="261" t="s">
        <v>113</v>
      </c>
      <c r="D119" s="261">
        <v>181</v>
      </c>
      <c r="E119" s="266" t="s">
        <v>18</v>
      </c>
      <c r="F119" s="266"/>
      <c r="G119" s="482">
        <v>1293260</v>
      </c>
      <c r="H119" s="352">
        <f>VLOOKUP($E119,Ratio,2,FALSE)*$G119</f>
        <v>203698.00676801763</v>
      </c>
      <c r="I119" s="352">
        <f>VLOOKUP($E119,Ratio,3,FALSE)*$G119</f>
        <v>45127.580088345974</v>
      </c>
      <c r="J119" s="382">
        <f>VLOOKUP($E119,Ratio,4,FALSE)*$G119</f>
        <v>1044434.4131436364</v>
      </c>
      <c r="K119" s="37"/>
      <c r="L119" s="37"/>
      <c r="M119" s="14"/>
      <c r="N119" s="14"/>
      <c r="O119" s="14"/>
    </row>
    <row r="120" spans="1:15" ht="15" customHeight="1">
      <c r="A120" s="237"/>
      <c r="B120" s="92" t="s">
        <v>207</v>
      </c>
      <c r="C120" s="261" t="s">
        <v>113</v>
      </c>
      <c r="D120" s="261">
        <v>182.1</v>
      </c>
      <c r="E120" s="266" t="s">
        <v>2</v>
      </c>
      <c r="F120" s="266" t="s">
        <v>392</v>
      </c>
      <c r="G120" s="482"/>
      <c r="H120" s="352">
        <f>IF($E120="DIRECT",$L120,VLOOKUP($E120,Ratio,2,FALSE)*$G120)</f>
        <v>0</v>
      </c>
      <c r="I120" s="352">
        <f>IF($E120="DIRECT",$M120,VLOOKUP($E120,Ratio,3,FALSE)*$G120)</f>
        <v>0</v>
      </c>
      <c r="J120" s="382">
        <f>IF($E120="DIRECT",$N120,VLOOKUP($E120,Ratio,4,FALSE)*$G120)</f>
        <v>0</v>
      </c>
      <c r="K120" s="37"/>
      <c r="L120" s="352"/>
      <c r="M120" s="352"/>
      <c r="N120" s="382"/>
      <c r="O120" s="14"/>
    </row>
    <row r="121" spans="1:15" ht="15" customHeight="1">
      <c r="A121" s="237"/>
      <c r="B121" s="92" t="s">
        <v>208</v>
      </c>
      <c r="C121" s="261" t="s">
        <v>113</v>
      </c>
      <c r="D121" s="261">
        <v>182.2</v>
      </c>
      <c r="E121" s="266" t="s">
        <v>2</v>
      </c>
      <c r="F121" s="266" t="s">
        <v>392</v>
      </c>
      <c r="G121" s="482"/>
      <c r="H121" s="352">
        <f>IF($E121="DIRECT",$L121,VLOOKUP($E121,Ratio,2,FALSE)*$G121)</f>
        <v>0</v>
      </c>
      <c r="I121" s="352">
        <f>IF($E121="DIRECT",$M121,VLOOKUP($E121,Ratio,3,FALSE)*$G121)</f>
        <v>0</v>
      </c>
      <c r="J121" s="382">
        <f>IF($E121="DIRECT",$N121,VLOOKUP($E121,Ratio,4,FALSE)*$G121)</f>
        <v>0</v>
      </c>
      <c r="K121" s="37"/>
      <c r="L121" s="352"/>
      <c r="M121" s="352"/>
      <c r="N121" s="382"/>
      <c r="O121" s="14"/>
    </row>
    <row r="122" spans="1:15" s="12" customFormat="1" ht="15" customHeight="1">
      <c r="A122" s="237"/>
      <c r="B122" s="92" t="s">
        <v>209</v>
      </c>
      <c r="C122" s="261" t="s">
        <v>113</v>
      </c>
      <c r="D122" s="261">
        <v>182.3</v>
      </c>
      <c r="E122" s="266" t="s">
        <v>2</v>
      </c>
      <c r="F122" s="266" t="s">
        <v>392</v>
      </c>
      <c r="G122" s="482"/>
      <c r="H122" s="352">
        <f>IF($E122="DIRECT",$L122,VLOOKUP($E122,Ratio,2,FALSE)*$G122)</f>
        <v>0</v>
      </c>
      <c r="I122" s="352">
        <f>IF($E122="DIRECT",$M122,VLOOKUP($E122,Ratio,3,FALSE)*$G122)</f>
        <v>0</v>
      </c>
      <c r="J122" s="382">
        <f>IF($E122="DIRECT",$N122,VLOOKUP($E122,Ratio,4,FALSE)*$G122)</f>
        <v>0</v>
      </c>
      <c r="K122" s="34"/>
      <c r="L122" s="352"/>
      <c r="M122" s="352"/>
      <c r="N122" s="382"/>
      <c r="O122" s="38"/>
    </row>
    <row r="123" spans="1:15" ht="15" customHeight="1">
      <c r="A123" s="237"/>
      <c r="B123" s="92" t="s">
        <v>410</v>
      </c>
      <c r="C123" s="261" t="s">
        <v>113</v>
      </c>
      <c r="D123" s="261">
        <v>183</v>
      </c>
      <c r="E123" s="266" t="s">
        <v>392</v>
      </c>
      <c r="F123" s="266"/>
      <c r="G123" s="482"/>
      <c r="H123" s="352">
        <f aca="true" t="shared" si="9" ref="H123:H132">VLOOKUP($E123,Ratio,2,FALSE)*$G123</f>
        <v>0</v>
      </c>
      <c r="I123" s="352">
        <f aca="true" t="shared" si="10" ref="I123:I132">VLOOKUP($E123,Ratio,3,FALSE)*$G123</f>
        <v>0</v>
      </c>
      <c r="J123" s="382">
        <f aca="true" t="shared" si="11" ref="J123:J132">VLOOKUP($E123,Ratio,4,FALSE)*$G123</f>
        <v>0</v>
      </c>
      <c r="K123" s="37"/>
      <c r="O123" s="14"/>
    </row>
    <row r="124" spans="1:15" ht="15" customHeight="1">
      <c r="A124" s="237"/>
      <c r="B124" s="92" t="s">
        <v>210</v>
      </c>
      <c r="C124" s="261" t="s">
        <v>113</v>
      </c>
      <c r="D124" s="261">
        <v>183.1</v>
      </c>
      <c r="E124" s="266" t="s">
        <v>392</v>
      </c>
      <c r="F124" s="266"/>
      <c r="G124" s="482"/>
      <c r="H124" s="352">
        <f t="shared" si="9"/>
        <v>0</v>
      </c>
      <c r="I124" s="352">
        <f t="shared" si="10"/>
        <v>0</v>
      </c>
      <c r="J124" s="382">
        <f t="shared" si="11"/>
        <v>0</v>
      </c>
      <c r="K124" s="37"/>
      <c r="L124" s="37"/>
      <c r="M124" s="14"/>
      <c r="N124" s="14"/>
      <c r="O124" s="14"/>
    </row>
    <row r="125" spans="1:15" ht="15" customHeight="1">
      <c r="A125" s="237"/>
      <c r="B125" s="92" t="s">
        <v>162</v>
      </c>
      <c r="C125" s="261" t="s">
        <v>113</v>
      </c>
      <c r="D125" s="261">
        <v>183.2</v>
      </c>
      <c r="E125" s="266" t="s">
        <v>392</v>
      </c>
      <c r="F125" s="266"/>
      <c r="G125" s="482"/>
      <c r="H125" s="352">
        <f t="shared" si="9"/>
        <v>0</v>
      </c>
      <c r="I125" s="352">
        <f t="shared" si="10"/>
        <v>0</v>
      </c>
      <c r="J125" s="382">
        <f t="shared" si="11"/>
        <v>0</v>
      </c>
      <c r="K125" s="37"/>
      <c r="L125" s="37"/>
      <c r="M125" s="14"/>
      <c r="N125" s="14"/>
      <c r="O125" s="14"/>
    </row>
    <row r="126" spans="1:15" ht="15" customHeight="1">
      <c r="A126" s="237"/>
      <c r="B126" s="92" t="s">
        <v>211</v>
      </c>
      <c r="C126" s="261" t="s">
        <v>113</v>
      </c>
      <c r="D126" s="261">
        <v>184</v>
      </c>
      <c r="E126" s="266" t="s">
        <v>392</v>
      </c>
      <c r="F126" s="266"/>
      <c r="G126" s="482">
        <v>2048</v>
      </c>
      <c r="H126" s="352">
        <f t="shared" si="9"/>
        <v>0</v>
      </c>
      <c r="I126" s="352">
        <f t="shared" si="10"/>
        <v>0</v>
      </c>
      <c r="J126" s="382">
        <f t="shared" si="11"/>
        <v>2048</v>
      </c>
      <c r="K126" s="37"/>
      <c r="L126" s="37"/>
      <c r="M126" s="14"/>
      <c r="N126" s="14"/>
      <c r="O126" s="14"/>
    </row>
    <row r="127" spans="1:15" ht="15" customHeight="1">
      <c r="A127" s="237"/>
      <c r="B127" s="92" t="s">
        <v>212</v>
      </c>
      <c r="C127" s="261" t="s">
        <v>113</v>
      </c>
      <c r="D127" s="261">
        <v>185</v>
      </c>
      <c r="E127" s="266" t="s">
        <v>18</v>
      </c>
      <c r="F127" s="266"/>
      <c r="G127" s="482"/>
      <c r="H127" s="352">
        <f t="shared" si="9"/>
        <v>0</v>
      </c>
      <c r="I127" s="352">
        <f t="shared" si="10"/>
        <v>0</v>
      </c>
      <c r="J127" s="382">
        <f t="shared" si="11"/>
        <v>0</v>
      </c>
      <c r="K127" s="37"/>
      <c r="L127" s="37"/>
      <c r="M127" s="14"/>
      <c r="N127" s="14"/>
      <c r="O127" s="14"/>
    </row>
    <row r="128" spans="1:15" s="12" customFormat="1" ht="15" customHeight="1">
      <c r="A128" s="237"/>
      <c r="B128" s="92" t="s">
        <v>213</v>
      </c>
      <c r="C128" s="261" t="s">
        <v>113</v>
      </c>
      <c r="D128" s="261">
        <v>186</v>
      </c>
      <c r="E128" s="266" t="s">
        <v>2</v>
      </c>
      <c r="F128" s="266" t="s">
        <v>392</v>
      </c>
      <c r="G128" s="482">
        <v>1870145</v>
      </c>
      <c r="H128" s="352">
        <v>1870145</v>
      </c>
      <c r="I128" s="352">
        <f>IF($E128="DIRECT",$M128,VLOOKUP($E128,Ratio,3,FALSE)*$G128)</f>
        <v>0</v>
      </c>
      <c r="J128" s="382">
        <f>IF($E128="DIRECT",$N128,VLOOKUP($E128,Ratio,4,FALSE)*$G128)</f>
        <v>0</v>
      </c>
      <c r="K128" s="34"/>
      <c r="L128" s="352"/>
      <c r="M128" s="352"/>
      <c r="N128" s="382"/>
      <c r="O128" s="38"/>
    </row>
    <row r="129" spans="1:15" ht="15" customHeight="1">
      <c r="A129" s="237"/>
      <c r="B129" s="92" t="s">
        <v>214</v>
      </c>
      <c r="C129" s="261" t="s">
        <v>113</v>
      </c>
      <c r="D129" s="261">
        <v>187</v>
      </c>
      <c r="E129" s="266" t="s">
        <v>2</v>
      </c>
      <c r="F129" s="266" t="s">
        <v>2</v>
      </c>
      <c r="G129" s="482"/>
      <c r="H129" s="352"/>
      <c r="I129" s="352"/>
      <c r="J129" s="382"/>
      <c r="K129" s="37"/>
      <c r="L129" s="37"/>
      <c r="M129" s="14"/>
      <c r="N129" s="14"/>
      <c r="O129" s="14"/>
    </row>
    <row r="130" spans="1:15" ht="15" customHeight="1">
      <c r="A130" s="237"/>
      <c r="B130" s="92" t="s">
        <v>215</v>
      </c>
      <c r="C130" s="261" t="s">
        <v>113</v>
      </c>
      <c r="D130" s="261">
        <v>188</v>
      </c>
      <c r="E130" s="266" t="s">
        <v>392</v>
      </c>
      <c r="F130" s="266"/>
      <c r="G130" s="482"/>
      <c r="H130" s="352">
        <f t="shared" si="9"/>
        <v>0</v>
      </c>
      <c r="I130" s="352">
        <f t="shared" si="10"/>
        <v>0</v>
      </c>
      <c r="J130" s="382">
        <f t="shared" si="11"/>
        <v>0</v>
      </c>
      <c r="K130" s="37"/>
      <c r="L130" s="37"/>
      <c r="M130" s="14"/>
      <c r="N130" s="14"/>
      <c r="O130" s="14"/>
    </row>
    <row r="131" spans="1:15" ht="15" customHeight="1">
      <c r="A131" s="237"/>
      <c r="B131" s="92" t="s">
        <v>216</v>
      </c>
      <c r="C131" s="261" t="s">
        <v>113</v>
      </c>
      <c r="D131" s="261">
        <v>189</v>
      </c>
      <c r="E131" s="266" t="s">
        <v>18</v>
      </c>
      <c r="F131" s="266"/>
      <c r="G131" s="482"/>
      <c r="H131" s="352">
        <f t="shared" si="9"/>
        <v>0</v>
      </c>
      <c r="I131" s="352">
        <f t="shared" si="10"/>
        <v>0</v>
      </c>
      <c r="J131" s="382">
        <f t="shared" si="11"/>
        <v>0</v>
      </c>
      <c r="K131" s="37"/>
      <c r="L131" s="37"/>
      <c r="M131" s="14"/>
      <c r="N131" s="14"/>
      <c r="O131" s="14"/>
    </row>
    <row r="132" spans="1:15" ht="15" customHeight="1">
      <c r="A132" s="237"/>
      <c r="B132" s="92" t="s">
        <v>217</v>
      </c>
      <c r="C132" s="261" t="s">
        <v>113</v>
      </c>
      <c r="D132" s="261">
        <v>190</v>
      </c>
      <c r="E132" s="266" t="s">
        <v>392</v>
      </c>
      <c r="F132" s="266"/>
      <c r="G132" s="482"/>
      <c r="H132" s="352">
        <f t="shared" si="9"/>
        <v>0</v>
      </c>
      <c r="I132" s="352">
        <f t="shared" si="10"/>
        <v>0</v>
      </c>
      <c r="J132" s="382">
        <f t="shared" si="11"/>
        <v>0</v>
      </c>
      <c r="K132" s="34"/>
      <c r="L132" s="34"/>
      <c r="M132" s="14"/>
      <c r="N132" s="14"/>
      <c r="O132" s="14"/>
    </row>
    <row r="133" spans="1:15" ht="15" customHeight="1">
      <c r="A133" s="386"/>
      <c r="B133" s="120" t="s">
        <v>14</v>
      </c>
      <c r="C133" s="711"/>
      <c r="D133" s="691"/>
      <c r="E133" s="691"/>
      <c r="F133" s="692"/>
      <c r="G133" s="712">
        <f>SUM(G119:G132)</f>
        <v>3165453</v>
      </c>
      <c r="H133" s="712">
        <f>SUM(H119:H132)</f>
        <v>2073843.0067680175</v>
      </c>
      <c r="I133" s="712">
        <f>SUM(I119:I132)</f>
        <v>45127.580088345974</v>
      </c>
      <c r="J133" s="713">
        <f>SUM(J119:J132)</f>
        <v>1046482.4131436364</v>
      </c>
      <c r="K133" s="34"/>
      <c r="L133" s="34"/>
      <c r="M133" s="14"/>
      <c r="N133" s="14"/>
      <c r="O133" s="14"/>
    </row>
    <row r="134" spans="1:15" s="12" customFormat="1" ht="15" customHeight="1">
      <c r="A134" s="386"/>
      <c r="B134" s="103"/>
      <c r="C134" s="133"/>
      <c r="D134" s="52"/>
      <c r="E134" s="52"/>
      <c r="F134" s="52"/>
      <c r="G134" s="492"/>
      <c r="H134" s="557"/>
      <c r="I134" s="557"/>
      <c r="J134" s="558"/>
      <c r="K134" s="34"/>
      <c r="L134" s="34"/>
      <c r="M134" s="38"/>
      <c r="N134" s="38"/>
      <c r="O134" s="38"/>
    </row>
    <row r="135" spans="1:15" ht="15" customHeight="1">
      <c r="A135" s="300" t="s">
        <v>109</v>
      </c>
      <c r="B135" s="50"/>
      <c r="C135" s="711"/>
      <c r="D135" s="691"/>
      <c r="E135" s="691"/>
      <c r="F135" s="692"/>
      <c r="G135" s="712">
        <f>G84+G93+G100+G116+G133</f>
        <v>15121161.875</v>
      </c>
      <c r="H135" s="712">
        <f>H84+H93+H100+H116+H133</f>
        <v>3771311.4634792553</v>
      </c>
      <c r="I135" s="712">
        <f>I84+I93+I100+I116+I133</f>
        <v>193670.05719233997</v>
      </c>
      <c r="J135" s="713">
        <f>J84+J93+J100+J116+J133</f>
        <v>11156180.354328403</v>
      </c>
      <c r="K135" s="33"/>
      <c r="L135" s="34"/>
      <c r="M135" s="14"/>
      <c r="N135" s="14"/>
      <c r="O135" s="14"/>
    </row>
    <row r="136" spans="1:15" s="12" customFormat="1" ht="15" customHeight="1" thickBot="1">
      <c r="A136" s="249"/>
      <c r="B136" s="250"/>
      <c r="C136" s="251"/>
      <c r="D136" s="251"/>
      <c r="E136" s="275"/>
      <c r="F136" s="275"/>
      <c r="G136" s="566"/>
      <c r="H136" s="566"/>
      <c r="I136" s="566"/>
      <c r="J136" s="567"/>
      <c r="K136" s="33"/>
      <c r="L136" s="34"/>
      <c r="M136" s="38"/>
      <c r="N136" s="38"/>
      <c r="O136" s="38"/>
    </row>
    <row r="137" spans="1:15" ht="15" customHeight="1" thickTop="1">
      <c r="A137" s="305" t="s">
        <v>110</v>
      </c>
      <c r="B137" s="50"/>
      <c r="C137" s="10"/>
      <c r="D137" s="52"/>
      <c r="E137" s="52"/>
      <c r="F137" s="52"/>
      <c r="G137" s="204"/>
      <c r="H137" s="204"/>
      <c r="I137" s="204"/>
      <c r="J137" s="361"/>
      <c r="K137" s="33"/>
      <c r="L137" s="34"/>
      <c r="M137" s="14"/>
      <c r="N137" s="14"/>
      <c r="O137" s="14"/>
    </row>
    <row r="138" spans="1:15" ht="15" customHeight="1">
      <c r="A138" s="237"/>
      <c r="B138" s="90" t="s">
        <v>151</v>
      </c>
      <c r="C138" s="83"/>
      <c r="D138" s="119"/>
      <c r="E138" s="83"/>
      <c r="F138" s="83"/>
      <c r="G138" s="490"/>
      <c r="H138" s="490"/>
      <c r="I138" s="490"/>
      <c r="J138" s="491"/>
      <c r="K138" s="33"/>
      <c r="L138" s="34"/>
      <c r="M138" s="14"/>
      <c r="N138" s="14"/>
      <c r="O138" s="14"/>
    </row>
    <row r="139" spans="1:15" ht="15" customHeight="1">
      <c r="A139" s="237"/>
      <c r="B139" s="92" t="s">
        <v>329</v>
      </c>
      <c r="C139" s="261" t="s">
        <v>116</v>
      </c>
      <c r="D139" s="261">
        <v>244</v>
      </c>
      <c r="E139" s="266" t="s">
        <v>392</v>
      </c>
      <c r="F139" s="266"/>
      <c r="G139" s="482"/>
      <c r="H139" s="352">
        <f>VLOOKUP($E139,Ratio,2,FALSE)*$G139</f>
        <v>0</v>
      </c>
      <c r="I139" s="352">
        <f>VLOOKUP($E139,Ratio,3,FALSE)*$G139</f>
        <v>0</v>
      </c>
      <c r="J139" s="382">
        <f>VLOOKUP($E139,Ratio,4,FALSE)*$G139</f>
        <v>0</v>
      </c>
      <c r="K139" s="33"/>
      <c r="L139" s="34"/>
      <c r="M139" s="14"/>
      <c r="N139" s="14"/>
      <c r="O139" s="14"/>
    </row>
    <row r="140" spans="1:15" ht="15" customHeight="1">
      <c r="A140" s="237"/>
      <c r="B140" s="206" t="s">
        <v>347</v>
      </c>
      <c r="C140" s="261" t="s">
        <v>345</v>
      </c>
      <c r="D140" s="261">
        <v>244</v>
      </c>
      <c r="E140" s="266" t="s">
        <v>392</v>
      </c>
      <c r="F140" s="266"/>
      <c r="G140" s="482"/>
      <c r="H140" s="352">
        <f>VLOOKUP($E140,Ratio,2,FALSE)*$G140</f>
        <v>0</v>
      </c>
      <c r="I140" s="352">
        <f>VLOOKUP($E140,Ratio,3,FALSE)*$G140</f>
        <v>0</v>
      </c>
      <c r="J140" s="382">
        <f>VLOOKUP($E140,Ratio,4,FALSE)*$G140</f>
        <v>0</v>
      </c>
      <c r="K140" s="33"/>
      <c r="L140" s="34"/>
      <c r="M140" s="14"/>
      <c r="N140" s="14"/>
      <c r="O140" s="14"/>
    </row>
    <row r="141" spans="1:15" ht="15" customHeight="1">
      <c r="A141" s="237"/>
      <c r="B141" s="92" t="s">
        <v>330</v>
      </c>
      <c r="C141" s="261" t="s">
        <v>373</v>
      </c>
      <c r="D141" s="261">
        <v>245</v>
      </c>
      <c r="E141" s="266" t="s">
        <v>392</v>
      </c>
      <c r="F141" s="266"/>
      <c r="G141" s="482"/>
      <c r="H141" s="352">
        <f>VLOOKUP($E141,Ratio,2,FALSE)*$G141</f>
        <v>0</v>
      </c>
      <c r="I141" s="352">
        <f>VLOOKUP($E141,Ratio,3,FALSE)*$G141</f>
        <v>0</v>
      </c>
      <c r="J141" s="382">
        <f>VLOOKUP($E141,Ratio,4,FALSE)*$G141</f>
        <v>0</v>
      </c>
      <c r="K141" s="33"/>
      <c r="L141" s="34"/>
      <c r="M141" s="14"/>
      <c r="N141" s="14"/>
      <c r="O141" s="14"/>
    </row>
    <row r="142" spans="1:15" ht="15" customHeight="1">
      <c r="A142" s="237"/>
      <c r="B142" s="206" t="s">
        <v>346</v>
      </c>
      <c r="C142" s="261" t="s">
        <v>345</v>
      </c>
      <c r="D142" s="261">
        <v>245</v>
      </c>
      <c r="E142" s="266" t="s">
        <v>392</v>
      </c>
      <c r="F142" s="266"/>
      <c r="G142" s="482"/>
      <c r="H142" s="352">
        <f>VLOOKUP($E142,Ratio,2,FALSE)*$G142</f>
        <v>0</v>
      </c>
      <c r="I142" s="352">
        <f>VLOOKUP($E142,Ratio,3,FALSE)*$G142</f>
        <v>0</v>
      </c>
      <c r="J142" s="382">
        <f>VLOOKUP($E142,Ratio,4,FALSE)*$G142</f>
        <v>0</v>
      </c>
      <c r="K142" s="33"/>
      <c r="L142" s="34"/>
      <c r="M142" s="14"/>
      <c r="N142" s="14"/>
      <c r="O142" s="14"/>
    </row>
    <row r="143" spans="1:15" ht="15" customHeight="1">
      <c r="A143" s="237"/>
      <c r="B143" s="120" t="s">
        <v>14</v>
      </c>
      <c r="C143" s="711"/>
      <c r="D143" s="691"/>
      <c r="E143" s="691"/>
      <c r="F143" s="692"/>
      <c r="G143" s="712">
        <f>G139-G140+G141-G142</f>
        <v>0</v>
      </c>
      <c r="H143" s="712">
        <f>H139-H140+H141-H142</f>
        <v>0</v>
      </c>
      <c r="I143" s="712">
        <f>I139-I140+I141-I142</f>
        <v>0</v>
      </c>
      <c r="J143" s="713">
        <f>J139-J140+J141-J142</f>
        <v>0</v>
      </c>
      <c r="K143" s="33"/>
      <c r="L143" s="34"/>
      <c r="M143" s="14"/>
      <c r="N143" s="14"/>
      <c r="O143" s="14"/>
    </row>
    <row r="144" spans="1:15" ht="15" customHeight="1">
      <c r="A144" s="237"/>
      <c r="B144" s="90" t="s">
        <v>152</v>
      </c>
      <c r="C144" s="83"/>
      <c r="D144" s="119"/>
      <c r="E144" s="83"/>
      <c r="F144" s="83"/>
      <c r="G144" s="204"/>
      <c r="H144" s="490"/>
      <c r="I144" s="490"/>
      <c r="J144" s="491"/>
      <c r="K144" s="33"/>
      <c r="L144" s="34"/>
      <c r="M144" s="14"/>
      <c r="N144" s="14"/>
      <c r="O144" s="14"/>
    </row>
    <row r="145" spans="1:15" ht="15" customHeight="1">
      <c r="A145" s="237"/>
      <c r="B145" s="92" t="s">
        <v>374</v>
      </c>
      <c r="C145" s="261" t="s">
        <v>116</v>
      </c>
      <c r="D145" s="261">
        <v>244</v>
      </c>
      <c r="E145" s="266" t="s">
        <v>392</v>
      </c>
      <c r="F145" s="266"/>
      <c r="G145" s="482"/>
      <c r="H145" s="352">
        <f>VLOOKUP($E145,Ratio,2,FALSE)*$G145</f>
        <v>0</v>
      </c>
      <c r="I145" s="352">
        <f>VLOOKUP($E145,Ratio,3,FALSE)*$G145</f>
        <v>0</v>
      </c>
      <c r="J145" s="382">
        <f>VLOOKUP($E145,Ratio,4,FALSE)*$G145</f>
        <v>0</v>
      </c>
      <c r="K145" s="33"/>
      <c r="L145" s="34"/>
      <c r="M145" s="14"/>
      <c r="N145" s="14"/>
      <c r="O145" s="14"/>
    </row>
    <row r="146" spans="1:15" ht="15" customHeight="1">
      <c r="A146" s="237"/>
      <c r="B146" s="92" t="s">
        <v>375</v>
      </c>
      <c r="C146" s="261" t="s">
        <v>345</v>
      </c>
      <c r="D146" s="261">
        <v>245</v>
      </c>
      <c r="E146" s="266" t="s">
        <v>392</v>
      </c>
      <c r="F146" s="266"/>
      <c r="G146" s="482"/>
      <c r="H146" s="352">
        <f>VLOOKUP($E146,Ratio,2,FALSE)*$G146</f>
        <v>0</v>
      </c>
      <c r="I146" s="352">
        <f>VLOOKUP($E146,Ratio,3,FALSE)*$G146</f>
        <v>0</v>
      </c>
      <c r="J146" s="382">
        <f>VLOOKUP($E146,Ratio,4,FALSE)*$G146</f>
        <v>0</v>
      </c>
      <c r="K146" s="33"/>
      <c r="L146" s="34"/>
      <c r="M146" s="14"/>
      <c r="N146" s="14"/>
      <c r="O146" s="14"/>
    </row>
    <row r="147" spans="1:15" ht="15" customHeight="1">
      <c r="A147" s="237"/>
      <c r="B147" s="92" t="s">
        <v>218</v>
      </c>
      <c r="C147" s="261" t="s">
        <v>116</v>
      </c>
      <c r="D147" s="261">
        <v>252</v>
      </c>
      <c r="E147" s="266" t="s">
        <v>392</v>
      </c>
      <c r="F147" s="266"/>
      <c r="G147" s="482"/>
      <c r="H147" s="352">
        <f aca="true" t="shared" si="12" ref="H147:H155">VLOOKUP($E147,Ratio,2,FALSE)*$G147</f>
        <v>0</v>
      </c>
      <c r="I147" s="352">
        <f aca="true" t="shared" si="13" ref="I147:I155">VLOOKUP($E147,Ratio,3,FALSE)*$G147</f>
        <v>0</v>
      </c>
      <c r="J147" s="382">
        <f aca="true" t="shared" si="14" ref="J147:J155">VLOOKUP($E147,Ratio,4,FALSE)*$G147</f>
        <v>0</v>
      </c>
      <c r="K147" s="33"/>
      <c r="L147" s="34"/>
      <c r="M147" s="14"/>
      <c r="N147" s="14"/>
      <c r="O147" s="14"/>
    </row>
    <row r="148" spans="1:15" ht="15" customHeight="1">
      <c r="A148" s="237"/>
      <c r="B148" s="92" t="s">
        <v>221</v>
      </c>
      <c r="C148" s="261" t="s">
        <v>116</v>
      </c>
      <c r="D148" s="261">
        <v>253</v>
      </c>
      <c r="E148" s="266" t="s">
        <v>2</v>
      </c>
      <c r="F148" s="266" t="s">
        <v>392</v>
      </c>
      <c r="G148" s="482">
        <v>1799931</v>
      </c>
      <c r="H148" s="352">
        <v>1799931</v>
      </c>
      <c r="I148" s="352">
        <f>IF($E148="DIRECT",$M148,VLOOKUP($E148,Ratio,3,FALSE)*$G148)</f>
        <v>0</v>
      </c>
      <c r="J148" s="382">
        <f>IF($E148="DIRECT",$N148,VLOOKUP($E148,Ratio,4,FALSE)*$G148)</f>
        <v>0</v>
      </c>
      <c r="K148" s="33"/>
      <c r="L148" s="352"/>
      <c r="M148" s="352"/>
      <c r="N148" s="382"/>
      <c r="O148" s="14"/>
    </row>
    <row r="149" spans="1:15" ht="15" customHeight="1">
      <c r="A149" s="237"/>
      <c r="B149" s="92" t="s">
        <v>222</v>
      </c>
      <c r="C149" s="261" t="s">
        <v>116</v>
      </c>
      <c r="D149" s="261">
        <v>254</v>
      </c>
      <c r="E149" s="266" t="s">
        <v>2</v>
      </c>
      <c r="F149" s="266" t="s">
        <v>392</v>
      </c>
      <c r="G149" s="482"/>
      <c r="H149" s="352">
        <f>IF($E149="DIRECT",$L149,VLOOKUP($E149,Ratio,2,FALSE)*$G149)</f>
        <v>0</v>
      </c>
      <c r="I149" s="352">
        <f>IF($E149="DIRECT",$M149,VLOOKUP($E149,Ratio,3,FALSE)*$G149)</f>
        <v>0</v>
      </c>
      <c r="J149" s="382">
        <f>IF($E149="DIRECT",$N149,VLOOKUP($E149,Ratio,4,FALSE)*$G149)</f>
        <v>0</v>
      </c>
      <c r="K149" s="33"/>
      <c r="L149" s="352"/>
      <c r="M149" s="352"/>
      <c r="N149" s="382"/>
      <c r="O149" s="14"/>
    </row>
    <row r="150" spans="1:15" ht="15" customHeight="1">
      <c r="A150" s="237"/>
      <c r="B150" s="92" t="s">
        <v>219</v>
      </c>
      <c r="C150" s="261" t="s">
        <v>116</v>
      </c>
      <c r="D150" s="261">
        <v>255</v>
      </c>
      <c r="E150" s="266" t="s">
        <v>392</v>
      </c>
      <c r="F150" s="266"/>
      <c r="G150" s="482"/>
      <c r="H150" s="352">
        <f t="shared" si="12"/>
        <v>0</v>
      </c>
      <c r="I150" s="352">
        <f t="shared" si="13"/>
        <v>0</v>
      </c>
      <c r="J150" s="382">
        <f t="shared" si="14"/>
        <v>0</v>
      </c>
      <c r="K150" s="33"/>
      <c r="L150" s="34"/>
      <c r="M150" s="14"/>
      <c r="N150" s="14"/>
      <c r="O150" s="14"/>
    </row>
    <row r="151" spans="1:15" ht="15" customHeight="1">
      <c r="A151" s="237"/>
      <c r="B151" s="92" t="s">
        <v>220</v>
      </c>
      <c r="C151" s="261" t="s">
        <v>116</v>
      </c>
      <c r="D151" s="261">
        <v>256</v>
      </c>
      <c r="E151" s="266" t="s">
        <v>2</v>
      </c>
      <c r="F151" s="266" t="s">
        <v>2</v>
      </c>
      <c r="G151" s="482"/>
      <c r="H151" s="352"/>
      <c r="I151" s="352"/>
      <c r="J151" s="382"/>
      <c r="K151" s="33"/>
      <c r="L151" s="34"/>
      <c r="M151" s="14"/>
      <c r="N151" s="14"/>
      <c r="O151" s="14"/>
    </row>
    <row r="152" spans="1:15" ht="15.75" customHeight="1">
      <c r="A152" s="237"/>
      <c r="B152" s="92" t="s">
        <v>223</v>
      </c>
      <c r="C152" s="261" t="s">
        <v>116</v>
      </c>
      <c r="D152" s="261">
        <v>257</v>
      </c>
      <c r="E152" s="266" t="s">
        <v>18</v>
      </c>
      <c r="F152" s="266"/>
      <c r="G152" s="482"/>
      <c r="H152" s="352">
        <f t="shared" si="12"/>
        <v>0</v>
      </c>
      <c r="I152" s="352">
        <f t="shared" si="13"/>
        <v>0</v>
      </c>
      <c r="J152" s="382">
        <f t="shared" si="14"/>
        <v>0</v>
      </c>
      <c r="K152" s="33"/>
      <c r="L152" s="34"/>
      <c r="M152" s="14"/>
      <c r="N152" s="14"/>
      <c r="O152" s="14"/>
    </row>
    <row r="153" spans="1:15" ht="15" customHeight="1">
      <c r="A153" s="237"/>
      <c r="B153" s="92" t="s">
        <v>227</v>
      </c>
      <c r="C153" s="261" t="s">
        <v>116</v>
      </c>
      <c r="D153" s="261">
        <v>281</v>
      </c>
      <c r="E153" s="266" t="s">
        <v>392</v>
      </c>
      <c r="F153" s="266"/>
      <c r="G153" s="482"/>
      <c r="H153" s="352">
        <f t="shared" si="12"/>
        <v>0</v>
      </c>
      <c r="I153" s="352">
        <f t="shared" si="13"/>
        <v>0</v>
      </c>
      <c r="J153" s="382">
        <f t="shared" si="14"/>
        <v>0</v>
      </c>
      <c r="K153" s="33"/>
      <c r="L153" s="34"/>
      <c r="M153" s="14"/>
      <c r="N153" s="14"/>
      <c r="O153" s="14"/>
    </row>
    <row r="154" spans="1:15" ht="15" customHeight="1">
      <c r="A154" s="237"/>
      <c r="B154" s="92" t="s">
        <v>228</v>
      </c>
      <c r="C154" s="261" t="s">
        <v>116</v>
      </c>
      <c r="D154" s="261">
        <v>282</v>
      </c>
      <c r="E154" s="266" t="s">
        <v>392</v>
      </c>
      <c r="F154" s="266"/>
      <c r="G154" s="482"/>
      <c r="H154" s="352">
        <f t="shared" si="12"/>
        <v>0</v>
      </c>
      <c r="I154" s="352">
        <f t="shared" si="13"/>
        <v>0</v>
      </c>
      <c r="J154" s="382">
        <f t="shared" si="14"/>
        <v>0</v>
      </c>
      <c r="K154" s="33"/>
      <c r="L154" s="34"/>
      <c r="M154" s="14"/>
      <c r="N154" s="14"/>
      <c r="O154" s="14"/>
    </row>
    <row r="155" spans="1:15" ht="15" customHeight="1">
      <c r="A155" s="237"/>
      <c r="B155" s="92" t="s">
        <v>229</v>
      </c>
      <c r="C155" s="261" t="s">
        <v>116</v>
      </c>
      <c r="D155" s="261">
        <v>283</v>
      </c>
      <c r="E155" s="266" t="s">
        <v>392</v>
      </c>
      <c r="F155" s="266"/>
      <c r="G155" s="482"/>
      <c r="H155" s="352">
        <f t="shared" si="12"/>
        <v>0</v>
      </c>
      <c r="I155" s="352">
        <f t="shared" si="13"/>
        <v>0</v>
      </c>
      <c r="J155" s="382">
        <f t="shared" si="14"/>
        <v>0</v>
      </c>
      <c r="K155" s="33"/>
      <c r="L155" s="34"/>
      <c r="M155" s="14"/>
      <c r="N155" s="14"/>
      <c r="O155" s="14"/>
    </row>
    <row r="156" spans="1:15" ht="15" customHeight="1">
      <c r="A156" s="237"/>
      <c r="B156" s="120" t="s">
        <v>14</v>
      </c>
      <c r="C156" s="711"/>
      <c r="D156" s="691"/>
      <c r="E156" s="691"/>
      <c r="F156" s="692"/>
      <c r="G156" s="712">
        <f>SUM(G145:G155)</f>
        <v>1799931</v>
      </c>
      <c r="H156" s="712">
        <f>SUM(H145:H155)</f>
        <v>1799931</v>
      </c>
      <c r="I156" s="712">
        <f>SUM(I145:I155)</f>
        <v>0</v>
      </c>
      <c r="J156" s="713">
        <f>SUM(J145:J155)</f>
        <v>0</v>
      </c>
      <c r="K156" s="33"/>
      <c r="L156" s="34"/>
      <c r="M156" s="14"/>
      <c r="N156" s="14"/>
      <c r="O156" s="14"/>
    </row>
    <row r="157" spans="1:15" ht="15" customHeight="1">
      <c r="A157" s="237"/>
      <c r="B157" s="104"/>
      <c r="C157" s="52"/>
      <c r="D157" s="134"/>
      <c r="E157" s="52"/>
      <c r="F157" s="52"/>
      <c r="G157" s="568"/>
      <c r="H157" s="569"/>
      <c r="I157" s="569"/>
      <c r="J157" s="570"/>
      <c r="K157" s="33"/>
      <c r="L157" s="34"/>
      <c r="M157" s="14"/>
      <c r="N157" s="14"/>
      <c r="O157" s="14"/>
    </row>
    <row r="158" spans="1:15" ht="15" customHeight="1">
      <c r="A158" s="300" t="s">
        <v>108</v>
      </c>
      <c r="B158" s="50"/>
      <c r="C158" s="711"/>
      <c r="D158" s="691"/>
      <c r="E158" s="691"/>
      <c r="F158" s="692"/>
      <c r="G158" s="712">
        <f>+G156+G143</f>
        <v>1799931</v>
      </c>
      <c r="H158" s="712">
        <f>+H156+H143</f>
        <v>1799931</v>
      </c>
      <c r="I158" s="712">
        <f>+I156+I143</f>
        <v>0</v>
      </c>
      <c r="J158" s="713">
        <f>+J156+J143</f>
        <v>0</v>
      </c>
      <c r="K158" s="56"/>
      <c r="L158" s="33"/>
      <c r="M158" s="14"/>
      <c r="N158" s="14"/>
      <c r="O158" s="14"/>
    </row>
    <row r="159" spans="1:15" ht="15" customHeight="1">
      <c r="A159" s="392"/>
      <c r="B159" s="50"/>
      <c r="C159" s="10"/>
      <c r="D159" s="10"/>
      <c r="E159" s="10"/>
      <c r="F159" s="10"/>
      <c r="G159" s="205"/>
      <c r="H159" s="205"/>
      <c r="I159" s="205"/>
      <c r="J159" s="362"/>
      <c r="K159" s="56"/>
      <c r="L159" s="33"/>
      <c r="M159" s="14"/>
      <c r="N159" s="14"/>
      <c r="O159" s="14"/>
    </row>
    <row r="160" spans="1:12" ht="15" customHeight="1">
      <c r="A160" s="246"/>
      <c r="B160" s="104"/>
      <c r="C160" s="134"/>
      <c r="D160" s="134"/>
      <c r="E160" s="131"/>
      <c r="F160" s="131"/>
      <c r="G160" s="493"/>
      <c r="H160" s="493"/>
      <c r="I160" s="493"/>
      <c r="J160" s="494"/>
      <c r="K160" s="56"/>
      <c r="L160" s="12"/>
    </row>
    <row r="161" spans="1:15" ht="15" customHeight="1">
      <c r="A161" s="248" t="s">
        <v>56</v>
      </c>
      <c r="B161" s="50"/>
      <c r="C161" s="714"/>
      <c r="D161" s="715"/>
      <c r="E161" s="715"/>
      <c r="F161" s="716"/>
      <c r="G161" s="717">
        <f>G79+G135-G158</f>
        <v>104484435.875</v>
      </c>
      <c r="H161" s="717">
        <f>H79+H135-H158</f>
        <v>16245267.391223464</v>
      </c>
      <c r="I161" s="717">
        <f>I79+I135-I158</f>
        <v>3390588.05823167</v>
      </c>
      <c r="J161" s="718">
        <f>J79+J135-J158</f>
        <v>84848580.42554487</v>
      </c>
      <c r="K161" s="56"/>
      <c r="L161" s="59"/>
      <c r="M161" s="14"/>
      <c r="N161" s="14"/>
      <c r="O161" s="14"/>
    </row>
    <row r="162" spans="1:13" ht="15" customHeight="1">
      <c r="A162" s="324" t="s">
        <v>118</v>
      </c>
      <c r="B162" s="49"/>
      <c r="C162" s="43"/>
      <c r="D162" s="43"/>
      <c r="E162" s="43"/>
      <c r="F162" s="43"/>
      <c r="G162" s="60"/>
      <c r="H162" s="31"/>
      <c r="I162" s="47"/>
      <c r="J162" s="393"/>
      <c r="K162" s="14"/>
      <c r="L162" s="14"/>
      <c r="M162" s="14"/>
    </row>
    <row r="163" spans="1:13" ht="15" customHeight="1" thickBot="1">
      <c r="A163" s="394"/>
      <c r="B163" s="395"/>
      <c r="C163" s="396"/>
      <c r="D163" s="396"/>
      <c r="E163" s="396"/>
      <c r="F163" s="396"/>
      <c r="G163" s="397"/>
      <c r="H163" s="398"/>
      <c r="I163" s="399"/>
      <c r="J163" s="400"/>
      <c r="K163" s="14"/>
      <c r="L163" s="14"/>
      <c r="M163" s="14"/>
    </row>
    <row r="164" spans="1:13" ht="15" customHeight="1" thickTop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14"/>
      <c r="L164" s="14"/>
      <c r="M164" s="14"/>
    </row>
    <row r="165" spans="1:15" ht="1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56"/>
      <c r="L165" s="33"/>
      <c r="M165" s="14"/>
      <c r="N165" s="14"/>
      <c r="O165" s="14"/>
    </row>
    <row r="166" spans="1:15" ht="1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56"/>
      <c r="L166" s="33"/>
      <c r="M166" s="14"/>
      <c r="N166" s="14"/>
      <c r="O166" s="14"/>
    </row>
    <row r="167" spans="1:15" ht="1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56"/>
      <c r="L167" s="33"/>
      <c r="M167" s="14"/>
      <c r="N167" s="14"/>
      <c r="O167" s="14"/>
    </row>
    <row r="168" spans="1:15" ht="1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56"/>
      <c r="L168" s="33"/>
      <c r="M168" s="14"/>
      <c r="N168" s="14"/>
      <c r="O168" s="14"/>
    </row>
    <row r="169" spans="1:15" ht="1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56"/>
      <c r="L169" s="33"/>
      <c r="M169" s="14"/>
      <c r="N169" s="14"/>
      <c r="O169" s="14"/>
    </row>
    <row r="170" spans="1:15" ht="1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56"/>
      <c r="L170" s="33"/>
      <c r="M170" s="14"/>
      <c r="N170" s="14"/>
      <c r="O170" s="14"/>
    </row>
    <row r="171" spans="1:15" s="12" customFormat="1" ht="1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56"/>
      <c r="L171" s="33"/>
      <c r="M171" s="38"/>
      <c r="N171" s="38"/>
      <c r="O171" s="38"/>
    </row>
    <row r="172" spans="1:15" s="12" customFormat="1" ht="1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56"/>
      <c r="L172" s="33"/>
      <c r="M172" s="38"/>
      <c r="N172" s="38"/>
      <c r="O172" s="38"/>
    </row>
    <row r="173" spans="1:15" ht="1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56"/>
      <c r="L173" s="33"/>
      <c r="M173" s="14"/>
      <c r="N173" s="14"/>
      <c r="O173" s="14"/>
    </row>
    <row r="174" spans="1:15" ht="1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56"/>
      <c r="L174" s="33"/>
      <c r="M174" s="14"/>
      <c r="N174" s="14"/>
      <c r="O174" s="14"/>
    </row>
    <row r="175" spans="1:15" ht="1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56"/>
      <c r="L175" s="33"/>
      <c r="M175" s="14"/>
      <c r="N175" s="14"/>
      <c r="O175" s="14"/>
    </row>
    <row r="176" spans="1:15" ht="1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56"/>
      <c r="L176" s="33"/>
      <c r="M176" s="14"/>
      <c r="N176" s="14"/>
      <c r="O176" s="14"/>
    </row>
    <row r="177" spans="1:15" ht="1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56"/>
      <c r="L177" s="33"/>
      <c r="M177" s="14"/>
      <c r="N177" s="14"/>
      <c r="O177" s="14"/>
    </row>
    <row r="178" spans="1:15" ht="1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56"/>
      <c r="L178" s="33"/>
      <c r="M178" s="14"/>
      <c r="N178" s="14"/>
      <c r="O178" s="14"/>
    </row>
    <row r="179" spans="1:15" ht="1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56"/>
      <c r="L179" s="33"/>
      <c r="M179" s="14"/>
      <c r="N179" s="14"/>
      <c r="O179" s="14"/>
    </row>
    <row r="180" spans="1:15" ht="1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56"/>
      <c r="L180" s="33"/>
      <c r="M180" s="14"/>
      <c r="N180" s="14"/>
      <c r="O180" s="14"/>
    </row>
    <row r="181" spans="1:15" ht="1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56"/>
      <c r="L181" s="33"/>
      <c r="M181" s="14"/>
      <c r="N181" s="14"/>
      <c r="O181" s="14"/>
    </row>
    <row r="182" spans="1:15" s="12" customFormat="1" ht="1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56"/>
      <c r="L182" s="33"/>
      <c r="M182" s="38"/>
      <c r="N182" s="38"/>
      <c r="O182" s="38"/>
    </row>
    <row r="183" spans="1:15" s="12" customFormat="1" ht="1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56"/>
      <c r="L183" s="33"/>
      <c r="M183" s="38"/>
      <c r="N183" s="38"/>
      <c r="O183" s="38"/>
    </row>
    <row r="184" spans="1:15" ht="1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56"/>
      <c r="L184" s="33"/>
      <c r="M184" s="14"/>
      <c r="N184" s="14"/>
      <c r="O184" s="14"/>
    </row>
    <row r="185" spans="1:15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56"/>
      <c r="L185" s="33"/>
      <c r="M185" s="14"/>
      <c r="N185" s="14"/>
      <c r="O185" s="14"/>
    </row>
    <row r="186" spans="1:15" ht="1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56"/>
      <c r="L186" s="61"/>
      <c r="M186" s="14"/>
      <c r="N186" s="14"/>
      <c r="O186" s="14"/>
    </row>
    <row r="187" spans="1:15" ht="1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56"/>
      <c r="L187" s="33"/>
      <c r="M187" s="14"/>
      <c r="N187" s="14"/>
      <c r="O187" s="14"/>
    </row>
    <row r="188" spans="1:15" ht="1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56"/>
      <c r="L188" s="33"/>
      <c r="M188" s="14"/>
      <c r="N188" s="14"/>
      <c r="O188" s="14"/>
    </row>
    <row r="189" spans="1:15" ht="1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56"/>
      <c r="L189" s="33"/>
      <c r="M189" s="14"/>
      <c r="N189" s="14"/>
      <c r="O189" s="14"/>
    </row>
    <row r="190" spans="1:15" ht="1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56"/>
      <c r="L190" s="33"/>
      <c r="M190" s="14"/>
      <c r="N190" s="14"/>
      <c r="O190" s="14"/>
    </row>
    <row r="191" spans="1:15" ht="1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56"/>
      <c r="L191" s="33"/>
      <c r="M191" s="14"/>
      <c r="N191" s="14"/>
      <c r="O191" s="14"/>
    </row>
    <row r="192" spans="1:15" ht="1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56"/>
      <c r="L192" s="33"/>
      <c r="M192" s="14"/>
      <c r="N192" s="14"/>
      <c r="O192" s="14"/>
    </row>
    <row r="193" spans="1:15" ht="1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56"/>
      <c r="L193" s="33"/>
      <c r="M193" s="14"/>
      <c r="N193" s="14"/>
      <c r="O193" s="14"/>
    </row>
    <row r="194" spans="1:15" ht="1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56"/>
      <c r="L194" s="33"/>
      <c r="M194" s="14"/>
      <c r="N194" s="14"/>
      <c r="O194" s="14"/>
    </row>
    <row r="195" spans="1:15" ht="1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56"/>
      <c r="L195" s="33"/>
      <c r="M195" s="14"/>
      <c r="N195" s="14"/>
      <c r="O195" s="14"/>
    </row>
    <row r="196" spans="1:15" ht="1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56"/>
      <c r="L196" s="33"/>
      <c r="M196" s="14"/>
      <c r="N196" s="14"/>
      <c r="O196" s="14"/>
    </row>
    <row r="197" spans="1:15" ht="1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56"/>
      <c r="L197" s="61"/>
      <c r="M197" s="14"/>
      <c r="N197" s="14"/>
      <c r="O197" s="14"/>
    </row>
    <row r="198" spans="1:15" ht="1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56"/>
      <c r="L198" s="33"/>
      <c r="M198" s="14"/>
      <c r="N198" s="14"/>
      <c r="O198" s="14"/>
    </row>
    <row r="199" spans="1:15" ht="1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56"/>
      <c r="L199" s="33"/>
      <c r="M199" s="14"/>
      <c r="N199" s="14"/>
      <c r="O199" s="14"/>
    </row>
    <row r="200" spans="1:15" ht="1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56"/>
      <c r="L200" s="33"/>
      <c r="M200" s="14"/>
      <c r="N200" s="14"/>
      <c r="O200" s="14"/>
    </row>
    <row r="201" spans="1:15" s="12" customFormat="1" ht="1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56"/>
      <c r="L201" s="33"/>
      <c r="M201" s="38"/>
      <c r="N201" s="38"/>
      <c r="O201" s="38"/>
    </row>
    <row r="202" spans="1:15" ht="1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56"/>
      <c r="L202" s="33"/>
      <c r="M202" s="14"/>
      <c r="N202" s="14"/>
      <c r="O202" s="14"/>
    </row>
    <row r="203" spans="1:15" ht="1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56"/>
      <c r="L203" s="33"/>
      <c r="M203" s="14"/>
      <c r="N203" s="14"/>
      <c r="O203" s="14"/>
    </row>
    <row r="204" spans="1:15" s="12" customFormat="1" ht="1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56"/>
      <c r="L204" s="62"/>
      <c r="M204" s="38"/>
      <c r="N204" s="38"/>
      <c r="O204" s="38"/>
    </row>
    <row r="205" spans="1:15" s="12" customFormat="1" ht="1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56"/>
      <c r="L205" s="33"/>
      <c r="M205" s="38"/>
      <c r="N205" s="38"/>
      <c r="O205" s="38"/>
    </row>
    <row r="206" spans="1:15" ht="1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56"/>
      <c r="L206" s="33"/>
      <c r="M206" s="14"/>
      <c r="N206" s="14"/>
      <c r="O206" s="14"/>
    </row>
    <row r="207" spans="1:15" ht="1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56"/>
      <c r="L207" s="33"/>
      <c r="M207" s="14"/>
      <c r="N207" s="14"/>
      <c r="O207" s="14"/>
    </row>
    <row r="208" spans="1:15" ht="1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56"/>
      <c r="L208" s="33"/>
      <c r="M208" s="14"/>
      <c r="N208" s="14"/>
      <c r="O208" s="14"/>
    </row>
    <row r="209" spans="1:15" ht="1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56"/>
      <c r="L209" s="33"/>
      <c r="M209" s="14"/>
      <c r="N209" s="14"/>
      <c r="O209" s="14"/>
    </row>
    <row r="210" spans="1:15" ht="1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56"/>
      <c r="L210" s="33"/>
      <c r="M210" s="14"/>
      <c r="N210" s="14"/>
      <c r="O210" s="14"/>
    </row>
    <row r="211" spans="1:15" ht="1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56"/>
      <c r="L211" s="33"/>
      <c r="M211" s="14"/>
      <c r="N211" s="14"/>
      <c r="O211" s="14"/>
    </row>
    <row r="212" spans="1:15" ht="1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56"/>
      <c r="L212" s="33"/>
      <c r="M212" s="14"/>
      <c r="N212" s="14"/>
      <c r="O212" s="14"/>
    </row>
    <row r="213" spans="1:15" ht="1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56"/>
      <c r="L213" s="33"/>
      <c r="M213" s="14"/>
      <c r="N213" s="14"/>
      <c r="O213" s="14"/>
    </row>
    <row r="214" spans="1:15" ht="1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56"/>
      <c r="L214" s="33"/>
      <c r="M214" s="14"/>
      <c r="N214" s="14"/>
      <c r="O214" s="14"/>
    </row>
    <row r="215" spans="1:15" s="12" customFormat="1" ht="1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56"/>
      <c r="L215" s="33"/>
      <c r="M215" s="38"/>
      <c r="N215" s="38"/>
      <c r="O215" s="38"/>
    </row>
    <row r="216" spans="1:15" ht="1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56"/>
      <c r="L216" s="33"/>
      <c r="M216" s="14"/>
      <c r="N216" s="14"/>
      <c r="O216" s="14"/>
    </row>
    <row r="217" spans="1:15" ht="1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56"/>
      <c r="L217" s="33"/>
      <c r="M217" s="14"/>
      <c r="N217" s="14"/>
      <c r="O217" s="14"/>
    </row>
    <row r="218" spans="1:15" ht="1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56"/>
      <c r="L218" s="33"/>
      <c r="M218" s="14"/>
      <c r="N218" s="14"/>
      <c r="O218" s="14"/>
    </row>
    <row r="219" spans="1:15" ht="1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56"/>
      <c r="L219" s="33"/>
      <c r="M219" s="14"/>
      <c r="N219" s="14"/>
      <c r="O219" s="14"/>
    </row>
    <row r="220" spans="1:15" ht="1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56"/>
      <c r="L220" s="33"/>
      <c r="M220" s="14"/>
      <c r="N220" s="14"/>
      <c r="O220" s="14"/>
    </row>
    <row r="221" spans="1:15" ht="1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56"/>
      <c r="L221" s="33"/>
      <c r="M221" s="14"/>
      <c r="N221" s="14"/>
      <c r="O221" s="14"/>
    </row>
    <row r="222" spans="1:15" ht="1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56"/>
      <c r="L222" s="33"/>
      <c r="M222" s="14"/>
      <c r="N222" s="14"/>
      <c r="O222" s="14"/>
    </row>
    <row r="223" spans="1:15" ht="1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56"/>
      <c r="L223" s="33"/>
      <c r="M223" s="14"/>
      <c r="N223" s="14"/>
      <c r="O223" s="14"/>
    </row>
    <row r="224" spans="1:15" ht="1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56"/>
      <c r="L224" s="33"/>
      <c r="M224" s="14"/>
      <c r="N224" s="14"/>
      <c r="O224" s="14"/>
    </row>
    <row r="225" spans="1:15" ht="1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56"/>
      <c r="L225" s="33"/>
      <c r="M225" s="14"/>
      <c r="N225" s="14"/>
      <c r="O225" s="14"/>
    </row>
    <row r="226" spans="1:15" ht="1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56"/>
      <c r="L226" s="33"/>
      <c r="M226" s="14"/>
      <c r="N226" s="14"/>
      <c r="O226" s="14"/>
    </row>
    <row r="227" spans="1:15" ht="1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56"/>
      <c r="L227" s="33"/>
      <c r="M227" s="14"/>
      <c r="N227" s="14"/>
      <c r="O227" s="14"/>
    </row>
    <row r="228" spans="1:15" ht="1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56"/>
      <c r="L228" s="33"/>
      <c r="M228" s="14"/>
      <c r="N228" s="14"/>
      <c r="O228" s="14"/>
    </row>
    <row r="229" spans="1:15" ht="1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56"/>
      <c r="L229" s="33"/>
      <c r="M229" s="14"/>
      <c r="N229" s="14"/>
      <c r="O229" s="14"/>
    </row>
    <row r="230" spans="1:15" ht="1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56"/>
      <c r="L230" s="33"/>
      <c r="M230" s="14"/>
      <c r="N230" s="14"/>
      <c r="O230" s="14"/>
    </row>
    <row r="231" spans="1:15" ht="1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56"/>
      <c r="L231" s="33"/>
      <c r="M231" s="14"/>
      <c r="N231" s="14"/>
      <c r="O231" s="14"/>
    </row>
    <row r="232" spans="1:15" ht="1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56"/>
      <c r="L232" s="33"/>
      <c r="M232" s="14"/>
      <c r="N232" s="14"/>
      <c r="O232" s="14"/>
    </row>
    <row r="233" spans="1:15" ht="1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56"/>
      <c r="L233" s="33"/>
      <c r="M233" s="14"/>
      <c r="N233" s="14"/>
      <c r="O233" s="14"/>
    </row>
    <row r="234" spans="1:15" ht="1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56"/>
      <c r="L234" s="33"/>
      <c r="M234" s="14"/>
      <c r="N234" s="14"/>
      <c r="O234" s="14"/>
    </row>
    <row r="235" spans="1:15" ht="1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56"/>
      <c r="L235" s="33"/>
      <c r="M235" s="14"/>
      <c r="N235" s="14"/>
      <c r="O235" s="14"/>
    </row>
    <row r="236" spans="1:15" ht="1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56"/>
      <c r="L236" s="33"/>
      <c r="M236" s="14"/>
      <c r="N236" s="14"/>
      <c r="O236" s="14"/>
    </row>
    <row r="237" spans="1:15" ht="1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56"/>
      <c r="L237" s="33"/>
      <c r="M237" s="14"/>
      <c r="N237" s="14"/>
      <c r="O237" s="14"/>
    </row>
    <row r="238" spans="1:15" ht="1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56"/>
      <c r="L238" s="33"/>
      <c r="M238" s="14"/>
      <c r="N238" s="14"/>
      <c r="O238" s="14"/>
    </row>
    <row r="239" spans="1:15" ht="1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56"/>
      <c r="L239" s="33"/>
      <c r="M239" s="14"/>
      <c r="N239" s="14"/>
      <c r="O239" s="14"/>
    </row>
    <row r="240" spans="1:15" ht="1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56"/>
      <c r="L240" s="33"/>
      <c r="M240" s="14"/>
      <c r="N240" s="14"/>
      <c r="O240" s="14"/>
    </row>
    <row r="241" spans="1:15" ht="1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56"/>
      <c r="L241" s="33"/>
      <c r="M241" s="14"/>
      <c r="N241" s="14"/>
      <c r="O241" s="14"/>
    </row>
    <row r="242" spans="1:15" ht="1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56"/>
      <c r="L242" s="33"/>
      <c r="M242" s="14"/>
      <c r="N242" s="14"/>
      <c r="O242" s="14"/>
    </row>
    <row r="243" spans="1:15" ht="1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56"/>
      <c r="L243" s="33"/>
      <c r="M243" s="14"/>
      <c r="N243" s="14"/>
      <c r="O243" s="14"/>
    </row>
    <row r="244" spans="1:15" ht="1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56"/>
      <c r="L244" s="33"/>
      <c r="M244" s="14"/>
      <c r="N244" s="14"/>
      <c r="O244" s="14"/>
    </row>
    <row r="245" spans="1:15" ht="1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56"/>
      <c r="L245" s="33"/>
      <c r="M245" s="14"/>
      <c r="N245" s="14"/>
      <c r="O245" s="14"/>
    </row>
    <row r="246" spans="1:15" ht="1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56"/>
      <c r="L246" s="33"/>
      <c r="M246" s="14"/>
      <c r="N246" s="14"/>
      <c r="O246" s="14"/>
    </row>
    <row r="247" spans="1:15" ht="1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56"/>
      <c r="L247" s="33"/>
      <c r="M247" s="14"/>
      <c r="N247" s="14"/>
      <c r="O247" s="14"/>
    </row>
    <row r="248" spans="1:15" ht="1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56"/>
      <c r="L248" s="33"/>
      <c r="M248" s="14"/>
      <c r="N248" s="14"/>
      <c r="O248" s="14"/>
    </row>
    <row r="249" spans="1:15" ht="1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56"/>
      <c r="L249" s="63"/>
      <c r="M249" s="14"/>
      <c r="N249" s="14"/>
      <c r="O249" s="14"/>
    </row>
    <row r="250" spans="1:15" ht="1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56"/>
      <c r="L250" s="63"/>
      <c r="M250" s="14"/>
      <c r="N250" s="14"/>
      <c r="O250" s="14"/>
    </row>
    <row r="251" spans="1:15" ht="1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56"/>
      <c r="L251" s="56"/>
      <c r="M251" s="14"/>
      <c r="N251" s="14"/>
      <c r="O251" s="14"/>
    </row>
    <row r="252" spans="1:15" ht="1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56"/>
      <c r="L252" s="63"/>
      <c r="M252" s="14"/>
      <c r="N252" s="14"/>
      <c r="O252" s="14"/>
    </row>
    <row r="253" spans="1:15" ht="1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56"/>
      <c r="L253" s="63"/>
      <c r="M253" s="14"/>
      <c r="N253" s="14"/>
      <c r="O253" s="14"/>
    </row>
    <row r="254" spans="1:15" ht="1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56"/>
      <c r="L254" s="63"/>
      <c r="M254" s="14"/>
      <c r="N254" s="14"/>
      <c r="O254" s="14"/>
    </row>
    <row r="255" spans="1:15" ht="1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56"/>
      <c r="L255" s="63"/>
      <c r="M255" s="14"/>
      <c r="N255" s="14"/>
      <c r="O255" s="14"/>
    </row>
    <row r="256" spans="1:15" ht="1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56"/>
      <c r="L256" s="63"/>
      <c r="M256" s="14"/>
      <c r="N256" s="14"/>
      <c r="O256" s="14"/>
    </row>
    <row r="257" spans="1:15" s="12" customFormat="1" ht="1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56"/>
      <c r="L257" s="63"/>
      <c r="M257" s="38"/>
      <c r="N257" s="38"/>
      <c r="O257" s="38"/>
    </row>
    <row r="258" spans="1:15" ht="1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56"/>
      <c r="L258" s="63"/>
      <c r="M258" s="14"/>
      <c r="N258" s="14"/>
      <c r="O258" s="14"/>
    </row>
    <row r="259" spans="1:15" ht="1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33"/>
      <c r="L259" s="34"/>
      <c r="M259" s="14"/>
      <c r="N259" s="14"/>
      <c r="O259" s="14"/>
    </row>
    <row r="260" spans="1:15" ht="1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33"/>
      <c r="L260" s="34"/>
      <c r="M260" s="14"/>
      <c r="N260" s="14"/>
      <c r="O260" s="14"/>
    </row>
    <row r="261" spans="1:15" ht="1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33"/>
      <c r="L261" s="34"/>
      <c r="M261" s="14"/>
      <c r="N261" s="14"/>
      <c r="O261" s="14"/>
    </row>
    <row r="262" spans="1:15" ht="1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56"/>
      <c r="L262" s="33"/>
      <c r="M262" s="14"/>
      <c r="N262" s="14"/>
      <c r="O262" s="14"/>
    </row>
    <row r="263" spans="1:15" ht="1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56"/>
      <c r="L263" s="33"/>
      <c r="M263" s="14"/>
      <c r="N263" s="14"/>
      <c r="O263" s="14"/>
    </row>
    <row r="264" spans="1:15" ht="1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56"/>
      <c r="L264" s="64"/>
      <c r="M264" s="14"/>
      <c r="N264" s="14"/>
      <c r="O264" s="14"/>
    </row>
    <row r="265" spans="1:15" ht="1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56"/>
      <c r="L265" s="64"/>
      <c r="M265" s="14"/>
      <c r="N265" s="14"/>
      <c r="O265" s="14"/>
    </row>
    <row r="266" spans="1:15" ht="1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33"/>
      <c r="L266" s="34"/>
      <c r="M266" s="14"/>
      <c r="N266" s="14"/>
      <c r="O266" s="14"/>
    </row>
    <row r="267" spans="1:15" ht="1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56"/>
      <c r="L267" s="65"/>
      <c r="M267" s="14"/>
      <c r="N267" s="14"/>
      <c r="O267" s="14"/>
    </row>
    <row r="268" spans="1:19" ht="1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33"/>
      <c r="L268"/>
      <c r="M268"/>
      <c r="N268"/>
      <c r="O268"/>
      <c r="P268"/>
      <c r="Q268"/>
      <c r="R268"/>
      <c r="S268"/>
    </row>
    <row r="269" spans="1:19" ht="1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33"/>
      <c r="L269"/>
      <c r="M269"/>
      <c r="N269"/>
      <c r="O269"/>
      <c r="P269"/>
      <c r="Q269"/>
      <c r="R269"/>
      <c r="S269"/>
    </row>
    <row r="270" spans="1:19" ht="1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33"/>
      <c r="L270"/>
      <c r="M270"/>
      <c r="N270"/>
      <c r="O270"/>
      <c r="P270"/>
      <c r="Q270"/>
      <c r="R270"/>
      <c r="S270"/>
    </row>
    <row r="271" spans="1:19" ht="1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33"/>
      <c r="L271"/>
      <c r="M271"/>
      <c r="N271"/>
      <c r="O271"/>
      <c r="P271"/>
      <c r="Q271"/>
      <c r="R271"/>
      <c r="S271"/>
    </row>
    <row r="272" spans="1:19" ht="1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33"/>
      <c r="L272"/>
      <c r="M272"/>
      <c r="N272"/>
      <c r="O272"/>
      <c r="P272"/>
      <c r="Q272"/>
      <c r="R272"/>
      <c r="S272"/>
    </row>
    <row r="273" spans="1:19" ht="1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63"/>
      <c r="L273"/>
      <c r="M273"/>
      <c r="N273"/>
      <c r="O273"/>
      <c r="P273"/>
      <c r="Q273"/>
      <c r="R273"/>
      <c r="S273"/>
    </row>
    <row r="274" spans="1:19" ht="1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63"/>
      <c r="L274"/>
      <c r="M274"/>
      <c r="N274"/>
      <c r="O274"/>
      <c r="P274"/>
      <c r="Q274"/>
      <c r="R274"/>
      <c r="S274"/>
    </row>
    <row r="275" spans="1:15" ht="1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63"/>
      <c r="L275" s="33"/>
      <c r="M275" s="14"/>
      <c r="N275" s="14"/>
      <c r="O275" s="14"/>
    </row>
    <row r="276" spans="1:15" ht="1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63"/>
      <c r="L276" s="33"/>
      <c r="M276" s="14"/>
      <c r="N276" s="14"/>
      <c r="O276" s="14"/>
    </row>
    <row r="277" spans="1:15" ht="1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33"/>
      <c r="L277" s="34"/>
      <c r="M277" s="14"/>
      <c r="N277" s="14"/>
      <c r="O277" s="14"/>
    </row>
    <row r="278" spans="1:15" s="57" customFormat="1" ht="1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33"/>
      <c r="L278" s="34"/>
      <c r="M278" s="46"/>
      <c r="N278" s="46"/>
      <c r="O278" s="46"/>
    </row>
    <row r="279" spans="1:15" s="12" customFormat="1" ht="1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33"/>
      <c r="L279" s="34"/>
      <c r="M279" s="38"/>
      <c r="N279" s="38"/>
      <c r="O279" s="38"/>
    </row>
    <row r="280" spans="1:15" ht="1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33"/>
      <c r="L280" s="34"/>
      <c r="M280" s="14"/>
      <c r="N280" s="14"/>
      <c r="O280" s="14"/>
    </row>
    <row r="281" spans="1:15" ht="1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33"/>
      <c r="L281" s="34"/>
      <c r="M281" s="14"/>
      <c r="N281" s="14"/>
      <c r="O281" s="14"/>
    </row>
    <row r="282" spans="1:15" ht="1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33"/>
      <c r="L282" s="34"/>
      <c r="M282" s="14"/>
      <c r="N282" s="14"/>
      <c r="O282" s="14"/>
    </row>
    <row r="283" spans="1:15" ht="1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66"/>
      <c r="L283" s="67"/>
      <c r="M283" s="14"/>
      <c r="N283" s="14"/>
      <c r="O283" s="14"/>
    </row>
    <row r="284" spans="1:15" ht="1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66"/>
      <c r="L284" s="67"/>
      <c r="M284" s="14"/>
      <c r="N284" s="14"/>
      <c r="O284" s="14"/>
    </row>
    <row r="285" spans="1:15" ht="1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66"/>
      <c r="L285" s="67"/>
      <c r="M285" s="14"/>
      <c r="N285" s="14"/>
      <c r="O285" s="14"/>
    </row>
    <row r="286" spans="1:15" ht="1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66"/>
      <c r="L286" s="67"/>
      <c r="M286" s="14"/>
      <c r="N286" s="14"/>
      <c r="O286" s="14"/>
    </row>
    <row r="287" spans="1:15" ht="1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66"/>
      <c r="L287" s="67"/>
      <c r="M287" s="14"/>
      <c r="N287" s="14"/>
      <c r="O287" s="14"/>
    </row>
    <row r="288" spans="1:15" ht="1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66"/>
      <c r="L288" s="67"/>
      <c r="M288" s="14"/>
      <c r="N288" s="14"/>
      <c r="O288" s="14"/>
    </row>
    <row r="289" spans="1:15" ht="1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68"/>
      <c r="L289" s="69"/>
      <c r="M289" s="14"/>
      <c r="N289" s="14"/>
      <c r="O289" s="14"/>
    </row>
    <row r="290" spans="1:15" ht="1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68"/>
      <c r="L290" s="69"/>
      <c r="M290" s="14"/>
      <c r="N290" s="14"/>
      <c r="O290" s="14"/>
    </row>
    <row r="291" spans="1:15" ht="1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68"/>
      <c r="L291" s="69"/>
      <c r="M291" s="14"/>
      <c r="N291" s="14"/>
      <c r="O291" s="14"/>
    </row>
    <row r="292" spans="1:15" ht="1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68"/>
      <c r="L292" s="69"/>
      <c r="M292" s="14"/>
      <c r="N292" s="14"/>
      <c r="O292" s="14"/>
    </row>
    <row r="293" spans="1:15" ht="1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68"/>
      <c r="L293" s="69"/>
      <c r="M293" s="14"/>
      <c r="N293" s="14"/>
      <c r="O293" s="14"/>
    </row>
    <row r="294" spans="1:15" ht="1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68"/>
      <c r="L294" s="69"/>
      <c r="M294" s="14"/>
      <c r="N294" s="14"/>
      <c r="O294" s="14"/>
    </row>
    <row r="295" spans="1:15" ht="1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68"/>
      <c r="L295" s="69"/>
      <c r="M295" s="14"/>
      <c r="N295" s="14"/>
      <c r="O295" s="14"/>
    </row>
    <row r="296" spans="1:15" ht="1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68"/>
      <c r="L296" s="69"/>
      <c r="M296" s="14"/>
      <c r="N296" s="14"/>
      <c r="O296" s="14"/>
    </row>
    <row r="297" spans="1:15" ht="1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68"/>
      <c r="L297" s="69"/>
      <c r="M297" s="14"/>
      <c r="N297" s="14"/>
      <c r="O297" s="14"/>
    </row>
    <row r="298" spans="1:15" ht="1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68"/>
      <c r="L298" s="69"/>
      <c r="M298" s="14"/>
      <c r="N298" s="14"/>
      <c r="O298" s="14"/>
    </row>
    <row r="299" spans="1:15" ht="1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68"/>
      <c r="L299" s="69"/>
      <c r="M299" s="14"/>
      <c r="N299" s="14"/>
      <c r="O299" s="14"/>
    </row>
    <row r="300" spans="1:15" ht="1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68"/>
      <c r="L300" s="69"/>
      <c r="M300" s="14"/>
      <c r="N300" s="14"/>
      <c r="O300" s="14"/>
    </row>
    <row r="301" spans="1:15" ht="1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68"/>
      <c r="L301" s="69"/>
      <c r="M301" s="14"/>
      <c r="N301" s="14"/>
      <c r="O301" s="14"/>
    </row>
    <row r="302" spans="1:15" ht="1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68"/>
      <c r="L302" s="69"/>
      <c r="M302" s="14"/>
      <c r="N302" s="14"/>
      <c r="O302" s="14"/>
    </row>
    <row r="303" spans="1:15" s="12" customFormat="1" ht="1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68"/>
      <c r="L303" s="69"/>
      <c r="M303" s="38"/>
      <c r="N303" s="38"/>
      <c r="O303" s="38"/>
    </row>
    <row r="304" spans="1:15" s="12" customFormat="1" ht="1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68"/>
      <c r="L304" s="69"/>
      <c r="M304" s="38"/>
      <c r="N304" s="38"/>
      <c r="O304" s="38"/>
    </row>
    <row r="305" spans="1:15" ht="1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68"/>
      <c r="L305" s="69"/>
      <c r="M305" s="14"/>
      <c r="N305" s="14"/>
      <c r="O305" s="14"/>
    </row>
    <row r="306" spans="1:15" ht="1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68"/>
      <c r="L306" s="69"/>
      <c r="M306" s="14"/>
      <c r="N306" s="14"/>
      <c r="O306" s="14"/>
    </row>
    <row r="307" spans="1:15" ht="1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68"/>
      <c r="L307" s="69"/>
      <c r="M307" s="14"/>
      <c r="N307" s="14"/>
      <c r="O307" s="14"/>
    </row>
    <row r="308" spans="1:15" ht="1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56"/>
      <c r="L308" s="12"/>
      <c r="M308" s="14"/>
      <c r="N308" s="14"/>
      <c r="O308" s="14"/>
    </row>
    <row r="309" spans="1:15" ht="1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56"/>
      <c r="L309" s="12"/>
      <c r="M309" s="14"/>
      <c r="N309" s="14"/>
      <c r="O309" s="14"/>
    </row>
    <row r="310" spans="1:15" ht="1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56"/>
      <c r="L310" s="12"/>
      <c r="M310" s="14"/>
      <c r="N310" s="14"/>
      <c r="O310" s="14"/>
    </row>
    <row r="311" spans="1:15" ht="1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68"/>
      <c r="L311" s="24"/>
      <c r="M311" s="14"/>
      <c r="N311" s="14"/>
      <c r="O311" s="14"/>
    </row>
    <row r="312" spans="1:15" ht="1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68"/>
      <c r="L312" s="24"/>
      <c r="M312" s="14"/>
      <c r="N312" s="14"/>
      <c r="O312" s="14"/>
    </row>
    <row r="313" spans="1:15" ht="1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68"/>
      <c r="L313" s="24"/>
      <c r="M313" s="14"/>
      <c r="N313" s="14"/>
      <c r="O313" s="14"/>
    </row>
    <row r="314" spans="1:15" ht="1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68"/>
      <c r="L314" s="24"/>
      <c r="M314" s="14"/>
      <c r="N314" s="14"/>
      <c r="O314" s="14"/>
    </row>
    <row r="315" spans="1:15" ht="1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33"/>
      <c r="L315" s="34"/>
      <c r="M315" s="14"/>
      <c r="N315" s="14"/>
      <c r="O315" s="14"/>
    </row>
    <row r="316" spans="1:15" ht="1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33"/>
      <c r="L316" s="34"/>
      <c r="M316" s="14"/>
      <c r="N316" s="14"/>
      <c r="O316" s="14"/>
    </row>
    <row r="317" spans="1:15" ht="1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34"/>
      <c r="L317" s="34"/>
      <c r="M317" s="38"/>
      <c r="N317" s="38"/>
      <c r="O317" s="38"/>
    </row>
    <row r="318" spans="1:15" ht="1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33"/>
      <c r="L318" s="34"/>
      <c r="M318" s="14"/>
      <c r="N318" s="14"/>
      <c r="O318" s="14"/>
    </row>
    <row r="319" spans="1:15" ht="1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33"/>
      <c r="L319" s="34"/>
      <c r="M319" s="14"/>
      <c r="N319" s="14"/>
      <c r="O319" s="14"/>
    </row>
    <row r="320" spans="1:15" ht="1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33"/>
      <c r="L320" s="34"/>
      <c r="M320" s="14"/>
      <c r="N320" s="14"/>
      <c r="O320" s="14"/>
    </row>
    <row r="321" spans="1:15" ht="1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66"/>
      <c r="L321" s="67"/>
      <c r="M321" s="14"/>
      <c r="N321" s="14"/>
      <c r="O321" s="14"/>
    </row>
    <row r="322" spans="1:15" ht="1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68"/>
      <c r="L322" s="69"/>
      <c r="M322" s="14"/>
      <c r="N322" s="14"/>
      <c r="O322" s="14"/>
    </row>
    <row r="323" spans="1:15" ht="1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68"/>
      <c r="L323" s="69"/>
      <c r="M323" s="14"/>
      <c r="N323" s="14"/>
      <c r="O323" s="14"/>
    </row>
    <row r="324" spans="1:15" ht="1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68"/>
      <c r="L324" s="69"/>
      <c r="M324" s="14"/>
      <c r="N324" s="14"/>
      <c r="O324" s="14"/>
    </row>
    <row r="325" spans="1:15" ht="1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68"/>
      <c r="L325" s="69"/>
      <c r="M325" s="14"/>
      <c r="N325" s="14"/>
      <c r="O325" s="14"/>
    </row>
    <row r="326" spans="1:15" ht="1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68"/>
      <c r="L326" s="69"/>
      <c r="M326" s="14"/>
      <c r="N326" s="14"/>
      <c r="O326" s="14"/>
    </row>
    <row r="327" spans="1:15" ht="1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68"/>
      <c r="L327" s="69"/>
      <c r="M327" s="14"/>
      <c r="N327" s="14"/>
      <c r="O327" s="14"/>
    </row>
    <row r="328" spans="1:15" ht="1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68"/>
      <c r="L328" s="69"/>
      <c r="M328" s="14"/>
      <c r="N328" s="14"/>
      <c r="O328" s="14"/>
    </row>
    <row r="329" spans="1:15" ht="1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68"/>
      <c r="L329" s="69"/>
      <c r="M329" s="14"/>
      <c r="N329" s="14"/>
      <c r="O329" s="14"/>
    </row>
    <row r="330" spans="1:15" ht="1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68"/>
      <c r="L330" s="69"/>
      <c r="M330" s="14"/>
      <c r="N330" s="14"/>
      <c r="O330" s="14"/>
    </row>
    <row r="331" spans="1:15" ht="1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68"/>
      <c r="L331" s="69"/>
      <c r="M331" s="14"/>
      <c r="N331" s="14"/>
      <c r="O331" s="14"/>
    </row>
    <row r="332" spans="1:15" ht="1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68"/>
      <c r="L332" s="69"/>
      <c r="M332" s="14"/>
      <c r="N332" s="14"/>
      <c r="O332" s="14"/>
    </row>
    <row r="333" spans="1:15" ht="1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66"/>
      <c r="L333" s="67"/>
      <c r="M333" s="14"/>
      <c r="N333" s="14"/>
      <c r="O333" s="14"/>
    </row>
    <row r="334" spans="1:15" ht="1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70"/>
      <c r="L334" s="45"/>
      <c r="M334" s="14"/>
      <c r="N334" s="14"/>
      <c r="O334" s="14"/>
    </row>
    <row r="335" spans="1:15" ht="1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70"/>
      <c r="L335" s="45"/>
      <c r="M335" s="14"/>
      <c r="N335" s="14"/>
      <c r="O335" s="14"/>
    </row>
    <row r="336" spans="1:15" ht="1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70"/>
      <c r="L336" s="45"/>
      <c r="M336" s="14"/>
      <c r="N336" s="14"/>
      <c r="O336" s="14"/>
    </row>
    <row r="337" spans="1:15" ht="1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71"/>
      <c r="L337" s="38"/>
      <c r="M337" s="14"/>
      <c r="N337" s="14"/>
      <c r="O337" s="14"/>
    </row>
    <row r="338" spans="1:15" ht="1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66"/>
      <c r="L338" s="72"/>
      <c r="M338" s="14"/>
      <c r="N338" s="14"/>
      <c r="O338" s="14"/>
    </row>
    <row r="339" spans="1:15" ht="1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66"/>
      <c r="L339" s="67"/>
      <c r="M339" s="14"/>
      <c r="N339" s="14"/>
      <c r="O339" s="14"/>
    </row>
    <row r="340" spans="1:15" ht="1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70"/>
      <c r="L340" s="45"/>
      <c r="M340" s="14"/>
      <c r="N340" s="14"/>
      <c r="O340" s="14"/>
    </row>
    <row r="341" spans="1:15" ht="1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70"/>
      <c r="L341" s="45"/>
      <c r="M341" s="14"/>
      <c r="N341" s="14"/>
      <c r="O341" s="14"/>
    </row>
    <row r="342" spans="1:15" ht="1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71"/>
      <c r="L342" s="38"/>
      <c r="M342" s="14"/>
      <c r="N342" s="14"/>
      <c r="O342" s="14"/>
    </row>
    <row r="343" spans="1:15" ht="1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71"/>
      <c r="L343" s="38"/>
      <c r="M343" s="14"/>
      <c r="N343" s="14"/>
      <c r="O343" s="14"/>
    </row>
    <row r="344" spans="1:15" ht="1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71"/>
      <c r="L344" s="38"/>
      <c r="M344" s="14"/>
      <c r="N344" s="14"/>
      <c r="O344" s="14"/>
    </row>
    <row r="345" spans="1:15" ht="1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71"/>
      <c r="L345" s="38"/>
      <c r="M345" s="14"/>
      <c r="N345" s="14"/>
      <c r="O345" s="14"/>
    </row>
    <row r="346" spans="1:15" ht="1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71"/>
      <c r="L346" s="38"/>
      <c r="M346" s="14"/>
      <c r="N346" s="14"/>
      <c r="O346" s="14"/>
    </row>
    <row r="347" spans="1:15" ht="1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68"/>
      <c r="L347" s="69"/>
      <c r="M347" s="14"/>
      <c r="N347" s="14"/>
      <c r="O347" s="14"/>
    </row>
    <row r="348" spans="1:15" ht="1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33"/>
      <c r="L348" s="34"/>
      <c r="M348" s="14"/>
      <c r="N348" s="14"/>
      <c r="O348" s="14"/>
    </row>
    <row r="349" spans="1:15" ht="1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33"/>
      <c r="L349" s="34"/>
      <c r="M349" s="14"/>
      <c r="N349" s="14"/>
      <c r="O349" s="14"/>
    </row>
    <row r="350" spans="1:12" ht="1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71"/>
      <c r="L350" s="73"/>
    </row>
    <row r="351" spans="1:12" ht="1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56"/>
      <c r="L351" s="12"/>
    </row>
    <row r="352" spans="1:12" ht="1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56"/>
      <c r="L352" s="12"/>
    </row>
    <row r="353" spans="1:12" ht="1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56"/>
      <c r="L353" s="12"/>
    </row>
    <row r="354" spans="1:12" ht="1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56"/>
      <c r="L354" s="12"/>
    </row>
    <row r="355" spans="1:12" ht="1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56"/>
      <c r="L355" s="12"/>
    </row>
    <row r="356" spans="1:15" ht="1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56"/>
      <c r="L356" s="12"/>
      <c r="M356" s="14"/>
      <c r="N356" s="14"/>
      <c r="O356" s="14"/>
    </row>
    <row r="357" spans="1:15" ht="1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56"/>
      <c r="L357" s="12"/>
      <c r="M357" s="14"/>
      <c r="N357" s="14"/>
      <c r="O357" s="14"/>
    </row>
    <row r="358" spans="1:15" ht="1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56"/>
      <c r="L358" s="12"/>
      <c r="M358" s="14"/>
      <c r="N358" s="14"/>
      <c r="O358" s="14"/>
    </row>
    <row r="359" spans="1:15" ht="1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56"/>
      <c r="L359" s="12"/>
      <c r="M359" s="14"/>
      <c r="N359" s="14"/>
      <c r="O359" s="14"/>
    </row>
    <row r="360" spans="1:15" ht="1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56"/>
      <c r="L360" s="12"/>
      <c r="M360" s="14"/>
      <c r="N360" s="14"/>
      <c r="O360" s="14"/>
    </row>
    <row r="361" spans="1:15" ht="1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56"/>
      <c r="L361" s="12"/>
      <c r="M361" s="14"/>
      <c r="N361" s="14"/>
      <c r="O361" s="14"/>
    </row>
    <row r="362" spans="1:15" ht="1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56"/>
      <c r="L362" s="12"/>
      <c r="M362" s="14"/>
      <c r="N362" s="14"/>
      <c r="O362" s="14"/>
    </row>
    <row r="363" spans="1:15" ht="1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56"/>
      <c r="L363" s="12"/>
      <c r="M363" s="14"/>
      <c r="N363" s="14"/>
      <c r="O363" s="14"/>
    </row>
    <row r="364" spans="1:15" ht="1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56"/>
      <c r="L364" s="12"/>
      <c r="M364" s="14"/>
      <c r="N364" s="14"/>
      <c r="O364" s="14"/>
    </row>
    <row r="365" spans="1:15" ht="1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56"/>
      <c r="L365" s="12"/>
      <c r="M365" s="14"/>
      <c r="N365" s="14"/>
      <c r="O365" s="14"/>
    </row>
    <row r="366" spans="1:15" ht="1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56"/>
      <c r="L366" s="12"/>
      <c r="M366" s="14"/>
      <c r="N366" s="14"/>
      <c r="O366" s="14"/>
    </row>
    <row r="367" spans="1:15" ht="1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56"/>
      <c r="L367" s="12"/>
      <c r="M367" s="14"/>
      <c r="N367" s="14"/>
      <c r="O367" s="14"/>
    </row>
    <row r="368" spans="1:15" ht="1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56"/>
      <c r="L368" s="12"/>
      <c r="M368" s="14"/>
      <c r="N368" s="14"/>
      <c r="O368" s="14"/>
    </row>
    <row r="369" spans="1:15" ht="1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56"/>
      <c r="L369" s="12"/>
      <c r="M369" s="14"/>
      <c r="N369" s="14"/>
      <c r="O369" s="14"/>
    </row>
    <row r="370" spans="1:15" ht="1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56"/>
      <c r="L370" s="12"/>
      <c r="M370" s="14"/>
      <c r="N370" s="14"/>
      <c r="O370" s="14"/>
    </row>
    <row r="371" spans="1:15" ht="1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56"/>
      <c r="L371" s="12"/>
      <c r="M371" s="14"/>
      <c r="N371" s="14"/>
      <c r="O371" s="14"/>
    </row>
    <row r="372" spans="1:15" ht="1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56"/>
      <c r="L372" s="12"/>
      <c r="M372" s="14"/>
      <c r="N372" s="14"/>
      <c r="O372" s="14"/>
    </row>
    <row r="373" spans="1:15" ht="1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56"/>
      <c r="L373" s="12"/>
      <c r="M373" s="14"/>
      <c r="N373" s="14"/>
      <c r="O373" s="14"/>
    </row>
    <row r="374" spans="1:15" ht="1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56"/>
      <c r="L374" s="12"/>
      <c r="M374" s="14"/>
      <c r="N374" s="14"/>
      <c r="O374" s="14"/>
    </row>
    <row r="375" spans="1:15" ht="1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56"/>
      <c r="L375" s="12"/>
      <c r="M375" s="14"/>
      <c r="N375" s="14"/>
      <c r="O375" s="14"/>
    </row>
    <row r="376" spans="1:15" ht="1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56"/>
      <c r="L376" s="12"/>
      <c r="M376" s="14"/>
      <c r="N376" s="14"/>
      <c r="O376" s="14"/>
    </row>
    <row r="377" spans="1:15" ht="1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56"/>
      <c r="L377" s="12"/>
      <c r="M377" s="14"/>
      <c r="N377" s="14"/>
      <c r="O377" s="14"/>
    </row>
    <row r="378" spans="1:15" ht="1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56"/>
      <c r="L378" s="12"/>
      <c r="M378" s="14"/>
      <c r="N378" s="14"/>
      <c r="O378" s="14"/>
    </row>
    <row r="379" spans="1:15" ht="1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56"/>
      <c r="L379" s="12"/>
      <c r="M379" s="14"/>
      <c r="N379" s="14"/>
      <c r="O379" s="14"/>
    </row>
    <row r="380" spans="1:15" ht="1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56"/>
      <c r="L380" s="12"/>
      <c r="M380" s="14"/>
      <c r="N380" s="14"/>
      <c r="O380" s="14"/>
    </row>
    <row r="381" spans="1:15" ht="1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56"/>
      <c r="L381" s="12"/>
      <c r="M381" s="14"/>
      <c r="N381" s="14"/>
      <c r="O381" s="14"/>
    </row>
    <row r="382" spans="1:15" ht="1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56"/>
      <c r="L382" s="12"/>
      <c r="M382" s="14"/>
      <c r="N382" s="14"/>
      <c r="O382" s="14"/>
    </row>
    <row r="383" spans="1:15" ht="1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56"/>
      <c r="L383" s="12"/>
      <c r="M383" s="14"/>
      <c r="N383" s="14"/>
      <c r="O383" s="14"/>
    </row>
    <row r="384" spans="1:15" ht="1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56"/>
      <c r="L384" s="12"/>
      <c r="M384" s="14"/>
      <c r="N384" s="14"/>
      <c r="O384" s="14"/>
    </row>
    <row r="385" spans="1:15" ht="1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56"/>
      <c r="L385" s="12"/>
      <c r="M385" s="14"/>
      <c r="N385" s="14"/>
      <c r="O385" s="14"/>
    </row>
    <row r="386" spans="1:15" ht="1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56"/>
      <c r="L386" s="12"/>
      <c r="M386" s="14"/>
      <c r="N386" s="14"/>
      <c r="O386" s="14"/>
    </row>
    <row r="387" spans="1:15" ht="1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56"/>
      <c r="L387" s="12"/>
      <c r="M387" s="14"/>
      <c r="N387" s="14"/>
      <c r="O387" s="14"/>
    </row>
    <row r="388" spans="1:15" ht="1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56"/>
      <c r="L388" s="12"/>
      <c r="M388" s="14"/>
      <c r="N388" s="14"/>
      <c r="O388" s="14"/>
    </row>
    <row r="389" spans="1:15" ht="1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56"/>
      <c r="L389" s="12"/>
      <c r="M389" s="14"/>
      <c r="N389" s="14"/>
      <c r="O389" s="14"/>
    </row>
    <row r="390" spans="1:15" ht="1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56"/>
      <c r="L390" s="12"/>
      <c r="M390" s="14"/>
      <c r="N390" s="14"/>
      <c r="O390" s="14"/>
    </row>
    <row r="391" spans="1:15" ht="1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56"/>
      <c r="L391" s="12"/>
      <c r="M391" s="14"/>
      <c r="N391" s="14"/>
      <c r="O391" s="14"/>
    </row>
    <row r="392" spans="1:15" ht="1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56"/>
      <c r="L392" s="12"/>
      <c r="M392" s="14"/>
      <c r="N392" s="14"/>
      <c r="O392" s="14"/>
    </row>
    <row r="393" spans="1:15" ht="1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56"/>
      <c r="L393" s="12"/>
      <c r="M393" s="14"/>
      <c r="N393" s="14"/>
      <c r="O393" s="14"/>
    </row>
    <row r="394" spans="1:15" ht="1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56"/>
      <c r="L394" s="12"/>
      <c r="M394" s="14"/>
      <c r="N394" s="14"/>
      <c r="O394" s="14"/>
    </row>
    <row r="395" spans="1:15" ht="1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56"/>
      <c r="L395" s="12"/>
      <c r="M395" s="14"/>
      <c r="N395" s="14"/>
      <c r="O395" s="14"/>
    </row>
    <row r="396" spans="1:15" ht="1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56"/>
      <c r="L396" s="12"/>
      <c r="M396" s="14"/>
      <c r="N396" s="14"/>
      <c r="O396" s="14"/>
    </row>
    <row r="397" spans="1:15" ht="1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56"/>
      <c r="L397" s="12"/>
      <c r="M397" s="14"/>
      <c r="N397" s="14"/>
      <c r="O397" s="14"/>
    </row>
    <row r="398" spans="1:15" ht="1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56"/>
      <c r="L398" s="12"/>
      <c r="M398" s="14"/>
      <c r="N398" s="14"/>
      <c r="O398" s="14"/>
    </row>
    <row r="399" spans="1:15" ht="1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56"/>
      <c r="L399" s="12"/>
      <c r="M399" s="14"/>
      <c r="N399" s="14"/>
      <c r="O399" s="14"/>
    </row>
    <row r="400" spans="1:15" ht="1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56"/>
      <c r="L400" s="12"/>
      <c r="M400" s="14"/>
      <c r="N400" s="14"/>
      <c r="O400" s="14"/>
    </row>
    <row r="401" spans="1:15" ht="1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56"/>
      <c r="L401" s="12"/>
      <c r="M401" s="14"/>
      <c r="N401" s="14"/>
      <c r="O401" s="14"/>
    </row>
    <row r="402" spans="1:15" ht="1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56"/>
      <c r="L402" s="12"/>
      <c r="M402" s="14"/>
      <c r="N402" s="14"/>
      <c r="O402" s="14"/>
    </row>
    <row r="403" spans="1:15" ht="1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56"/>
      <c r="L403" s="12"/>
      <c r="M403" s="14"/>
      <c r="N403" s="14"/>
      <c r="O403" s="14"/>
    </row>
    <row r="404" spans="1:15" ht="1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56"/>
      <c r="L404" s="12"/>
      <c r="M404" s="14"/>
      <c r="N404" s="14"/>
      <c r="O404" s="14"/>
    </row>
    <row r="405" spans="1:15" ht="1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56"/>
      <c r="L405" s="12"/>
      <c r="M405" s="14"/>
      <c r="N405" s="14"/>
      <c r="O405" s="14"/>
    </row>
    <row r="406" spans="1:15" ht="1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56"/>
      <c r="L406" s="12"/>
      <c r="M406" s="14"/>
      <c r="N406" s="14"/>
      <c r="O406" s="14"/>
    </row>
    <row r="407" spans="1:15" ht="1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56"/>
      <c r="L407" s="12"/>
      <c r="M407" s="14"/>
      <c r="N407" s="14"/>
      <c r="O407" s="14"/>
    </row>
    <row r="408" spans="1:15" ht="1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56"/>
      <c r="L408" s="12"/>
      <c r="M408" s="14"/>
      <c r="N408" s="14"/>
      <c r="O408" s="14"/>
    </row>
    <row r="409" spans="1:15" ht="1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56"/>
      <c r="L409" s="12"/>
      <c r="M409" s="14"/>
      <c r="N409" s="14"/>
      <c r="O409" s="14"/>
    </row>
    <row r="410" spans="1:15" ht="1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56"/>
      <c r="L410" s="12"/>
      <c r="M410" s="14"/>
      <c r="N410" s="14"/>
      <c r="O410" s="14"/>
    </row>
    <row r="411" spans="1:15" ht="1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16"/>
      <c r="L411" s="17"/>
      <c r="M411" s="14"/>
      <c r="N411" s="14"/>
      <c r="O411" s="14"/>
    </row>
    <row r="412" spans="1:15" ht="1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M412" s="14"/>
      <c r="N412" s="14"/>
      <c r="O412" s="14"/>
    </row>
    <row r="413" spans="1:10" ht="1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10" ht="1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</row>
    <row r="415" spans="1:10" ht="1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</row>
    <row r="416" spans="1:10" ht="1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</row>
    <row r="417" spans="1:10" ht="1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</row>
    <row r="418" spans="1:10" ht="1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</row>
    <row r="419" spans="1:10" ht="1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</row>
    <row r="420" spans="1:10" ht="1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</row>
    <row r="421" spans="1:10" ht="1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</row>
    <row r="422" spans="1:10" ht="1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</row>
    <row r="423" spans="1:10" ht="1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0" ht="1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</row>
    <row r="425" spans="1:10" ht="1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</row>
    <row r="426" spans="1:15" s="57" customFormat="1" ht="1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74"/>
      <c r="L426" s="1"/>
      <c r="M426" s="1"/>
      <c r="N426" s="1"/>
      <c r="O426" s="1"/>
    </row>
    <row r="427" spans="1:15" s="57" customFormat="1" ht="1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74"/>
      <c r="L427" s="1"/>
      <c r="M427" s="1"/>
      <c r="N427" s="1"/>
      <c r="O427" s="1"/>
    </row>
    <row r="428" spans="1:15" s="57" customFormat="1" ht="1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74"/>
      <c r="L428" s="1"/>
      <c r="M428" s="1"/>
      <c r="N428" s="1"/>
      <c r="O428" s="1"/>
    </row>
    <row r="429" spans="1:10" s="57" customFormat="1" ht="1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</row>
    <row r="430" spans="1:11" s="57" customFormat="1" ht="1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75"/>
    </row>
    <row r="431" spans="1:11" s="57" customFormat="1" ht="1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75"/>
    </row>
    <row r="432" spans="1:11" s="57" customFormat="1" ht="1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75"/>
    </row>
    <row r="433" spans="1:11" s="57" customFormat="1" ht="1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75"/>
    </row>
    <row r="434" spans="1:11" s="57" customFormat="1" ht="1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75"/>
    </row>
    <row r="435" spans="1:11" s="57" customFormat="1" ht="1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75"/>
    </row>
    <row r="436" spans="1:11" s="57" customFormat="1" ht="1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75"/>
    </row>
    <row r="437" spans="1:11" s="57" customFormat="1" ht="1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75"/>
    </row>
    <row r="438" spans="1:11" s="57" customFormat="1" ht="1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75"/>
    </row>
    <row r="439" spans="1:11" s="57" customFormat="1" ht="1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75"/>
    </row>
    <row r="440" spans="1:11" s="57" customFormat="1" ht="1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75"/>
    </row>
    <row r="441" spans="1:11" s="57" customFormat="1" ht="1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75"/>
    </row>
    <row r="442" spans="1:11" s="57" customFormat="1" ht="1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75"/>
    </row>
    <row r="443" spans="1:11" s="57" customFormat="1" ht="1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75"/>
    </row>
    <row r="444" spans="1:11" s="57" customFormat="1" ht="1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75"/>
    </row>
    <row r="445" spans="1:11" s="57" customFormat="1" ht="1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75"/>
    </row>
    <row r="446" spans="1:11" s="57" customFormat="1" ht="1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75"/>
    </row>
    <row r="447" spans="1:11" s="57" customFormat="1" ht="1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75"/>
    </row>
    <row r="448" spans="1:11" s="57" customFormat="1" ht="1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75"/>
    </row>
    <row r="449" spans="1:11" s="57" customFormat="1" ht="21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75"/>
    </row>
    <row r="450" spans="1:11" s="57" customFormat="1" ht="1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75"/>
    </row>
    <row r="451" spans="1:11" s="57" customFormat="1" ht="1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75"/>
    </row>
    <row r="452" spans="1:11" s="57" customFormat="1" ht="1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75"/>
    </row>
    <row r="453" spans="1:11" s="57" customFormat="1" ht="1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75"/>
    </row>
    <row r="454" spans="1:11" s="57" customFormat="1" ht="1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75"/>
    </row>
    <row r="455" spans="1:11" s="57" customFormat="1" ht="1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75"/>
    </row>
    <row r="456" spans="1:11" s="57" customFormat="1" ht="1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75"/>
    </row>
    <row r="457" spans="1:15" ht="1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75"/>
      <c r="L457" s="57"/>
      <c r="M457" s="57"/>
      <c r="N457" s="57"/>
      <c r="O457" s="57"/>
    </row>
    <row r="458" spans="1:15" ht="1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75"/>
      <c r="L458" s="57"/>
      <c r="M458" s="57"/>
      <c r="N458" s="57"/>
      <c r="O458" s="57"/>
    </row>
    <row r="459" spans="1:15" ht="1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75"/>
      <c r="L459" s="57"/>
      <c r="M459" s="57"/>
      <c r="N459" s="57"/>
      <c r="O459" s="57"/>
    </row>
    <row r="460" spans="1:10" ht="1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</row>
    <row r="461" spans="1:10" ht="1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</row>
    <row r="462" spans="1:10" ht="1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</row>
    <row r="463" spans="1:10" ht="1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</row>
    <row r="464" spans="1:10" ht="1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</row>
    <row r="465" spans="1:10" ht="1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</row>
    <row r="466" spans="1:10" ht="1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</row>
    <row r="467" spans="1:10" ht="1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</row>
    <row r="468" spans="1:10" ht="1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</row>
    <row r="469" spans="1:10" ht="1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</row>
    <row r="470" spans="1:10" ht="1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</row>
    <row r="471" spans="1:10" ht="1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</row>
    <row r="472" spans="1:10" ht="1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</row>
    <row r="473" spans="1:10" ht="1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</row>
    <row r="474" spans="1:10" ht="1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</row>
    <row r="475" spans="1:10" ht="1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</row>
    <row r="476" spans="1:10" ht="1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</row>
    <row r="477" spans="1:10" ht="1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</row>
    <row r="478" spans="1:10" ht="1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</row>
    <row r="479" spans="1:10" ht="1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</row>
    <row r="480" spans="1:10" ht="1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</row>
    <row r="481" spans="1:10" ht="1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</row>
    <row r="482" spans="1:10" ht="1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</row>
    <row r="483" spans="1:10" ht="1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</row>
    <row r="484" spans="1:10" ht="1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</row>
    <row r="485" spans="1:10" ht="1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</row>
    <row r="486" spans="1:10" ht="1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</row>
    <row r="487" spans="1:10" ht="1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</row>
    <row r="488" spans="1:10" ht="1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</row>
    <row r="489" spans="1:10" ht="1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</row>
    <row r="490" spans="1:10" ht="1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</row>
    <row r="491" spans="1:10" ht="1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</row>
    <row r="492" spans="1:10" ht="1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</row>
    <row r="493" spans="1:10" ht="1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</row>
    <row r="494" spans="1:10" ht="1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</row>
    <row r="495" spans="1:10" ht="1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</row>
    <row r="496" spans="1:10" ht="1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</row>
    <row r="497" spans="1:10" ht="1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</row>
    <row r="498" spans="1:10" ht="1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</row>
    <row r="499" spans="1:10" ht="1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</row>
    <row r="500" spans="1:10" ht="1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</row>
    <row r="501" spans="1:10" ht="1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</row>
    <row r="502" spans="1:10" ht="1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</row>
    <row r="503" spans="1:10" ht="1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</row>
    <row r="504" spans="1:10" ht="1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</row>
    <row r="505" spans="1:10" ht="1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</row>
    <row r="506" spans="1:10" ht="1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</row>
    <row r="507" spans="1:10" ht="1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</row>
    <row r="508" spans="1:10" ht="1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</row>
    <row r="509" spans="1:10" ht="1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</row>
    <row r="510" spans="1:10" ht="1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</row>
    <row r="511" spans="1:10" ht="1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</row>
    <row r="512" spans="1:10" ht="1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</row>
    <row r="513" spans="1:10" ht="1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</row>
    <row r="514" spans="1:10" ht="1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</row>
    <row r="515" spans="1:10" ht="1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</row>
    <row r="516" spans="1:10" ht="1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</row>
    <row r="517" spans="1:10" ht="1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</row>
    <row r="518" spans="1:10" ht="1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</row>
    <row r="519" spans="1:10" ht="1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</row>
    <row r="520" spans="1:10" ht="1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</row>
    <row r="521" spans="1:10" ht="1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</row>
    <row r="522" spans="1:10" ht="1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</row>
    <row r="523" spans="1:10" ht="1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</row>
    <row r="524" spans="1:10" ht="1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</row>
    <row r="525" spans="1:10" ht="1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</row>
    <row r="526" spans="1:10" ht="1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</row>
    <row r="527" spans="1:10" ht="1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</row>
    <row r="528" spans="1:10" ht="1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</row>
    <row r="529" spans="1:10" ht="1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</row>
    <row r="530" spans="1:10" ht="1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</row>
    <row r="531" spans="1:10" ht="1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</row>
    <row r="532" spans="1:10" ht="1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</row>
    <row r="533" spans="1:10" ht="1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</row>
    <row r="534" spans="1:10" ht="1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</row>
    <row r="535" spans="1:10" ht="1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</row>
    <row r="536" spans="1:10" ht="1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</row>
    <row r="537" spans="1:10" ht="1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</row>
    <row r="538" spans="1:10" ht="1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</row>
    <row r="539" spans="1:10" ht="1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</row>
    <row r="540" spans="1:10" ht="1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</row>
    <row r="541" spans="1:10" ht="1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</row>
    <row r="542" spans="1:10" ht="1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</row>
    <row r="543" spans="1:10" ht="1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</row>
    <row r="544" spans="1:10" ht="1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</row>
    <row r="545" spans="1:10" ht="1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</row>
    <row r="546" spans="1:10" ht="1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</row>
    <row r="547" spans="1:10" ht="1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</row>
    <row r="548" spans="1:10" ht="1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</row>
    <row r="549" spans="1:10" ht="1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</row>
    <row r="550" spans="1:10" ht="1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</row>
    <row r="551" spans="1:10" ht="1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</row>
    <row r="552" spans="1:10" ht="1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</row>
    <row r="553" spans="1:10" ht="1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</row>
    <row r="554" spans="1:10" ht="1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</row>
    <row r="555" spans="1:10" ht="1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</row>
    <row r="556" spans="1:10" ht="1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</row>
    <row r="557" spans="1:10" ht="1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</row>
    <row r="558" spans="1:10" ht="1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</row>
    <row r="559" spans="1:10" ht="1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</row>
    <row r="560" spans="1:10" ht="1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</row>
    <row r="561" spans="1:10" ht="1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</row>
    <row r="562" spans="1:10" ht="1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</row>
    <row r="563" spans="1:10" ht="1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</row>
    <row r="564" spans="1:10" ht="1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</row>
    <row r="565" spans="1:10" ht="1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</row>
  </sheetData>
  <mergeCells count="14">
    <mergeCell ref="C84:F84"/>
    <mergeCell ref="A10:J10"/>
    <mergeCell ref="L12:L14"/>
    <mergeCell ref="M12:M14"/>
    <mergeCell ref="A1:J1"/>
    <mergeCell ref="A12:B14"/>
    <mergeCell ref="H12:H14"/>
    <mergeCell ref="I12:I14"/>
    <mergeCell ref="G12:G14"/>
    <mergeCell ref="A3:J3"/>
    <mergeCell ref="A2:J2"/>
    <mergeCell ref="E5:G5"/>
    <mergeCell ref="E6:G6"/>
    <mergeCell ref="E7:G7"/>
  </mergeCells>
  <dataValidations count="2">
    <dataValidation type="list" allowBlank="1" showInputMessage="1" showErrorMessage="1" sqref="E17 E71 E69 E65 E47">
      <formula1>PTD</formula1>
    </dataValidation>
    <dataValidation type="list" allowBlank="1" showInputMessage="1" showErrorMessage="1" sqref="E18 E148:E149 E128 E120:E122 E96 E92 E72:E73 E70 E66">
      <formula1>DIST</formula1>
    </dataValidation>
  </dataValidations>
  <printOptions horizontalCentered="1"/>
  <pageMargins left="0.2" right="0.28" top="0.3" bottom="0.3" header="0.25" footer="0.25"/>
  <pageSetup fitToHeight="5" horizontalDpi="600" verticalDpi="600" orientation="landscape" scale="80" r:id="rId1"/>
  <headerFooter alignWithMargins="0">
    <oddFooter>&amp;LPage &amp;P of &amp;N&amp;R&amp;D</oddFooter>
  </headerFooter>
  <rowBreaks count="4" manualBreakCount="4">
    <brk id="53" max="9" man="1"/>
    <brk id="81" max="9" man="1"/>
    <brk id="117" max="9" man="1"/>
    <brk id="136" max="9" man="1"/>
  </rowBreaks>
  <ignoredErrors>
    <ignoredError sqref="G50 H50:J50" emptyCellReferenc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G88"/>
  <sheetViews>
    <sheetView view="pageBreakPreview" zoomScaleSheetLayoutView="100" workbookViewId="0" topLeftCell="A1">
      <selection activeCell="B8" sqref="B8"/>
    </sheetView>
  </sheetViews>
  <sheetFormatPr defaultColWidth="9.00390625" defaultRowHeight="15.75"/>
  <cols>
    <col min="1" max="1" width="13.00390625" style="113" bestFit="1" customWidth="1"/>
    <col min="2" max="2" width="54.625" style="107" customWidth="1"/>
    <col min="3" max="3" width="12.00390625" style="107" customWidth="1"/>
    <col min="4" max="5" width="13.25390625" style="108" bestFit="1" customWidth="1"/>
    <col min="6" max="6" width="12.125" style="108" bestFit="1" customWidth="1"/>
    <col min="7" max="7" width="13.625" style="108" customWidth="1"/>
    <col min="8" max="8" width="8.125" style="107" bestFit="1" customWidth="1"/>
    <col min="9" max="16384" width="8.00390625" style="107" customWidth="1"/>
  </cols>
  <sheetData>
    <row r="1" spans="1:7" ht="19.5" thickTop="1">
      <c r="A1" s="159" t="s">
        <v>89</v>
      </c>
      <c r="B1" s="160"/>
      <c r="C1" s="161"/>
      <c r="D1" s="162"/>
      <c r="E1" s="161"/>
      <c r="F1" s="178"/>
      <c r="G1" s="179"/>
    </row>
    <row r="2" spans="1:7" ht="15.75">
      <c r="A2" s="163" t="s">
        <v>91</v>
      </c>
      <c r="B2" s="135"/>
      <c r="C2" s="152"/>
      <c r="D2" s="156"/>
      <c r="E2" s="152"/>
      <c r="F2" s="180"/>
      <c r="G2" s="181"/>
    </row>
    <row r="3" spans="1:7" ht="15.75">
      <c r="A3" s="164" t="s">
        <v>400</v>
      </c>
      <c r="B3" s="136"/>
      <c r="C3" s="152"/>
      <c r="D3" s="156"/>
      <c r="E3" s="152"/>
      <c r="F3" s="180"/>
      <c r="G3" s="181"/>
    </row>
    <row r="4" spans="1:7" ht="7.5" customHeight="1" thickBot="1">
      <c r="A4" s="164"/>
      <c r="B4" s="136"/>
      <c r="C4" s="152"/>
      <c r="D4" s="156"/>
      <c r="E4" s="152"/>
      <c r="F4" s="180"/>
      <c r="G4" s="181"/>
    </row>
    <row r="5" spans="1:7" ht="15.75">
      <c r="A5" s="164"/>
      <c r="B5" s="726" t="s">
        <v>460</v>
      </c>
      <c r="C5" s="852" t="s">
        <v>472</v>
      </c>
      <c r="D5" s="853"/>
      <c r="E5" s="854"/>
      <c r="F5" s="180"/>
      <c r="G5" s="181"/>
    </row>
    <row r="6" spans="1:7" ht="15.75">
      <c r="A6" s="164"/>
      <c r="B6" s="726" t="s">
        <v>462</v>
      </c>
      <c r="C6" s="855">
        <v>2006</v>
      </c>
      <c r="D6" s="856"/>
      <c r="E6" s="857"/>
      <c r="F6" s="180"/>
      <c r="G6" s="181"/>
    </row>
    <row r="7" spans="1:7" ht="16.5" thickBot="1">
      <c r="A7" s="164"/>
      <c r="B7" s="726" t="s">
        <v>463</v>
      </c>
      <c r="C7" s="858">
        <v>39576</v>
      </c>
      <c r="D7" s="859"/>
      <c r="E7" s="860"/>
      <c r="F7" s="180"/>
      <c r="G7" s="181"/>
    </row>
    <row r="8" spans="1:7" ht="10.5" customHeight="1">
      <c r="A8" s="164"/>
      <c r="B8" s="136"/>
      <c r="C8" s="152"/>
      <c r="D8" s="156"/>
      <c r="E8" s="152"/>
      <c r="F8" s="180"/>
      <c r="G8" s="181"/>
    </row>
    <row r="9" spans="1:7" ht="19.5">
      <c r="A9" s="793" t="s">
        <v>332</v>
      </c>
      <c r="B9" s="792"/>
      <c r="C9" s="152"/>
      <c r="D9" s="156"/>
      <c r="E9" s="152"/>
      <c r="F9" s="180"/>
      <c r="G9" s="181"/>
    </row>
    <row r="10" spans="1:7" ht="5.25" customHeight="1" thickBot="1">
      <c r="A10" s="193"/>
      <c r="B10" s="194"/>
      <c r="C10" s="195"/>
      <c r="D10" s="196"/>
      <c r="E10" s="195"/>
      <c r="F10" s="197"/>
      <c r="G10" s="198"/>
    </row>
    <row r="11" spans="1:7" ht="15.75">
      <c r="A11" s="166"/>
      <c r="B11" s="167"/>
      <c r="C11" s="538"/>
      <c r="D11" s="168"/>
      <c r="E11" s="168"/>
      <c r="F11" s="168"/>
      <c r="G11" s="169"/>
    </row>
    <row r="12" spans="1:7" ht="18.75">
      <c r="A12" s="182" t="s">
        <v>285</v>
      </c>
      <c r="B12" s="188"/>
      <c r="C12" s="439" t="s">
        <v>289</v>
      </c>
      <c r="D12" s="440" t="s">
        <v>14</v>
      </c>
      <c r="E12" s="440" t="s">
        <v>15</v>
      </c>
      <c r="F12" s="440" t="s">
        <v>16</v>
      </c>
      <c r="G12" s="441" t="s">
        <v>280</v>
      </c>
    </row>
    <row r="13" spans="1:7" ht="15.75">
      <c r="A13" s="166"/>
      <c r="B13" s="167" t="s">
        <v>15</v>
      </c>
      <c r="C13" s="184" t="s">
        <v>394</v>
      </c>
      <c r="D13" s="185">
        <f>Salaries!D33</f>
        <v>163488</v>
      </c>
      <c r="E13" s="185">
        <f aca="true" t="shared" si="0" ref="E13:E19">VLOOKUP($C13,Ratio,2,FALSE)*$D13</f>
        <v>163488</v>
      </c>
      <c r="F13" s="185">
        <f aca="true" t="shared" si="1" ref="F13:F19">VLOOKUP($C13,Ratio,3,FALSE)*$D13</f>
        <v>0</v>
      </c>
      <c r="G13" s="190">
        <f aca="true" t="shared" si="2" ref="G13:G19">VLOOKUP($C13,Ratio,4,FALSE)*$D13</f>
        <v>0</v>
      </c>
    </row>
    <row r="14" spans="1:7" ht="15.75">
      <c r="A14" s="166"/>
      <c r="B14" s="167" t="s">
        <v>16</v>
      </c>
      <c r="C14" s="184" t="s">
        <v>393</v>
      </c>
      <c r="D14" s="186">
        <f>Salaries!D34</f>
        <v>0</v>
      </c>
      <c r="E14" s="186">
        <f t="shared" si="0"/>
        <v>0</v>
      </c>
      <c r="F14" s="186">
        <f t="shared" si="1"/>
        <v>0</v>
      </c>
      <c r="G14" s="187">
        <f t="shared" si="2"/>
        <v>0</v>
      </c>
    </row>
    <row r="15" spans="1:7" ht="15.75">
      <c r="A15" s="166"/>
      <c r="B15" s="167" t="s">
        <v>280</v>
      </c>
      <c r="C15" s="184" t="s">
        <v>392</v>
      </c>
      <c r="D15" s="186">
        <f>Salaries!D35</f>
        <v>1453835</v>
      </c>
      <c r="E15" s="186">
        <f t="shared" si="0"/>
        <v>0</v>
      </c>
      <c r="F15" s="186">
        <f t="shared" si="1"/>
        <v>0</v>
      </c>
      <c r="G15" s="187">
        <f t="shared" si="2"/>
        <v>1453835</v>
      </c>
    </row>
    <row r="16" spans="1:7" ht="15.75">
      <c r="A16" s="166"/>
      <c r="B16" s="167" t="s">
        <v>281</v>
      </c>
      <c r="C16" s="184" t="s">
        <v>392</v>
      </c>
      <c r="D16" s="186">
        <f>Salaries!D36</f>
        <v>724810</v>
      </c>
      <c r="E16" s="186">
        <f t="shared" si="0"/>
        <v>0</v>
      </c>
      <c r="F16" s="186">
        <f t="shared" si="1"/>
        <v>0</v>
      </c>
      <c r="G16" s="187">
        <f t="shared" si="2"/>
        <v>724810</v>
      </c>
    </row>
    <row r="17" spans="1:7" ht="15.75">
      <c r="A17" s="166"/>
      <c r="B17" s="167" t="s">
        <v>282</v>
      </c>
      <c r="C17" s="184" t="s">
        <v>392</v>
      </c>
      <c r="D17" s="186">
        <f>Salaries!D37</f>
        <v>65548</v>
      </c>
      <c r="E17" s="186">
        <f t="shared" si="0"/>
        <v>0</v>
      </c>
      <c r="F17" s="186">
        <f t="shared" si="1"/>
        <v>0</v>
      </c>
      <c r="G17" s="187">
        <f t="shared" si="2"/>
        <v>65548</v>
      </c>
    </row>
    <row r="18" spans="1:7" ht="15.75">
      <c r="A18" s="166"/>
      <c r="B18" s="167" t="s">
        <v>283</v>
      </c>
      <c r="C18" s="184" t="s">
        <v>392</v>
      </c>
      <c r="D18" s="186">
        <f>Salaries!D38</f>
        <v>0</v>
      </c>
      <c r="E18" s="186">
        <f t="shared" si="0"/>
        <v>0</v>
      </c>
      <c r="F18" s="186">
        <f t="shared" si="1"/>
        <v>0</v>
      </c>
      <c r="G18" s="187">
        <f t="shared" si="2"/>
        <v>0</v>
      </c>
    </row>
    <row r="19" spans="1:7" ht="15.75">
      <c r="A19" s="166"/>
      <c r="B19" s="167" t="s">
        <v>286</v>
      </c>
      <c r="C19" s="184" t="s">
        <v>11</v>
      </c>
      <c r="D19" s="186">
        <f>Salaries!D39</f>
        <v>1130861</v>
      </c>
      <c r="E19" s="186">
        <f t="shared" si="0"/>
        <v>184007.40142214694</v>
      </c>
      <c r="F19" s="186">
        <f t="shared" si="1"/>
        <v>40077.042455409515</v>
      </c>
      <c r="G19" s="187">
        <f t="shared" si="2"/>
        <v>906776.5561224436</v>
      </c>
    </row>
    <row r="20" spans="1:7" ht="15.75">
      <c r="A20" s="166"/>
      <c r="B20" s="167"/>
      <c r="C20" s="167"/>
      <c r="D20" s="170"/>
      <c r="E20" s="170"/>
      <c r="F20" s="170"/>
      <c r="G20" s="171"/>
    </row>
    <row r="21" spans="1:7" ht="18.75">
      <c r="A21" s="182" t="s">
        <v>287</v>
      </c>
      <c r="B21" s="167"/>
      <c r="C21" s="815"/>
      <c r="D21" s="816">
        <f>SUM(D13:D20)</f>
        <v>3538542</v>
      </c>
      <c r="E21" s="816">
        <f>SUM(E13:E20)</f>
        <v>347495.40142214694</v>
      </c>
      <c r="F21" s="816">
        <f>SUM(F13:F20)</f>
        <v>40077.042455409515</v>
      </c>
      <c r="G21" s="817">
        <f>SUM(G13:G20)</f>
        <v>3150969.5561224436</v>
      </c>
    </row>
    <row r="22" spans="1:7" ht="15.75">
      <c r="A22" s="166"/>
      <c r="B22" s="183" t="s">
        <v>333</v>
      </c>
      <c r="C22" s="815"/>
      <c r="D22" s="818">
        <f>IF($D21=0,0,D21/$D21)</f>
        <v>1</v>
      </c>
      <c r="E22" s="818">
        <f>IF($D21=0,0,E21/$D21)</f>
        <v>0.09820298909046352</v>
      </c>
      <c r="F22" s="818">
        <f>IF($D21=0,0,F21/$D21)</f>
        <v>0.011325863153640543</v>
      </c>
      <c r="G22" s="819">
        <f>IF($D21=0,0,G21/$D21)</f>
        <v>0.890471147755896</v>
      </c>
    </row>
    <row r="23" spans="1:7" ht="15.75">
      <c r="A23" s="166"/>
      <c r="B23" s="167"/>
      <c r="C23" s="167"/>
      <c r="D23" s="170"/>
      <c r="E23" s="170"/>
      <c r="F23" s="170"/>
      <c r="G23" s="171"/>
    </row>
    <row r="24" spans="1:7" ht="18.75">
      <c r="A24" s="182" t="s">
        <v>3</v>
      </c>
      <c r="B24" s="189" t="s">
        <v>334</v>
      </c>
      <c r="C24" s="439" t="s">
        <v>289</v>
      </c>
      <c r="D24" s="440" t="s">
        <v>14</v>
      </c>
      <c r="E24" s="440" t="s">
        <v>15</v>
      </c>
      <c r="F24" s="440" t="s">
        <v>16</v>
      </c>
      <c r="G24" s="441" t="s">
        <v>280</v>
      </c>
    </row>
    <row r="25" spans="1:7" ht="15.75">
      <c r="A25" s="166"/>
      <c r="B25" s="167" t="s">
        <v>35</v>
      </c>
      <c r="C25" s="184" t="s">
        <v>11</v>
      </c>
      <c r="D25" s="185">
        <f>'Sch 1- Rate Base '!G37</f>
        <v>128960</v>
      </c>
      <c r="E25" s="185">
        <f aca="true" t="shared" si="3" ref="E25:E36">VLOOKUP($C25,Ratio,2,FALSE)*$D25</f>
        <v>20983.652710103248</v>
      </c>
      <c r="F25" s="185">
        <f aca="true" t="shared" si="4" ref="F25:F36">VLOOKUP($C25,Ratio,3,FALSE)*$D25</f>
        <v>4570.265837312995</v>
      </c>
      <c r="G25" s="190">
        <f aca="true" t="shared" si="5" ref="G25:G36">VLOOKUP($C25,Ratio,4,FALSE)*$D25</f>
        <v>103406.08145258376</v>
      </c>
    </row>
    <row r="26" spans="1:7" ht="15.75">
      <c r="A26" s="166"/>
      <c r="B26" s="167" t="s">
        <v>36</v>
      </c>
      <c r="C26" s="184" t="s">
        <v>11</v>
      </c>
      <c r="D26" s="186">
        <f>'Sch 1- Rate Base '!G38</f>
        <v>5222950</v>
      </c>
      <c r="E26" s="186">
        <f t="shared" si="3"/>
        <v>849849.3247691824</v>
      </c>
      <c r="F26" s="186">
        <f t="shared" si="4"/>
        <v>185098.2471696178</v>
      </c>
      <c r="G26" s="187">
        <f t="shared" si="5"/>
        <v>4188002.4280612</v>
      </c>
    </row>
    <row r="27" spans="1:7" ht="15.75">
      <c r="A27" s="166"/>
      <c r="B27" s="167" t="s">
        <v>37</v>
      </c>
      <c r="C27" s="184" t="s">
        <v>7</v>
      </c>
      <c r="D27" s="186">
        <f>'Sch 1- Rate Base '!G39</f>
        <v>3856888</v>
      </c>
      <c r="E27" s="186">
        <f t="shared" si="3"/>
        <v>378757.93018713966</v>
      </c>
      <c r="F27" s="186">
        <f t="shared" si="4"/>
        <v>43682.58568691837</v>
      </c>
      <c r="G27" s="187">
        <f t="shared" si="5"/>
        <v>3434447.484125942</v>
      </c>
    </row>
    <row r="28" spans="1:7" ht="15.75">
      <c r="A28" s="166"/>
      <c r="B28" s="167" t="s">
        <v>38</v>
      </c>
      <c r="C28" s="184" t="s">
        <v>19</v>
      </c>
      <c r="D28" s="186">
        <f>'Sch 1- Rate Base '!G40</f>
        <v>2793281</v>
      </c>
      <c r="E28" s="186">
        <f t="shared" si="3"/>
        <v>0</v>
      </c>
      <c r="F28" s="186">
        <f t="shared" si="4"/>
        <v>118229.93691424851</v>
      </c>
      <c r="G28" s="187">
        <f t="shared" si="5"/>
        <v>2675051.0630857516</v>
      </c>
    </row>
    <row r="29" spans="1:7" ht="15.75">
      <c r="A29" s="166"/>
      <c r="B29" s="167" t="s">
        <v>39</v>
      </c>
      <c r="C29" s="184" t="s">
        <v>11</v>
      </c>
      <c r="D29" s="186">
        <f>'Sch 1- Rate Base '!G41</f>
        <v>20788</v>
      </c>
      <c r="E29" s="186">
        <f t="shared" si="3"/>
        <v>3382.507541389782</v>
      </c>
      <c r="F29" s="186">
        <f t="shared" si="4"/>
        <v>736.7143783038349</v>
      </c>
      <c r="G29" s="187">
        <f t="shared" si="5"/>
        <v>16668.778080306383</v>
      </c>
    </row>
    <row r="30" spans="1:7" ht="15.75">
      <c r="A30" s="166"/>
      <c r="B30" s="167" t="s">
        <v>40</v>
      </c>
      <c r="C30" s="184" t="s">
        <v>11</v>
      </c>
      <c r="D30" s="186">
        <f>'Sch 1- Rate Base '!G42</f>
        <v>730593</v>
      </c>
      <c r="E30" s="186">
        <f t="shared" si="3"/>
        <v>118878.02252196388</v>
      </c>
      <c r="F30" s="186">
        <f t="shared" si="4"/>
        <v>25891.78217183633</v>
      </c>
      <c r="G30" s="187">
        <f t="shared" si="5"/>
        <v>585823.1953061998</v>
      </c>
    </row>
    <row r="31" spans="1:7" ht="15.75">
      <c r="A31" s="166"/>
      <c r="B31" s="167" t="s">
        <v>41</v>
      </c>
      <c r="C31" s="184" t="s">
        <v>11</v>
      </c>
      <c r="D31" s="186">
        <f>'Sch 1- Rate Base '!G43</f>
        <v>25767</v>
      </c>
      <c r="E31" s="186">
        <f t="shared" si="3"/>
        <v>4192.662681306067</v>
      </c>
      <c r="F31" s="186">
        <f t="shared" si="4"/>
        <v>913.1671823049314</v>
      </c>
      <c r="G31" s="187">
        <f t="shared" si="5"/>
        <v>20661.170136389002</v>
      </c>
    </row>
    <row r="32" spans="1:7" ht="15.75">
      <c r="A32" s="166"/>
      <c r="B32" s="167" t="s">
        <v>42</v>
      </c>
      <c r="C32" s="184" t="s">
        <v>19</v>
      </c>
      <c r="D32" s="186">
        <f>'Sch 1- Rate Base '!G44</f>
        <v>6521</v>
      </c>
      <c r="E32" s="186">
        <f t="shared" si="3"/>
        <v>0</v>
      </c>
      <c r="F32" s="186">
        <f t="shared" si="4"/>
        <v>276.0114068787976</v>
      </c>
      <c r="G32" s="187">
        <f t="shared" si="5"/>
        <v>6244.988593121203</v>
      </c>
    </row>
    <row r="33" spans="1:7" ht="15.75">
      <c r="A33" s="166"/>
      <c r="B33" s="167" t="s">
        <v>43</v>
      </c>
      <c r="C33" s="184" t="s">
        <v>11</v>
      </c>
      <c r="D33" s="186">
        <f>'Sch 1- Rate Base '!G45</f>
        <v>8934819</v>
      </c>
      <c r="E33" s="186">
        <f t="shared" si="3"/>
        <v>1453823.968080273</v>
      </c>
      <c r="F33" s="186">
        <f t="shared" si="4"/>
        <v>316644.68081788975</v>
      </c>
      <c r="G33" s="187">
        <f t="shared" si="5"/>
        <v>7164350.351101838</v>
      </c>
    </row>
    <row r="34" spans="1:7" ht="15.75">
      <c r="A34" s="166"/>
      <c r="B34" s="167" t="s">
        <v>44</v>
      </c>
      <c r="C34" s="184" t="s">
        <v>11</v>
      </c>
      <c r="D34" s="186">
        <f>'Sch 1- Rate Base '!G46</f>
        <v>262763</v>
      </c>
      <c r="E34" s="186">
        <f t="shared" si="3"/>
        <v>42755.33139783545</v>
      </c>
      <c r="F34" s="186">
        <f t="shared" si="4"/>
        <v>9312.164719369375</v>
      </c>
      <c r="G34" s="187">
        <f t="shared" si="5"/>
        <v>210695.5038827952</v>
      </c>
    </row>
    <row r="35" spans="1:7" ht="15.75">
      <c r="A35" s="166"/>
      <c r="B35" s="167" t="s">
        <v>242</v>
      </c>
      <c r="C35" s="184" t="s">
        <v>2</v>
      </c>
      <c r="D35" s="186">
        <f>'Sch 1- Rate Base '!G47</f>
        <v>1237870</v>
      </c>
      <c r="E35" s="186">
        <f>'Sch 1- Rate Base '!H47</f>
        <v>201419.30971041802</v>
      </c>
      <c r="F35" s="186">
        <f>'Sch 1- Rate Base '!I47</f>
        <v>43869.37788488398</v>
      </c>
      <c r="G35" s="187">
        <f>'Sch 1- Rate Base '!J47</f>
        <v>992581.312404698</v>
      </c>
    </row>
    <row r="36" spans="1:7" ht="15.75">
      <c r="A36" s="166"/>
      <c r="B36" s="167" t="s">
        <v>159</v>
      </c>
      <c r="C36" s="184" t="s">
        <v>11</v>
      </c>
      <c r="D36" s="186">
        <f>'Sch 1- Rate Base '!G48</f>
        <v>0</v>
      </c>
      <c r="E36" s="186">
        <f t="shared" si="3"/>
        <v>0</v>
      </c>
      <c r="F36" s="186">
        <f t="shared" si="4"/>
        <v>0</v>
      </c>
      <c r="G36" s="187">
        <f t="shared" si="5"/>
        <v>0</v>
      </c>
    </row>
    <row r="37" spans="1:7" ht="15.75">
      <c r="A37" s="166"/>
      <c r="B37" s="167" t="s">
        <v>290</v>
      </c>
      <c r="C37" s="820"/>
      <c r="D37" s="821">
        <f>SUM(D25:D36)</f>
        <v>23221200</v>
      </c>
      <c r="E37" s="821">
        <f>SUM(E25:E36)</f>
        <v>3074042.709599611</v>
      </c>
      <c r="F37" s="821">
        <f>SUM(F25:F36)</f>
        <v>749224.9341695649</v>
      </c>
      <c r="G37" s="822">
        <f>SUM(G25:G36)</f>
        <v>19397932.356230825</v>
      </c>
    </row>
    <row r="38" spans="1:7" ht="15.75">
      <c r="A38" s="166"/>
      <c r="B38" s="183" t="s">
        <v>291</v>
      </c>
      <c r="C38" s="820"/>
      <c r="D38" s="823">
        <f>IF($D37=0,0,D37/$D37)</f>
        <v>1</v>
      </c>
      <c r="E38" s="823">
        <f>IF($D37=0,0,E37/$D37)</f>
        <v>0.13238087220297018</v>
      </c>
      <c r="F38" s="823">
        <f>IF($D37=0,0,F37/$D37)</f>
        <v>0.03226469494124183</v>
      </c>
      <c r="G38" s="824">
        <f>IF($D37=0,0,G37/$D37)</f>
        <v>0.835354432855788</v>
      </c>
    </row>
    <row r="39" spans="1:7" ht="16.5" thickBot="1">
      <c r="A39" s="174"/>
      <c r="B39" s="175"/>
      <c r="C39" s="199"/>
      <c r="D39" s="200"/>
      <c r="E39" s="200"/>
      <c r="F39" s="200"/>
      <c r="G39" s="201"/>
    </row>
    <row r="40" spans="1:7" ht="16.5" thickTop="1">
      <c r="A40" s="166"/>
      <c r="B40" s="167"/>
      <c r="C40" s="167"/>
      <c r="D40" s="170"/>
      <c r="E40" s="170"/>
      <c r="F40" s="170"/>
      <c r="G40" s="171"/>
    </row>
    <row r="41" spans="1:7" ht="15.75">
      <c r="A41" s="166" t="s">
        <v>11</v>
      </c>
      <c r="B41" s="173" t="s">
        <v>335</v>
      </c>
      <c r="C41" s="439" t="s">
        <v>289</v>
      </c>
      <c r="D41" s="440" t="s">
        <v>14</v>
      </c>
      <c r="E41" s="440" t="s">
        <v>15</v>
      </c>
      <c r="F41" s="440" t="s">
        <v>16</v>
      </c>
      <c r="G41" s="441" t="s">
        <v>280</v>
      </c>
    </row>
    <row r="42" spans="1:7" ht="15.75">
      <c r="A42" s="166"/>
      <c r="B42" s="167" t="s">
        <v>21</v>
      </c>
      <c r="C42" s="184" t="s">
        <v>394</v>
      </c>
      <c r="D42" s="185">
        <f>'Sch 1- Rate Base '!G22</f>
        <v>0</v>
      </c>
      <c r="E42" s="185">
        <f>VLOOKUP($C42,Ratio,2,FALSE)*$D42</f>
        <v>0</v>
      </c>
      <c r="F42" s="185">
        <f>VLOOKUP($C42,Ratio,3,FALSE)*$D42</f>
        <v>0</v>
      </c>
      <c r="G42" s="190">
        <f>VLOOKUP($C42,Ratio,4,FALSE)*$D42</f>
        <v>0</v>
      </c>
    </row>
    <row r="43" spans="1:7" ht="15.75">
      <c r="A43" s="166"/>
      <c r="B43" s="167" t="s">
        <v>23</v>
      </c>
      <c r="C43" s="184" t="s">
        <v>394</v>
      </c>
      <c r="D43" s="186">
        <f>'Sch 1- Rate Base '!G23</f>
        <v>0</v>
      </c>
      <c r="E43" s="186">
        <f>VLOOKUP($C43,Ratio,2,FALSE)*$D43</f>
        <v>0</v>
      </c>
      <c r="F43" s="186">
        <f>VLOOKUP($C43,Ratio,3,FALSE)*$D43</f>
        <v>0</v>
      </c>
      <c r="G43" s="187">
        <f>VLOOKUP($C43,Ratio,4,FALSE)*$D43</f>
        <v>0</v>
      </c>
    </row>
    <row r="44" spans="1:7" ht="15.75">
      <c r="A44" s="166"/>
      <c r="B44" s="167" t="s">
        <v>25</v>
      </c>
      <c r="C44" s="184" t="s">
        <v>394</v>
      </c>
      <c r="D44" s="186">
        <f>'Sch 1- Rate Base '!G24</f>
        <v>0</v>
      </c>
      <c r="E44" s="186">
        <f>VLOOKUP($C44,Ratio,2,FALSE)*$D44</f>
        <v>0</v>
      </c>
      <c r="F44" s="186">
        <f>VLOOKUP($C44,Ratio,3,FALSE)*$D44</f>
        <v>0</v>
      </c>
      <c r="G44" s="187">
        <f>VLOOKUP($C44,Ratio,4,FALSE)*$D44</f>
        <v>0</v>
      </c>
    </row>
    <row r="45" spans="1:7" ht="15.75">
      <c r="A45" s="166"/>
      <c r="B45" s="167" t="s">
        <v>27</v>
      </c>
      <c r="C45" s="184" t="s">
        <v>394</v>
      </c>
      <c r="D45" s="186">
        <f>'Sch 1- Rate Base '!G25</f>
        <v>18232751</v>
      </c>
      <c r="E45" s="186">
        <f>VLOOKUP($C45,Ratio,2,FALSE)*$D45</f>
        <v>18232751</v>
      </c>
      <c r="F45" s="186">
        <f>VLOOKUP($C45,Ratio,3,FALSE)*$D45</f>
        <v>0</v>
      </c>
      <c r="G45" s="187">
        <f>VLOOKUP($C45,Ratio,4,FALSE)*$D45</f>
        <v>0</v>
      </c>
    </row>
    <row r="46" spans="1:7" ht="15.75">
      <c r="A46" s="166"/>
      <c r="B46" s="167" t="s">
        <v>29</v>
      </c>
      <c r="C46" s="184"/>
      <c r="D46" s="186">
        <f>SUM(D42:D45)</f>
        <v>18232751</v>
      </c>
      <c r="E46" s="186">
        <f>SUM(E42:E45)</f>
        <v>18232751</v>
      </c>
      <c r="F46" s="186">
        <f>SUM(F42:F45)</f>
        <v>0</v>
      </c>
      <c r="G46" s="187">
        <f>SUM(G42:G45)</f>
        <v>0</v>
      </c>
    </row>
    <row r="47" spans="1:7" ht="15.75">
      <c r="A47" s="166"/>
      <c r="B47" s="167" t="s">
        <v>293</v>
      </c>
      <c r="C47" s="184" t="s">
        <v>393</v>
      </c>
      <c r="D47" s="186">
        <f>'Sch 1- Rate Base '!G30</f>
        <v>3971116</v>
      </c>
      <c r="E47" s="186">
        <f>VLOOKUP($C47,Ratio,2,FALSE)*$D47</f>
        <v>0</v>
      </c>
      <c r="F47" s="186">
        <f>VLOOKUP($C47,Ratio,3,FALSE)*$D47</f>
        <v>3971116</v>
      </c>
      <c r="G47" s="187">
        <f>VLOOKUP($C47,Ratio,4,FALSE)*$D47</f>
        <v>0</v>
      </c>
    </row>
    <row r="48" spans="1:7" ht="15.75">
      <c r="A48" s="166"/>
      <c r="B48" s="167" t="s">
        <v>32</v>
      </c>
      <c r="C48" s="184" t="s">
        <v>392</v>
      </c>
      <c r="D48" s="186">
        <f>'Sch 1- Rate Base '!G34</f>
        <v>89849816</v>
      </c>
      <c r="E48" s="186">
        <f>VLOOKUP($C48,Ratio,2,FALSE)*$D48</f>
        <v>0</v>
      </c>
      <c r="F48" s="186">
        <f>VLOOKUP($C48,Ratio,3,FALSE)*$D48</f>
        <v>0</v>
      </c>
      <c r="G48" s="187">
        <f>VLOOKUP($C48,Ratio,4,FALSE)*$D48</f>
        <v>89849816</v>
      </c>
    </row>
    <row r="49" spans="1:7" ht="15.75">
      <c r="A49" s="166"/>
      <c r="B49" s="167" t="s">
        <v>290</v>
      </c>
      <c r="C49" s="184"/>
      <c r="D49" s="185">
        <f>D46+D47+D48</f>
        <v>112053683</v>
      </c>
      <c r="E49" s="185">
        <f>E46+E47+E48</f>
        <v>18232751</v>
      </c>
      <c r="F49" s="185">
        <f>F46+F47+F48</f>
        <v>3971116</v>
      </c>
      <c r="G49" s="190">
        <f>G46+G47+G48</f>
        <v>89849816</v>
      </c>
    </row>
    <row r="50" spans="1:7" ht="15.75">
      <c r="A50" s="166"/>
      <c r="B50" s="183" t="s">
        <v>336</v>
      </c>
      <c r="C50" s="820"/>
      <c r="D50" s="823">
        <f>IF($D49=0,0,D49/$D49)</f>
        <v>1</v>
      </c>
      <c r="E50" s="823">
        <f>IF($D49=0,0,E49/$D49)</f>
        <v>0.1627144285833068</v>
      </c>
      <c r="F50" s="823">
        <f>IF($D49=0,0,F49/$D49)</f>
        <v>0.03543940630670747</v>
      </c>
      <c r="G50" s="824">
        <f>IF($D49=0,0,G49/$D49)</f>
        <v>0.8018461651099857</v>
      </c>
    </row>
    <row r="51" spans="1:7" ht="15.75">
      <c r="A51" s="166"/>
      <c r="B51" s="167"/>
      <c r="C51" s="167"/>
      <c r="D51" s="170"/>
      <c r="E51" s="170"/>
      <c r="F51" s="170"/>
      <c r="G51" s="171"/>
    </row>
    <row r="52" spans="1:7" ht="15.75">
      <c r="A52" s="166" t="s">
        <v>18</v>
      </c>
      <c r="B52" s="173" t="s">
        <v>337</v>
      </c>
      <c r="C52" s="439" t="s">
        <v>289</v>
      </c>
      <c r="D52" s="440" t="s">
        <v>14</v>
      </c>
      <c r="E52" s="440" t="s">
        <v>15</v>
      </c>
      <c r="F52" s="440" t="s">
        <v>16</v>
      </c>
      <c r="G52" s="441" t="s">
        <v>280</v>
      </c>
    </row>
    <row r="53" spans="1:7" ht="15.75">
      <c r="A53" s="166"/>
      <c r="B53" s="167" t="s">
        <v>294</v>
      </c>
      <c r="C53" s="184"/>
      <c r="D53" s="185">
        <f>D49</f>
        <v>112053683</v>
      </c>
      <c r="E53" s="185">
        <f>E49</f>
        <v>18232751</v>
      </c>
      <c r="F53" s="185">
        <f>F49</f>
        <v>3971116</v>
      </c>
      <c r="G53" s="190">
        <f>G49</f>
        <v>89849816</v>
      </c>
    </row>
    <row r="54" spans="1:7" ht="15.75">
      <c r="A54" s="166"/>
      <c r="B54" s="167" t="s">
        <v>295</v>
      </c>
      <c r="C54" s="184" t="s">
        <v>392</v>
      </c>
      <c r="D54" s="186">
        <f>'Sch 1- Rate Base '!G16</f>
        <v>0</v>
      </c>
      <c r="E54" s="186">
        <f>'Sch 1- Rate Base '!H16</f>
        <v>0</v>
      </c>
      <c r="F54" s="186">
        <f>'Sch 1- Rate Base '!I16</f>
        <v>0</v>
      </c>
      <c r="G54" s="187">
        <f>'Sch 1- Rate Base '!J16</f>
        <v>0</v>
      </c>
    </row>
    <row r="55" spans="1:7" ht="15.75">
      <c r="A55" s="166"/>
      <c r="B55" s="167" t="s">
        <v>296</v>
      </c>
      <c r="C55" s="184" t="s">
        <v>2</v>
      </c>
      <c r="D55" s="186">
        <f>'Sch 1- Rate Base '!G17</f>
        <v>0</v>
      </c>
      <c r="E55" s="186">
        <f>'Sch 1- Rate Base '!H17</f>
        <v>0</v>
      </c>
      <c r="F55" s="186">
        <f>'Sch 1- Rate Base '!I17</f>
        <v>0</v>
      </c>
      <c r="G55" s="187">
        <f>'Sch 1- Rate Base '!J17</f>
        <v>0</v>
      </c>
    </row>
    <row r="56" spans="1:7" ht="15.75">
      <c r="A56" s="166"/>
      <c r="B56" s="167" t="s">
        <v>310</v>
      </c>
      <c r="C56" s="184" t="s">
        <v>2</v>
      </c>
      <c r="D56" s="186">
        <f>'Sch 1- Rate Base '!G18</f>
        <v>0</v>
      </c>
      <c r="E56" s="186">
        <f>'Sch 1- Rate Base '!H18</f>
        <v>0</v>
      </c>
      <c r="F56" s="186">
        <f>'Sch 1- Rate Base '!I18</f>
        <v>0</v>
      </c>
      <c r="G56" s="187">
        <f>'Sch 1- Rate Base '!J18</f>
        <v>0</v>
      </c>
    </row>
    <row r="57" spans="1:7" ht="15.75">
      <c r="A57" s="166"/>
      <c r="B57" s="167" t="s">
        <v>338</v>
      </c>
      <c r="C57" s="184"/>
      <c r="D57" s="186">
        <f>D37</f>
        <v>23221200</v>
      </c>
      <c r="E57" s="186">
        <f>E37</f>
        <v>3074042.709599611</v>
      </c>
      <c r="F57" s="186">
        <f>F37</f>
        <v>749224.9341695649</v>
      </c>
      <c r="G57" s="187">
        <f>G37</f>
        <v>19397932.356230825</v>
      </c>
    </row>
    <row r="58" spans="1:7" ht="15.75">
      <c r="A58" s="166"/>
      <c r="B58" s="167" t="s">
        <v>290</v>
      </c>
      <c r="C58" s="184"/>
      <c r="D58" s="185">
        <f>SUM(D53:D57)</f>
        <v>135274883</v>
      </c>
      <c r="E58" s="185">
        <f>SUM(E53:E57)</f>
        <v>21306793.70959961</v>
      </c>
      <c r="F58" s="185">
        <f>SUM(F53:F57)</f>
        <v>4720340.934169564</v>
      </c>
      <c r="G58" s="190">
        <f>SUM(G53:G57)</f>
        <v>109247748.35623083</v>
      </c>
    </row>
    <row r="59" spans="1:7" ht="15.75">
      <c r="A59" s="166"/>
      <c r="B59" s="183" t="s">
        <v>339</v>
      </c>
      <c r="C59" s="820"/>
      <c r="D59" s="823">
        <f>IF($D58=0,0,D58/$D58)</f>
        <v>1</v>
      </c>
      <c r="E59" s="823">
        <f>IF($D58=0,0,E58/$D58)</f>
        <v>0.15750738967262393</v>
      </c>
      <c r="F59" s="823">
        <f>IF($D58=0,0,F58/$D58)</f>
        <v>0.034894437381768534</v>
      </c>
      <c r="G59" s="824">
        <f>IF($D58=0,0,G58/$D58)</f>
        <v>0.8075981729456075</v>
      </c>
    </row>
    <row r="60" spans="1:7" ht="15.75">
      <c r="A60" s="166"/>
      <c r="B60" s="167"/>
      <c r="C60" s="167"/>
      <c r="D60" s="170"/>
      <c r="E60" s="170"/>
      <c r="F60" s="170"/>
      <c r="G60" s="171"/>
    </row>
    <row r="61" spans="1:7" ht="15.75">
      <c r="A61" s="166" t="s">
        <v>19</v>
      </c>
      <c r="B61" s="173" t="s">
        <v>340</v>
      </c>
      <c r="C61" s="439" t="s">
        <v>289</v>
      </c>
      <c r="D61" s="440" t="s">
        <v>14</v>
      </c>
      <c r="E61" s="440" t="s">
        <v>15</v>
      </c>
      <c r="F61" s="440" t="s">
        <v>16</v>
      </c>
      <c r="G61" s="441" t="s">
        <v>280</v>
      </c>
    </row>
    <row r="62" spans="1:7" ht="15.75">
      <c r="A62" s="166"/>
      <c r="B62" s="167" t="s">
        <v>31</v>
      </c>
      <c r="C62" s="184" t="s">
        <v>393</v>
      </c>
      <c r="D62" s="185">
        <f>D47</f>
        <v>3971116</v>
      </c>
      <c r="E62" s="185">
        <f>VLOOKUP($C62,Ratio,2,FALSE)*$D62</f>
        <v>0</v>
      </c>
      <c r="F62" s="185">
        <f>VLOOKUP($C62,Ratio,3,FALSE)*$D62</f>
        <v>3971116</v>
      </c>
      <c r="G62" s="190">
        <f>VLOOKUP($C62,Ratio,4,FALSE)*$D62</f>
        <v>0</v>
      </c>
    </row>
    <row r="63" spans="1:7" ht="15.75">
      <c r="A63" s="166"/>
      <c r="B63" s="167" t="s">
        <v>32</v>
      </c>
      <c r="C63" s="184" t="s">
        <v>392</v>
      </c>
      <c r="D63" s="186">
        <f>D48</f>
        <v>89849816</v>
      </c>
      <c r="E63" s="186">
        <f>VLOOKUP($C63,Ratio,2,FALSE)*$D63</f>
        <v>0</v>
      </c>
      <c r="F63" s="186">
        <f>VLOOKUP($C63,Ratio,3,FALSE)*$D63</f>
        <v>0</v>
      </c>
      <c r="G63" s="187">
        <f>VLOOKUP($C63,Ratio,4,FALSE)*$D63</f>
        <v>89849816</v>
      </c>
    </row>
    <row r="64" spans="1:7" ht="15.75">
      <c r="A64" s="166"/>
      <c r="B64" s="167" t="s">
        <v>290</v>
      </c>
      <c r="C64" s="184"/>
      <c r="D64" s="185">
        <f>SUM(D62:D63)</f>
        <v>93820932</v>
      </c>
      <c r="E64" s="185">
        <f>SUM(E62:E63)</f>
        <v>0</v>
      </c>
      <c r="F64" s="185">
        <f>SUM(F62:F63)</f>
        <v>3971116</v>
      </c>
      <c r="G64" s="190">
        <f>SUM(G62:G63)</f>
        <v>89849816</v>
      </c>
    </row>
    <row r="65" spans="1:7" ht="15.75">
      <c r="A65" s="166"/>
      <c r="B65" s="183" t="s">
        <v>341</v>
      </c>
      <c r="C65" s="825"/>
      <c r="D65" s="826">
        <f>IF($D64=0,0,D64/$D64)</f>
        <v>1</v>
      </c>
      <c r="E65" s="826">
        <f>IF($D64=0,0,E64/$D64)</f>
        <v>0</v>
      </c>
      <c r="F65" s="826">
        <f>IF($D64=0,0,F64/$D64)</f>
        <v>0.0423265460633028</v>
      </c>
      <c r="G65" s="827">
        <f>IF($D64=0,0,G64/$D64)</f>
        <v>0.9576734539366972</v>
      </c>
    </row>
    <row r="66" spans="1:7" ht="16.5" thickBot="1">
      <c r="A66" s="174"/>
      <c r="B66" s="175"/>
      <c r="C66" s="175"/>
      <c r="D66" s="176"/>
      <c r="E66" s="176"/>
      <c r="F66" s="176"/>
      <c r="G66" s="177"/>
    </row>
    <row r="67" spans="1:7" ht="16.5" thickTop="1">
      <c r="A67" s="166"/>
      <c r="B67" s="167"/>
      <c r="C67" s="167"/>
      <c r="D67" s="170"/>
      <c r="E67" s="170"/>
      <c r="F67" s="170"/>
      <c r="G67" s="171"/>
    </row>
    <row r="68" spans="1:7" ht="15.75">
      <c r="A68" s="166" t="s">
        <v>5</v>
      </c>
      <c r="B68" s="173" t="s">
        <v>342</v>
      </c>
      <c r="C68" s="439" t="s">
        <v>289</v>
      </c>
      <c r="D68" s="440" t="s">
        <v>14</v>
      </c>
      <c r="E68" s="440" t="s">
        <v>15</v>
      </c>
      <c r="F68" s="440" t="s">
        <v>16</v>
      </c>
      <c r="G68" s="441" t="s">
        <v>280</v>
      </c>
    </row>
    <row r="69" spans="1:7" ht="15.75">
      <c r="A69" s="166"/>
      <c r="B69" s="167" t="s">
        <v>36</v>
      </c>
      <c r="C69" s="184" t="s">
        <v>11</v>
      </c>
      <c r="D69" s="185">
        <f>D26</f>
        <v>5222950</v>
      </c>
      <c r="E69" s="185">
        <f>VLOOKUP($C69,Ratio,2,FALSE)*$D69</f>
        <v>849849.3247691824</v>
      </c>
      <c r="F69" s="185">
        <f>VLOOKUP($C69,Ratio,3,FALSE)*$D69</f>
        <v>185098.2471696178</v>
      </c>
      <c r="G69" s="190">
        <f>VLOOKUP($C69,Ratio,4,FALSE)*$D69</f>
        <v>4188002.4280612</v>
      </c>
    </row>
    <row r="70" spans="1:7" ht="15.75">
      <c r="A70" s="166"/>
      <c r="B70" s="167" t="s">
        <v>37</v>
      </c>
      <c r="C70" s="184" t="s">
        <v>7</v>
      </c>
      <c r="D70" s="186">
        <f>D27</f>
        <v>3856888</v>
      </c>
      <c r="E70" s="186">
        <f>VLOOKUP($C70,Ratio,2,FALSE)*$D70</f>
        <v>378757.93018713966</v>
      </c>
      <c r="F70" s="186">
        <f>VLOOKUP($C70,Ratio,3,FALSE)*$D70</f>
        <v>43682.58568691837</v>
      </c>
      <c r="G70" s="187">
        <f>VLOOKUP($C70,Ratio,4,FALSE)*$D70</f>
        <v>3434447.484125942</v>
      </c>
    </row>
    <row r="71" spans="1:7" ht="15.75">
      <c r="A71" s="166"/>
      <c r="B71" s="167" t="s">
        <v>43</v>
      </c>
      <c r="C71" s="184" t="s">
        <v>11</v>
      </c>
      <c r="D71" s="186">
        <f>D33</f>
        <v>8934819</v>
      </c>
      <c r="E71" s="186">
        <f>VLOOKUP($C71,Ratio,2,FALSE)*$D71</f>
        <v>1453823.968080273</v>
      </c>
      <c r="F71" s="186">
        <f>VLOOKUP($C71,Ratio,3,FALSE)*$D71</f>
        <v>316644.68081788975</v>
      </c>
      <c r="G71" s="187">
        <f>VLOOKUP($C71,Ratio,4,FALSE)*$D71</f>
        <v>7164350.351101838</v>
      </c>
    </row>
    <row r="72" spans="1:7" ht="15.75">
      <c r="A72" s="166"/>
      <c r="B72" s="167" t="s">
        <v>44</v>
      </c>
      <c r="C72" s="184" t="s">
        <v>392</v>
      </c>
      <c r="D72" s="186">
        <f>D34</f>
        <v>262763</v>
      </c>
      <c r="E72" s="186">
        <f>VLOOKUP($C72,Ratio,2,FALSE)*$D72</f>
        <v>0</v>
      </c>
      <c r="F72" s="186">
        <f>VLOOKUP($C72,Ratio,3,FALSE)*$D72</f>
        <v>0</v>
      </c>
      <c r="G72" s="187">
        <f>VLOOKUP($C72,Ratio,4,FALSE)*$D72</f>
        <v>262763</v>
      </c>
    </row>
    <row r="73" spans="1:7" ht="15.75">
      <c r="A73" s="166"/>
      <c r="B73" s="167" t="s">
        <v>290</v>
      </c>
      <c r="C73" s="184"/>
      <c r="D73" s="185">
        <f>SUM(D69:D72)</f>
        <v>18277420</v>
      </c>
      <c r="E73" s="185">
        <f>SUM(E69:E72)</f>
        <v>2682431.2230365947</v>
      </c>
      <c r="F73" s="185">
        <f>SUM(F69:F72)</f>
        <v>545425.5136744259</v>
      </c>
      <c r="G73" s="190">
        <f>SUM(G69:G72)</f>
        <v>15049563.26328898</v>
      </c>
    </row>
    <row r="74" spans="1:7" ht="15.75">
      <c r="A74" s="166"/>
      <c r="B74" s="183" t="s">
        <v>343</v>
      </c>
      <c r="C74" s="820"/>
      <c r="D74" s="823">
        <f>IF($D73=0,0,D73/$D73)</f>
        <v>1</v>
      </c>
      <c r="E74" s="823">
        <f>IF($D73=0,0,E73/$D73)</f>
        <v>0.14676202784838313</v>
      </c>
      <c r="F74" s="823">
        <f>IF($D73=0,0,F73/$D73)</f>
        <v>0.029841493694100475</v>
      </c>
      <c r="G74" s="824">
        <f>IF($D73=0,0,G73/$D73)</f>
        <v>0.8233964784575164</v>
      </c>
    </row>
    <row r="75" spans="1:7" ht="15.75">
      <c r="A75" s="166"/>
      <c r="B75" s="183"/>
      <c r="C75" s="172"/>
      <c r="D75" s="191"/>
      <c r="E75" s="191"/>
      <c r="F75" s="191"/>
      <c r="G75" s="192"/>
    </row>
    <row r="76" spans="1:7" ht="16.5" thickBot="1">
      <c r="A76" s="166"/>
      <c r="B76" s="183" t="s">
        <v>344</v>
      </c>
      <c r="C76" s="167"/>
      <c r="D76" s="837"/>
      <c r="E76" s="837"/>
      <c r="F76" s="837"/>
      <c r="G76" s="838"/>
    </row>
    <row r="77" spans="1:7" ht="15.75">
      <c r="A77" s="166"/>
      <c r="B77" s="173" t="s">
        <v>432</v>
      </c>
      <c r="C77" s="167"/>
      <c r="D77" s="828" t="s">
        <v>407</v>
      </c>
      <c r="E77" s="829">
        <v>0.7</v>
      </c>
      <c r="F77" s="829">
        <v>0</v>
      </c>
      <c r="G77" s="830">
        <f>1-E77</f>
        <v>0.30000000000000004</v>
      </c>
    </row>
    <row r="78" spans="1:7" ht="15.75">
      <c r="A78" s="166"/>
      <c r="B78" s="173" t="s">
        <v>299</v>
      </c>
      <c r="C78" s="167"/>
      <c r="D78" s="831" t="s">
        <v>392</v>
      </c>
      <c r="E78" s="832">
        <v>0</v>
      </c>
      <c r="F78" s="832">
        <v>0</v>
      </c>
      <c r="G78" s="833">
        <v>1</v>
      </c>
    </row>
    <row r="79" spans="1:7" ht="15.75">
      <c r="A79" s="166"/>
      <c r="B79" s="173" t="s">
        <v>300</v>
      </c>
      <c r="C79" s="167"/>
      <c r="D79" s="831" t="s">
        <v>394</v>
      </c>
      <c r="E79" s="832">
        <v>1</v>
      </c>
      <c r="F79" s="832">
        <v>0</v>
      </c>
      <c r="G79" s="833">
        <v>0</v>
      </c>
    </row>
    <row r="80" spans="1:7" ht="15.75">
      <c r="A80" s="166"/>
      <c r="B80" s="173" t="s">
        <v>301</v>
      </c>
      <c r="C80" s="167"/>
      <c r="D80" s="831" t="s">
        <v>393</v>
      </c>
      <c r="E80" s="832">
        <v>0</v>
      </c>
      <c r="F80" s="832">
        <v>1</v>
      </c>
      <c r="G80" s="833">
        <v>0</v>
      </c>
    </row>
    <row r="81" spans="1:7" ht="15.75">
      <c r="A81" s="166"/>
      <c r="B81" s="173" t="s">
        <v>302</v>
      </c>
      <c r="C81" s="167"/>
      <c r="D81" s="831" t="s">
        <v>2</v>
      </c>
      <c r="E81" s="832">
        <v>0</v>
      </c>
      <c r="F81" s="832">
        <v>0</v>
      </c>
      <c r="G81" s="833">
        <v>0</v>
      </c>
    </row>
    <row r="82" spans="1:7" ht="15.75">
      <c r="A82" s="166"/>
      <c r="B82" s="173" t="s">
        <v>4</v>
      </c>
      <c r="C82" s="167"/>
      <c r="D82" s="831" t="s">
        <v>3</v>
      </c>
      <c r="E82" s="832">
        <f>E38</f>
        <v>0.13238087220297018</v>
      </c>
      <c r="F82" s="832">
        <f>F38</f>
        <v>0.03226469494124183</v>
      </c>
      <c r="G82" s="833">
        <f>G38</f>
        <v>0.835354432855788</v>
      </c>
    </row>
    <row r="83" spans="1:7" ht="15.75">
      <c r="A83" s="166"/>
      <c r="B83" s="173" t="s">
        <v>6</v>
      </c>
      <c r="C83" s="167"/>
      <c r="D83" s="831" t="s">
        <v>5</v>
      </c>
      <c r="E83" s="832">
        <f>E74</f>
        <v>0.14676202784838313</v>
      </c>
      <c r="F83" s="832">
        <f>F74</f>
        <v>0.029841493694100475</v>
      </c>
      <c r="G83" s="833">
        <f>G74</f>
        <v>0.8233964784575164</v>
      </c>
    </row>
    <row r="84" spans="1:7" ht="15.75">
      <c r="A84" s="166"/>
      <c r="B84" s="173" t="s">
        <v>298</v>
      </c>
      <c r="C84" s="167"/>
      <c r="D84" s="831" t="s">
        <v>7</v>
      </c>
      <c r="E84" s="832">
        <f>E22</f>
        <v>0.09820298909046352</v>
      </c>
      <c r="F84" s="832">
        <f>F22</f>
        <v>0.011325863153640543</v>
      </c>
      <c r="G84" s="833">
        <f>G22</f>
        <v>0.890471147755896</v>
      </c>
    </row>
    <row r="85" spans="1:7" ht="15.75">
      <c r="A85" s="166"/>
      <c r="B85" s="173" t="s">
        <v>292</v>
      </c>
      <c r="C85" s="167"/>
      <c r="D85" s="831" t="s">
        <v>11</v>
      </c>
      <c r="E85" s="832">
        <f>E50</f>
        <v>0.1627144285833068</v>
      </c>
      <c r="F85" s="832">
        <f>F50</f>
        <v>0.03543940630670747</v>
      </c>
      <c r="G85" s="833">
        <f>G50</f>
        <v>0.8018461651099857</v>
      </c>
    </row>
    <row r="86" spans="1:7" ht="15.75">
      <c r="A86" s="166"/>
      <c r="B86" s="173" t="s">
        <v>303</v>
      </c>
      <c r="C86" s="167"/>
      <c r="D86" s="831" t="s">
        <v>18</v>
      </c>
      <c r="E86" s="832">
        <f>E59</f>
        <v>0.15750738967262393</v>
      </c>
      <c r="F86" s="832">
        <f>F59</f>
        <v>0.034894437381768534</v>
      </c>
      <c r="G86" s="833">
        <f>G59</f>
        <v>0.8075981729456075</v>
      </c>
    </row>
    <row r="87" spans="1:7" ht="16.5" thickBot="1">
      <c r="A87" s="166"/>
      <c r="B87" s="173" t="s">
        <v>297</v>
      </c>
      <c r="C87" s="167"/>
      <c r="D87" s="834" t="s">
        <v>19</v>
      </c>
      <c r="E87" s="835">
        <f>E65</f>
        <v>0</v>
      </c>
      <c r="F87" s="835">
        <f>F65</f>
        <v>0.0423265460633028</v>
      </c>
      <c r="G87" s="836">
        <f>G65</f>
        <v>0.9576734539366972</v>
      </c>
    </row>
    <row r="88" spans="1:7" ht="16.5" thickBot="1">
      <c r="A88" s="174"/>
      <c r="B88" s="175"/>
      <c r="C88" s="175"/>
      <c r="D88" s="176"/>
      <c r="E88" s="176"/>
      <c r="F88" s="176"/>
      <c r="G88" s="177"/>
    </row>
    <row r="89" ht="13.5" thickTop="1"/>
  </sheetData>
  <mergeCells count="3">
    <mergeCell ref="C5:E5"/>
    <mergeCell ref="C6:E6"/>
    <mergeCell ref="C7:E7"/>
  </mergeCells>
  <printOptions horizontalCentered="1"/>
  <pageMargins left="0.2" right="0.28" top="0.75" bottom="0.75" header="0.25" footer="0.25"/>
  <pageSetup horizontalDpi="600" verticalDpi="600" orientation="landscape" paperSize="9" scale="70" r:id="rId1"/>
  <headerFooter alignWithMargins="0">
    <oddFooter>&amp;L&amp;F&amp;CPage &amp;P of &amp;N&amp;R&amp;D</oddFooter>
  </headerFooter>
  <rowBreaks count="2" manualBreakCount="2">
    <brk id="39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29"/>
  </sheetPr>
  <dimension ref="A1:F25"/>
  <sheetViews>
    <sheetView zoomScaleSheetLayoutView="75" workbookViewId="0" topLeftCell="A1">
      <selection activeCell="C7" sqref="C7:E7"/>
    </sheetView>
  </sheetViews>
  <sheetFormatPr defaultColWidth="9.00390625" defaultRowHeight="15.75"/>
  <cols>
    <col min="1" max="1" width="6.75390625" style="0" customWidth="1"/>
    <col min="2" max="2" width="52.625" style="0" customWidth="1"/>
    <col min="3" max="3" width="13.00390625" style="0" customWidth="1"/>
    <col min="4" max="4" width="12.875" style="0" customWidth="1"/>
    <col min="5" max="6" width="12.50390625" style="0" customWidth="1"/>
  </cols>
  <sheetData>
    <row r="1" spans="1:6" ht="19.5" thickTop="1">
      <c r="A1" s="226" t="s">
        <v>89</v>
      </c>
      <c r="B1" s="298"/>
      <c r="C1" s="298"/>
      <c r="D1" s="298"/>
      <c r="E1" s="298"/>
      <c r="F1" s="355"/>
    </row>
    <row r="2" spans="1:6" ht="15.75">
      <c r="A2" s="230" t="s">
        <v>91</v>
      </c>
      <c r="B2" s="135"/>
      <c r="C2" s="135"/>
      <c r="D2" s="135"/>
      <c r="E2" s="135"/>
      <c r="F2" s="356"/>
    </row>
    <row r="3" spans="1:6" ht="15.75">
      <c r="A3" s="232" t="s">
        <v>400</v>
      </c>
      <c r="B3" s="136"/>
      <c r="C3" s="202"/>
      <c r="D3" s="20"/>
      <c r="E3" s="203"/>
      <c r="F3" s="233"/>
    </row>
    <row r="4" spans="1:6" ht="12" customHeight="1" thickBot="1">
      <c r="A4" s="481"/>
      <c r="B4" s="136"/>
      <c r="C4" s="202"/>
      <c r="D4" s="20"/>
      <c r="E4" s="203"/>
      <c r="F4" s="233"/>
    </row>
    <row r="5" spans="1:6" ht="15.75">
      <c r="A5" s="481"/>
      <c r="B5" s="726" t="s">
        <v>460</v>
      </c>
      <c r="C5" s="852" t="s">
        <v>473</v>
      </c>
      <c r="D5" s="853"/>
      <c r="E5" s="854"/>
      <c r="F5" s="233"/>
    </row>
    <row r="6" spans="1:6" ht="15.75">
      <c r="A6" s="481"/>
      <c r="B6" s="726" t="s">
        <v>462</v>
      </c>
      <c r="C6" s="855">
        <v>2006</v>
      </c>
      <c r="D6" s="856"/>
      <c r="E6" s="857"/>
      <c r="F6" s="233"/>
    </row>
    <row r="7" spans="1:6" ht="16.5" thickBot="1">
      <c r="A7" s="481"/>
      <c r="B7" s="726" t="s">
        <v>463</v>
      </c>
      <c r="C7" s="850">
        <v>39575</v>
      </c>
      <c r="D7" s="851"/>
      <c r="E7" s="883"/>
      <c r="F7" s="233"/>
    </row>
    <row r="8" spans="1:6" s="736" customFormat="1" ht="15.75">
      <c r="A8" s="734"/>
      <c r="B8" s="735"/>
      <c r="C8" s="258"/>
      <c r="D8" s="258"/>
      <c r="E8" s="258"/>
      <c r="F8" s="233"/>
    </row>
    <row r="9" spans="1:6" ht="15.75">
      <c r="A9" s="481" t="s">
        <v>265</v>
      </c>
      <c r="B9" s="136"/>
      <c r="C9" s="202"/>
      <c r="D9" s="20"/>
      <c r="E9" s="203"/>
      <c r="F9" s="233"/>
    </row>
    <row r="10" spans="1:6" ht="17.25" customHeight="1" thickBot="1">
      <c r="A10" s="847" t="s">
        <v>470</v>
      </c>
      <c r="B10" s="848"/>
      <c r="C10" s="848"/>
      <c r="D10" s="848"/>
      <c r="E10" s="848"/>
      <c r="F10" s="849"/>
    </row>
    <row r="11" spans="1:6" ht="15.75">
      <c r="A11" s="884" t="s">
        <v>12</v>
      </c>
      <c r="B11" s="866"/>
      <c r="C11" s="874" t="s">
        <v>14</v>
      </c>
      <c r="D11" s="871" t="s">
        <v>15</v>
      </c>
      <c r="E11" s="871" t="s">
        <v>16</v>
      </c>
      <c r="F11" s="475" t="s">
        <v>10</v>
      </c>
    </row>
    <row r="12" spans="1:6" ht="16.5" thickBot="1">
      <c r="A12" s="885"/>
      <c r="B12" s="870"/>
      <c r="C12" s="876"/>
      <c r="D12" s="873"/>
      <c r="E12" s="873"/>
      <c r="F12" s="471" t="s">
        <v>17</v>
      </c>
    </row>
    <row r="13" spans="1:6" ht="15.75">
      <c r="A13" s="357" t="s">
        <v>186</v>
      </c>
      <c r="B13" s="49"/>
      <c r="C13" s="54"/>
      <c r="D13" s="204"/>
      <c r="E13" s="204"/>
      <c r="F13" s="358"/>
    </row>
    <row r="14" spans="1:6" ht="15.75">
      <c r="A14" s="359"/>
      <c r="B14" s="575" t="s">
        <v>187</v>
      </c>
      <c r="C14" s="795">
        <f>'Sch 3 - Expenses'!G36</f>
        <v>49515757</v>
      </c>
      <c r="D14" s="795">
        <f>'Sch 3 - Expenses'!H36</f>
        <v>49515757</v>
      </c>
      <c r="E14" s="795">
        <f>'Sch 3 - Expenses'!I36</f>
        <v>0</v>
      </c>
      <c r="F14" s="796">
        <f>'Sch 3 - Expenses'!J36</f>
        <v>0</v>
      </c>
    </row>
    <row r="15" spans="1:6" ht="15.75">
      <c r="A15" s="359"/>
      <c r="B15" s="575" t="s">
        <v>266</v>
      </c>
      <c r="C15" s="795">
        <f>'Sch 3 - Expenses'!G42</f>
        <v>19786</v>
      </c>
      <c r="D15" s="795">
        <f>'Sch 3 - Expenses'!H42</f>
        <v>0</v>
      </c>
      <c r="E15" s="795">
        <f>'Sch 3 - Expenses'!I42</f>
        <v>19786</v>
      </c>
      <c r="F15" s="796">
        <f>'Sch 3 - Expenses'!J42</f>
        <v>0</v>
      </c>
    </row>
    <row r="16" spans="1:6" ht="15.75">
      <c r="A16" s="359"/>
      <c r="B16" s="575" t="s">
        <v>288</v>
      </c>
      <c r="C16" s="795">
        <f>'Sch 3 - Expenses'!G47</f>
        <v>2589027</v>
      </c>
      <c r="D16" s="795">
        <f>'Sch 3 - Expenses'!H47</f>
        <v>0</v>
      </c>
      <c r="E16" s="795">
        <f>'Sch 3 - Expenses'!I47</f>
        <v>0</v>
      </c>
      <c r="F16" s="796">
        <f>'Sch 3 - Expenses'!J47</f>
        <v>2589027</v>
      </c>
    </row>
    <row r="17" spans="1:6" ht="15.75">
      <c r="A17" s="359"/>
      <c r="B17" s="575" t="s">
        <v>309</v>
      </c>
      <c r="C17" s="795">
        <f>'Sch 3 - Expenses'!G55</f>
        <v>1658581</v>
      </c>
      <c r="D17" s="795">
        <f>'Sch 3 - Expenses'!H55</f>
        <v>0</v>
      </c>
      <c r="E17" s="795">
        <f>'Sch 3 - Expenses'!I55</f>
        <v>0</v>
      </c>
      <c r="F17" s="796">
        <f>'Sch 3 - Expenses'!J55</f>
        <v>1658581</v>
      </c>
    </row>
    <row r="18" spans="1:6" ht="15.75">
      <c r="A18" s="359"/>
      <c r="B18" s="575" t="s">
        <v>188</v>
      </c>
      <c r="C18" s="795">
        <f>'Sch 3 - Expenses'!G75</f>
        <v>4081116</v>
      </c>
      <c r="D18" s="795">
        <f>'Sch 3 - Expenses'!H75</f>
        <v>367692.9648937603</v>
      </c>
      <c r="E18" s="795">
        <f>'Sch 3 - Expenses'!I75</f>
        <v>44595.313936727965</v>
      </c>
      <c r="F18" s="796">
        <f>'Sch 3 - Expenses'!J75</f>
        <v>3668827.721169512</v>
      </c>
    </row>
    <row r="19" spans="1:6" ht="15.75">
      <c r="A19" s="359"/>
      <c r="B19" s="575" t="s">
        <v>409</v>
      </c>
      <c r="C19" s="795">
        <f>'Sch 3 - Expenses'!G16+'Sch 3 - Expenses'!G20+'Sch 3 - Expenses'!G27+'Sch 3 - Expenses'!G31+'Sch 3 - Expenses'!G34+'Sch 3 - Expenses'!G35</f>
        <v>41464180</v>
      </c>
      <c r="D19" s="795">
        <f>'Sch 3 - Expenses'!H16+'Sch 3 - Expenses'!H20+'Sch 3 - Expenses'!H27+'Sch 3 - Expenses'!H31+'Sch 3 - Expenses'!H34+'Sch 3 - Expenses'!H35</f>
        <v>41464180</v>
      </c>
      <c r="E19" s="795">
        <f>'Sch 3 - Expenses'!I16+'Sch 3 - Expenses'!I20+'Sch 3 - Expenses'!I27+'Sch 3 - Expenses'!I31+'Sch 3 - Expenses'!I34+'Sch 3 - Expenses'!I35</f>
        <v>0</v>
      </c>
      <c r="F19" s="796">
        <f>'Sch 3 - Expenses'!J16+'Sch 3 - Expenses'!J20+'Sch 3 - Expenses'!J27+'Sch 3 - Expenses'!J31+'Sch 3 - Expenses'!J34+'Sch 3 - Expenses'!J35</f>
        <v>0</v>
      </c>
    </row>
    <row r="20" spans="1:6" ht="15.75">
      <c r="A20" s="323" t="s">
        <v>190</v>
      </c>
      <c r="B20" s="49"/>
      <c r="C20" s="673">
        <f>SUM(C14:C18)-C19</f>
        <v>16400087</v>
      </c>
      <c r="D20" s="673">
        <f>SUM(D14:D18)-D19</f>
        <v>8419269.964893758</v>
      </c>
      <c r="E20" s="673">
        <f>SUM(E14:E18)-E19</f>
        <v>64381.313936727965</v>
      </c>
      <c r="F20" s="674">
        <f>SUM(F14:F18)-F19</f>
        <v>7916435.721169512</v>
      </c>
    </row>
    <row r="21" spans="1:6" ht="15.75">
      <c r="A21" s="360"/>
      <c r="B21" s="49"/>
      <c r="C21" s="204"/>
      <c r="D21" s="204"/>
      <c r="E21" s="204"/>
      <c r="F21" s="361"/>
    </row>
    <row r="22" spans="1:6" ht="15.75">
      <c r="A22" s="234" t="s">
        <v>191</v>
      </c>
      <c r="B22" s="132"/>
      <c r="C22" s="205"/>
      <c r="D22" s="205"/>
      <c r="E22" s="205"/>
      <c r="F22" s="362"/>
    </row>
    <row r="23" spans="1:6" ht="15.75">
      <c r="A23" s="238" t="s">
        <v>189</v>
      </c>
      <c r="B23" s="104"/>
      <c r="C23" s="673">
        <f>C20/8</f>
        <v>2050010.875</v>
      </c>
      <c r="D23" s="673">
        <f>D20/8</f>
        <v>1052408.7456117198</v>
      </c>
      <c r="E23" s="673">
        <f>E20/8</f>
        <v>8047.664242090996</v>
      </c>
      <c r="F23" s="674">
        <f>F20/8</f>
        <v>989554.465146189</v>
      </c>
    </row>
    <row r="24" spans="1:6" ht="15.75">
      <c r="A24" s="322"/>
      <c r="B24" s="128"/>
      <c r="C24" s="153"/>
      <c r="D24" s="153"/>
      <c r="E24" s="153"/>
      <c r="F24" s="347"/>
    </row>
    <row r="25" spans="1:6" ht="16.5" thickBot="1">
      <c r="A25" s="290"/>
      <c r="B25" s="291"/>
      <c r="C25" s="291"/>
      <c r="D25" s="291"/>
      <c r="E25" s="291"/>
      <c r="F25" s="292"/>
    </row>
    <row r="26" ht="16.5" thickTop="1"/>
  </sheetData>
  <mergeCells count="8">
    <mergeCell ref="A11:B12"/>
    <mergeCell ref="C11:C12"/>
    <mergeCell ref="D11:D12"/>
    <mergeCell ref="E11:E12"/>
    <mergeCell ref="A10:F10"/>
    <mergeCell ref="C5:E5"/>
    <mergeCell ref="C6:E6"/>
    <mergeCell ref="C7:E7"/>
  </mergeCells>
  <printOptions horizontalCentered="1"/>
  <pageMargins left="0.2" right="0.28" top="0.75" bottom="0.75" header="0.25" footer="0.25"/>
  <pageSetup horizontalDpi="600" verticalDpi="600" orientation="landscape" paperSize="9" scale="95" r:id="rId1"/>
  <headerFooter alignWithMargins="0">
    <oddFooter>&amp;L&amp;F&amp;CPage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2"/>
  </sheetPr>
  <dimension ref="A1:Q128"/>
  <sheetViews>
    <sheetView showZeros="0" view="pageBreakPreview" zoomScaleSheetLayoutView="100" workbookViewId="0" topLeftCell="A10">
      <selection activeCell="D8" sqref="D8"/>
    </sheetView>
  </sheetViews>
  <sheetFormatPr defaultColWidth="9.00390625" defaultRowHeight="15.75"/>
  <cols>
    <col min="1" max="1" width="29.625" style="9" customWidth="1"/>
    <col min="2" max="2" width="17.75390625" style="9" customWidth="1"/>
    <col min="3" max="3" width="14.125" style="9" customWidth="1"/>
    <col min="4" max="4" width="9.875" style="9" customWidth="1"/>
    <col min="5" max="5" width="17.375" style="9" bestFit="1" customWidth="1"/>
    <col min="6" max="6" width="11.875" style="9" customWidth="1"/>
    <col min="7" max="7" width="18.50390625" style="9" customWidth="1"/>
    <col min="8" max="8" width="16.625" style="9" customWidth="1"/>
    <col min="9" max="9" width="2.75390625" style="9" customWidth="1"/>
    <col min="10" max="11" width="9.625" style="9" customWidth="1"/>
    <col min="12" max="12" width="10.50390625" style="9" customWidth="1"/>
    <col min="13" max="16384" width="9.00390625" style="9" customWidth="1"/>
  </cols>
  <sheetData>
    <row r="1" spans="1:17" s="1" customFormat="1" ht="19.5" customHeight="1" thickTop="1">
      <c r="A1" s="226" t="s">
        <v>89</v>
      </c>
      <c r="B1" s="363"/>
      <c r="C1" s="363"/>
      <c r="D1" s="363"/>
      <c r="E1" s="363"/>
      <c r="F1" s="364"/>
      <c r="G1" s="364"/>
      <c r="H1" s="365"/>
      <c r="I1"/>
      <c r="J1"/>
      <c r="K1"/>
      <c r="L1" s="63"/>
      <c r="M1" s="56"/>
      <c r="N1" s="65"/>
      <c r="O1" s="14"/>
      <c r="P1" s="14"/>
      <c r="Q1" s="14"/>
    </row>
    <row r="2" spans="1:17" s="1" customFormat="1" ht="19.5" customHeight="1">
      <c r="A2" s="230" t="s">
        <v>91</v>
      </c>
      <c r="B2" s="135"/>
      <c r="C2" s="135"/>
      <c r="D2" s="135"/>
      <c r="E2" s="135"/>
      <c r="F2" s="207"/>
      <c r="G2" s="207"/>
      <c r="H2" s="366"/>
      <c r="I2"/>
      <c r="J2"/>
      <c r="K2"/>
      <c r="L2" s="63"/>
      <c r="M2" s="56"/>
      <c r="N2" s="65"/>
      <c r="O2" s="14"/>
      <c r="P2" s="14"/>
      <c r="Q2" s="14"/>
    </row>
    <row r="3" spans="1:17" s="1" customFormat="1" ht="19.5" customHeight="1">
      <c r="A3" s="232" t="s">
        <v>400</v>
      </c>
      <c r="B3" s="135"/>
      <c r="C3" s="135"/>
      <c r="D3" s="135"/>
      <c r="E3" s="135"/>
      <c r="F3" s="207"/>
      <c r="G3" s="207"/>
      <c r="H3" s="366"/>
      <c r="I3"/>
      <c r="J3"/>
      <c r="K3"/>
      <c r="L3" s="63"/>
      <c r="M3" s="56"/>
      <c r="N3" s="65"/>
      <c r="O3" s="14"/>
      <c r="P3" s="14"/>
      <c r="Q3" s="14"/>
    </row>
    <row r="4" spans="1:17" s="1" customFormat="1" ht="12" customHeight="1" thickBot="1">
      <c r="A4" s="232"/>
      <c r="B4" s="135"/>
      <c r="C4" s="135"/>
      <c r="D4" s="135"/>
      <c r="E4" s="135"/>
      <c r="F4" s="207"/>
      <c r="G4" s="207"/>
      <c r="H4" s="366"/>
      <c r="I4"/>
      <c r="J4"/>
      <c r="K4"/>
      <c r="L4" s="63"/>
      <c r="M4" s="56"/>
      <c r="N4" s="65"/>
      <c r="O4" s="14"/>
      <c r="P4" s="14"/>
      <c r="Q4" s="14"/>
    </row>
    <row r="5" spans="1:17" s="1" customFormat="1" ht="15.75" customHeight="1">
      <c r="A5" s="232"/>
      <c r="B5" s="135"/>
      <c r="C5" s="726" t="s">
        <v>460</v>
      </c>
      <c r="D5" s="852" t="s">
        <v>472</v>
      </c>
      <c r="E5" s="853"/>
      <c r="F5" s="854"/>
      <c r="G5" s="207"/>
      <c r="H5" s="366"/>
      <c r="I5"/>
      <c r="J5"/>
      <c r="K5"/>
      <c r="L5" s="63"/>
      <c r="M5" s="56"/>
      <c r="N5" s="65"/>
      <c r="O5" s="14"/>
      <c r="P5" s="14"/>
      <c r="Q5" s="14"/>
    </row>
    <row r="6" spans="1:17" s="1" customFormat="1" ht="15.75" customHeight="1">
      <c r="A6" s="232"/>
      <c r="B6" s="135"/>
      <c r="C6" s="726" t="s">
        <v>462</v>
      </c>
      <c r="D6" s="855">
        <v>2006</v>
      </c>
      <c r="E6" s="856"/>
      <c r="F6" s="857"/>
      <c r="G6" s="207"/>
      <c r="H6" s="366"/>
      <c r="I6"/>
      <c r="J6"/>
      <c r="K6"/>
      <c r="L6" s="63"/>
      <c r="M6" s="56"/>
      <c r="N6" s="65"/>
      <c r="O6" s="14"/>
      <c r="P6" s="14"/>
      <c r="Q6" s="14"/>
    </row>
    <row r="7" spans="1:17" s="1" customFormat="1" ht="15.75" customHeight="1" thickBot="1">
      <c r="A7" s="232"/>
      <c r="B7" s="135"/>
      <c r="C7" s="726" t="s">
        <v>463</v>
      </c>
      <c r="D7" s="858">
        <v>39575</v>
      </c>
      <c r="E7" s="859"/>
      <c r="F7" s="860"/>
      <c r="G7" s="207"/>
      <c r="H7" s="366"/>
      <c r="I7"/>
      <c r="J7"/>
      <c r="K7"/>
      <c r="L7" s="63"/>
      <c r="M7" s="56"/>
      <c r="N7" s="65"/>
      <c r="O7" s="14"/>
      <c r="P7" s="14"/>
      <c r="Q7" s="14"/>
    </row>
    <row r="8" spans="1:17" s="1" customFormat="1" ht="18.75" customHeight="1">
      <c r="A8" s="481" t="s">
        <v>267</v>
      </c>
      <c r="B8" s="143"/>
      <c r="C8" s="143"/>
      <c r="D8" s="143"/>
      <c r="E8" s="143"/>
      <c r="F8" s="143"/>
      <c r="G8" s="143"/>
      <c r="H8" s="319"/>
      <c r="I8" s="496"/>
      <c r="J8" s="496"/>
      <c r="K8" s="496"/>
      <c r="L8" s="63"/>
      <c r="M8" s="56"/>
      <c r="N8" s="65"/>
      <c r="O8" s="14"/>
      <c r="P8" s="14"/>
      <c r="Q8" s="14"/>
    </row>
    <row r="9" spans="1:17" s="1" customFormat="1" ht="6.75" customHeight="1" thickBot="1">
      <c r="A9" s="373"/>
      <c r="B9" s="338"/>
      <c r="C9" s="338"/>
      <c r="D9" s="338"/>
      <c r="E9" s="338"/>
      <c r="F9" s="338"/>
      <c r="G9" s="338"/>
      <c r="H9" s="339"/>
      <c r="I9"/>
      <c r="J9"/>
      <c r="K9"/>
      <c r="L9" s="63"/>
      <c r="M9" s="56"/>
      <c r="N9" s="65"/>
      <c r="O9" s="14"/>
      <c r="P9" s="14"/>
      <c r="Q9" s="14"/>
    </row>
    <row r="10" spans="1:17" s="1" customFormat="1" ht="19.5" customHeight="1">
      <c r="A10" s="518"/>
      <c r="B10" s="519"/>
      <c r="C10" s="519"/>
      <c r="D10" s="525" t="s">
        <v>437</v>
      </c>
      <c r="E10" s="520"/>
      <c r="F10" s="511"/>
      <c r="G10" s="511"/>
      <c r="H10" s="512"/>
      <c r="I10"/>
      <c r="J10"/>
      <c r="K10"/>
      <c r="L10" s="63"/>
      <c r="M10" s="56"/>
      <c r="N10" s="65"/>
      <c r="O10" s="14"/>
      <c r="P10" s="14"/>
      <c r="Q10" s="14"/>
    </row>
    <row r="11" spans="1:17" s="1" customFormat="1" ht="19.5" customHeight="1">
      <c r="A11" s="518"/>
      <c r="B11" s="519"/>
      <c r="C11" s="519"/>
      <c r="D11" s="522" t="s">
        <v>435</v>
      </c>
      <c r="E11" s="662">
        <f>E35</f>
        <v>0</v>
      </c>
      <c r="F11" s="511"/>
      <c r="G11" s="511"/>
      <c r="H11" s="512"/>
      <c r="I11"/>
      <c r="J11"/>
      <c r="K11"/>
      <c r="L11" s="63"/>
      <c r="M11" s="56"/>
      <c r="N11" s="65"/>
      <c r="O11" s="14"/>
      <c r="P11" s="14"/>
      <c r="Q11" s="14"/>
    </row>
    <row r="12" spans="1:17" s="1" customFormat="1" ht="19.5" customHeight="1">
      <c r="A12" s="521"/>
      <c r="B12" s="519"/>
      <c r="C12" s="519"/>
      <c r="D12" s="523" t="s">
        <v>434</v>
      </c>
      <c r="E12" s="663">
        <f>E90</f>
        <v>0</v>
      </c>
      <c r="F12" s="513"/>
      <c r="G12" s="513"/>
      <c r="H12" s="514"/>
      <c r="I12"/>
      <c r="J12"/>
      <c r="K12"/>
      <c r="L12" s="63"/>
      <c r="M12" s="56"/>
      <c r="N12" s="65"/>
      <c r="O12" s="14"/>
      <c r="P12" s="14"/>
      <c r="Q12" s="14"/>
    </row>
    <row r="13" spans="1:17" s="1" customFormat="1" ht="19.5" customHeight="1" thickBot="1">
      <c r="A13" s="521"/>
      <c r="B13" s="524"/>
      <c r="C13" s="519"/>
      <c r="D13" s="523" t="s">
        <v>450</v>
      </c>
      <c r="E13" s="664">
        <f>E118</f>
        <v>0.04001982483535882</v>
      </c>
      <c r="F13" s="143"/>
      <c r="G13" s="143"/>
      <c r="H13" s="319"/>
      <c r="I13"/>
      <c r="J13"/>
      <c r="K13"/>
      <c r="L13" s="63"/>
      <c r="M13" s="56"/>
      <c r="N13" s="65"/>
      <c r="O13" s="14"/>
      <c r="P13" s="14"/>
      <c r="Q13" s="14"/>
    </row>
    <row r="14" spans="1:17" s="1" customFormat="1" ht="19.5" customHeight="1" thickBot="1">
      <c r="A14" s="521"/>
      <c r="B14" s="524"/>
      <c r="C14" s="524"/>
      <c r="D14" s="523" t="s">
        <v>438</v>
      </c>
      <c r="E14" s="802">
        <f>SUM(E11:E13)</f>
        <v>0.04001982483535882</v>
      </c>
      <c r="F14" s="515"/>
      <c r="G14" s="515"/>
      <c r="H14" s="516"/>
      <c r="I14"/>
      <c r="J14"/>
      <c r="K14"/>
      <c r="L14" s="63"/>
      <c r="M14" s="56"/>
      <c r="N14" s="65"/>
      <c r="O14" s="14"/>
      <c r="P14" s="14"/>
      <c r="Q14" s="14"/>
    </row>
    <row r="15" spans="1:17" s="1" customFormat="1" ht="12" customHeight="1" thickBot="1">
      <c r="A15" s="321"/>
      <c r="B15" s="207"/>
      <c r="C15" s="207"/>
      <c r="D15" s="207"/>
      <c r="E15" s="207"/>
      <c r="F15" s="207"/>
      <c r="G15" s="128"/>
      <c r="H15" s="315"/>
      <c r="I15"/>
      <c r="J15"/>
      <c r="K15"/>
      <c r="L15" s="63"/>
      <c r="M15" s="56"/>
      <c r="N15" s="65"/>
      <c r="O15" s="14"/>
      <c r="P15" s="14"/>
      <c r="Q15" s="14"/>
    </row>
    <row r="16" spans="1:17" s="1" customFormat="1" ht="24.75" customHeight="1" thickBot="1">
      <c r="A16" s="480" t="s">
        <v>356</v>
      </c>
      <c r="B16" s="374"/>
      <c r="C16" s="375"/>
      <c r="D16" s="376"/>
      <c r="E16" s="377"/>
      <c r="F16" s="208" t="s">
        <v>9</v>
      </c>
      <c r="G16" s="145"/>
      <c r="H16" s="367"/>
      <c r="I16" s="8"/>
      <c r="J16" s="21"/>
      <c r="K16" s="22"/>
      <c r="L16" s="63"/>
      <c r="M16" s="56"/>
      <c r="N16" s="65"/>
      <c r="O16" s="14"/>
      <c r="P16" s="14"/>
      <c r="Q16" s="14"/>
    </row>
    <row r="17" spans="1:17" s="1" customFormat="1" ht="12" customHeight="1">
      <c r="A17" s="289"/>
      <c r="B17" s="209"/>
      <c r="C17" s="210"/>
      <c r="D17" s="211"/>
      <c r="E17" s="211"/>
      <c r="F17" s="212"/>
      <c r="G17" s="7"/>
      <c r="H17" s="368"/>
      <c r="I17" s="8"/>
      <c r="J17" s="21"/>
      <c r="K17" s="22"/>
      <c r="L17" s="63"/>
      <c r="M17" s="56"/>
      <c r="N17" s="65"/>
      <c r="O17" s="14"/>
      <c r="P17" s="14"/>
      <c r="Q17" s="14"/>
    </row>
    <row r="18" spans="1:17" s="1" customFormat="1" ht="15" customHeight="1">
      <c r="A18" s="369" t="s">
        <v>168</v>
      </c>
      <c r="B18" s="213"/>
      <c r="C18" s="214"/>
      <c r="D18" s="215"/>
      <c r="E18" s="211"/>
      <c r="F18" s="212"/>
      <c r="G18" s="7"/>
      <c r="H18" s="368"/>
      <c r="I18" s="8"/>
      <c r="J18" s="21"/>
      <c r="K18" s="22"/>
      <c r="L18" s="63"/>
      <c r="M18" s="56"/>
      <c r="N18" s="65"/>
      <c r="O18" s="14"/>
      <c r="P18" s="14"/>
      <c r="Q18" s="14"/>
    </row>
    <row r="19" spans="1:17" s="1" customFormat="1" ht="15" customHeight="1">
      <c r="A19" s="405" t="s">
        <v>376</v>
      </c>
      <c r="B19" s="213"/>
      <c r="C19" s="214"/>
      <c r="D19" s="215"/>
      <c r="E19" s="211"/>
      <c r="F19" s="212"/>
      <c r="G19" s="7"/>
      <c r="H19" s="368"/>
      <c r="I19" s="8"/>
      <c r="J19" s="21"/>
      <c r="K19" s="22"/>
      <c r="L19" s="63"/>
      <c r="M19" s="56"/>
      <c r="N19" s="65"/>
      <c r="O19" s="14"/>
      <c r="P19" s="14"/>
      <c r="Q19" s="14"/>
    </row>
    <row r="20" spans="1:17" s="1" customFormat="1" ht="15" customHeight="1">
      <c r="A20" s="405" t="s">
        <v>377</v>
      </c>
      <c r="B20" s="213"/>
      <c r="C20" s="214"/>
      <c r="D20" s="215"/>
      <c r="E20" s="211"/>
      <c r="F20" s="212"/>
      <c r="G20" s="7"/>
      <c r="H20" s="368"/>
      <c r="I20" s="8"/>
      <c r="J20" s="21"/>
      <c r="K20" s="22"/>
      <c r="L20" s="63"/>
      <c r="M20" s="56"/>
      <c r="N20" s="65"/>
      <c r="O20" s="14"/>
      <c r="P20" s="14"/>
      <c r="Q20" s="14"/>
    </row>
    <row r="21" spans="1:17" s="1" customFormat="1" ht="15" customHeight="1" thickBot="1">
      <c r="A21" s="369"/>
      <c r="B21" s="213"/>
      <c r="C21" s="214"/>
      <c r="D21" s="128"/>
      <c r="E21" s="128"/>
      <c r="F21" s="212"/>
      <c r="G21" s="7"/>
      <c r="H21" s="368"/>
      <c r="I21" s="8"/>
      <c r="J21" s="21"/>
      <c r="K21" s="22"/>
      <c r="L21" s="63"/>
      <c r="M21" s="56"/>
      <c r="N21" s="65"/>
      <c r="O21" s="14"/>
      <c r="P21" s="14"/>
      <c r="Q21" s="14"/>
    </row>
    <row r="22" spans="1:17" s="1" customFormat="1" ht="15" customHeight="1">
      <c r="A22" s="409"/>
      <c r="B22" s="890" t="s">
        <v>306</v>
      </c>
      <c r="C22" s="890"/>
      <c r="D22" s="888" t="s">
        <v>305</v>
      </c>
      <c r="E22" s="889"/>
      <c r="F22" s="219"/>
      <c r="G22" s="128"/>
      <c r="H22" s="315"/>
      <c r="I22" s="9"/>
      <c r="J22" s="9"/>
      <c r="K22" s="9"/>
      <c r="L22" s="9"/>
      <c r="M22" s="9"/>
      <c r="N22" s="9"/>
      <c r="O22" s="9"/>
      <c r="P22" s="14"/>
      <c r="Q22" s="14"/>
    </row>
    <row r="23" spans="1:17" s="1" customFormat="1" ht="15.75" customHeight="1" thickBot="1">
      <c r="A23" s="427" t="s">
        <v>88</v>
      </c>
      <c r="B23" s="423" t="s">
        <v>158</v>
      </c>
      <c r="C23" s="423" t="s">
        <v>307</v>
      </c>
      <c r="D23" s="424" t="s">
        <v>304</v>
      </c>
      <c r="E23" s="428" t="s">
        <v>92</v>
      </c>
      <c r="F23" s="216"/>
      <c r="G23" s="128"/>
      <c r="H23" s="315"/>
      <c r="I23" s="9"/>
      <c r="J23" s="9"/>
      <c r="K23" s="9"/>
      <c r="L23" s="9"/>
      <c r="M23" s="9"/>
      <c r="N23" s="9"/>
      <c r="O23" s="9"/>
      <c r="P23" s="14"/>
      <c r="Q23" s="14"/>
    </row>
    <row r="24" spans="1:17" s="526" customFormat="1" ht="15.75" customHeight="1">
      <c r="A24" s="576" t="s">
        <v>93</v>
      </c>
      <c r="B24" s="577"/>
      <c r="C24" s="578">
        <f>IF($B$27=0,0,B24/$B$27)</f>
        <v>0</v>
      </c>
      <c r="D24" s="579"/>
      <c r="E24" s="580">
        <f>ROUNDUP(D24*C24,5)</f>
        <v>0</v>
      </c>
      <c r="F24" s="216"/>
      <c r="G24" s="581"/>
      <c r="H24" s="347"/>
      <c r="I24" s="98"/>
      <c r="J24" s="98"/>
      <c r="K24" s="98"/>
      <c r="L24" s="98"/>
      <c r="M24" s="98"/>
      <c r="N24" s="98"/>
      <c r="O24" s="98"/>
      <c r="P24" s="14"/>
      <c r="Q24" s="14"/>
    </row>
    <row r="25" spans="1:17" s="526" customFormat="1" ht="15.75" customHeight="1">
      <c r="A25" s="582" t="s">
        <v>94</v>
      </c>
      <c r="B25" s="577"/>
      <c r="C25" s="583">
        <f>IF($B$27=0,0,B25/$B$27)</f>
        <v>0</v>
      </c>
      <c r="D25" s="584"/>
      <c r="E25" s="585">
        <f>ROUNDUP(D25*C25,5)</f>
        <v>0</v>
      </c>
      <c r="F25" s="517"/>
      <c r="G25" s="581"/>
      <c r="H25" s="347"/>
      <c r="I25" s="98"/>
      <c r="J25" s="98"/>
      <c r="K25" s="98"/>
      <c r="L25" s="98"/>
      <c r="M25" s="98"/>
      <c r="N25" s="98"/>
      <c r="O25" s="98"/>
      <c r="P25" s="14"/>
      <c r="Q25" s="14"/>
    </row>
    <row r="26" spans="1:17" s="526" customFormat="1" ht="15.75" customHeight="1">
      <c r="A26" s="582" t="s">
        <v>95</v>
      </c>
      <c r="B26" s="577"/>
      <c r="C26" s="583">
        <f>IF($B$27=0,0,B26/$B$27)</f>
        <v>0</v>
      </c>
      <c r="D26" s="584"/>
      <c r="E26" s="585">
        <f>ROUNDUP(D26*C26,5)</f>
        <v>0</v>
      </c>
      <c r="F26" s="517"/>
      <c r="G26" s="581"/>
      <c r="H26" s="347"/>
      <c r="I26" s="98"/>
      <c r="J26" s="98"/>
      <c r="K26" s="98"/>
      <c r="L26" s="98"/>
      <c r="M26" s="98"/>
      <c r="N26" s="98"/>
      <c r="O26" s="98"/>
      <c r="P26" s="14"/>
      <c r="Q26" s="14"/>
    </row>
    <row r="27" spans="1:17" s="1" customFormat="1" ht="15.75" customHeight="1" thickBot="1">
      <c r="A27" s="411" t="s">
        <v>316</v>
      </c>
      <c r="B27" s="593">
        <f>SUM(B24:B26)</f>
        <v>0</v>
      </c>
      <c r="C27" s="594">
        <f>IF($B$27=0,0,B27/$B$27)</f>
        <v>0</v>
      </c>
      <c r="D27" s="595"/>
      <c r="E27" s="596">
        <f>SUM(E24:E26)</f>
        <v>0</v>
      </c>
      <c r="F27" s="216"/>
      <c r="G27" s="510"/>
      <c r="H27" s="315"/>
      <c r="I27" s="9"/>
      <c r="J27" s="9"/>
      <c r="K27" s="9"/>
      <c r="L27" s="9"/>
      <c r="M27" s="9"/>
      <c r="N27" s="9"/>
      <c r="O27" s="9"/>
      <c r="P27" s="14"/>
      <c r="Q27" s="14"/>
    </row>
    <row r="28" spans="1:17" s="1" customFormat="1" ht="15" customHeight="1">
      <c r="A28" s="246"/>
      <c r="B28" s="92"/>
      <c r="C28" s="92"/>
      <c r="D28" s="592"/>
      <c r="E28" s="219"/>
      <c r="F28" s="216"/>
      <c r="G28" s="218"/>
      <c r="H28" s="315"/>
      <c r="I28" s="9"/>
      <c r="J28" s="9"/>
      <c r="K28" s="9"/>
      <c r="L28" s="9"/>
      <c r="M28" s="9"/>
      <c r="N28" s="9"/>
      <c r="O28" s="9"/>
      <c r="P28" s="14"/>
      <c r="Q28" s="14"/>
    </row>
    <row r="29" spans="1:17" s="1" customFormat="1" ht="15" customHeight="1">
      <c r="A29" s="289" t="s">
        <v>96</v>
      </c>
      <c r="B29" s="209"/>
      <c r="C29" s="131"/>
      <c r="D29" s="105"/>
      <c r="E29" s="217"/>
      <c r="F29" s="216"/>
      <c r="G29" s="128"/>
      <c r="H29" s="315"/>
      <c r="I29" s="9"/>
      <c r="J29" s="9"/>
      <c r="K29" s="9"/>
      <c r="L29" s="9"/>
      <c r="M29" s="9"/>
      <c r="N29" s="9"/>
      <c r="O29" s="9"/>
      <c r="P29" s="14"/>
      <c r="Q29" s="14"/>
    </row>
    <row r="30" spans="1:17" s="1" customFormat="1" ht="15" customHeight="1">
      <c r="A30" s="246"/>
      <c r="B30" s="131"/>
      <c r="C30" s="131"/>
      <c r="D30" s="105"/>
      <c r="E30" s="217"/>
      <c r="F30" s="216"/>
      <c r="G30" s="128"/>
      <c r="H30" s="315"/>
      <c r="I30" s="9"/>
      <c r="J30" s="9"/>
      <c r="K30" s="9"/>
      <c r="L30" s="9"/>
      <c r="M30" s="9"/>
      <c r="N30" s="9"/>
      <c r="O30" s="9"/>
      <c r="P30" s="14"/>
      <c r="Q30" s="14"/>
    </row>
    <row r="31" spans="1:17" s="1" customFormat="1" ht="15.75" customHeight="1" thickBot="1">
      <c r="A31" s="289" t="s">
        <v>230</v>
      </c>
      <c r="B31" s="131"/>
      <c r="C31" s="131"/>
      <c r="D31" s="144">
        <v>0.35</v>
      </c>
      <c r="E31" s="128"/>
      <c r="F31" s="219"/>
      <c r="G31" s="220"/>
      <c r="H31" s="315"/>
      <c r="I31" s="9"/>
      <c r="J31" s="9"/>
      <c r="K31" s="9"/>
      <c r="L31" s="9"/>
      <c r="M31" s="9"/>
      <c r="N31" s="9"/>
      <c r="O31" s="9"/>
      <c r="P31" s="14"/>
      <c r="Q31" s="14"/>
    </row>
    <row r="32" spans="1:17" s="1" customFormat="1" ht="15.75" customHeight="1" thickBot="1">
      <c r="A32" s="289" t="s">
        <v>256</v>
      </c>
      <c r="B32" s="131"/>
      <c r="C32" s="131"/>
      <c r="D32" s="131"/>
      <c r="E32" s="597">
        <f>(E27-(E24))*(D31/(1-D31))</f>
        <v>0</v>
      </c>
      <c r="F32" s="221"/>
      <c r="G32" s="128"/>
      <c r="H32" s="315"/>
      <c r="I32" s="9"/>
      <c r="J32" s="9"/>
      <c r="K32" s="9"/>
      <c r="L32" s="9"/>
      <c r="M32" s="9"/>
      <c r="N32" s="9"/>
      <c r="O32" s="9"/>
      <c r="P32" s="14"/>
      <c r="Q32" s="14"/>
    </row>
    <row r="33" spans="1:17" s="1" customFormat="1" ht="15.75" customHeight="1">
      <c r="A33" s="886" t="s">
        <v>308</v>
      </c>
      <c r="B33" s="887"/>
      <c r="C33" s="887"/>
      <c r="D33" s="887"/>
      <c r="E33" s="887"/>
      <c r="F33" s="222"/>
      <c r="G33" s="128"/>
      <c r="H33" s="315"/>
      <c r="I33" s="9"/>
      <c r="J33" s="9"/>
      <c r="K33" s="9"/>
      <c r="L33" s="9"/>
      <c r="M33" s="9"/>
      <c r="N33" s="9"/>
      <c r="O33" s="9"/>
      <c r="P33" s="14"/>
      <c r="Q33" s="14"/>
    </row>
    <row r="34" spans="1:17" s="1" customFormat="1" ht="18" customHeight="1" thickBot="1">
      <c r="A34" s="370"/>
      <c r="B34" s="223"/>
      <c r="C34" s="131"/>
      <c r="D34" s="105"/>
      <c r="E34" s="217"/>
      <c r="F34" s="222"/>
      <c r="G34" s="128"/>
      <c r="H34" s="315"/>
      <c r="I34" s="9"/>
      <c r="J34" s="9"/>
      <c r="K34" s="9"/>
      <c r="L34" s="9"/>
      <c r="M34" s="9"/>
      <c r="N34" s="9"/>
      <c r="O34" s="9"/>
      <c r="P34" s="14"/>
      <c r="Q34" s="14"/>
    </row>
    <row r="35" spans="1:17" s="1" customFormat="1" ht="15.75" customHeight="1" thickBot="1">
      <c r="A35" s="289" t="s">
        <v>98</v>
      </c>
      <c r="B35" s="223"/>
      <c r="C35" s="131"/>
      <c r="D35" s="105"/>
      <c r="E35" s="665">
        <f>E27+E32</f>
        <v>0</v>
      </c>
      <c r="F35" s="222"/>
      <c r="G35" s="128"/>
      <c r="H35" s="315"/>
      <c r="I35" s="9"/>
      <c r="J35" s="9"/>
      <c r="K35" s="9"/>
      <c r="L35" s="9"/>
      <c r="M35" s="9"/>
      <c r="N35" s="9"/>
      <c r="O35" s="9"/>
      <c r="P35" s="14"/>
      <c r="Q35" s="14"/>
    </row>
    <row r="36" spans="1:17" s="1" customFormat="1" ht="15.75" customHeight="1">
      <c r="A36" s="667" t="s">
        <v>257</v>
      </c>
      <c r="B36" s="223"/>
      <c r="C36" s="131"/>
      <c r="D36" s="105"/>
      <c r="E36" s="217"/>
      <c r="F36" s="222"/>
      <c r="G36" s="128"/>
      <c r="H36" s="315"/>
      <c r="I36" s="9"/>
      <c r="J36" s="9"/>
      <c r="K36" s="9"/>
      <c r="L36" s="9"/>
      <c r="M36" s="9"/>
      <c r="N36" s="9"/>
      <c r="O36" s="9"/>
      <c r="P36" s="14"/>
      <c r="Q36" s="14"/>
    </row>
    <row r="37" spans="1:17" s="12" customFormat="1" ht="15" customHeight="1">
      <c r="A37" s="246"/>
      <c r="B37" s="131"/>
      <c r="C37" s="224"/>
      <c r="D37" s="13"/>
      <c r="E37" s="225"/>
      <c r="F37" s="52"/>
      <c r="G37" s="10"/>
      <c r="H37" s="267"/>
      <c r="I37" s="11"/>
      <c r="J37" s="11"/>
      <c r="K37" s="11"/>
      <c r="L37" s="33"/>
      <c r="M37" s="33"/>
      <c r="N37" s="34"/>
      <c r="O37" s="38"/>
      <c r="P37" s="38"/>
      <c r="Q37" s="38"/>
    </row>
    <row r="38" spans="1:8" ht="15.75" customHeight="1" thickBot="1">
      <c r="A38" s="289" t="s">
        <v>258</v>
      </c>
      <c r="B38" s="209"/>
      <c r="C38" s="131"/>
      <c r="D38" s="105"/>
      <c r="E38" s="148"/>
      <c r="F38" s="149"/>
      <c r="G38" s="149"/>
      <c r="H38" s="297"/>
    </row>
    <row r="39" spans="1:8" ht="15.75" customHeight="1">
      <c r="A39" s="289"/>
      <c r="B39" s="209"/>
      <c r="C39" s="131"/>
      <c r="D39" s="105"/>
      <c r="E39" s="379" t="s">
        <v>14</v>
      </c>
      <c r="F39" s="380" t="s">
        <v>15</v>
      </c>
      <c r="G39" s="380" t="s">
        <v>16</v>
      </c>
      <c r="H39" s="412" t="s">
        <v>17</v>
      </c>
    </row>
    <row r="40" spans="1:8" ht="15.75" customHeight="1">
      <c r="A40" s="246" t="s">
        <v>97</v>
      </c>
      <c r="B40" s="131"/>
      <c r="C40" s="131"/>
      <c r="D40" s="131"/>
      <c r="E40" s="586">
        <f>'Sch 1- Rate Base '!G161</f>
        <v>104484435.875</v>
      </c>
      <c r="F40" s="587">
        <f>'Sch 1- Rate Base '!H161</f>
        <v>16245267.391223464</v>
      </c>
      <c r="G40" s="587">
        <f>'Sch 1- Rate Base '!I161</f>
        <v>3390588.05823167</v>
      </c>
      <c r="H40" s="588">
        <f>'Sch 1- Rate Base '!J161</f>
        <v>84848580.42554487</v>
      </c>
    </row>
    <row r="41" spans="1:8" ht="15.75" customHeight="1">
      <c r="A41" s="246" t="s">
        <v>98</v>
      </c>
      <c r="B41" s="131"/>
      <c r="C41" s="131"/>
      <c r="D41" s="131"/>
      <c r="E41" s="589">
        <f>$E$35</f>
        <v>0</v>
      </c>
      <c r="F41" s="590">
        <f>$E$35</f>
        <v>0</v>
      </c>
      <c r="G41" s="590">
        <f>$E$35</f>
        <v>0</v>
      </c>
      <c r="H41" s="591">
        <f>$E$35</f>
        <v>0</v>
      </c>
    </row>
    <row r="42" spans="1:8" ht="15.75" customHeight="1" thickBot="1">
      <c r="A42" s="289" t="s">
        <v>261</v>
      </c>
      <c r="B42" s="209"/>
      <c r="C42" s="209"/>
      <c r="D42" s="209"/>
      <c r="E42" s="598">
        <f>E41*E40</f>
        <v>0</v>
      </c>
      <c r="F42" s="599">
        <f>F41*F40</f>
        <v>0</v>
      </c>
      <c r="G42" s="599">
        <f>G41*G40</f>
        <v>0</v>
      </c>
      <c r="H42" s="600">
        <f>H41*H40</f>
        <v>0</v>
      </c>
    </row>
    <row r="43" spans="1:8" ht="15" customHeight="1">
      <c r="A43" s="666" t="s">
        <v>231</v>
      </c>
      <c r="B43" s="128"/>
      <c r="C43" s="128"/>
      <c r="D43" s="128"/>
      <c r="E43" s="128"/>
      <c r="F43" s="128"/>
      <c r="G43" s="128"/>
      <c r="H43" s="315"/>
    </row>
    <row r="44" spans="1:8" ht="15.75">
      <c r="A44" s="322"/>
      <c r="B44" s="128"/>
      <c r="C44" s="128"/>
      <c r="D44" s="128"/>
      <c r="E44" s="128"/>
      <c r="F44" s="128"/>
      <c r="G44" s="128"/>
      <c r="H44" s="315"/>
    </row>
    <row r="45" spans="1:8" ht="16.5" thickBot="1">
      <c r="A45" s="372"/>
      <c r="B45" s="291"/>
      <c r="C45" s="291"/>
      <c r="D45" s="291"/>
      <c r="E45" s="291"/>
      <c r="F45" s="291"/>
      <c r="G45" s="291"/>
      <c r="H45" s="292"/>
    </row>
    <row r="46" spans="1:8" ht="17.25" thickBot="1" thickTop="1">
      <c r="A46" s="321"/>
      <c r="B46" s="207"/>
      <c r="C46" s="207"/>
      <c r="D46" s="207"/>
      <c r="E46" s="207"/>
      <c r="F46" s="207"/>
      <c r="G46" s="128"/>
      <c r="H46" s="315"/>
    </row>
    <row r="47" spans="1:8" ht="24.75" customHeight="1" thickBot="1">
      <c r="A47" s="480" t="s">
        <v>355</v>
      </c>
      <c r="B47" s="374"/>
      <c r="C47" s="375"/>
      <c r="D47" s="376"/>
      <c r="E47" s="377"/>
      <c r="F47" s="208" t="s">
        <v>9</v>
      </c>
      <c r="G47" s="145"/>
      <c r="H47" s="367"/>
    </row>
    <row r="48" spans="1:9" ht="18.75">
      <c r="A48" s="289" t="s">
        <v>357</v>
      </c>
      <c r="B48" s="209"/>
      <c r="C48" s="210"/>
      <c r="D48" s="211"/>
      <c r="E48" s="211"/>
      <c r="F48" s="212"/>
      <c r="G48" s="7"/>
      <c r="H48" s="368"/>
      <c r="I48" s="15"/>
    </row>
    <row r="49" spans="1:9" ht="15.75">
      <c r="A49" s="369" t="s">
        <v>358</v>
      </c>
      <c r="B49" s="213"/>
      <c r="C49" s="214"/>
      <c r="D49" s="215"/>
      <c r="E49" s="211"/>
      <c r="F49" s="212"/>
      <c r="G49" s="7"/>
      <c r="H49" s="368"/>
      <c r="I49" s="18"/>
    </row>
    <row r="50" spans="1:8" ht="16.5" thickBot="1">
      <c r="A50" s="369"/>
      <c r="B50" s="213"/>
      <c r="C50" s="214"/>
      <c r="D50" s="128"/>
      <c r="E50" s="128"/>
      <c r="F50" s="438"/>
      <c r="G50" s="211"/>
      <c r="H50" s="478"/>
    </row>
    <row r="51" spans="1:8" ht="15.75">
      <c r="A51" s="409"/>
      <c r="B51" s="890" t="s">
        <v>306</v>
      </c>
      <c r="C51" s="890"/>
      <c r="D51" s="888" t="s">
        <v>305</v>
      </c>
      <c r="E51" s="889"/>
      <c r="F51" s="508" t="s">
        <v>433</v>
      </c>
      <c r="G51" s="504" t="s">
        <v>367</v>
      </c>
      <c r="H51" s="505"/>
    </row>
    <row r="52" spans="1:8" ht="16.5" thickBot="1">
      <c r="A52" s="427" t="s">
        <v>88</v>
      </c>
      <c r="B52" s="423" t="s">
        <v>158</v>
      </c>
      <c r="C52" s="423" t="s">
        <v>307</v>
      </c>
      <c r="D52" s="424" t="s">
        <v>304</v>
      </c>
      <c r="E52" s="428" t="s">
        <v>92</v>
      </c>
      <c r="F52" s="509" t="s">
        <v>368</v>
      </c>
      <c r="G52" s="506" t="s">
        <v>369</v>
      </c>
      <c r="H52" s="507"/>
    </row>
    <row r="53" spans="1:8" ht="16.5" thickBot="1">
      <c r="A53" s="601" t="s">
        <v>93</v>
      </c>
      <c r="B53" s="722"/>
      <c r="C53" s="604">
        <f>IF($B$56=0,0,B53/$B$56)</f>
        <v>0</v>
      </c>
      <c r="D53" s="605"/>
      <c r="E53" s="606">
        <f>ROUNDUP(D53*C53,5)</f>
        <v>0</v>
      </c>
      <c r="F53" s="619" t="str">
        <f>IF(B75=0,"0",B75/$B$78)</f>
        <v>0</v>
      </c>
      <c r="G53" s="620">
        <f>E53*$F$53</f>
        <v>0</v>
      </c>
      <c r="H53" s="621">
        <f>C53*$F$53</f>
        <v>0</v>
      </c>
    </row>
    <row r="54" spans="1:8" ht="15.75">
      <c r="A54" s="602" t="s">
        <v>94</v>
      </c>
      <c r="B54" s="656"/>
      <c r="C54" s="578">
        <f>IF($B$56=0,0,B54/$B$56)</f>
        <v>0</v>
      </c>
      <c r="D54" s="584"/>
      <c r="E54" s="585">
        <f>ROUNDUP(D54*C54,5)</f>
        <v>0</v>
      </c>
      <c r="F54" s="622"/>
      <c r="G54" s="623">
        <f>E54*$F$53</f>
        <v>0</v>
      </c>
      <c r="H54" s="624">
        <f>C54*$F$53</f>
        <v>0</v>
      </c>
    </row>
    <row r="55" spans="1:8" ht="15.75">
      <c r="A55" s="602" t="s">
        <v>95</v>
      </c>
      <c r="B55" s="656"/>
      <c r="C55" s="578">
        <f>IF($B$56=0,0,B55/$B$56)</f>
        <v>0</v>
      </c>
      <c r="D55" s="584"/>
      <c r="E55" s="585">
        <f>ROUNDUP(D55*C55,5)</f>
        <v>0</v>
      </c>
      <c r="F55" s="622"/>
      <c r="G55" s="623">
        <f>E55*$F$53</f>
        <v>0</v>
      </c>
      <c r="H55" s="624">
        <f>C55*$F$53</f>
        <v>0</v>
      </c>
    </row>
    <row r="56" spans="1:8" ht="16.5" thickBot="1">
      <c r="A56" s="603" t="s">
        <v>316</v>
      </c>
      <c r="B56" s="721">
        <f>SUM(B53:B55)</f>
        <v>0</v>
      </c>
      <c r="C56" s="725">
        <f>SUM(C53:C55)</f>
        <v>0</v>
      </c>
      <c r="D56" s="595"/>
      <c r="E56" s="625">
        <f>SUM(E53:E55)</f>
        <v>0</v>
      </c>
      <c r="F56" s="626"/>
      <c r="G56" s="627">
        <f>SUM(G53:G55)</f>
        <v>0</v>
      </c>
      <c r="H56" s="628">
        <f>SUM(H53:H55)</f>
        <v>0</v>
      </c>
    </row>
    <row r="57" spans="1:8" ht="15.75">
      <c r="A57" s="246"/>
      <c r="B57" s="131"/>
      <c r="C57" s="131"/>
      <c r="D57" s="105"/>
      <c r="E57" s="217"/>
      <c r="F57" s="479"/>
      <c r="G57" s="415"/>
      <c r="H57" s="414"/>
    </row>
    <row r="58" spans="1:8" ht="15.75">
      <c r="A58" s="369" t="s">
        <v>359</v>
      </c>
      <c r="B58" s="213"/>
      <c r="C58" s="214"/>
      <c r="D58" s="215"/>
      <c r="E58" s="211"/>
      <c r="F58" s="479"/>
      <c r="G58" s="415"/>
      <c r="H58" s="414"/>
    </row>
    <row r="59" spans="1:8" ht="16.5" thickBot="1">
      <c r="A59" s="369"/>
      <c r="B59" s="213"/>
      <c r="C59" s="214"/>
      <c r="D59" s="128"/>
      <c r="E59" s="128"/>
      <c r="F59" s="479"/>
      <c r="G59" s="415"/>
      <c r="H59" s="414"/>
    </row>
    <row r="60" spans="1:8" ht="16.5" thickBot="1">
      <c r="A60" s="429" t="s">
        <v>88</v>
      </c>
      <c r="B60" s="430" t="s">
        <v>158</v>
      </c>
      <c r="C60" s="430" t="s">
        <v>307</v>
      </c>
      <c r="D60" s="431" t="s">
        <v>304</v>
      </c>
      <c r="E60" s="432" t="s">
        <v>92</v>
      </c>
      <c r="F60" s="479"/>
      <c r="G60" s="415"/>
      <c r="H60" s="414"/>
    </row>
    <row r="61" spans="1:8" ht="16.5" thickBot="1">
      <c r="A61" s="421" t="s">
        <v>93</v>
      </c>
      <c r="B61" s="723"/>
      <c r="C61" s="578">
        <f>IF($B$64=0,0,B61/$B$64)</f>
        <v>0</v>
      </c>
      <c r="D61" s="579"/>
      <c r="E61" s="606">
        <f>ROUNDUP(D61*C61,5)</f>
        <v>0</v>
      </c>
      <c r="F61" s="619" t="str">
        <f>IF(B76=0,"0",B76/$B$78)</f>
        <v>0</v>
      </c>
      <c r="G61" s="620">
        <f>E61*$F$61</f>
        <v>0</v>
      </c>
      <c r="H61" s="621">
        <f>C61*$F$61</f>
        <v>0</v>
      </c>
    </row>
    <row r="62" spans="1:8" ht="15.75">
      <c r="A62" s="410" t="s">
        <v>94</v>
      </c>
      <c r="B62" s="724"/>
      <c r="C62" s="583">
        <f>IF($B$64=0,0,B62/$B$64)</f>
        <v>0</v>
      </c>
      <c r="D62" s="584"/>
      <c r="E62" s="585">
        <f>ROUNDUP(D62*C62,5)</f>
        <v>0</v>
      </c>
      <c r="F62" s="622"/>
      <c r="G62" s="623">
        <f>E62*$F$61</f>
        <v>0</v>
      </c>
      <c r="H62" s="624">
        <f>C62*$F$61</f>
        <v>0</v>
      </c>
    </row>
    <row r="63" spans="1:8" ht="15.75">
      <c r="A63" s="410" t="s">
        <v>95</v>
      </c>
      <c r="B63" s="724"/>
      <c r="C63" s="578">
        <f>IF($B$64=0,0,B63/$B$64)</f>
        <v>0</v>
      </c>
      <c r="D63" s="584"/>
      <c r="E63" s="585">
        <f>ROUNDUP(D63*C63,5)</f>
        <v>0</v>
      </c>
      <c r="F63" s="622"/>
      <c r="G63" s="623">
        <f>E63*$F$61</f>
        <v>0</v>
      </c>
      <c r="H63" s="624">
        <f>C63*$F$61</f>
        <v>0</v>
      </c>
    </row>
    <row r="64" spans="1:8" ht="16.5" thickBot="1">
      <c r="A64" s="411" t="s">
        <v>316</v>
      </c>
      <c r="B64" s="721">
        <f>SUM(B61:B63)</f>
        <v>0</v>
      </c>
      <c r="C64" s="725">
        <f>SUM(C61:C63)</f>
        <v>0</v>
      </c>
      <c r="D64" s="595"/>
      <c r="E64" s="596">
        <f>SUM(E61:E63)</f>
        <v>0</v>
      </c>
      <c r="F64" s="626"/>
      <c r="G64" s="627">
        <f>SUM(G61:G63)</f>
        <v>0</v>
      </c>
      <c r="H64" s="628">
        <f>SUM(H61:H63)</f>
        <v>0</v>
      </c>
    </row>
    <row r="65" spans="1:8" ht="15.75">
      <c r="A65" s="246"/>
      <c r="B65" s="131"/>
      <c r="C65" s="131"/>
      <c r="D65" s="105"/>
      <c r="E65" s="217"/>
      <c r="F65" s="479"/>
      <c r="G65" s="415"/>
      <c r="H65" s="414"/>
    </row>
    <row r="66" spans="1:8" ht="15.75">
      <c r="A66" s="369" t="s">
        <v>360</v>
      </c>
      <c r="B66" s="213"/>
      <c r="C66" s="214"/>
      <c r="D66" s="215"/>
      <c r="E66" s="211"/>
      <c r="F66" s="479"/>
      <c r="G66" s="415"/>
      <c r="H66" s="414"/>
    </row>
    <row r="67" spans="1:8" ht="16.5" thickBot="1">
      <c r="A67" s="369"/>
      <c r="B67" s="213"/>
      <c r="C67" s="214"/>
      <c r="D67" s="128"/>
      <c r="E67" s="128"/>
      <c r="F67" s="479"/>
      <c r="G67" s="415"/>
      <c r="H67" s="414"/>
    </row>
    <row r="68" spans="1:8" ht="16.5" thickBot="1">
      <c r="A68" s="429" t="s">
        <v>88</v>
      </c>
      <c r="B68" s="430" t="s">
        <v>158</v>
      </c>
      <c r="C68" s="430" t="s">
        <v>307</v>
      </c>
      <c r="D68" s="431" t="s">
        <v>304</v>
      </c>
      <c r="E68" s="432" t="s">
        <v>92</v>
      </c>
      <c r="F68" s="479"/>
      <c r="G68" s="415"/>
      <c r="H68" s="414"/>
    </row>
    <row r="69" spans="1:8" ht="16.5" thickBot="1">
      <c r="A69" s="421" t="s">
        <v>93</v>
      </c>
      <c r="B69" s="723"/>
      <c r="C69" s="578">
        <f>IF($B$72=0,0,B69/$B$72)</f>
        <v>0</v>
      </c>
      <c r="D69" s="638"/>
      <c r="E69" s="639">
        <f>ROUNDUP(D69*C69,5)</f>
        <v>0</v>
      </c>
      <c r="F69" s="640" t="str">
        <f>IF(B77=0,"0",B77/$B$78)</f>
        <v>0</v>
      </c>
      <c r="G69" s="641">
        <f>E69*$F$69</f>
        <v>0</v>
      </c>
      <c r="H69" s="642">
        <f>C69*$F$69</f>
        <v>0</v>
      </c>
    </row>
    <row r="70" spans="1:8" ht="15.75">
      <c r="A70" s="410" t="s">
        <v>94</v>
      </c>
      <c r="B70" s="724"/>
      <c r="C70" s="578">
        <f>IF($B$72=0,0,B70/$B$72)</f>
        <v>0</v>
      </c>
      <c r="D70" s="643"/>
      <c r="E70" s="644">
        <f>ROUNDUP(D70*C70,5)</f>
        <v>0</v>
      </c>
      <c r="F70" s="645"/>
      <c r="G70" s="646">
        <f>E70*$F$69</f>
        <v>0</v>
      </c>
      <c r="H70" s="647">
        <f>C70*$F$69</f>
        <v>0</v>
      </c>
    </row>
    <row r="71" spans="1:8" ht="15.75">
      <c r="A71" s="410" t="s">
        <v>95</v>
      </c>
      <c r="B71" s="724"/>
      <c r="C71" s="578">
        <f>IF($B$72=0,0,B71/$B$72)</f>
        <v>0</v>
      </c>
      <c r="D71" s="643"/>
      <c r="E71" s="644">
        <f>ROUNDUP(D71*C71,5)</f>
        <v>0</v>
      </c>
      <c r="F71" s="645"/>
      <c r="G71" s="646">
        <f>E71*$F$69</f>
        <v>0</v>
      </c>
      <c r="H71" s="647">
        <f>C71*$F$69</f>
        <v>0</v>
      </c>
    </row>
    <row r="72" spans="1:8" ht="16.5" thickBot="1">
      <c r="A72" s="411" t="s">
        <v>316</v>
      </c>
      <c r="B72" s="721">
        <f>SUM(B69:B71)</f>
        <v>0</v>
      </c>
      <c r="C72" s="725">
        <f>SUM(C69:C71)</f>
        <v>0</v>
      </c>
      <c r="D72" s="648"/>
      <c r="E72" s="649">
        <f>SUM(E69:E71)</f>
        <v>0</v>
      </c>
      <c r="F72" s="650"/>
      <c r="G72" s="651">
        <f>SUM(G69:G71)</f>
        <v>0</v>
      </c>
      <c r="H72" s="652">
        <f>SUM(H69:H71)</f>
        <v>0</v>
      </c>
    </row>
    <row r="73" spans="1:8" ht="16.5" thickBot="1">
      <c r="A73" s="246"/>
      <c r="B73" s="131"/>
      <c r="C73" s="131"/>
      <c r="D73" s="105"/>
      <c r="E73" s="217"/>
      <c r="F73" s="479"/>
      <c r="G73" s="415"/>
      <c r="H73" s="414"/>
    </row>
    <row r="74" spans="1:8" ht="16.5" thickBot="1">
      <c r="A74" s="435" t="s">
        <v>366</v>
      </c>
      <c r="B74" s="433" t="s">
        <v>361</v>
      </c>
      <c r="C74" s="433" t="s">
        <v>362</v>
      </c>
      <c r="D74" s="434" t="s">
        <v>364</v>
      </c>
      <c r="E74" s="432" t="s">
        <v>363</v>
      </c>
      <c r="F74" s="479"/>
      <c r="G74" s="415"/>
      <c r="H74" s="535"/>
    </row>
    <row r="75" spans="1:8" ht="15.75">
      <c r="A75" s="426"/>
      <c r="B75" s="629"/>
      <c r="C75" s="579">
        <f>E56</f>
        <v>0</v>
      </c>
      <c r="D75" s="630">
        <f>C75*F53</f>
        <v>0</v>
      </c>
      <c r="E75" s="631">
        <f>$D$78*B75</f>
        <v>0</v>
      </c>
      <c r="F75" s="632"/>
      <c r="G75" s="633">
        <f>G56</f>
        <v>0</v>
      </c>
      <c r="H75" s="607"/>
    </row>
    <row r="76" spans="1:8" ht="15.75">
      <c r="A76" s="413"/>
      <c r="B76" s="634"/>
      <c r="C76" s="584">
        <f>E64</f>
        <v>0</v>
      </c>
      <c r="D76" s="630">
        <f>C76*F61</f>
        <v>0</v>
      </c>
      <c r="E76" s="635">
        <f>$D$78*B76</f>
        <v>0</v>
      </c>
      <c r="F76" s="636"/>
      <c r="G76" s="637">
        <f>G64</f>
        <v>0</v>
      </c>
      <c r="H76" s="608"/>
    </row>
    <row r="77" spans="1:8" ht="16.5" thickBot="1">
      <c r="A77" s="413"/>
      <c r="B77" s="634"/>
      <c r="C77" s="584">
        <f>E72</f>
        <v>0</v>
      </c>
      <c r="D77" s="630">
        <f>C77*F69</f>
        <v>0</v>
      </c>
      <c r="E77" s="635">
        <f>$D$78*B77</f>
        <v>0</v>
      </c>
      <c r="F77" s="636"/>
      <c r="G77" s="637">
        <f>G72</f>
        <v>0</v>
      </c>
      <c r="H77" s="608"/>
    </row>
    <row r="78" spans="1:8" ht="16.5" thickBot="1">
      <c r="A78" s="411" t="s">
        <v>14</v>
      </c>
      <c r="B78" s="613">
        <f>SUM(B75:B77)</f>
        <v>0</v>
      </c>
      <c r="C78" s="614"/>
      <c r="D78" s="615">
        <f>SUM(D75:D77)</f>
        <v>0</v>
      </c>
      <c r="E78" s="616">
        <f>SUM(E75:E77)</f>
        <v>0</v>
      </c>
      <c r="F78" s="617">
        <f>SUM(F53:F77)</f>
        <v>0</v>
      </c>
      <c r="G78" s="618">
        <f>SUM(G75:G77)</f>
        <v>0</v>
      </c>
      <c r="H78" s="608"/>
    </row>
    <row r="79" spans="1:8" ht="16.5" thickBot="1">
      <c r="A79" s="276"/>
      <c r="B79" s="406"/>
      <c r="C79" s="406"/>
      <c r="D79" s="293"/>
      <c r="E79" s="294"/>
      <c r="F79" s="407"/>
      <c r="G79" s="408"/>
      <c r="H79" s="292"/>
    </row>
    <row r="80" spans="1:8" ht="17.25" thickBot="1" thickTop="1">
      <c r="A80" s="737"/>
      <c r="B80" s="738"/>
      <c r="C80" s="738"/>
      <c r="D80" s="739"/>
      <c r="E80" s="740"/>
      <c r="F80" s="741"/>
      <c r="G80" s="742"/>
      <c r="H80" s="743"/>
    </row>
    <row r="81" spans="1:12" ht="24.75" customHeight="1" thickBot="1">
      <c r="A81" s="480" t="s">
        <v>365</v>
      </c>
      <c r="B81" s="374"/>
      <c r="C81" s="375"/>
      <c r="D81" s="376"/>
      <c r="E81" s="377"/>
      <c r="F81" s="216"/>
      <c r="G81" s="218"/>
      <c r="H81" s="315"/>
      <c r="J81"/>
      <c r="K81"/>
      <c r="L81"/>
    </row>
    <row r="82" spans="1:12" ht="15.75">
      <c r="A82" s="246"/>
      <c r="B82" s="131"/>
      <c r="C82" s="131"/>
      <c r="D82" s="105"/>
      <c r="E82" s="217"/>
      <c r="F82" s="216"/>
      <c r="G82" s="218"/>
      <c r="H82" s="315"/>
      <c r="J82"/>
      <c r="K82"/>
      <c r="L82"/>
    </row>
    <row r="83" spans="1:12" ht="15.75">
      <c r="A83" s="246"/>
      <c r="B83" s="131"/>
      <c r="C83" s="131"/>
      <c r="D83" s="105"/>
      <c r="E83" s="217"/>
      <c r="F83" s="216"/>
      <c r="G83" s="218"/>
      <c r="H83" s="315"/>
      <c r="J83"/>
      <c r="K83"/>
      <c r="L83"/>
    </row>
    <row r="84" spans="1:12" ht="15.75">
      <c r="A84" s="289" t="s">
        <v>96</v>
      </c>
      <c r="B84" s="209"/>
      <c r="C84" s="131"/>
      <c r="D84" s="105"/>
      <c r="E84" s="217"/>
      <c r="F84" s="216"/>
      <c r="G84" s="128"/>
      <c r="H84" s="315"/>
      <c r="J84"/>
      <c r="K84"/>
      <c r="L84"/>
    </row>
    <row r="85" spans="1:12" ht="15.75">
      <c r="A85" s="246"/>
      <c r="B85" s="131"/>
      <c r="C85" s="131"/>
      <c r="D85" s="105"/>
      <c r="E85" s="217"/>
      <c r="F85" s="216"/>
      <c r="G85" s="128"/>
      <c r="H85" s="315"/>
      <c r="J85"/>
      <c r="K85"/>
      <c r="L85"/>
    </row>
    <row r="86" spans="1:12" ht="16.5" thickBot="1">
      <c r="A86" s="289" t="s">
        <v>230</v>
      </c>
      <c r="B86" s="131"/>
      <c r="C86" s="131"/>
      <c r="D86" s="144">
        <v>0.35</v>
      </c>
      <c r="E86" s="153"/>
      <c r="F86" s="219"/>
      <c r="G86" s="220"/>
      <c r="H86" s="315"/>
      <c r="J86"/>
      <c r="K86"/>
      <c r="L86"/>
    </row>
    <row r="87" spans="1:12" ht="16.5" thickBot="1">
      <c r="A87" s="289" t="s">
        <v>256</v>
      </c>
      <c r="B87" s="131"/>
      <c r="C87" s="131"/>
      <c r="D87" s="131"/>
      <c r="E87" s="801">
        <f>(G78-(G53+G61+G69))*(D86/(1-D86))</f>
        <v>0</v>
      </c>
      <c r="F87" s="1"/>
      <c r="G87" s="128"/>
      <c r="H87" s="315"/>
      <c r="J87"/>
      <c r="K87"/>
      <c r="L87"/>
    </row>
    <row r="88" spans="1:12" ht="15.75">
      <c r="A88" s="886" t="s">
        <v>308</v>
      </c>
      <c r="B88" s="887"/>
      <c r="C88" s="887"/>
      <c r="D88" s="887"/>
      <c r="E88" s="887"/>
      <c r="F88" s="222"/>
      <c r="G88" s="128"/>
      <c r="H88" s="315"/>
      <c r="J88"/>
      <c r="K88"/>
      <c r="L88"/>
    </row>
    <row r="89" spans="1:8" ht="16.5" thickBot="1">
      <c r="A89" s="370"/>
      <c r="B89" s="223"/>
      <c r="C89" s="131"/>
      <c r="D89" s="105"/>
      <c r="E89" s="217"/>
      <c r="F89" s="222"/>
      <c r="G89" s="128"/>
      <c r="H89" s="315"/>
    </row>
    <row r="90" spans="1:8" ht="16.5" thickBot="1">
      <c r="A90" s="246" t="s">
        <v>98</v>
      </c>
      <c r="B90" s="223"/>
      <c r="C90" s="131"/>
      <c r="D90" s="105"/>
      <c r="E90" s="801">
        <f>G78+E87</f>
        <v>0</v>
      </c>
      <c r="F90" s="1"/>
      <c r="G90" s="128"/>
      <c r="H90" s="315"/>
    </row>
    <row r="91" spans="1:8" ht="15.75">
      <c r="A91" s="668" t="s">
        <v>257</v>
      </c>
      <c r="B91" s="223"/>
      <c r="C91" s="131"/>
      <c r="D91" s="105"/>
      <c r="E91" s="217"/>
      <c r="F91" s="222"/>
      <c r="G91" s="128"/>
      <c r="H91" s="315"/>
    </row>
    <row r="92" spans="1:8" ht="15.75">
      <c r="A92" s="246"/>
      <c r="B92" s="131"/>
      <c r="C92" s="224"/>
      <c r="D92" s="13"/>
      <c r="E92" s="225"/>
      <c r="F92" s="52"/>
      <c r="G92" s="10"/>
      <c r="H92" s="267"/>
    </row>
    <row r="93" spans="1:8" ht="16.5" thickBot="1">
      <c r="A93" s="289" t="s">
        <v>258</v>
      </c>
      <c r="B93" s="209"/>
      <c r="C93" s="131"/>
      <c r="D93" s="105"/>
      <c r="E93" s="148"/>
      <c r="F93" s="149"/>
      <c r="G93" s="149"/>
      <c r="H93" s="297"/>
    </row>
    <row r="94" spans="1:8" ht="15.75">
      <c r="A94" s="289"/>
      <c r="B94" s="209"/>
      <c r="C94" s="131"/>
      <c r="D94" s="105"/>
      <c r="E94" s="379" t="s">
        <v>14</v>
      </c>
      <c r="F94" s="380" t="s">
        <v>15</v>
      </c>
      <c r="G94" s="380" t="s">
        <v>16</v>
      </c>
      <c r="H94" s="412" t="s">
        <v>17</v>
      </c>
    </row>
    <row r="95" spans="1:8" ht="15.75">
      <c r="A95" s="246"/>
      <c r="B95" s="131"/>
      <c r="C95" s="131"/>
      <c r="D95" s="131"/>
      <c r="E95" s="609"/>
      <c r="F95" s="610"/>
      <c r="G95" s="610"/>
      <c r="H95" s="611"/>
    </row>
    <row r="96" spans="1:8" ht="15.75">
      <c r="A96" s="246" t="s">
        <v>97</v>
      </c>
      <c r="B96" s="131"/>
      <c r="C96" s="131"/>
      <c r="D96" s="131"/>
      <c r="E96" s="612">
        <f>'Sch 1- Rate Base '!G161</f>
        <v>104484435.875</v>
      </c>
      <c r="F96" s="263">
        <f>'Sch 1- Rate Base '!H161</f>
        <v>16245267.391223464</v>
      </c>
      <c r="G96" s="263">
        <f>'Sch 1- Rate Base '!I161</f>
        <v>3390588.05823167</v>
      </c>
      <c r="H96" s="264">
        <f>'Sch 1- Rate Base '!J161</f>
        <v>84848580.42554487</v>
      </c>
    </row>
    <row r="97" spans="1:8" ht="15.75">
      <c r="A97" s="246" t="s">
        <v>98</v>
      </c>
      <c r="B97" s="131"/>
      <c r="C97" s="131"/>
      <c r="D97" s="131"/>
      <c r="E97" s="589">
        <f>$E$90</f>
        <v>0</v>
      </c>
      <c r="F97" s="590">
        <f>$E$90</f>
        <v>0</v>
      </c>
      <c r="G97" s="590">
        <f>$E$90</f>
        <v>0</v>
      </c>
      <c r="H97" s="591">
        <f>$E$90</f>
        <v>0</v>
      </c>
    </row>
    <row r="98" spans="1:8" ht="16.5" thickBot="1">
      <c r="A98" s="289" t="s">
        <v>261</v>
      </c>
      <c r="B98" s="209"/>
      <c r="C98" s="209"/>
      <c r="D98" s="209"/>
      <c r="E98" s="598">
        <f>E97*E96</f>
        <v>0</v>
      </c>
      <c r="F98" s="599">
        <f>F97*F96</f>
        <v>0</v>
      </c>
      <c r="G98" s="599">
        <f>G97*G96</f>
        <v>0</v>
      </c>
      <c r="H98" s="600">
        <f>H97*H96</f>
        <v>0</v>
      </c>
    </row>
    <row r="99" spans="1:8" ht="16.5" thickBot="1">
      <c r="A99" s="744" t="s">
        <v>231</v>
      </c>
      <c r="B99" s="291"/>
      <c r="C99" s="291"/>
      <c r="D99" s="291"/>
      <c r="E99" s="291"/>
      <c r="F99" s="291"/>
      <c r="G99" s="291"/>
      <c r="H99" s="292"/>
    </row>
    <row r="100" spans="1:8" ht="17.25" thickBot="1" thickTop="1">
      <c r="A100" s="321"/>
      <c r="B100" s="207"/>
      <c r="C100" s="207"/>
      <c r="D100" s="207"/>
      <c r="E100" s="207"/>
      <c r="F100" s="207"/>
      <c r="G100" s="128"/>
      <c r="H100" s="315"/>
    </row>
    <row r="101" spans="1:8" ht="24.75" customHeight="1" thickBot="1">
      <c r="A101" s="480" t="s">
        <v>449</v>
      </c>
      <c r="B101" s="374"/>
      <c r="C101" s="375"/>
      <c r="D101" s="376"/>
      <c r="E101" s="377"/>
      <c r="F101" s="208" t="s">
        <v>9</v>
      </c>
      <c r="G101" s="145"/>
      <c r="H101" s="367"/>
    </row>
    <row r="102" spans="1:8" ht="15.75">
      <c r="A102" s="289"/>
      <c r="B102" s="209"/>
      <c r="C102" s="210"/>
      <c r="D102" s="211"/>
      <c r="E102" s="211"/>
      <c r="F102" s="212"/>
      <c r="G102" s="7"/>
      <c r="H102" s="368"/>
    </row>
    <row r="103" spans="1:8" ht="15.75">
      <c r="A103" s="369" t="s">
        <v>378</v>
      </c>
      <c r="B103" s="213"/>
      <c r="C103" s="214"/>
      <c r="D103" s="215"/>
      <c r="E103" s="211"/>
      <c r="F103" s="212"/>
      <c r="G103" s="7"/>
      <c r="H103" s="368"/>
    </row>
    <row r="104" spans="1:8" ht="15.75">
      <c r="A104" s="405"/>
      <c r="B104" s="213"/>
      <c r="C104" s="214"/>
      <c r="D104" s="215"/>
      <c r="E104" s="211"/>
      <c r="F104" s="212"/>
      <c r="G104" s="7"/>
      <c r="H104" s="368"/>
    </row>
    <row r="105" spans="1:8" ht="15.75">
      <c r="A105" s="405"/>
      <c r="B105" s="213"/>
      <c r="C105" s="214"/>
      <c r="D105" s="215"/>
      <c r="E105" s="211"/>
      <c r="F105" s="212"/>
      <c r="G105" s="7"/>
      <c r="H105" s="368"/>
    </row>
    <row r="106" spans="1:8" ht="16.5" thickBot="1">
      <c r="A106" s="369"/>
      <c r="B106" s="213"/>
      <c r="C106" s="214"/>
      <c r="D106" s="128"/>
      <c r="E106" s="128"/>
      <c r="F106" s="212"/>
      <c r="G106" s="7"/>
      <c r="H106" s="368"/>
    </row>
    <row r="107" spans="1:8" ht="15.75">
      <c r="A107" s="409"/>
      <c r="B107" s="378" t="s">
        <v>383</v>
      </c>
      <c r="C107" s="378" t="s">
        <v>379</v>
      </c>
      <c r="D107" s="378" t="s">
        <v>379</v>
      </c>
      <c r="E107" s="416" t="s">
        <v>384</v>
      </c>
      <c r="F107" s="420" t="s">
        <v>385</v>
      </c>
      <c r="G107"/>
      <c r="H107" s="315"/>
    </row>
    <row r="108" spans="1:8" ht="16.5" thickBot="1">
      <c r="A108" s="422" t="s">
        <v>381</v>
      </c>
      <c r="B108" s="423" t="s">
        <v>158</v>
      </c>
      <c r="C108" s="423" t="s">
        <v>382</v>
      </c>
      <c r="D108" s="423" t="s">
        <v>387</v>
      </c>
      <c r="E108" s="424" t="s">
        <v>380</v>
      </c>
      <c r="F108" s="425" t="s">
        <v>386</v>
      </c>
      <c r="G108"/>
      <c r="H108" s="315"/>
    </row>
    <row r="109" spans="1:8" ht="15.75">
      <c r="A109" s="421" t="s">
        <v>474</v>
      </c>
      <c r="B109" s="653">
        <v>5100000</v>
      </c>
      <c r="C109" s="654">
        <v>1996</v>
      </c>
      <c r="D109" s="654">
        <v>2012</v>
      </c>
      <c r="E109" s="579" t="s">
        <v>475</v>
      </c>
      <c r="F109" s="655">
        <v>242156</v>
      </c>
      <c r="G109"/>
      <c r="H109" s="315"/>
    </row>
    <row r="110" spans="1:8" ht="15.75">
      <c r="A110" s="410" t="s">
        <v>476</v>
      </c>
      <c r="B110" s="656">
        <v>12750000</v>
      </c>
      <c r="C110" s="654">
        <v>1998</v>
      </c>
      <c r="D110" s="654">
        <v>2018</v>
      </c>
      <c r="E110" s="584" t="s">
        <v>477</v>
      </c>
      <c r="F110" s="655">
        <v>238040</v>
      </c>
      <c r="G110"/>
      <c r="H110" s="315"/>
    </row>
    <row r="111" spans="1:8" ht="15.75">
      <c r="A111" s="410" t="s">
        <v>478</v>
      </c>
      <c r="B111" s="656">
        <v>19460000</v>
      </c>
      <c r="C111" s="654">
        <v>2001</v>
      </c>
      <c r="D111" s="654">
        <v>2021</v>
      </c>
      <c r="E111" s="584" t="s">
        <v>479</v>
      </c>
      <c r="F111" s="655">
        <v>952443</v>
      </c>
      <c r="G111"/>
      <c r="H111" s="315"/>
    </row>
    <row r="112" spans="1:8" ht="15.75">
      <c r="A112" s="410" t="s">
        <v>480</v>
      </c>
      <c r="B112" s="656">
        <v>21705000</v>
      </c>
      <c r="C112" s="654">
        <v>2002</v>
      </c>
      <c r="D112" s="654">
        <v>2022</v>
      </c>
      <c r="E112" s="584" t="s">
        <v>481</v>
      </c>
      <c r="F112" s="655">
        <v>1193200</v>
      </c>
      <c r="G112"/>
      <c r="H112" s="315"/>
    </row>
    <row r="113" spans="1:8" ht="15.75">
      <c r="A113" s="410" t="s">
        <v>482</v>
      </c>
      <c r="B113" s="656">
        <v>14630000</v>
      </c>
      <c r="C113" s="654">
        <v>2003</v>
      </c>
      <c r="D113" s="654">
        <v>2014</v>
      </c>
      <c r="E113" s="584" t="s">
        <v>483</v>
      </c>
      <c r="F113" s="655">
        <v>321421</v>
      </c>
      <c r="G113"/>
      <c r="H113" s="315"/>
    </row>
    <row r="114" spans="1:8" ht="15.75">
      <c r="A114" s="410"/>
      <c r="B114" s="656"/>
      <c r="C114" s="654"/>
      <c r="D114" s="654"/>
      <c r="E114" s="584"/>
      <c r="F114" s="655">
        <f>E114*B114</f>
        <v>0</v>
      </c>
      <c r="G114"/>
      <c r="H114" s="315"/>
    </row>
    <row r="115" spans="1:8" ht="15.75">
      <c r="A115" s="410"/>
      <c r="B115" s="656"/>
      <c r="C115" s="654"/>
      <c r="D115" s="654"/>
      <c r="E115" s="584"/>
      <c r="F115" s="655">
        <f>E115*B115</f>
        <v>0</v>
      </c>
      <c r="G115"/>
      <c r="H115" s="315"/>
    </row>
    <row r="116" spans="1:8" ht="15.75">
      <c r="A116" s="410"/>
      <c r="B116" s="656"/>
      <c r="C116" s="654"/>
      <c r="D116" s="654"/>
      <c r="E116" s="584"/>
      <c r="F116" s="655">
        <f>E116*B116</f>
        <v>0</v>
      </c>
      <c r="G116"/>
      <c r="H116" s="315"/>
    </row>
    <row r="117" spans="1:8" ht="15.75">
      <c r="A117" s="410"/>
      <c r="B117" s="656"/>
      <c r="C117" s="654"/>
      <c r="D117" s="654"/>
      <c r="E117" s="584"/>
      <c r="F117" s="655">
        <f>E117*B117</f>
        <v>0</v>
      </c>
      <c r="G117"/>
      <c r="H117" s="315"/>
    </row>
    <row r="118" spans="1:8" ht="16.5" thickBot="1">
      <c r="A118" s="411" t="s">
        <v>388</v>
      </c>
      <c r="B118" s="797">
        <f>SUM(B109:B117)</f>
        <v>73645000</v>
      </c>
      <c r="C118" s="798"/>
      <c r="D118" s="595"/>
      <c r="E118" s="799">
        <f>IF(B118=0,0,F118/B118)</f>
        <v>0.04001982483535882</v>
      </c>
      <c r="F118" s="800">
        <f>SUM(F109:F117)</f>
        <v>2947260</v>
      </c>
      <c r="G118"/>
      <c r="H118" s="315"/>
    </row>
    <row r="119" spans="1:8" ht="15.75">
      <c r="A119" s="246"/>
      <c r="B119" s="131"/>
      <c r="C119" s="131"/>
      <c r="D119" s="105"/>
      <c r="E119" s="217"/>
      <c r="F119" s="216"/>
      <c r="G119" s="218"/>
      <c r="H119" s="315"/>
    </row>
    <row r="120" spans="1:8" ht="15.75">
      <c r="A120" s="246"/>
      <c r="B120" s="131"/>
      <c r="C120" s="224"/>
      <c r="D120" s="13"/>
      <c r="E120" s="225"/>
      <c r="F120" s="52"/>
      <c r="G120" s="10"/>
      <c r="H120" s="267"/>
    </row>
    <row r="121" spans="1:8" ht="16.5" thickBot="1">
      <c r="A121" s="289" t="s">
        <v>389</v>
      </c>
      <c r="B121" s="209"/>
      <c r="C121" s="131"/>
      <c r="D121" s="105"/>
      <c r="E121" s="148"/>
      <c r="F121" s="149"/>
      <c r="G121" s="149"/>
      <c r="H121" s="297"/>
    </row>
    <row r="122" spans="1:8" ht="15.75">
      <c r="A122" s="289"/>
      <c r="B122" s="209"/>
      <c r="C122" s="131"/>
      <c r="D122" s="105"/>
      <c r="E122" s="379" t="s">
        <v>14</v>
      </c>
      <c r="F122" s="380" t="s">
        <v>15</v>
      </c>
      <c r="G122" s="380" t="s">
        <v>16</v>
      </c>
      <c r="H122" s="412" t="s">
        <v>17</v>
      </c>
    </row>
    <row r="123" spans="1:8" ht="15.75">
      <c r="A123" s="289" t="s">
        <v>97</v>
      </c>
      <c r="B123" s="131"/>
      <c r="C123" s="131"/>
      <c r="D123" s="131"/>
      <c r="E123" s="657">
        <f>'Sch 1- Rate Base '!G161</f>
        <v>104484435.875</v>
      </c>
      <c r="F123" s="587">
        <f>'Sch 1- Rate Base '!H161</f>
        <v>16245267.391223464</v>
      </c>
      <c r="G123" s="658">
        <f>'Sch 1- Rate Base '!I161</f>
        <v>3390588.05823167</v>
      </c>
      <c r="H123" s="588">
        <f>'Sch 1- Rate Base '!J161</f>
        <v>84848580.42554487</v>
      </c>
    </row>
    <row r="124" spans="1:8" ht="15.75">
      <c r="A124" s="289" t="s">
        <v>388</v>
      </c>
      <c r="B124" s="131"/>
      <c r="C124" s="131"/>
      <c r="D124" s="131"/>
      <c r="E124" s="659">
        <f>$E$118</f>
        <v>0.04001982483535882</v>
      </c>
      <c r="F124" s="660">
        <f>$E$118</f>
        <v>0.04001982483535882</v>
      </c>
      <c r="G124" s="660">
        <f>$E$118</f>
        <v>0.04001982483535882</v>
      </c>
      <c r="H124" s="661">
        <f>$E$118</f>
        <v>0.04001982483535882</v>
      </c>
    </row>
    <row r="125" spans="1:8" ht="16.5" thickBot="1">
      <c r="A125" s="289" t="s">
        <v>436</v>
      </c>
      <c r="B125" s="209"/>
      <c r="C125" s="209"/>
      <c r="D125" s="209"/>
      <c r="E125" s="598">
        <f>E124*E123</f>
        <v>4181448.821738781</v>
      </c>
      <c r="F125" s="599">
        <f>F124*F123</f>
        <v>650132.7554003296</v>
      </c>
      <c r="G125" s="599">
        <f>G124*G123</f>
        <v>135690.74017929082</v>
      </c>
      <c r="H125" s="600">
        <f>H124*H123</f>
        <v>3395625.326159161</v>
      </c>
    </row>
    <row r="126" spans="1:8" ht="15.75">
      <c r="A126" s="371"/>
      <c r="B126" s="128"/>
      <c r="C126" s="128"/>
      <c r="D126" s="128"/>
      <c r="E126" s="128"/>
      <c r="F126" s="128"/>
      <c r="G126" s="128"/>
      <c r="H126" s="315"/>
    </row>
    <row r="127" spans="1:8" ht="15.75">
      <c r="A127" s="322"/>
      <c r="B127" s="128"/>
      <c r="C127" s="128"/>
      <c r="D127" s="128"/>
      <c r="E127" s="128"/>
      <c r="F127" s="128"/>
      <c r="G127" s="128"/>
      <c r="H127" s="315"/>
    </row>
    <row r="128" spans="1:8" ht="16.5" thickBot="1">
      <c r="A128" s="372"/>
      <c r="B128" s="291"/>
      <c r="C128" s="291"/>
      <c r="D128" s="291"/>
      <c r="E128" s="291"/>
      <c r="F128" s="291"/>
      <c r="G128" s="291"/>
      <c r="H128" s="292"/>
    </row>
    <row r="129" ht="16.5" thickTop="1"/>
  </sheetData>
  <sheetProtection/>
  <mergeCells count="9">
    <mergeCell ref="D5:F5"/>
    <mergeCell ref="D6:F6"/>
    <mergeCell ref="D7:F7"/>
    <mergeCell ref="A88:E88"/>
    <mergeCell ref="D22:E22"/>
    <mergeCell ref="B22:C22"/>
    <mergeCell ref="A33:E33"/>
    <mergeCell ref="B51:C51"/>
    <mergeCell ref="D51:E51"/>
  </mergeCells>
  <printOptions horizontalCentered="1"/>
  <pageMargins left="0.2" right="0.28" top="0.75" bottom="0.75" header="0.25" footer="0.25"/>
  <pageSetup horizontalDpi="600" verticalDpi="600" orientation="landscape" paperSize="9" scale="60" r:id="rId1"/>
  <headerFooter alignWithMargins="0">
    <oddFooter>&amp;L&amp;F&amp;CPage &amp;P of &amp;N&amp;R&amp;D</oddFooter>
  </headerFooter>
  <rowBreaks count="3" manualBreakCount="3">
    <brk id="45" max="7" man="1"/>
    <brk id="79" max="7" man="1"/>
    <brk id="9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44"/>
  </sheetPr>
  <dimension ref="A1:O113"/>
  <sheetViews>
    <sheetView view="pageBreakPreview" zoomScaleSheetLayoutView="100" workbookViewId="0" topLeftCell="D70">
      <selection activeCell="G75" sqref="G75:J75"/>
    </sheetView>
  </sheetViews>
  <sheetFormatPr defaultColWidth="9.00390625" defaultRowHeight="15.75"/>
  <cols>
    <col min="1" max="1" width="5.375" style="9" customWidth="1"/>
    <col min="2" max="2" width="47.375" style="9" customWidth="1"/>
    <col min="3" max="6" width="9.625" style="9" customWidth="1"/>
    <col min="7" max="7" width="12.375" style="110" customWidth="1"/>
    <col min="8" max="10" width="12.375" style="9" customWidth="1"/>
    <col min="11" max="11" width="10.125" style="9" bestFit="1" customWidth="1"/>
    <col min="12" max="12" width="10.625" style="9" bestFit="1" customWidth="1"/>
    <col min="13" max="13" width="13.25390625" style="9" bestFit="1" customWidth="1"/>
    <col min="14" max="14" width="12.50390625" style="9" bestFit="1" customWidth="1"/>
    <col min="15" max="16384" width="9.00390625" style="9" customWidth="1"/>
  </cols>
  <sheetData>
    <row r="1" spans="1:10" ht="19.5" thickTop="1">
      <c r="A1" s="226" t="s">
        <v>89</v>
      </c>
      <c r="B1" s="227"/>
      <c r="C1" s="227"/>
      <c r="D1" s="227"/>
      <c r="E1" s="227"/>
      <c r="F1" s="227"/>
      <c r="G1" s="228"/>
      <c r="H1" s="227"/>
      <c r="I1" s="227"/>
      <c r="J1" s="229"/>
    </row>
    <row r="2" spans="1:15" ht="15.75">
      <c r="A2" s="230" t="s">
        <v>91</v>
      </c>
      <c r="B2" s="76"/>
      <c r="C2" s="76"/>
      <c r="D2" s="76"/>
      <c r="E2" s="76"/>
      <c r="F2" s="76"/>
      <c r="G2" s="111"/>
      <c r="H2" s="76"/>
      <c r="I2" s="76"/>
      <c r="J2" s="231"/>
      <c r="L2"/>
      <c r="M2"/>
      <c r="N2"/>
      <c r="O2"/>
    </row>
    <row r="3" spans="1:15" ht="15.75">
      <c r="A3" s="232" t="s">
        <v>400</v>
      </c>
      <c r="B3" s="2"/>
      <c r="C3" s="3"/>
      <c r="D3" s="3"/>
      <c r="E3" s="4"/>
      <c r="F3" s="4"/>
      <c r="G3" s="112"/>
      <c r="H3" s="6"/>
      <c r="I3" s="19"/>
      <c r="J3" s="233"/>
      <c r="L3"/>
      <c r="M3"/>
      <c r="N3"/>
      <c r="O3"/>
    </row>
    <row r="4" spans="1:15" ht="10.5" customHeight="1" thickBot="1">
      <c r="A4" s="232"/>
      <c r="B4" s="2"/>
      <c r="C4" s="3"/>
      <c r="D4" s="3"/>
      <c r="E4" s="4"/>
      <c r="F4" s="4"/>
      <c r="G4" s="112"/>
      <c r="H4" s="6"/>
      <c r="I4" s="19"/>
      <c r="J4" s="233"/>
      <c r="L4"/>
      <c r="M4"/>
      <c r="N4"/>
      <c r="O4"/>
    </row>
    <row r="5" spans="1:15" ht="15.75">
      <c r="A5" s="232"/>
      <c r="B5" s="2"/>
      <c r="C5" s="3"/>
      <c r="D5" s="726" t="s">
        <v>460</v>
      </c>
      <c r="E5" s="852" t="s">
        <v>472</v>
      </c>
      <c r="F5" s="853"/>
      <c r="G5" s="854"/>
      <c r="H5" s="6"/>
      <c r="I5" s="19"/>
      <c r="J5" s="233"/>
      <c r="L5"/>
      <c r="M5"/>
      <c r="N5"/>
      <c r="O5"/>
    </row>
    <row r="6" spans="1:15" ht="15.75">
      <c r="A6" s="232"/>
      <c r="B6" s="2"/>
      <c r="C6" s="3"/>
      <c r="D6" s="726" t="s">
        <v>462</v>
      </c>
      <c r="E6" s="855">
        <v>2006</v>
      </c>
      <c r="F6" s="856"/>
      <c r="G6" s="857"/>
      <c r="H6" s="6"/>
      <c r="I6" s="19"/>
      <c r="J6" s="233"/>
      <c r="L6"/>
      <c r="M6"/>
      <c r="N6"/>
      <c r="O6"/>
    </row>
    <row r="7" spans="1:15" ht="16.5" thickBot="1">
      <c r="A7" s="232"/>
      <c r="B7" s="2"/>
      <c r="C7" s="3"/>
      <c r="D7" s="726" t="s">
        <v>463</v>
      </c>
      <c r="E7" s="858">
        <v>39575</v>
      </c>
      <c r="F7" s="859"/>
      <c r="G7" s="860"/>
      <c r="H7" s="6"/>
      <c r="I7" s="19"/>
      <c r="J7" s="233"/>
      <c r="L7"/>
      <c r="M7"/>
      <c r="N7"/>
      <c r="O7"/>
    </row>
    <row r="8" spans="1:15" s="80" customFormat="1" ht="9" customHeight="1">
      <c r="A8" s="747"/>
      <c r="B8" s="3"/>
      <c r="C8" s="3"/>
      <c r="D8" s="735"/>
      <c r="E8" s="258"/>
      <c r="F8" s="258"/>
      <c r="G8" s="258"/>
      <c r="H8" s="6"/>
      <c r="I8" s="748"/>
      <c r="J8" s="233"/>
      <c r="L8" s="736"/>
      <c r="M8" s="736"/>
      <c r="N8" s="736"/>
      <c r="O8" s="736"/>
    </row>
    <row r="9" spans="1:15" ht="15.75">
      <c r="A9" s="481" t="s">
        <v>117</v>
      </c>
      <c r="B9" s="2"/>
      <c r="C9" s="3"/>
      <c r="D9" s="3"/>
      <c r="E9" s="4"/>
      <c r="F9" s="4"/>
      <c r="G9" s="112"/>
      <c r="H9" s="6"/>
      <c r="I9" s="19"/>
      <c r="J9" s="233"/>
      <c r="L9"/>
      <c r="M9"/>
      <c r="N9"/>
      <c r="O9"/>
    </row>
    <row r="10" spans="1:15" ht="7.5" customHeight="1" thickBot="1">
      <c r="A10" s="481"/>
      <c r="B10" s="2"/>
      <c r="C10" s="3"/>
      <c r="D10" s="3"/>
      <c r="E10" s="4"/>
      <c r="F10" s="4"/>
      <c r="G10" s="112"/>
      <c r="H10" s="6"/>
      <c r="I10" s="19"/>
      <c r="J10" s="233"/>
      <c r="L10"/>
      <c r="M10"/>
      <c r="N10"/>
      <c r="O10"/>
    </row>
    <row r="11" spans="1:15" ht="17.25" thickBot="1" thickTop="1">
      <c r="A11" s="891" t="s">
        <v>12</v>
      </c>
      <c r="B11" s="892"/>
      <c r="C11" s="472" t="s">
        <v>167</v>
      </c>
      <c r="D11" s="472"/>
      <c r="E11" s="536" t="s">
        <v>351</v>
      </c>
      <c r="F11" s="537"/>
      <c r="G11" s="896" t="s">
        <v>14</v>
      </c>
      <c r="H11" s="899" t="s">
        <v>15</v>
      </c>
      <c r="I11" s="899" t="s">
        <v>16</v>
      </c>
      <c r="J11" s="473"/>
      <c r="L11"/>
      <c r="M11"/>
      <c r="N11"/>
      <c r="O11"/>
    </row>
    <row r="12" spans="1:15" ht="16.5" thickBot="1">
      <c r="A12" s="893"/>
      <c r="B12" s="868"/>
      <c r="C12" s="466" t="s">
        <v>311</v>
      </c>
      <c r="D12" s="467" t="s">
        <v>8</v>
      </c>
      <c r="E12" s="463" t="s">
        <v>13</v>
      </c>
      <c r="F12" s="464"/>
      <c r="G12" s="897"/>
      <c r="H12" s="872"/>
      <c r="I12" s="872"/>
      <c r="J12" s="452" t="s">
        <v>10</v>
      </c>
      <c r="L12"/>
      <c r="M12"/>
      <c r="N12"/>
      <c r="O12"/>
    </row>
    <row r="13" spans="1:15" ht="16.5" thickBot="1">
      <c r="A13" s="894"/>
      <c r="B13" s="895"/>
      <c r="C13" s="453" t="s">
        <v>312</v>
      </c>
      <c r="D13" s="474" t="s">
        <v>238</v>
      </c>
      <c r="E13" s="455" t="s">
        <v>349</v>
      </c>
      <c r="F13" s="455" t="s">
        <v>350</v>
      </c>
      <c r="G13" s="898"/>
      <c r="H13" s="900"/>
      <c r="I13" s="900"/>
      <c r="J13" s="458" t="s">
        <v>17</v>
      </c>
      <c r="L13"/>
      <c r="M13"/>
      <c r="N13"/>
      <c r="O13"/>
    </row>
    <row r="14" spans="1:15" ht="16.5" thickTop="1">
      <c r="A14" s="234" t="s">
        <v>130</v>
      </c>
      <c r="B14" s="49"/>
      <c r="C14" s="43"/>
      <c r="D14" s="43"/>
      <c r="E14" s="43"/>
      <c r="F14" s="43"/>
      <c r="G14" s="256"/>
      <c r="H14" s="32"/>
      <c r="I14" s="32"/>
      <c r="J14" s="257"/>
      <c r="L14"/>
      <c r="M14"/>
      <c r="N14"/>
      <c r="O14"/>
    </row>
    <row r="15" spans="1:15" ht="15.75">
      <c r="A15" s="235"/>
      <c r="B15" s="116" t="s">
        <v>131</v>
      </c>
      <c r="C15" s="259"/>
      <c r="D15" s="259"/>
      <c r="E15" s="259"/>
      <c r="F15" s="259"/>
      <c r="G15" s="256"/>
      <c r="H15" s="32"/>
      <c r="I15" s="32"/>
      <c r="J15" s="257"/>
      <c r="L15"/>
      <c r="M15"/>
      <c r="N15"/>
      <c r="O15"/>
    </row>
    <row r="16" spans="1:15" ht="15" customHeight="1">
      <c r="A16" s="236"/>
      <c r="B16" s="93" t="s">
        <v>245</v>
      </c>
      <c r="C16" s="261" t="s">
        <v>107</v>
      </c>
      <c r="D16" s="262">
        <v>501</v>
      </c>
      <c r="E16" s="262" t="s">
        <v>394</v>
      </c>
      <c r="F16" s="262"/>
      <c r="G16" s="669"/>
      <c r="H16" s="352">
        <f>VLOOKUP($E16,Ratio,2,FALSE)*$G16</f>
        <v>0</v>
      </c>
      <c r="I16" s="352">
        <f>VLOOKUP($E16,Ratio,3,FALSE)*$G16</f>
        <v>0</v>
      </c>
      <c r="J16" s="382">
        <f>VLOOKUP($E16,Ratio,4,FALSE)*$G16</f>
        <v>0</v>
      </c>
      <c r="L16"/>
      <c r="M16"/>
      <c r="N16"/>
      <c r="O16"/>
    </row>
    <row r="17" spans="1:10" ht="15" customHeight="1">
      <c r="A17" s="236"/>
      <c r="B17" s="93" t="s">
        <v>246</v>
      </c>
      <c r="C17" s="261" t="s">
        <v>107</v>
      </c>
      <c r="D17" s="262" t="s">
        <v>124</v>
      </c>
      <c r="E17" s="262" t="s">
        <v>394</v>
      </c>
      <c r="F17" s="262"/>
      <c r="G17" s="669"/>
      <c r="H17" s="352">
        <f>VLOOKUP($E17,Ratio,2,FALSE)*$G17</f>
        <v>0</v>
      </c>
      <c r="I17" s="352">
        <f>VLOOKUP($E17,Ratio,3,FALSE)*$G17</f>
        <v>0</v>
      </c>
      <c r="J17" s="382">
        <f>VLOOKUP($E17,Ratio,4,FALSE)*$G17</f>
        <v>0</v>
      </c>
    </row>
    <row r="18" spans="1:10" ht="15" customHeight="1">
      <c r="A18" s="236"/>
      <c r="B18" s="93" t="s">
        <v>247</v>
      </c>
      <c r="C18" s="261" t="s">
        <v>107</v>
      </c>
      <c r="D18" s="262" t="s">
        <v>248</v>
      </c>
      <c r="E18" s="262" t="s">
        <v>394</v>
      </c>
      <c r="F18" s="262"/>
      <c r="G18" s="669"/>
      <c r="H18" s="352">
        <f>VLOOKUP($E18,Ratio,2,FALSE)*$G18</f>
        <v>0</v>
      </c>
      <c r="I18" s="352">
        <f>VLOOKUP($E18,Ratio,3,FALSE)*$G18</f>
        <v>0</v>
      </c>
      <c r="J18" s="382">
        <f>VLOOKUP($E18,Ratio,4,FALSE)*$G18</f>
        <v>0</v>
      </c>
    </row>
    <row r="19" spans="1:10" ht="15.75">
      <c r="A19" s="236"/>
      <c r="B19" s="117" t="s">
        <v>132</v>
      </c>
      <c r="C19" s="85"/>
      <c r="D19" s="259"/>
      <c r="E19" s="260"/>
      <c r="F19" s="260"/>
      <c r="G19" s="676"/>
      <c r="H19" s="677"/>
      <c r="I19" s="677"/>
      <c r="J19" s="678"/>
    </row>
    <row r="20" spans="1:10" ht="15" customHeight="1">
      <c r="A20" s="236"/>
      <c r="B20" s="93" t="s">
        <v>120</v>
      </c>
      <c r="C20" s="261" t="s">
        <v>107</v>
      </c>
      <c r="D20" s="262">
        <v>518</v>
      </c>
      <c r="E20" s="262" t="s">
        <v>394</v>
      </c>
      <c r="F20" s="262"/>
      <c r="G20" s="669"/>
      <c r="H20" s="352">
        <f>VLOOKUP($E20,Ratio,2,FALSE)*$G20</f>
        <v>0</v>
      </c>
      <c r="I20" s="352">
        <f>VLOOKUP($E20,Ratio,3,FALSE)*$G20</f>
        <v>0</v>
      </c>
      <c r="J20" s="382">
        <f>VLOOKUP($E20,Ratio,4,FALSE)*$G20</f>
        <v>0</v>
      </c>
    </row>
    <row r="21" spans="1:10" ht="15" customHeight="1">
      <c r="A21" s="236"/>
      <c r="B21" s="86" t="s">
        <v>250</v>
      </c>
      <c r="C21" s="261" t="s">
        <v>107</v>
      </c>
      <c r="D21" s="262" t="s">
        <v>125</v>
      </c>
      <c r="E21" s="262" t="s">
        <v>394</v>
      </c>
      <c r="F21" s="262"/>
      <c r="G21" s="669"/>
      <c r="H21" s="352">
        <f>VLOOKUP($E21,Ratio,2,FALSE)*$G21</f>
        <v>0</v>
      </c>
      <c r="I21" s="352">
        <f>VLOOKUP($E21,Ratio,3,FALSE)*$G21</f>
        <v>0</v>
      </c>
      <c r="J21" s="382">
        <f>VLOOKUP($E21,Ratio,4,FALSE)*$G21</f>
        <v>0</v>
      </c>
    </row>
    <row r="22" spans="1:10" ht="15" customHeight="1">
      <c r="A22" s="236"/>
      <c r="B22" s="81" t="s">
        <v>57</v>
      </c>
      <c r="C22" s="261" t="s">
        <v>107</v>
      </c>
      <c r="D22" s="262" t="s">
        <v>58</v>
      </c>
      <c r="E22" s="265" t="s">
        <v>394</v>
      </c>
      <c r="F22" s="265"/>
      <c r="G22" s="669"/>
      <c r="H22" s="352">
        <f>VLOOKUP($E22,Ratio,2,FALSE)*$G22</f>
        <v>0</v>
      </c>
      <c r="I22" s="352">
        <f>VLOOKUP($E22,Ratio,3,FALSE)*$G22</f>
        <v>0</v>
      </c>
      <c r="J22" s="382">
        <f>VLOOKUP($E22,Ratio,4,FALSE)*$G22</f>
        <v>0</v>
      </c>
    </row>
    <row r="23" spans="1:10" ht="15.75">
      <c r="A23" s="236"/>
      <c r="B23" s="117" t="s">
        <v>133</v>
      </c>
      <c r="C23" s="85"/>
      <c r="D23" s="259"/>
      <c r="E23" s="260"/>
      <c r="F23" s="260"/>
      <c r="G23" s="676"/>
      <c r="H23" s="677"/>
      <c r="I23" s="677"/>
      <c r="J23" s="678"/>
    </row>
    <row r="24" spans="1:10" ht="15" customHeight="1">
      <c r="A24" s="236"/>
      <c r="B24" s="86" t="s">
        <v>121</v>
      </c>
      <c r="C24" s="261" t="s">
        <v>107</v>
      </c>
      <c r="D24" s="262" t="s">
        <v>59</v>
      </c>
      <c r="E24" s="265" t="s">
        <v>394</v>
      </c>
      <c r="F24" s="265"/>
      <c r="G24" s="669"/>
      <c r="H24" s="352">
        <f>VLOOKUP($E24,Ratio,2,FALSE)*$G24</f>
        <v>0</v>
      </c>
      <c r="I24" s="352">
        <f>VLOOKUP($E24,Ratio,3,FALSE)*$G24</f>
        <v>0</v>
      </c>
      <c r="J24" s="382">
        <f>VLOOKUP($E24,Ratio,4,FALSE)*$G24</f>
        <v>0</v>
      </c>
    </row>
    <row r="25" spans="1:10" ht="15" customHeight="1">
      <c r="A25" s="236"/>
      <c r="B25" s="86" t="s">
        <v>122</v>
      </c>
      <c r="C25" s="261" t="s">
        <v>107</v>
      </c>
      <c r="D25" s="262" t="s">
        <v>60</v>
      </c>
      <c r="E25" s="265" t="s">
        <v>394</v>
      </c>
      <c r="F25" s="265"/>
      <c r="G25" s="669"/>
      <c r="H25" s="352">
        <f>VLOOKUP($E25,Ratio,2,FALSE)*$G25</f>
        <v>0</v>
      </c>
      <c r="I25" s="352">
        <f>VLOOKUP($E25,Ratio,3,FALSE)*$G25</f>
        <v>0</v>
      </c>
      <c r="J25" s="382">
        <f>VLOOKUP($E25,Ratio,4,FALSE)*$G25</f>
        <v>0</v>
      </c>
    </row>
    <row r="26" spans="1:10" ht="15.75">
      <c r="A26" s="236"/>
      <c r="B26" s="117" t="s">
        <v>134</v>
      </c>
      <c r="C26" s="85"/>
      <c r="D26" s="259"/>
      <c r="E26" s="260"/>
      <c r="F26" s="260"/>
      <c r="G26" s="676"/>
      <c r="H26" s="677"/>
      <c r="I26" s="677"/>
      <c r="J26" s="678"/>
    </row>
    <row r="27" spans="1:13" ht="15" customHeight="1">
      <c r="A27" s="236"/>
      <c r="B27" s="93" t="s">
        <v>123</v>
      </c>
      <c r="C27" s="261" t="s">
        <v>107</v>
      </c>
      <c r="D27" s="262">
        <v>547</v>
      </c>
      <c r="E27" s="262" t="s">
        <v>394</v>
      </c>
      <c r="F27" s="262"/>
      <c r="G27" s="669">
        <v>657647</v>
      </c>
      <c r="H27" s="352">
        <f>VLOOKUP($E27,Ratio,2,FALSE)*$G27</f>
        <v>657647</v>
      </c>
      <c r="I27" s="352">
        <f>VLOOKUP($E27,Ratio,3,FALSE)*$G27</f>
        <v>0</v>
      </c>
      <c r="J27" s="382">
        <f>VLOOKUP($E27,Ratio,4,FALSE)*$G27</f>
        <v>0</v>
      </c>
      <c r="K27"/>
      <c r="L27"/>
      <c r="M27"/>
    </row>
    <row r="28" spans="1:13" ht="15" customHeight="1">
      <c r="A28" s="236"/>
      <c r="B28" s="86" t="s">
        <v>249</v>
      </c>
      <c r="C28" s="261" t="s">
        <v>107</v>
      </c>
      <c r="D28" s="262" t="s">
        <v>126</v>
      </c>
      <c r="E28" s="265" t="s">
        <v>394</v>
      </c>
      <c r="F28" s="265"/>
      <c r="G28" s="669">
        <v>38825</v>
      </c>
      <c r="H28" s="352">
        <f>VLOOKUP($E28,Ratio,2,FALSE)*$G28</f>
        <v>38825</v>
      </c>
      <c r="I28" s="352">
        <f>VLOOKUP($E28,Ratio,3,FALSE)*$G28</f>
        <v>0</v>
      </c>
      <c r="J28" s="382">
        <f>VLOOKUP($E28,Ratio,4,FALSE)*$G28</f>
        <v>0</v>
      </c>
      <c r="K28"/>
      <c r="L28"/>
      <c r="M28"/>
    </row>
    <row r="29" spans="1:13" ht="15" customHeight="1">
      <c r="A29" s="236"/>
      <c r="B29" s="86" t="s">
        <v>251</v>
      </c>
      <c r="C29" s="261" t="s">
        <v>107</v>
      </c>
      <c r="D29" s="262" t="s">
        <v>127</v>
      </c>
      <c r="E29" s="265" t="s">
        <v>394</v>
      </c>
      <c r="F29" s="265"/>
      <c r="G29" s="669">
        <v>82251</v>
      </c>
      <c r="H29" s="352">
        <f>VLOOKUP($E29,Ratio,2,FALSE)*$G29</f>
        <v>82251</v>
      </c>
      <c r="I29" s="352">
        <f>VLOOKUP($E29,Ratio,3,FALSE)*$G29</f>
        <v>0</v>
      </c>
      <c r="J29" s="382">
        <f>VLOOKUP($E29,Ratio,4,FALSE)*$G29</f>
        <v>0</v>
      </c>
      <c r="K29"/>
      <c r="L29"/>
      <c r="M29"/>
    </row>
    <row r="30" spans="1:13" ht="15.75">
      <c r="A30" s="236"/>
      <c r="B30" s="117" t="s">
        <v>128</v>
      </c>
      <c r="C30" s="85"/>
      <c r="D30" s="259"/>
      <c r="E30" s="260"/>
      <c r="F30" s="260"/>
      <c r="G30" s="676"/>
      <c r="H30" s="677"/>
      <c r="I30" s="677"/>
      <c r="J30" s="678"/>
      <c r="K30"/>
      <c r="L30"/>
      <c r="M30"/>
    </row>
    <row r="31" spans="1:10" ht="15" customHeight="1">
      <c r="A31" s="237"/>
      <c r="B31" s="82" t="s">
        <v>252</v>
      </c>
      <c r="C31" s="261" t="s">
        <v>107</v>
      </c>
      <c r="D31" s="261">
        <v>555</v>
      </c>
      <c r="E31" s="261" t="s">
        <v>394</v>
      </c>
      <c r="F31" s="261"/>
      <c r="G31" s="803">
        <v>40806533</v>
      </c>
      <c r="H31" s="352">
        <f>VLOOKUP($E31,Ratio,2,FALSE)*$G31</f>
        <v>40806533</v>
      </c>
      <c r="I31" s="352">
        <f>VLOOKUP($E31,Ratio,3,FALSE)*$G31</f>
        <v>0</v>
      </c>
      <c r="J31" s="382">
        <f>VLOOKUP($E31,Ratio,4,FALSE)*$G31</f>
        <v>0</v>
      </c>
    </row>
    <row r="32" spans="1:10" ht="15" customHeight="1">
      <c r="A32" s="236"/>
      <c r="B32" s="84" t="s">
        <v>129</v>
      </c>
      <c r="C32" s="261" t="s">
        <v>107</v>
      </c>
      <c r="D32" s="261">
        <v>556</v>
      </c>
      <c r="E32" s="266" t="s">
        <v>394</v>
      </c>
      <c r="F32" s="266"/>
      <c r="G32" s="669">
        <v>594227</v>
      </c>
      <c r="H32" s="352">
        <f>VLOOKUP($E32,Ratio,2,FALSE)*$G32</f>
        <v>594227</v>
      </c>
      <c r="I32" s="352">
        <f>VLOOKUP($E32,Ratio,3,FALSE)*$G32</f>
        <v>0</v>
      </c>
      <c r="J32" s="382">
        <f>VLOOKUP($E32,Ratio,4,FALSE)*$G32</f>
        <v>0</v>
      </c>
    </row>
    <row r="33" spans="1:10" ht="15" customHeight="1">
      <c r="A33" s="236"/>
      <c r="B33" s="84" t="s">
        <v>253</v>
      </c>
      <c r="C33" s="261" t="s">
        <v>107</v>
      </c>
      <c r="D33" s="261">
        <v>557</v>
      </c>
      <c r="E33" s="266" t="s">
        <v>394</v>
      </c>
      <c r="F33" s="266"/>
      <c r="G33" s="669">
        <v>7336274</v>
      </c>
      <c r="H33" s="352">
        <f>VLOOKUP($E33,Ratio,2,FALSE)*$G33</f>
        <v>7336274</v>
      </c>
      <c r="I33" s="352">
        <f>VLOOKUP($E33,Ratio,3,FALSE)*$G33</f>
        <v>0</v>
      </c>
      <c r="J33" s="382">
        <f>VLOOKUP($E33,Ratio,4,FALSE)*$G33</f>
        <v>0</v>
      </c>
    </row>
    <row r="34" spans="1:10" ht="15" customHeight="1">
      <c r="A34" s="237"/>
      <c r="B34" s="82" t="s">
        <v>87</v>
      </c>
      <c r="C34" s="261">
        <v>327</v>
      </c>
      <c r="D34" s="261">
        <v>555</v>
      </c>
      <c r="E34" s="261" t="s">
        <v>394</v>
      </c>
      <c r="F34" s="261"/>
      <c r="G34" s="669"/>
      <c r="H34" s="352">
        <f>VLOOKUP($E34,Ratio,2,FALSE)*$G34</f>
        <v>0</v>
      </c>
      <c r="I34" s="352">
        <f>VLOOKUP($E34,Ratio,3,FALSE)*$G34</f>
        <v>0</v>
      </c>
      <c r="J34" s="382">
        <f>VLOOKUP($E34,Ratio,4,FALSE)*$G34</f>
        <v>0</v>
      </c>
    </row>
    <row r="35" spans="1:10" ht="15" customHeight="1">
      <c r="A35" s="237"/>
      <c r="B35" s="84" t="s">
        <v>269</v>
      </c>
      <c r="C35" s="261"/>
      <c r="D35" s="266"/>
      <c r="E35" s="266" t="s">
        <v>407</v>
      </c>
      <c r="F35" s="266"/>
      <c r="G35" s="669"/>
      <c r="H35" s="352">
        <f>VLOOKUP($E35,Ratio,2,FALSE)*$G35</f>
        <v>0</v>
      </c>
      <c r="I35" s="352">
        <f>VLOOKUP($E35,Ratio,3,FALSE)*$G35</f>
        <v>0</v>
      </c>
      <c r="J35" s="382">
        <f>VLOOKUP($E35,Ratio,4,FALSE)*$G35</f>
        <v>0</v>
      </c>
    </row>
    <row r="36" spans="1:10" ht="15.75">
      <c r="A36" s="238" t="s">
        <v>61</v>
      </c>
      <c r="B36" s="91"/>
      <c r="C36" s="672"/>
      <c r="D36" s="672"/>
      <c r="E36" s="672"/>
      <c r="F36" s="672"/>
      <c r="G36" s="673">
        <f>SUM(G16:G35)</f>
        <v>49515757</v>
      </c>
      <c r="H36" s="673">
        <f>SUM(H16:H35)</f>
        <v>49515757</v>
      </c>
      <c r="I36" s="688">
        <f>SUM(I16:I35)</f>
        <v>0</v>
      </c>
      <c r="J36" s="674">
        <f>SUM(J16:J35)</f>
        <v>0</v>
      </c>
    </row>
    <row r="37" spans="1:10" ht="15" customHeight="1">
      <c r="A37" s="239"/>
      <c r="B37" s="91"/>
      <c r="C37" s="126"/>
      <c r="D37" s="85"/>
      <c r="E37" s="51"/>
      <c r="F37" s="51"/>
      <c r="G37" s="492"/>
      <c r="H37" s="204"/>
      <c r="I37" s="204"/>
      <c r="J37" s="361"/>
    </row>
    <row r="38" spans="1:10" ht="15.75">
      <c r="A38" s="240" t="s">
        <v>268</v>
      </c>
      <c r="B38" s="91"/>
      <c r="C38" s="126"/>
      <c r="D38" s="83"/>
      <c r="E38" s="91"/>
      <c r="F38" s="91"/>
      <c r="G38" s="492"/>
      <c r="H38" s="204"/>
      <c r="I38" s="204"/>
      <c r="J38" s="361"/>
    </row>
    <row r="39" spans="1:10" ht="15" customHeight="1">
      <c r="A39" s="237"/>
      <c r="B39" s="84" t="s">
        <v>399</v>
      </c>
      <c r="C39" s="261" t="s">
        <v>107</v>
      </c>
      <c r="D39" s="266" t="s">
        <v>62</v>
      </c>
      <c r="E39" s="266" t="s">
        <v>393</v>
      </c>
      <c r="F39" s="266"/>
      <c r="G39" s="669"/>
      <c r="H39" s="352">
        <f>VLOOKUP($E39,Ratio,2,FALSE)*$G39</f>
        <v>0</v>
      </c>
      <c r="I39" s="352">
        <f>VLOOKUP($E39,Ratio,3,FALSE)*$G39</f>
        <v>0</v>
      </c>
      <c r="J39" s="382">
        <f>VLOOKUP($E39,Ratio,4,FALSE)*$G39</f>
        <v>0</v>
      </c>
    </row>
    <row r="40" spans="1:10" ht="15" customHeight="1">
      <c r="A40" s="237"/>
      <c r="B40" s="84" t="s">
        <v>135</v>
      </c>
      <c r="C40" s="261" t="s">
        <v>107</v>
      </c>
      <c r="D40" s="266" t="s">
        <v>146</v>
      </c>
      <c r="E40" s="266" t="s">
        <v>393</v>
      </c>
      <c r="F40" s="266"/>
      <c r="G40" s="669">
        <v>18011</v>
      </c>
      <c r="H40" s="352">
        <f>VLOOKUP($E40,Ratio,2,FALSE)*$G40</f>
        <v>0</v>
      </c>
      <c r="I40" s="352">
        <f>VLOOKUP($E40,Ratio,3,FALSE)*$G40</f>
        <v>18011</v>
      </c>
      <c r="J40" s="382">
        <f>VLOOKUP($E40,Ratio,4,FALSE)*$G40</f>
        <v>0</v>
      </c>
    </row>
    <row r="41" spans="1:10" ht="15" customHeight="1">
      <c r="A41" s="237"/>
      <c r="B41" s="84" t="s">
        <v>136</v>
      </c>
      <c r="C41" s="261" t="s">
        <v>107</v>
      </c>
      <c r="D41" s="266" t="s">
        <v>145</v>
      </c>
      <c r="E41" s="266" t="s">
        <v>393</v>
      </c>
      <c r="F41" s="266"/>
      <c r="G41" s="669">
        <v>1775</v>
      </c>
      <c r="H41" s="352">
        <f>VLOOKUP($E41,Ratio,2,FALSE)*$G41</f>
        <v>0</v>
      </c>
      <c r="I41" s="352">
        <f>VLOOKUP($E41,Ratio,3,FALSE)*$G41</f>
        <v>1775</v>
      </c>
      <c r="J41" s="382">
        <f>VLOOKUP($E41,Ratio,4,FALSE)*$G41</f>
        <v>0</v>
      </c>
    </row>
    <row r="42" spans="1:10" ht="15.75">
      <c r="A42" s="238" t="s">
        <v>63</v>
      </c>
      <c r="B42" s="91"/>
      <c r="C42" s="672"/>
      <c r="D42" s="672"/>
      <c r="E42" s="672"/>
      <c r="F42" s="672"/>
      <c r="G42" s="673">
        <f>SUM(G39:G41)</f>
        <v>19786</v>
      </c>
      <c r="H42" s="673">
        <f>SUM(H39:H41)</f>
        <v>0</v>
      </c>
      <c r="I42" s="673">
        <f>SUM(I39:I41)</f>
        <v>19786</v>
      </c>
      <c r="J42" s="674">
        <f>SUM(J39:J41)</f>
        <v>0</v>
      </c>
    </row>
    <row r="43" spans="1:10" ht="16.5" thickBot="1">
      <c r="A43" s="271"/>
      <c r="B43" s="272"/>
      <c r="C43" s="273"/>
      <c r="D43" s="274"/>
      <c r="E43" s="275"/>
      <c r="F43" s="275"/>
      <c r="G43" s="670"/>
      <c r="H43" s="670"/>
      <c r="I43" s="670"/>
      <c r="J43" s="671"/>
    </row>
    <row r="44" spans="1:10" ht="15" customHeight="1" thickTop="1">
      <c r="A44" s="240" t="s">
        <v>64</v>
      </c>
      <c r="B44" s="91"/>
      <c r="C44" s="126"/>
      <c r="D44" s="83"/>
      <c r="E44" s="91"/>
      <c r="F44" s="91"/>
      <c r="G44" s="204"/>
      <c r="H44" s="204"/>
      <c r="I44" s="204"/>
      <c r="J44" s="361"/>
    </row>
    <row r="45" spans="1:10" ht="15" customHeight="1">
      <c r="A45" s="237"/>
      <c r="B45" s="84" t="s">
        <v>137</v>
      </c>
      <c r="C45" s="261" t="s">
        <v>107</v>
      </c>
      <c r="D45" s="266" t="s">
        <v>65</v>
      </c>
      <c r="E45" s="266" t="s">
        <v>392</v>
      </c>
      <c r="F45" s="266"/>
      <c r="G45" s="669">
        <v>1267088</v>
      </c>
      <c r="H45" s="352">
        <f>VLOOKUP($E45,Ratio,2,FALSE)*$G45</f>
        <v>0</v>
      </c>
      <c r="I45" s="352">
        <f>VLOOKUP($E45,Ratio,3,FALSE)*$G45</f>
        <v>0</v>
      </c>
      <c r="J45" s="382">
        <f>VLOOKUP($E45,Ratio,4,FALSE)*$G45</f>
        <v>1267088</v>
      </c>
    </row>
    <row r="46" spans="1:10" ht="15" customHeight="1">
      <c r="A46" s="237"/>
      <c r="B46" s="84" t="s">
        <v>136</v>
      </c>
      <c r="C46" s="261" t="s">
        <v>107</v>
      </c>
      <c r="D46" s="266" t="s">
        <v>66</v>
      </c>
      <c r="E46" s="266" t="s">
        <v>392</v>
      </c>
      <c r="F46" s="266"/>
      <c r="G46" s="669">
        <v>1321939</v>
      </c>
      <c r="H46" s="352">
        <f>VLOOKUP($E46,Ratio,2,FALSE)*$G46</f>
        <v>0</v>
      </c>
      <c r="I46" s="352">
        <f>VLOOKUP($E46,Ratio,3,FALSE)*$G46</f>
        <v>0</v>
      </c>
      <c r="J46" s="382">
        <f>VLOOKUP($E46,Ratio,4,FALSE)*$G46</f>
        <v>1321939</v>
      </c>
    </row>
    <row r="47" spans="1:10" ht="15" customHeight="1">
      <c r="A47" s="238" t="s">
        <v>67</v>
      </c>
      <c r="B47" s="91"/>
      <c r="C47" s="672"/>
      <c r="D47" s="672"/>
      <c r="E47" s="672"/>
      <c r="F47" s="672"/>
      <c r="G47" s="673">
        <f>SUM(G45:G46)</f>
        <v>2589027</v>
      </c>
      <c r="H47" s="673">
        <f>SUM(H45:H46)</f>
        <v>0</v>
      </c>
      <c r="I47" s="673">
        <f>SUM(I45:I46)</f>
        <v>0</v>
      </c>
      <c r="J47" s="674">
        <f>SUM(J45:J46)</f>
        <v>2589027</v>
      </c>
    </row>
    <row r="48" spans="1:10" ht="9.75" customHeight="1">
      <c r="A48" s="241"/>
      <c r="B48" s="91"/>
      <c r="C48" s="85"/>
      <c r="D48" s="85"/>
      <c r="E48" s="85"/>
      <c r="F48" s="85"/>
      <c r="G48" s="109"/>
      <c r="H48" s="109"/>
      <c r="I48" s="109"/>
      <c r="J48" s="325"/>
    </row>
    <row r="49" spans="1:10" ht="15" customHeight="1">
      <c r="A49" s="240" t="s">
        <v>68</v>
      </c>
      <c r="B49" s="91"/>
      <c r="C49" s="85"/>
      <c r="D49" s="85"/>
      <c r="E49" s="85"/>
      <c r="F49" s="85"/>
      <c r="G49" s="109"/>
      <c r="H49" s="109"/>
      <c r="I49" s="109"/>
      <c r="J49" s="325"/>
    </row>
    <row r="50" spans="1:10" ht="15" customHeight="1">
      <c r="A50" s="237"/>
      <c r="B50" s="84" t="s">
        <v>138</v>
      </c>
      <c r="C50" s="261" t="s">
        <v>107</v>
      </c>
      <c r="D50" s="262" t="s">
        <v>69</v>
      </c>
      <c r="E50" s="262" t="s">
        <v>392</v>
      </c>
      <c r="F50" s="262"/>
      <c r="G50" s="669">
        <v>1577147</v>
      </c>
      <c r="H50" s="352">
        <f>VLOOKUP($E50,Ratio,2,FALSE)*$G50</f>
        <v>0</v>
      </c>
      <c r="I50" s="352">
        <f>VLOOKUP($E50,Ratio,3,FALSE)*$G50</f>
        <v>0</v>
      </c>
      <c r="J50" s="382">
        <f>VLOOKUP($E50,Ratio,4,FALSE)*$G50</f>
        <v>1577147</v>
      </c>
    </row>
    <row r="51" spans="1:10" ht="15" customHeight="1">
      <c r="A51" s="237"/>
      <c r="B51" s="84" t="s">
        <v>323</v>
      </c>
      <c r="C51" s="261" t="s">
        <v>107</v>
      </c>
      <c r="D51" s="262" t="s">
        <v>395</v>
      </c>
      <c r="E51" s="262" t="s">
        <v>392</v>
      </c>
      <c r="F51" s="436"/>
      <c r="G51" s="669">
        <v>81434</v>
      </c>
      <c r="H51" s="352">
        <f>VLOOKUP($E51,Ratio,2,FALSE)*$G51</f>
        <v>0</v>
      </c>
      <c r="I51" s="352">
        <f>VLOOKUP($E51,Ratio,3,FALSE)*$G51</f>
        <v>0</v>
      </c>
      <c r="J51" s="382">
        <f>VLOOKUP($E51,Ratio,4,FALSE)*$G51</f>
        <v>81434</v>
      </c>
    </row>
    <row r="52" spans="1:10" ht="15" customHeight="1">
      <c r="A52" s="237"/>
      <c r="B52" s="84" t="s">
        <v>467</v>
      </c>
      <c r="C52" s="261" t="s">
        <v>107</v>
      </c>
      <c r="D52" s="262">
        <v>908</v>
      </c>
      <c r="E52" s="262" t="s">
        <v>2</v>
      </c>
      <c r="F52" s="262" t="s">
        <v>2</v>
      </c>
      <c r="G52" s="669"/>
      <c r="H52" s="352"/>
      <c r="I52" s="352"/>
      <c r="J52" s="382"/>
    </row>
    <row r="53" spans="1:10" ht="15" customHeight="1">
      <c r="A53" s="237"/>
      <c r="B53" s="84" t="s">
        <v>323</v>
      </c>
      <c r="C53" s="261" t="s">
        <v>107</v>
      </c>
      <c r="D53" s="262" t="s">
        <v>396</v>
      </c>
      <c r="E53" s="262" t="s">
        <v>392</v>
      </c>
      <c r="F53" s="436"/>
      <c r="G53" s="669"/>
      <c r="H53" s="352">
        <f>VLOOKUP($E53,Ratio,2,FALSE)*$G53</f>
        <v>0</v>
      </c>
      <c r="I53" s="352">
        <f>VLOOKUP($E53,Ratio,3,FALSE)*$G53</f>
        <v>0</v>
      </c>
      <c r="J53" s="382">
        <f>VLOOKUP($E53,Ratio,4,FALSE)*$G53</f>
        <v>0</v>
      </c>
    </row>
    <row r="54" spans="1:10" ht="15" customHeight="1">
      <c r="A54" s="237"/>
      <c r="B54" s="84" t="s">
        <v>397</v>
      </c>
      <c r="C54" s="261" t="s">
        <v>107</v>
      </c>
      <c r="D54" s="262" t="s">
        <v>398</v>
      </c>
      <c r="E54" s="265" t="s">
        <v>392</v>
      </c>
      <c r="F54" s="265"/>
      <c r="G54" s="669"/>
      <c r="H54" s="352">
        <f>VLOOKUP($E54,Ratio,2,FALSE)*$G54</f>
        <v>0</v>
      </c>
      <c r="I54" s="352">
        <f>VLOOKUP($E54,Ratio,3,FALSE)*$G54</f>
        <v>0</v>
      </c>
      <c r="J54" s="382">
        <f>VLOOKUP($E54,Ratio,4,FALSE)*$G54</f>
        <v>0</v>
      </c>
    </row>
    <row r="55" spans="1:10" ht="15" customHeight="1">
      <c r="A55" s="238" t="s">
        <v>70</v>
      </c>
      <c r="B55" s="91"/>
      <c r="C55" s="672"/>
      <c r="D55" s="672"/>
      <c r="E55" s="672"/>
      <c r="F55" s="672"/>
      <c r="G55" s="673">
        <f>SUM(G50:G54)</f>
        <v>1658581</v>
      </c>
      <c r="H55" s="673">
        <f>SUM(H50:H54)</f>
        <v>0</v>
      </c>
      <c r="I55" s="673">
        <f>SUM(I50:I54)</f>
        <v>0</v>
      </c>
      <c r="J55" s="674">
        <f>SUM(J50:J54)</f>
        <v>1658581</v>
      </c>
    </row>
    <row r="56" spans="1:10" ht="9.75" customHeight="1">
      <c r="A56" s="239"/>
      <c r="B56" s="91"/>
      <c r="C56" s="85"/>
      <c r="D56" s="83"/>
      <c r="E56" s="83"/>
      <c r="F56" s="83"/>
      <c r="G56" s="109"/>
      <c r="H56" s="109"/>
      <c r="I56" s="109"/>
      <c r="J56" s="325"/>
    </row>
    <row r="57" spans="1:10" ht="15" customHeight="1">
      <c r="A57" s="240" t="s">
        <v>71</v>
      </c>
      <c r="B57" s="91"/>
      <c r="C57" s="126"/>
      <c r="D57" s="83"/>
      <c r="E57" s="91"/>
      <c r="F57" s="91"/>
      <c r="G57" s="204"/>
      <c r="H57" s="204"/>
      <c r="I57" s="204"/>
      <c r="J57" s="361"/>
    </row>
    <row r="58" spans="1:10" ht="15" customHeight="1">
      <c r="A58" s="242"/>
      <c r="B58" s="118" t="s">
        <v>154</v>
      </c>
      <c r="C58" s="126"/>
      <c r="D58" s="83"/>
      <c r="E58" s="91"/>
      <c r="F58" s="91"/>
      <c r="G58" s="204"/>
      <c r="H58" s="204"/>
      <c r="I58" s="204"/>
      <c r="J58" s="361"/>
    </row>
    <row r="59" spans="1:10" ht="15" customHeight="1">
      <c r="A59" s="237"/>
      <c r="B59" s="86" t="s">
        <v>195</v>
      </c>
      <c r="C59" s="261" t="s">
        <v>107</v>
      </c>
      <c r="D59" s="262">
        <v>920</v>
      </c>
      <c r="E59" s="262" t="s">
        <v>7</v>
      </c>
      <c r="F59" s="262"/>
      <c r="G59" s="669">
        <v>1131840</v>
      </c>
      <c r="H59" s="352">
        <f aca="true" t="shared" si="0" ref="H59:H72">VLOOKUP($E59,Ratio,2,FALSE)*$G59</f>
        <v>111150.07117215023</v>
      </c>
      <c r="I59" s="352">
        <f aca="true" t="shared" si="1" ref="I59:I72">VLOOKUP($E59,Ratio,3,FALSE)*$G59</f>
        <v>12819.064951816512</v>
      </c>
      <c r="J59" s="382">
        <f aca="true" t="shared" si="2" ref="J59:J72">VLOOKUP($E59,Ratio,4,FALSE)*$G59</f>
        <v>1007870.8638760333</v>
      </c>
    </row>
    <row r="60" spans="1:10" ht="15" customHeight="1">
      <c r="A60" s="237"/>
      <c r="B60" s="86" t="s">
        <v>196</v>
      </c>
      <c r="C60" s="261" t="s">
        <v>107</v>
      </c>
      <c r="D60" s="262">
        <v>921</v>
      </c>
      <c r="E60" s="262" t="s">
        <v>7</v>
      </c>
      <c r="F60" s="262"/>
      <c r="G60" s="669">
        <v>208744</v>
      </c>
      <c r="H60" s="352">
        <f t="shared" si="0"/>
        <v>20499.284754699715</v>
      </c>
      <c r="I60" s="352">
        <f t="shared" si="1"/>
        <v>2364.2059781435414</v>
      </c>
      <c r="J60" s="382">
        <f t="shared" si="2"/>
        <v>185880.50926715674</v>
      </c>
    </row>
    <row r="61" spans="1:10" ht="15" customHeight="1">
      <c r="A61" s="237"/>
      <c r="B61" s="86" t="s">
        <v>197</v>
      </c>
      <c r="C61" s="261" t="s">
        <v>107</v>
      </c>
      <c r="D61" s="262">
        <v>922</v>
      </c>
      <c r="E61" s="265" t="s">
        <v>7</v>
      </c>
      <c r="F61" s="265"/>
      <c r="G61" s="669"/>
      <c r="H61" s="352">
        <f t="shared" si="0"/>
        <v>0</v>
      </c>
      <c r="I61" s="352">
        <f t="shared" si="1"/>
        <v>0</v>
      </c>
      <c r="J61" s="382">
        <f t="shared" si="2"/>
        <v>0</v>
      </c>
    </row>
    <row r="62" spans="1:10" ht="15" customHeight="1">
      <c r="A62" s="237"/>
      <c r="B62" s="86" t="s">
        <v>198</v>
      </c>
      <c r="C62" s="261" t="s">
        <v>107</v>
      </c>
      <c r="D62" s="262">
        <v>923</v>
      </c>
      <c r="E62" s="265" t="s">
        <v>7</v>
      </c>
      <c r="F62" s="265"/>
      <c r="G62" s="669">
        <v>239401</v>
      </c>
      <c r="H62" s="352">
        <f t="shared" si="0"/>
        <v>23509.893791246057</v>
      </c>
      <c r="I62" s="352">
        <f t="shared" si="1"/>
        <v>2711.4229648447</v>
      </c>
      <c r="J62" s="382">
        <f t="shared" si="2"/>
        <v>213179.68324390924</v>
      </c>
    </row>
    <row r="63" spans="1:10" ht="15" customHeight="1">
      <c r="A63" s="237"/>
      <c r="B63" s="86" t="s">
        <v>199</v>
      </c>
      <c r="C63" s="261" t="s">
        <v>107</v>
      </c>
      <c r="D63" s="262">
        <v>924</v>
      </c>
      <c r="E63" s="262" t="s">
        <v>18</v>
      </c>
      <c r="F63" s="262"/>
      <c r="G63" s="669">
        <v>130843</v>
      </c>
      <c r="H63" s="352">
        <f t="shared" si="0"/>
        <v>20608.739386935133</v>
      </c>
      <c r="I63" s="352">
        <f t="shared" si="1"/>
        <v>4565.69287034274</v>
      </c>
      <c r="J63" s="382">
        <f t="shared" si="2"/>
        <v>105668.56774272212</v>
      </c>
    </row>
    <row r="64" spans="1:10" ht="15" customHeight="1">
      <c r="A64" s="237"/>
      <c r="B64" s="86" t="s">
        <v>139</v>
      </c>
      <c r="C64" s="261" t="s">
        <v>107</v>
      </c>
      <c r="D64" s="262">
        <v>925</v>
      </c>
      <c r="E64" s="265" t="s">
        <v>7</v>
      </c>
      <c r="F64" s="265"/>
      <c r="G64" s="669">
        <v>447</v>
      </c>
      <c r="H64" s="352">
        <f t="shared" si="0"/>
        <v>43.896736123437194</v>
      </c>
      <c r="I64" s="352">
        <f t="shared" si="1"/>
        <v>5.062660829677323</v>
      </c>
      <c r="J64" s="382">
        <f t="shared" si="2"/>
        <v>398.0406030468855</v>
      </c>
    </row>
    <row r="65" spans="1:10" ht="15" customHeight="1">
      <c r="A65" s="237"/>
      <c r="B65" s="86" t="s">
        <v>140</v>
      </c>
      <c r="C65" s="261" t="s">
        <v>107</v>
      </c>
      <c r="D65" s="262">
        <v>926</v>
      </c>
      <c r="E65" s="262" t="s">
        <v>7</v>
      </c>
      <c r="F65" s="262"/>
      <c r="G65" s="669">
        <v>1953923</v>
      </c>
      <c r="H65" s="352">
        <f t="shared" si="0"/>
        <v>191881.07905260575</v>
      </c>
      <c r="I65" s="352">
        <f t="shared" si="1"/>
        <v>22129.86451075079</v>
      </c>
      <c r="J65" s="382">
        <f t="shared" si="2"/>
        <v>1739912.0564366435</v>
      </c>
    </row>
    <row r="66" spans="1:10" ht="15" customHeight="1">
      <c r="A66" s="237"/>
      <c r="B66" s="86" t="s">
        <v>141</v>
      </c>
      <c r="C66" s="261" t="s">
        <v>107</v>
      </c>
      <c r="D66" s="262">
        <v>927</v>
      </c>
      <c r="E66" s="262" t="s">
        <v>392</v>
      </c>
      <c r="F66" s="262"/>
      <c r="G66" s="669"/>
      <c r="H66" s="352">
        <f t="shared" si="0"/>
        <v>0</v>
      </c>
      <c r="I66" s="352">
        <f t="shared" si="1"/>
        <v>0</v>
      </c>
      <c r="J66" s="382">
        <f t="shared" si="2"/>
        <v>0</v>
      </c>
    </row>
    <row r="67" spans="1:10" ht="15" customHeight="1">
      <c r="A67" s="237"/>
      <c r="B67" s="86" t="s">
        <v>143</v>
      </c>
      <c r="C67" s="261" t="s">
        <v>107</v>
      </c>
      <c r="D67" s="262">
        <v>928</v>
      </c>
      <c r="E67" s="265" t="s">
        <v>392</v>
      </c>
      <c r="F67" s="265"/>
      <c r="G67" s="669"/>
      <c r="H67" s="352">
        <f t="shared" si="0"/>
        <v>0</v>
      </c>
      <c r="I67" s="352">
        <f t="shared" si="1"/>
        <v>0</v>
      </c>
      <c r="J67" s="382">
        <f t="shared" si="2"/>
        <v>0</v>
      </c>
    </row>
    <row r="68" spans="1:10" ht="15" customHeight="1">
      <c r="A68" s="237"/>
      <c r="B68" s="86" t="s">
        <v>200</v>
      </c>
      <c r="C68" s="261" t="s">
        <v>107</v>
      </c>
      <c r="D68" s="262">
        <v>929</v>
      </c>
      <c r="E68" s="262" t="s">
        <v>18</v>
      </c>
      <c r="F68" s="262"/>
      <c r="G68" s="669"/>
      <c r="H68" s="352">
        <f t="shared" si="0"/>
        <v>0</v>
      </c>
      <c r="I68" s="352">
        <f t="shared" si="1"/>
        <v>0</v>
      </c>
      <c r="J68" s="382">
        <f t="shared" si="2"/>
        <v>0</v>
      </c>
    </row>
    <row r="69" spans="1:10" ht="15" customHeight="1">
      <c r="A69" s="237"/>
      <c r="B69" s="86" t="s">
        <v>201</v>
      </c>
      <c r="C69" s="261" t="s">
        <v>107</v>
      </c>
      <c r="D69" s="262">
        <v>930.1</v>
      </c>
      <c r="E69" s="262" t="s">
        <v>392</v>
      </c>
      <c r="F69" s="262"/>
      <c r="G69" s="669"/>
      <c r="H69" s="352">
        <f t="shared" si="0"/>
        <v>0</v>
      </c>
      <c r="I69" s="352">
        <f t="shared" si="1"/>
        <v>0</v>
      </c>
      <c r="J69" s="382">
        <f t="shared" si="2"/>
        <v>0</v>
      </c>
    </row>
    <row r="70" spans="1:10" ht="15" customHeight="1">
      <c r="A70" s="237"/>
      <c r="B70" s="86" t="s">
        <v>142</v>
      </c>
      <c r="C70" s="261" t="s">
        <v>107</v>
      </c>
      <c r="D70" s="262">
        <v>930.2</v>
      </c>
      <c r="E70" s="265" t="s">
        <v>392</v>
      </c>
      <c r="F70" s="265"/>
      <c r="G70" s="669">
        <v>415918</v>
      </c>
      <c r="H70" s="352">
        <f t="shared" si="0"/>
        <v>0</v>
      </c>
      <c r="I70" s="352">
        <f t="shared" si="1"/>
        <v>0</v>
      </c>
      <c r="J70" s="382">
        <f t="shared" si="2"/>
        <v>415918</v>
      </c>
    </row>
    <row r="71" spans="1:10" ht="15" customHeight="1">
      <c r="A71" s="237"/>
      <c r="B71" s="86" t="s">
        <v>72</v>
      </c>
      <c r="C71" s="261" t="s">
        <v>107</v>
      </c>
      <c r="D71" s="262">
        <v>931</v>
      </c>
      <c r="E71" s="262" t="s">
        <v>392</v>
      </c>
      <c r="F71" s="262"/>
      <c r="G71" s="669"/>
      <c r="H71" s="352">
        <f t="shared" si="0"/>
        <v>0</v>
      </c>
      <c r="I71" s="352">
        <f t="shared" si="1"/>
        <v>0</v>
      </c>
      <c r="J71" s="382">
        <f t="shared" si="2"/>
        <v>0</v>
      </c>
    </row>
    <row r="72" spans="1:10" ht="15" customHeight="1">
      <c r="A72" s="237"/>
      <c r="B72" s="86" t="s">
        <v>255</v>
      </c>
      <c r="C72" s="261" t="s">
        <v>254</v>
      </c>
      <c r="D72" s="262">
        <v>933</v>
      </c>
      <c r="E72" s="262" t="s">
        <v>392</v>
      </c>
      <c r="F72" s="262"/>
      <c r="G72" s="669"/>
      <c r="H72" s="352">
        <f t="shared" si="0"/>
        <v>0</v>
      </c>
      <c r="I72" s="352">
        <f t="shared" si="1"/>
        <v>0</v>
      </c>
      <c r="J72" s="382">
        <f t="shared" si="2"/>
        <v>0</v>
      </c>
    </row>
    <row r="73" spans="1:10" ht="15" customHeight="1">
      <c r="A73" s="237"/>
      <c r="B73" s="118" t="s">
        <v>155</v>
      </c>
      <c r="C73" s="85"/>
      <c r="D73" s="83"/>
      <c r="E73" s="83"/>
      <c r="F73" s="83"/>
      <c r="G73" s="679"/>
      <c r="H73" s="680"/>
      <c r="I73" s="680"/>
      <c r="J73" s="681"/>
    </row>
    <row r="74" spans="1:10" ht="15" customHeight="1">
      <c r="A74" s="237"/>
      <c r="B74" s="84" t="s">
        <v>6</v>
      </c>
      <c r="C74" s="261" t="s">
        <v>107</v>
      </c>
      <c r="D74" s="262">
        <v>935</v>
      </c>
      <c r="E74" s="262" t="s">
        <v>5</v>
      </c>
      <c r="F74" s="262"/>
      <c r="G74" s="669"/>
      <c r="H74" s="352">
        <f>VLOOKUP($E74,Ratio,2,FALSE)*$G74</f>
        <v>0</v>
      </c>
      <c r="I74" s="352">
        <f>VLOOKUP($E74,Ratio,3,FALSE)*$G74</f>
        <v>0</v>
      </c>
      <c r="J74" s="382">
        <f>VLOOKUP($E74,Ratio,4,FALSE)*$G74</f>
        <v>0</v>
      </c>
    </row>
    <row r="75" spans="1:10" ht="15" customHeight="1">
      <c r="A75" s="238" t="s">
        <v>73</v>
      </c>
      <c r="B75" s="100"/>
      <c r="C75" s="672"/>
      <c r="D75" s="672"/>
      <c r="E75" s="672"/>
      <c r="F75" s="672"/>
      <c r="G75" s="673">
        <f>SUM(G59:G60,G62:G67,G69:G72,G74)-G61-G68</f>
        <v>4081116</v>
      </c>
      <c r="H75" s="673">
        <f>SUM(H59:H60,H62:H67,H69:H72,H74)-H61-H68</f>
        <v>367692.9648937603</v>
      </c>
      <c r="I75" s="673">
        <f>SUM(I59:I60,I62:I67,I69:I72,I74)-I61-I68</f>
        <v>44595.313936727965</v>
      </c>
      <c r="J75" s="673">
        <f>SUM(J59:J60,J62:J67,J69:J72,J74)-J61-J68</f>
        <v>3668827.721169512</v>
      </c>
    </row>
    <row r="76" spans="1:10" s="80" customFormat="1" ht="9.75" customHeight="1" thickBot="1">
      <c r="A76" s="276"/>
      <c r="B76" s="277"/>
      <c r="C76" s="251"/>
      <c r="D76" s="278"/>
      <c r="E76" s="278"/>
      <c r="F76" s="278"/>
      <c r="G76" s="682"/>
      <c r="H76" s="682"/>
      <c r="I76" s="682"/>
      <c r="J76" s="683"/>
    </row>
    <row r="77" spans="1:10" s="80" customFormat="1" ht="16.5" thickTop="1">
      <c r="A77" s="238" t="s">
        <v>74</v>
      </c>
      <c r="B77" s="100"/>
      <c r="C77" s="689"/>
      <c r="D77" s="689"/>
      <c r="E77" s="689"/>
      <c r="F77" s="689"/>
      <c r="G77" s="694">
        <f>G36+G42+G47+G55+G75</f>
        <v>57864267</v>
      </c>
      <c r="H77" s="694">
        <f>H36+H42+H47+H55+H75</f>
        <v>49883449.96489376</v>
      </c>
      <c r="I77" s="694">
        <f>I36+I42+I47+I55+I75</f>
        <v>64381.313936727965</v>
      </c>
      <c r="J77" s="695">
        <f>J36+J42+J47+J55+J75</f>
        <v>7916435.721169512</v>
      </c>
    </row>
    <row r="78" spans="1:14" s="80" customFormat="1" ht="15.75">
      <c r="A78" s="243" t="s">
        <v>144</v>
      </c>
      <c r="B78" s="137"/>
      <c r="C78" s="138"/>
      <c r="D78" s="139"/>
      <c r="E78" s="84"/>
      <c r="F78" s="84"/>
      <c r="G78" s="745"/>
      <c r="H78" s="745"/>
      <c r="I78" s="745"/>
      <c r="J78" s="746"/>
      <c r="L78" s="736"/>
      <c r="M78" s="736"/>
      <c r="N78" s="736"/>
    </row>
    <row r="79" spans="1:14" ht="15.75">
      <c r="A79" s="244"/>
      <c r="B79" s="140"/>
      <c r="C79" s="138"/>
      <c r="D79" s="141"/>
      <c r="E79" s="141"/>
      <c r="F79" s="141"/>
      <c r="G79" s="684"/>
      <c r="H79" s="685"/>
      <c r="I79" s="685"/>
      <c r="J79" s="686"/>
      <c r="L79"/>
      <c r="M79"/>
      <c r="N79"/>
    </row>
    <row r="80" spans="1:14" ht="15.75">
      <c r="A80" s="240" t="s">
        <v>75</v>
      </c>
      <c r="B80" s="146"/>
      <c r="C80" s="165"/>
      <c r="D80" s="165"/>
      <c r="E80" s="165"/>
      <c r="F80" s="165"/>
      <c r="G80" s="687"/>
      <c r="H80" s="685"/>
      <c r="I80" s="685"/>
      <c r="J80" s="686"/>
      <c r="L80"/>
      <c r="M80"/>
      <c r="N80"/>
    </row>
    <row r="81" spans="1:14" ht="15.75">
      <c r="A81" s="237"/>
      <c r="B81" s="84" t="s">
        <v>370</v>
      </c>
      <c r="C81" s="261">
        <v>336</v>
      </c>
      <c r="D81" s="269">
        <v>404</v>
      </c>
      <c r="E81" s="266" t="s">
        <v>392</v>
      </c>
      <c r="F81" s="419" t="s">
        <v>9</v>
      </c>
      <c r="G81" s="669"/>
      <c r="H81" s="352">
        <f>VLOOKUP($E81,Ratio,2,FALSE)*$G81</f>
        <v>0</v>
      </c>
      <c r="I81" s="352">
        <f>VLOOKUP($E81,Ratio,3,FALSE)*$G81</f>
        <v>0</v>
      </c>
      <c r="J81" s="382">
        <f>VLOOKUP($E81,Ratio,4,FALSE)*$G81</f>
        <v>0</v>
      </c>
      <c r="L81"/>
      <c r="M81"/>
      <c r="N81"/>
    </row>
    <row r="82" spans="1:14" ht="15.75">
      <c r="A82" s="237"/>
      <c r="B82" s="84" t="s">
        <v>371</v>
      </c>
      <c r="C82" s="261">
        <v>336</v>
      </c>
      <c r="D82" s="269">
        <v>404</v>
      </c>
      <c r="E82" s="266" t="s">
        <v>2</v>
      </c>
      <c r="F82" s="419" t="s">
        <v>11</v>
      </c>
      <c r="G82" s="669"/>
      <c r="H82" s="352">
        <f>IF($E82="DIRECT",$L82,VLOOKUP($E82,Ratio,2,FALSE)*$G82)</f>
        <v>0</v>
      </c>
      <c r="I82" s="352">
        <f>IF($E82="DIRECT",$M82,VLOOKUP($E82,Ratio,3,FALSE)*$G82)</f>
        <v>0</v>
      </c>
      <c r="J82" s="382">
        <f>IF($E82="DIRECT",$N82,VLOOKUP($E82,Ratio,4,FALSE)*$G82)</f>
        <v>0</v>
      </c>
      <c r="L82"/>
      <c r="M82"/>
      <c r="N82"/>
    </row>
    <row r="83" spans="1:14" ht="15.75">
      <c r="A83" s="237"/>
      <c r="B83" s="84" t="s">
        <v>401</v>
      </c>
      <c r="C83" s="261">
        <v>336</v>
      </c>
      <c r="D83" s="269">
        <v>404</v>
      </c>
      <c r="E83" s="266" t="s">
        <v>2</v>
      </c>
      <c r="F83" s="419" t="s">
        <v>392</v>
      </c>
      <c r="G83" s="669"/>
      <c r="H83" s="352">
        <f>IF($E83="DIRECT",$L83,VLOOKUP($E83,Ratio,2,FALSE)*$G83)</f>
        <v>0</v>
      </c>
      <c r="I83" s="352">
        <f>IF($E83="DIRECT",$M83,VLOOKUP($E83,Ratio,3,FALSE)*$G83)</f>
        <v>0</v>
      </c>
      <c r="J83" s="382">
        <f>IF($E83="DIRECT",$N83,VLOOKUP($E83,Ratio,4,FALSE)*$G83)</f>
        <v>0</v>
      </c>
      <c r="L83"/>
      <c r="M83"/>
      <c r="N83"/>
    </row>
    <row r="84" spans="1:14" ht="15.75">
      <c r="A84" s="237"/>
      <c r="B84" s="84" t="s">
        <v>0</v>
      </c>
      <c r="C84" s="261">
        <v>336</v>
      </c>
      <c r="D84" s="269">
        <v>403</v>
      </c>
      <c r="E84" s="262" t="s">
        <v>394</v>
      </c>
      <c r="F84" s="262"/>
      <c r="G84" s="669"/>
      <c r="H84" s="352">
        <f aca="true" t="shared" si="3" ref="H84:H91">VLOOKUP($E84,Ratio,2,FALSE)*$G84</f>
        <v>0</v>
      </c>
      <c r="I84" s="352">
        <f aca="true" t="shared" si="4" ref="I84:I91">VLOOKUP($E84,Ratio,3,FALSE)*$G84</f>
        <v>0</v>
      </c>
      <c r="J84" s="382">
        <f aca="true" t="shared" si="5" ref="J84:J91">VLOOKUP($E84,Ratio,4,FALSE)*$G84</f>
        <v>0</v>
      </c>
      <c r="L84"/>
      <c r="M84"/>
      <c r="N84"/>
    </row>
    <row r="85" spans="1:10" ht="15.75">
      <c r="A85" s="237"/>
      <c r="B85" s="84" t="s">
        <v>1</v>
      </c>
      <c r="C85" s="261">
        <v>336</v>
      </c>
      <c r="D85" s="269">
        <v>403</v>
      </c>
      <c r="E85" s="262" t="s">
        <v>394</v>
      </c>
      <c r="F85" s="262"/>
      <c r="G85" s="669"/>
      <c r="H85" s="352">
        <f t="shared" si="3"/>
        <v>0</v>
      </c>
      <c r="I85" s="352">
        <f t="shared" si="4"/>
        <v>0</v>
      </c>
      <c r="J85" s="382">
        <f t="shared" si="5"/>
        <v>0</v>
      </c>
    </row>
    <row r="86" spans="1:10" ht="15.75">
      <c r="A86" s="237"/>
      <c r="B86" s="84" t="s">
        <v>147</v>
      </c>
      <c r="C86" s="261">
        <v>336</v>
      </c>
      <c r="D86" s="269">
        <v>403</v>
      </c>
      <c r="E86" s="262" t="s">
        <v>394</v>
      </c>
      <c r="F86" s="262"/>
      <c r="G86" s="669"/>
      <c r="H86" s="352">
        <f t="shared" si="3"/>
        <v>0</v>
      </c>
      <c r="I86" s="352">
        <f t="shared" si="4"/>
        <v>0</v>
      </c>
      <c r="J86" s="382">
        <f t="shared" si="5"/>
        <v>0</v>
      </c>
    </row>
    <row r="87" spans="1:10" ht="15.75">
      <c r="A87" s="237"/>
      <c r="B87" s="84" t="s">
        <v>148</v>
      </c>
      <c r="C87" s="261">
        <v>336</v>
      </c>
      <c r="D87" s="269">
        <v>403</v>
      </c>
      <c r="E87" s="262" t="s">
        <v>394</v>
      </c>
      <c r="F87" s="262"/>
      <c r="G87" s="669"/>
      <c r="H87" s="352">
        <f t="shared" si="3"/>
        <v>0</v>
      </c>
      <c r="I87" s="352">
        <f t="shared" si="4"/>
        <v>0</v>
      </c>
      <c r="J87" s="382">
        <f t="shared" si="5"/>
        <v>0</v>
      </c>
    </row>
    <row r="88" spans="1:10" ht="15.75">
      <c r="A88" s="237"/>
      <c r="B88" s="84" t="s">
        <v>47</v>
      </c>
      <c r="C88" s="261">
        <v>336</v>
      </c>
      <c r="D88" s="269">
        <v>403</v>
      </c>
      <c r="E88" s="262" t="s">
        <v>394</v>
      </c>
      <c r="F88" s="262"/>
      <c r="G88" s="669">
        <v>662455</v>
      </c>
      <c r="H88" s="352">
        <f t="shared" si="3"/>
        <v>662455</v>
      </c>
      <c r="I88" s="352">
        <f t="shared" si="4"/>
        <v>0</v>
      </c>
      <c r="J88" s="382">
        <f t="shared" si="5"/>
        <v>0</v>
      </c>
    </row>
    <row r="89" spans="1:10" ht="15.75">
      <c r="A89" s="237"/>
      <c r="B89" s="84" t="s">
        <v>263</v>
      </c>
      <c r="C89" s="261">
        <v>336</v>
      </c>
      <c r="D89" s="269">
        <v>403</v>
      </c>
      <c r="E89" s="262" t="s">
        <v>393</v>
      </c>
      <c r="F89" s="262"/>
      <c r="G89" s="669">
        <v>141872</v>
      </c>
      <c r="H89" s="352">
        <f t="shared" si="3"/>
        <v>0</v>
      </c>
      <c r="I89" s="352">
        <f t="shared" si="4"/>
        <v>141872</v>
      </c>
      <c r="J89" s="382">
        <f t="shared" si="5"/>
        <v>0</v>
      </c>
    </row>
    <row r="90" spans="1:10" ht="15.75">
      <c r="A90" s="237"/>
      <c r="B90" s="84" t="s">
        <v>48</v>
      </c>
      <c r="C90" s="261">
        <v>336</v>
      </c>
      <c r="D90" s="269">
        <v>403</v>
      </c>
      <c r="E90" s="262" t="s">
        <v>392</v>
      </c>
      <c r="F90" s="262"/>
      <c r="G90" s="669">
        <v>3273906</v>
      </c>
      <c r="H90" s="352">
        <f t="shared" si="3"/>
        <v>0</v>
      </c>
      <c r="I90" s="352">
        <f t="shared" si="4"/>
        <v>0</v>
      </c>
      <c r="J90" s="382">
        <f t="shared" si="5"/>
        <v>3273906</v>
      </c>
    </row>
    <row r="91" spans="1:10" ht="15.75">
      <c r="A91" s="237"/>
      <c r="B91" s="84" t="s">
        <v>4</v>
      </c>
      <c r="C91" s="261">
        <v>336</v>
      </c>
      <c r="D91" s="269">
        <v>403</v>
      </c>
      <c r="E91" s="262" t="s">
        <v>3</v>
      </c>
      <c r="F91" s="262"/>
      <c r="G91" s="669">
        <v>452715</v>
      </c>
      <c r="H91" s="352">
        <f t="shared" si="3"/>
        <v>59930.806559367644</v>
      </c>
      <c r="I91" s="352">
        <f t="shared" si="4"/>
        <v>14606.711370324296</v>
      </c>
      <c r="J91" s="382">
        <f t="shared" si="5"/>
        <v>378177.48207030806</v>
      </c>
    </row>
    <row r="92" spans="1:10" ht="15.75">
      <c r="A92" s="237"/>
      <c r="B92" s="84" t="s">
        <v>149</v>
      </c>
      <c r="C92" s="261">
        <v>336</v>
      </c>
      <c r="D92" s="270">
        <v>403</v>
      </c>
      <c r="E92" s="262" t="s">
        <v>2</v>
      </c>
      <c r="F92" s="262" t="s">
        <v>2</v>
      </c>
      <c r="G92" s="669"/>
      <c r="H92" s="352"/>
      <c r="I92" s="352"/>
      <c r="J92" s="382"/>
    </row>
    <row r="93" spans="1:10" ht="15.75">
      <c r="A93" s="237"/>
      <c r="B93" s="84" t="s">
        <v>149</v>
      </c>
      <c r="C93" s="261">
        <v>336</v>
      </c>
      <c r="D93" s="270">
        <v>404</v>
      </c>
      <c r="E93" s="262" t="s">
        <v>2</v>
      </c>
      <c r="F93" s="262" t="s">
        <v>2</v>
      </c>
      <c r="G93" s="669"/>
      <c r="H93" s="352"/>
      <c r="I93" s="352"/>
      <c r="J93" s="382"/>
    </row>
    <row r="94" spans="1:10" ht="15.75">
      <c r="A94" s="237"/>
      <c r="B94" s="84" t="s">
        <v>451</v>
      </c>
      <c r="C94" s="261">
        <v>336</v>
      </c>
      <c r="D94" s="270">
        <v>403.1</v>
      </c>
      <c r="E94" s="262" t="s">
        <v>2</v>
      </c>
      <c r="F94" s="262" t="s">
        <v>2</v>
      </c>
      <c r="G94" s="669"/>
      <c r="H94" s="352"/>
      <c r="I94" s="352"/>
      <c r="J94" s="382"/>
    </row>
    <row r="95" spans="1:10" ht="15.75">
      <c r="A95" s="237"/>
      <c r="B95" s="84" t="s">
        <v>452</v>
      </c>
      <c r="C95" s="261">
        <v>336</v>
      </c>
      <c r="D95" s="270">
        <v>404</v>
      </c>
      <c r="E95" s="262" t="s">
        <v>2</v>
      </c>
      <c r="F95" s="262" t="s">
        <v>2</v>
      </c>
      <c r="G95" s="669"/>
      <c r="H95" s="352"/>
      <c r="I95" s="352"/>
      <c r="J95" s="382"/>
    </row>
    <row r="96" spans="1:10" ht="15.75">
      <c r="A96" s="237"/>
      <c r="B96" s="84" t="s">
        <v>226</v>
      </c>
      <c r="C96" s="261" t="s">
        <v>104</v>
      </c>
      <c r="D96" s="270">
        <v>114</v>
      </c>
      <c r="E96" s="262" t="s">
        <v>2</v>
      </c>
      <c r="F96" s="262" t="s">
        <v>2</v>
      </c>
      <c r="G96" s="669"/>
      <c r="H96" s="352"/>
      <c r="I96" s="352"/>
      <c r="J96" s="382"/>
    </row>
    <row r="97" spans="1:10" ht="15.75">
      <c r="A97" s="238" t="s">
        <v>49</v>
      </c>
      <c r="B97" s="100"/>
      <c r="C97" s="696"/>
      <c r="D97" s="696"/>
      <c r="E97" s="696"/>
      <c r="F97" s="696"/>
      <c r="G97" s="673">
        <f>SUM(G81:G96)</f>
        <v>4530948</v>
      </c>
      <c r="H97" s="673">
        <f>SUM(H81:H96)</f>
        <v>722385.8065593677</v>
      </c>
      <c r="I97" s="673">
        <f>SUM(I81:I96)</f>
        <v>156478.7113703243</v>
      </c>
      <c r="J97" s="674">
        <f>SUM(J81:J96)</f>
        <v>3652083.482070308</v>
      </c>
    </row>
    <row r="98" spans="1:10" ht="15.75">
      <c r="A98" s="245"/>
      <c r="B98" s="100"/>
      <c r="C98" s="268"/>
      <c r="D98" s="52"/>
      <c r="E98" s="91"/>
      <c r="F98" s="91"/>
      <c r="G98" s="493"/>
      <c r="H98" s="493"/>
      <c r="I98" s="493"/>
      <c r="J98" s="494"/>
    </row>
    <row r="99" spans="1:10" ht="15.75">
      <c r="A99" s="246"/>
      <c r="B99" s="131"/>
      <c r="C99" s="131"/>
      <c r="D99" s="131"/>
      <c r="E99" s="131"/>
      <c r="F99" s="131"/>
      <c r="G99" s="153"/>
      <c r="H99" s="153"/>
      <c r="I99" s="153"/>
      <c r="J99" s="347"/>
    </row>
    <row r="100" spans="1:10" ht="15.75">
      <c r="A100" s="248" t="s">
        <v>85</v>
      </c>
      <c r="B100" s="50"/>
      <c r="C100" s="696"/>
      <c r="D100" s="696"/>
      <c r="E100" s="696"/>
      <c r="F100" s="696"/>
      <c r="G100" s="673">
        <f>G77+G97</f>
        <v>62395215</v>
      </c>
      <c r="H100" s="673">
        <f>H77+H97</f>
        <v>50605835.77145313</v>
      </c>
      <c r="I100" s="673">
        <f>I77+I97</f>
        <v>220860.02530705227</v>
      </c>
      <c r="J100" s="674">
        <f>J77+J97</f>
        <v>11568519.20323982</v>
      </c>
    </row>
    <row r="101" spans="1:10" ht="16.5" thickBot="1">
      <c r="A101" s="249" t="s">
        <v>439</v>
      </c>
      <c r="B101" s="250"/>
      <c r="C101" s="251"/>
      <c r="D101" s="251"/>
      <c r="E101" s="251"/>
      <c r="F101" s="251"/>
      <c r="G101" s="252"/>
      <c r="H101" s="253"/>
      <c r="I101" s="253"/>
      <c r="J101" s="254"/>
    </row>
    <row r="102" spans="1:6" ht="16.5" thickTop="1">
      <c r="A102" s="80"/>
      <c r="B102" s="80"/>
      <c r="C102" s="80"/>
      <c r="D102" s="80"/>
      <c r="E102" s="80"/>
      <c r="F102" s="80"/>
    </row>
    <row r="103" spans="1:6" ht="15.75">
      <c r="A103" s="80"/>
      <c r="B103" s="80"/>
      <c r="C103" s="80"/>
      <c r="D103" s="80"/>
      <c r="E103" s="80"/>
      <c r="F103" s="80"/>
    </row>
    <row r="104" spans="1:6" ht="15.75">
      <c r="A104" s="80"/>
      <c r="B104" s="80"/>
      <c r="C104" s="80"/>
      <c r="D104" s="80"/>
      <c r="E104" s="80"/>
      <c r="F104" s="80"/>
    </row>
    <row r="105" spans="1:6" ht="15.75">
      <c r="A105" s="80"/>
      <c r="B105" s="80"/>
      <c r="C105" s="80"/>
      <c r="D105" s="80"/>
      <c r="E105" s="80"/>
      <c r="F105" s="80"/>
    </row>
    <row r="106" spans="1:6" ht="15.75">
      <c r="A106" s="80"/>
      <c r="B106" s="80"/>
      <c r="C106" s="80"/>
      <c r="D106" s="80"/>
      <c r="E106" s="80"/>
      <c r="F106" s="80"/>
    </row>
    <row r="107" spans="1:6" ht="15.75">
      <c r="A107" s="80"/>
      <c r="B107" s="80"/>
      <c r="C107" s="80"/>
      <c r="D107" s="80"/>
      <c r="E107" s="80"/>
      <c r="F107" s="80"/>
    </row>
    <row r="108" spans="1:6" ht="15.75">
      <c r="A108" s="80"/>
      <c r="B108" s="80"/>
      <c r="C108" s="80"/>
      <c r="D108" s="80"/>
      <c r="E108" s="80"/>
      <c r="F108" s="80"/>
    </row>
    <row r="109" spans="1:6" ht="15.75">
      <c r="A109" s="80"/>
      <c r="B109" s="80"/>
      <c r="C109" s="80"/>
      <c r="D109" s="80"/>
      <c r="E109" s="80"/>
      <c r="F109" s="80"/>
    </row>
    <row r="110" spans="1:6" ht="15.75">
      <c r="A110" s="80"/>
      <c r="B110" s="80"/>
      <c r="C110" s="80"/>
      <c r="D110" s="80"/>
      <c r="E110" s="80"/>
      <c r="F110" s="80"/>
    </row>
    <row r="111" spans="1:6" ht="15.75">
      <c r="A111" s="80"/>
      <c r="B111" s="80"/>
      <c r="C111" s="80"/>
      <c r="D111" s="80"/>
      <c r="E111" s="80"/>
      <c r="F111" s="80"/>
    </row>
    <row r="112" spans="1:6" ht="15.75">
      <c r="A112" s="80"/>
      <c r="B112" s="80"/>
      <c r="C112" s="80"/>
      <c r="D112" s="80"/>
      <c r="E112" s="80"/>
      <c r="F112" s="80"/>
    </row>
    <row r="113" spans="1:6" ht="15.75">
      <c r="A113" s="80"/>
      <c r="B113" s="80"/>
      <c r="C113" s="80"/>
      <c r="D113" s="80"/>
      <c r="E113" s="80"/>
      <c r="F113" s="80"/>
    </row>
  </sheetData>
  <mergeCells count="7">
    <mergeCell ref="E5:G5"/>
    <mergeCell ref="E6:G6"/>
    <mergeCell ref="E7:G7"/>
    <mergeCell ref="A11:B13"/>
    <mergeCell ref="G11:G13"/>
    <mergeCell ref="H11:H13"/>
    <mergeCell ref="I11:I13"/>
  </mergeCells>
  <dataValidations count="2">
    <dataValidation type="list" allowBlank="1" showInputMessage="1" showErrorMessage="1" sqref="E83">
      <formula1>DIST</formula1>
    </dataValidation>
    <dataValidation type="list" allowBlank="1" showInputMessage="1" showErrorMessage="1" sqref="E82">
      <formula1>PTD</formula1>
    </dataValidation>
  </dataValidations>
  <printOptions horizontalCentered="1"/>
  <pageMargins left="0.2" right="0.28" top="0.75" bottom="0.75" header="0.25" footer="0.25"/>
  <pageSetup fitToHeight="3" horizontalDpi="600" verticalDpi="600" orientation="landscape" paperSize="9" scale="78" r:id="rId1"/>
  <headerFooter alignWithMargins="0">
    <oddFooter>&amp;L&amp;F&amp;CPage &amp;P of &amp;N&amp;R&amp;D</oddFooter>
  </headerFooter>
  <rowBreaks count="2" manualBreakCount="2">
    <brk id="43" max="255" man="1"/>
    <brk id="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tabColor rgb="FFFFFF00"/>
    <pageSetUpPr fitToPage="1"/>
  </sheetPr>
  <dimension ref="A1:H39"/>
  <sheetViews>
    <sheetView workbookViewId="0" topLeftCell="A1">
      <selection activeCell="F22" sqref="F22"/>
    </sheetView>
  </sheetViews>
  <sheetFormatPr defaultColWidth="9.00390625" defaultRowHeight="15.75"/>
  <cols>
    <col min="2" max="2" width="15.875" style="0" customWidth="1"/>
    <col min="3" max="3" width="13.625" style="0" customWidth="1"/>
    <col min="4" max="4" width="20.50390625" style="0" customWidth="1"/>
    <col min="5" max="5" width="18.875" style="0" customWidth="1"/>
    <col min="6" max="6" width="22.50390625" style="0" customWidth="1"/>
    <col min="8" max="8" width="10.125" style="0" bestFit="1" customWidth="1"/>
  </cols>
  <sheetData>
    <row r="1" spans="1:5" ht="19.5" thickTop="1">
      <c r="A1" s="909" t="s">
        <v>89</v>
      </c>
      <c r="B1" s="910"/>
      <c r="C1" s="910"/>
      <c r="D1" s="910"/>
      <c r="E1" s="911"/>
    </row>
    <row r="2" spans="1:5" ht="15.75">
      <c r="A2" s="912" t="s">
        <v>91</v>
      </c>
      <c r="B2" s="881"/>
      <c r="C2" s="881"/>
      <c r="D2" s="881"/>
      <c r="E2" s="913"/>
    </row>
    <row r="3" spans="1:5" ht="16.5" thickBot="1">
      <c r="A3" s="914" t="s">
        <v>400</v>
      </c>
      <c r="B3" s="878"/>
      <c r="C3" s="878"/>
      <c r="D3" s="878"/>
      <c r="E3" s="915"/>
    </row>
    <row r="4" spans="1:5" ht="15.75">
      <c r="A4" s="529"/>
      <c r="B4" s="726" t="s">
        <v>460</v>
      </c>
      <c r="C4" s="852" t="s">
        <v>472</v>
      </c>
      <c r="D4" s="853"/>
      <c r="E4" s="854"/>
    </row>
    <row r="5" spans="1:5" ht="15.75">
      <c r="A5" s="529"/>
      <c r="B5" s="726" t="s">
        <v>462</v>
      </c>
      <c r="C5" s="855">
        <v>2006</v>
      </c>
      <c r="D5" s="856"/>
      <c r="E5" s="857"/>
    </row>
    <row r="6" spans="1:5" ht="16.5" thickBot="1">
      <c r="A6" s="529"/>
      <c r="B6" s="726" t="s">
        <v>463</v>
      </c>
      <c r="C6" s="858">
        <v>39575</v>
      </c>
      <c r="D6" s="859"/>
      <c r="E6" s="860"/>
    </row>
    <row r="7" spans="1:5" ht="16.5" thickBot="1">
      <c r="A7" s="916" t="s">
        <v>412</v>
      </c>
      <c r="B7" s="917"/>
      <c r="C7" s="917"/>
      <c r="D7" s="917"/>
      <c r="E7" s="918"/>
    </row>
    <row r="8" spans="1:5" ht="16.5" thickBot="1">
      <c r="A8" s="499"/>
      <c r="B8" s="476" t="s">
        <v>315</v>
      </c>
      <c r="C8" s="476"/>
      <c r="D8" s="903" t="s">
        <v>428</v>
      </c>
      <c r="E8" s="904"/>
    </row>
    <row r="9" spans="1:5" ht="16.5" thickBot="1">
      <c r="A9" s="495"/>
      <c r="B9" s="466" t="s">
        <v>431</v>
      </c>
      <c r="C9" s="466" t="s">
        <v>311</v>
      </c>
      <c r="D9" s="905"/>
      <c r="E9" s="906"/>
    </row>
    <row r="10" spans="1:5" ht="16.5" thickBot="1">
      <c r="A10" s="500"/>
      <c r="B10" s="469" t="s">
        <v>430</v>
      </c>
      <c r="C10" s="501" t="s">
        <v>312</v>
      </c>
      <c r="D10" s="502" t="s">
        <v>413</v>
      </c>
      <c r="E10" s="503" t="s">
        <v>414</v>
      </c>
    </row>
    <row r="11" spans="1:5" ht="15.75">
      <c r="A11" s="495"/>
      <c r="B11" s="697" t="s">
        <v>415</v>
      </c>
      <c r="C11" s="698" t="s">
        <v>427</v>
      </c>
      <c r="D11" s="701"/>
      <c r="E11" s="702"/>
    </row>
    <row r="12" spans="1:5" ht="15.75">
      <c r="A12" s="495"/>
      <c r="B12" s="699" t="s">
        <v>416</v>
      </c>
      <c r="C12" s="700" t="s">
        <v>427</v>
      </c>
      <c r="D12" s="263">
        <f>7967236+11972653+212953</f>
        <v>20152842</v>
      </c>
      <c r="E12" s="382">
        <f>266976+91316+4178</f>
        <v>362470</v>
      </c>
    </row>
    <row r="13" spans="1:5" ht="15.75">
      <c r="A13" s="495"/>
      <c r="B13" s="699" t="s">
        <v>417</v>
      </c>
      <c r="C13" s="700" t="s">
        <v>427</v>
      </c>
      <c r="D13" s="263">
        <f>31427808+1326035</f>
        <v>32753843</v>
      </c>
      <c r="E13" s="382">
        <f>660951+42163</f>
        <v>703114</v>
      </c>
    </row>
    <row r="14" spans="1:5" ht="15.75">
      <c r="A14" s="495"/>
      <c r="B14" s="699" t="s">
        <v>418</v>
      </c>
      <c r="C14" s="700" t="s">
        <v>427</v>
      </c>
      <c r="D14" s="263">
        <v>2527082</v>
      </c>
      <c r="E14" s="382">
        <v>57923</v>
      </c>
    </row>
    <row r="15" spans="1:5" ht="15.75">
      <c r="A15" s="495"/>
      <c r="B15" s="699" t="s">
        <v>419</v>
      </c>
      <c r="C15" s="700" t="s">
        <v>427</v>
      </c>
      <c r="D15" s="263"/>
      <c r="E15" s="382"/>
    </row>
    <row r="16" spans="1:5" ht="15.75">
      <c r="A16" s="495"/>
      <c r="B16" s="699" t="s">
        <v>420</v>
      </c>
      <c r="C16" s="700" t="s">
        <v>427</v>
      </c>
      <c r="D16" s="263"/>
      <c r="E16" s="382"/>
    </row>
    <row r="17" spans="1:5" ht="15.75">
      <c r="A17" s="495"/>
      <c r="B17" s="699" t="s">
        <v>421</v>
      </c>
      <c r="C17" s="700" t="s">
        <v>427</v>
      </c>
      <c r="D17" s="263"/>
      <c r="E17" s="382"/>
    </row>
    <row r="18" spans="1:5" ht="15.75">
      <c r="A18" s="495"/>
      <c r="B18" s="699" t="s">
        <v>422</v>
      </c>
      <c r="C18" s="700" t="s">
        <v>427</v>
      </c>
      <c r="D18" s="263"/>
      <c r="E18" s="382"/>
    </row>
    <row r="19" spans="1:5" ht="15.75">
      <c r="A19" s="495"/>
      <c r="B19" s="699" t="s">
        <v>423</v>
      </c>
      <c r="C19" s="700" t="s">
        <v>427</v>
      </c>
      <c r="D19" s="263"/>
      <c r="E19" s="382"/>
    </row>
    <row r="20" spans="1:5" ht="15.75">
      <c r="A20" s="495"/>
      <c r="B20" s="699" t="s">
        <v>424</v>
      </c>
      <c r="C20" s="700" t="s">
        <v>427</v>
      </c>
      <c r="D20" s="263"/>
      <c r="E20" s="382"/>
    </row>
    <row r="21" spans="1:8" ht="15.75">
      <c r="A21" s="495"/>
      <c r="B21" s="907" t="s">
        <v>425</v>
      </c>
      <c r="C21" s="908"/>
      <c r="D21" s="703">
        <f>SUM(D11:D20)</f>
        <v>55433767</v>
      </c>
      <c r="E21" s="675">
        <f>SUM(E11:E20)</f>
        <v>1123507</v>
      </c>
      <c r="H21" s="841"/>
    </row>
    <row r="22" spans="1:8" ht="16.5" thickBot="1">
      <c r="A22" s="495"/>
      <c r="B22" s="496"/>
      <c r="C22" s="498"/>
      <c r="D22" s="128"/>
      <c r="E22" s="315"/>
      <c r="H22" s="841"/>
    </row>
    <row r="23" spans="1:5" ht="16.5" thickBot="1">
      <c r="A23" s="499"/>
      <c r="B23" s="476" t="s">
        <v>315</v>
      </c>
      <c r="C23" s="476"/>
      <c r="D23" s="903" t="s">
        <v>99</v>
      </c>
      <c r="E23" s="904"/>
    </row>
    <row r="24" spans="1:5" ht="16.5" thickBot="1">
      <c r="A24" s="495"/>
      <c r="B24" s="466" t="s">
        <v>431</v>
      </c>
      <c r="C24" s="466" t="s">
        <v>311</v>
      </c>
      <c r="D24" s="905"/>
      <c r="E24" s="906"/>
    </row>
    <row r="25" spans="1:5" ht="16.5" thickBot="1">
      <c r="A25" s="500"/>
      <c r="B25" s="469" t="s">
        <v>430</v>
      </c>
      <c r="C25" s="469" t="s">
        <v>312</v>
      </c>
      <c r="D25" s="502" t="s">
        <v>413</v>
      </c>
      <c r="E25" s="503" t="s">
        <v>414</v>
      </c>
    </row>
    <row r="26" spans="1:5" ht="15.75">
      <c r="A26" s="495"/>
      <c r="B26" s="697" t="s">
        <v>415</v>
      </c>
      <c r="C26" s="698" t="s">
        <v>426</v>
      </c>
      <c r="D26" s="701"/>
      <c r="E26" s="702"/>
    </row>
    <row r="27" spans="1:5" ht="15.75">
      <c r="A27" s="495"/>
      <c r="B27" s="699" t="s">
        <v>416</v>
      </c>
      <c r="C27" s="700" t="s">
        <v>426</v>
      </c>
      <c r="D27" s="263"/>
      <c r="E27" s="382"/>
    </row>
    <row r="28" spans="1:5" ht="15.75">
      <c r="A28" s="495"/>
      <c r="B28" s="699" t="s">
        <v>417</v>
      </c>
      <c r="C28" s="700" t="s">
        <v>426</v>
      </c>
      <c r="D28" s="263"/>
      <c r="E28" s="382"/>
    </row>
    <row r="29" spans="1:5" ht="15.75">
      <c r="A29" s="495"/>
      <c r="B29" s="699" t="s">
        <v>418</v>
      </c>
      <c r="C29" s="700" t="s">
        <v>426</v>
      </c>
      <c r="D29" s="263">
        <v>14866154</v>
      </c>
      <c r="E29" s="382">
        <v>289820</v>
      </c>
    </row>
    <row r="30" spans="1:5" ht="15.75">
      <c r="A30" s="495"/>
      <c r="B30" s="699" t="s">
        <v>419</v>
      </c>
      <c r="C30" s="700" t="s">
        <v>426</v>
      </c>
      <c r="D30" s="263"/>
      <c r="E30" s="382"/>
    </row>
    <row r="31" spans="1:5" ht="15.75">
      <c r="A31" s="495"/>
      <c r="B31" s="699" t="s">
        <v>420</v>
      </c>
      <c r="C31" s="700" t="s">
        <v>426</v>
      </c>
      <c r="D31" s="263"/>
      <c r="E31" s="382"/>
    </row>
    <row r="32" spans="1:5" ht="15.75">
      <c r="A32" s="495"/>
      <c r="B32" s="699" t="s">
        <v>421</v>
      </c>
      <c r="C32" s="700" t="s">
        <v>426</v>
      </c>
      <c r="D32" s="263"/>
      <c r="E32" s="382"/>
    </row>
    <row r="33" spans="1:5" ht="15.75">
      <c r="A33" s="495"/>
      <c r="B33" s="699" t="s">
        <v>422</v>
      </c>
      <c r="C33" s="700" t="s">
        <v>426</v>
      </c>
      <c r="D33" s="263"/>
      <c r="E33" s="382"/>
    </row>
    <row r="34" spans="1:5" ht="15.75">
      <c r="A34" s="495"/>
      <c r="B34" s="699" t="s">
        <v>423</v>
      </c>
      <c r="C34" s="700" t="s">
        <v>426</v>
      </c>
      <c r="D34" s="263"/>
      <c r="E34" s="382"/>
    </row>
    <row r="35" spans="1:5" ht="15.75">
      <c r="A35" s="495"/>
      <c r="B35" s="699" t="s">
        <v>424</v>
      </c>
      <c r="C35" s="700" t="s">
        <v>426</v>
      </c>
      <c r="D35" s="263"/>
      <c r="E35" s="382"/>
    </row>
    <row r="36" spans="1:8" ht="16.5" thickBot="1">
      <c r="A36" s="497"/>
      <c r="B36" s="901" t="s">
        <v>425</v>
      </c>
      <c r="C36" s="902"/>
      <c r="D36" s="704">
        <f>SUM(D26:D35)</f>
        <v>14866154</v>
      </c>
      <c r="E36" s="705">
        <f>SUM(E26:E35)</f>
        <v>289820</v>
      </c>
      <c r="H36" s="840"/>
    </row>
    <row r="37" ht="16.5" thickTop="1"/>
    <row r="39" ht="15.75">
      <c r="E39" s="736"/>
    </row>
  </sheetData>
  <sheetProtection/>
  <mergeCells count="11">
    <mergeCell ref="A1:E1"/>
    <mergeCell ref="A2:E2"/>
    <mergeCell ref="A3:E3"/>
    <mergeCell ref="A7:E7"/>
    <mergeCell ref="C4:E4"/>
    <mergeCell ref="C5:E5"/>
    <mergeCell ref="C6:E6"/>
    <mergeCell ref="B36:C36"/>
    <mergeCell ref="D23:E24"/>
    <mergeCell ref="D8:E9"/>
    <mergeCell ref="B21:C21"/>
  </mergeCells>
  <printOptions horizontalCentered="1"/>
  <pageMargins left="0.7" right="0.7" top="0.75" bottom="0.75" header="0.3" footer="0.3"/>
  <pageSetup fitToHeight="1" fitToWidth="1" horizontalDpi="600" verticalDpi="600" orientation="portrait" scale="83" r:id="rId1"/>
  <headerFooter alignWithMargins="0">
    <oddFooter>&amp;L&amp;F&amp;CPage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1"/>
  </sheetPr>
  <dimension ref="A1:K41"/>
  <sheetViews>
    <sheetView zoomScaleSheetLayoutView="100" workbookViewId="0" topLeftCell="A10">
      <selection activeCell="E8" sqref="E8"/>
    </sheetView>
  </sheetViews>
  <sheetFormatPr defaultColWidth="9.00390625" defaultRowHeight="15.75"/>
  <cols>
    <col min="1" max="1" width="5.375" style="0" customWidth="1"/>
    <col min="2" max="2" width="30.625" style="0" customWidth="1"/>
    <col min="3" max="4" width="8.625" style="0" customWidth="1"/>
    <col min="5" max="5" width="10.625" style="0" customWidth="1"/>
    <col min="6" max="9" width="12.625" style="0" customWidth="1"/>
    <col min="10" max="10" width="10.50390625" style="0" customWidth="1"/>
  </cols>
  <sheetData>
    <row r="1" spans="1:9" ht="19.5" customHeight="1" thickTop="1">
      <c r="A1" s="909" t="s">
        <v>89</v>
      </c>
      <c r="B1" s="910"/>
      <c r="C1" s="910"/>
      <c r="D1" s="910"/>
      <c r="E1" s="910"/>
      <c r="F1" s="910"/>
      <c r="G1" s="910"/>
      <c r="H1" s="910"/>
      <c r="I1" s="911"/>
    </row>
    <row r="2" spans="1:9" ht="19.5" customHeight="1">
      <c r="A2" s="912" t="s">
        <v>91</v>
      </c>
      <c r="B2" s="881"/>
      <c r="C2" s="881"/>
      <c r="D2" s="881"/>
      <c r="E2" s="881"/>
      <c r="F2" s="881"/>
      <c r="G2" s="881"/>
      <c r="H2" s="881"/>
      <c r="I2" s="913"/>
    </row>
    <row r="3" spans="1:9" ht="19.5" customHeight="1">
      <c r="A3" s="914" t="s">
        <v>400</v>
      </c>
      <c r="B3" s="878"/>
      <c r="C3" s="878"/>
      <c r="D3" s="878"/>
      <c r="E3" s="878"/>
      <c r="F3" s="878"/>
      <c r="G3" s="878"/>
      <c r="H3" s="878"/>
      <c r="I3" s="915"/>
    </row>
    <row r="4" spans="1:9" ht="12" customHeight="1" thickBot="1">
      <c r="A4" s="529"/>
      <c r="B4" s="296"/>
      <c r="C4" s="296"/>
      <c r="D4" s="296"/>
      <c r="E4" s="296"/>
      <c r="F4" s="296"/>
      <c r="G4" s="296"/>
      <c r="H4" s="296"/>
      <c r="I4" s="530"/>
    </row>
    <row r="5" spans="1:9" ht="15.75" customHeight="1">
      <c r="A5" s="529"/>
      <c r="B5" s="296"/>
      <c r="C5" s="296"/>
      <c r="D5" s="726" t="s">
        <v>460</v>
      </c>
      <c r="E5" s="852" t="s">
        <v>472</v>
      </c>
      <c r="F5" s="853"/>
      <c r="G5" s="854"/>
      <c r="H5" s="296"/>
      <c r="I5" s="530"/>
    </row>
    <row r="6" spans="1:9" ht="15.75" customHeight="1">
      <c r="A6" s="529"/>
      <c r="B6" s="296"/>
      <c r="C6" s="296"/>
      <c r="D6" s="726" t="s">
        <v>462</v>
      </c>
      <c r="E6" s="855">
        <v>2006</v>
      </c>
      <c r="F6" s="856"/>
      <c r="G6" s="857"/>
      <c r="H6" s="296"/>
      <c r="I6" s="530"/>
    </row>
    <row r="7" spans="1:9" ht="15.75" customHeight="1" thickBot="1">
      <c r="A7" s="529"/>
      <c r="B7" s="296"/>
      <c r="C7" s="296"/>
      <c r="D7" s="726" t="s">
        <v>463</v>
      </c>
      <c r="E7" s="858">
        <v>39575</v>
      </c>
      <c r="F7" s="859"/>
      <c r="G7" s="860"/>
      <c r="H7" s="296"/>
      <c r="I7" s="530"/>
    </row>
    <row r="8" spans="1:9" ht="11.25" customHeight="1">
      <c r="A8" s="529"/>
      <c r="B8" s="296"/>
      <c r="C8" s="296"/>
      <c r="D8" s="296"/>
      <c r="E8" s="296"/>
      <c r="F8" s="296"/>
      <c r="G8" s="296"/>
      <c r="H8" s="296"/>
      <c r="I8" s="530"/>
    </row>
    <row r="9" spans="1:9" ht="19.5" customHeight="1">
      <c r="A9" s="922" t="s">
        <v>180</v>
      </c>
      <c r="B9" s="923"/>
      <c r="C9" s="923"/>
      <c r="D9" s="923"/>
      <c r="E9" s="923"/>
      <c r="F9" s="923"/>
      <c r="G9" s="923"/>
      <c r="H9" s="923"/>
      <c r="I9" s="924"/>
    </row>
    <row r="10" spans="1:9" ht="9.75" customHeight="1" thickBot="1">
      <c r="A10" s="749"/>
      <c r="B10" s="750"/>
      <c r="C10" s="534"/>
      <c r="D10" s="534"/>
      <c r="E10" s="750"/>
      <c r="F10" s="750"/>
      <c r="G10" s="750"/>
      <c r="H10" s="750"/>
      <c r="I10" s="751"/>
    </row>
    <row r="11" spans="1:9" ht="16.5" thickBot="1">
      <c r="A11" s="884" t="s">
        <v>12</v>
      </c>
      <c r="B11" s="866"/>
      <c r="C11" s="465" t="s">
        <v>315</v>
      </c>
      <c r="D11" s="465"/>
      <c r="E11" s="919" t="s">
        <v>443</v>
      </c>
      <c r="F11" s="874" t="s">
        <v>14</v>
      </c>
      <c r="G11" s="871" t="s">
        <v>15</v>
      </c>
      <c r="H11" s="871" t="s">
        <v>16</v>
      </c>
      <c r="I11" s="752"/>
    </row>
    <row r="12" spans="1:9" ht="15.75">
      <c r="A12" s="893"/>
      <c r="B12" s="868"/>
      <c r="C12" s="466" t="s">
        <v>311</v>
      </c>
      <c r="D12" s="467" t="s">
        <v>8</v>
      </c>
      <c r="E12" s="920"/>
      <c r="F12" s="875"/>
      <c r="G12" s="872"/>
      <c r="H12" s="872"/>
      <c r="I12" s="452" t="s">
        <v>10</v>
      </c>
    </row>
    <row r="13" spans="1:9" ht="16.5" thickBot="1">
      <c r="A13" s="885"/>
      <c r="B13" s="870"/>
      <c r="C13" s="469" t="s">
        <v>312</v>
      </c>
      <c r="D13" s="470" t="s">
        <v>238</v>
      </c>
      <c r="E13" s="921"/>
      <c r="F13" s="876"/>
      <c r="G13" s="873"/>
      <c r="H13" s="873"/>
      <c r="I13" s="471" t="s">
        <v>17</v>
      </c>
    </row>
    <row r="14" spans="1:9" ht="15.75">
      <c r="A14" s="295"/>
      <c r="B14" s="224"/>
      <c r="C14" s="296"/>
      <c r="D14" s="258"/>
      <c r="E14" s="258"/>
      <c r="F14" s="148"/>
      <c r="G14" s="149"/>
      <c r="H14" s="149"/>
      <c r="I14" s="297"/>
    </row>
    <row r="15" spans="1:9" ht="15.75" customHeight="1">
      <c r="A15" s="286" t="s">
        <v>181</v>
      </c>
      <c r="B15" s="279"/>
      <c r="C15" s="217"/>
      <c r="D15" s="280"/>
      <c r="E15" s="281"/>
      <c r="F15" s="282"/>
      <c r="G15" s="283"/>
      <c r="H15" s="283"/>
      <c r="I15" s="287"/>
    </row>
    <row r="16" spans="1:9" ht="15.75" customHeight="1">
      <c r="A16" s="246"/>
      <c r="B16" s="592" t="s">
        <v>232</v>
      </c>
      <c r="C16" s="753">
        <v>262</v>
      </c>
      <c r="D16" s="754">
        <v>409.1</v>
      </c>
      <c r="E16" s="266" t="s">
        <v>392</v>
      </c>
      <c r="F16" s="669"/>
      <c r="G16" s="352">
        <f>VLOOKUP($E16,Ratio,2,FALSE)*$F16</f>
        <v>0</v>
      </c>
      <c r="H16" s="352">
        <f>VLOOKUP($E16,Ratio,3,FALSE)*$F16</f>
        <v>0</v>
      </c>
      <c r="I16" s="382">
        <f>VLOOKUP($E16,Ratio,4,FALSE)*$F16</f>
        <v>0</v>
      </c>
    </row>
    <row r="17" spans="1:9" ht="15.75" customHeight="1">
      <c r="A17" s="246"/>
      <c r="B17" s="592" t="s">
        <v>182</v>
      </c>
      <c r="C17" s="755">
        <v>262</v>
      </c>
      <c r="D17" s="756">
        <v>408.1</v>
      </c>
      <c r="E17" s="266" t="s">
        <v>7</v>
      </c>
      <c r="F17" s="669">
        <v>351768</v>
      </c>
      <c r="G17" s="352">
        <f>VLOOKUP($E17,Ratio,2,FALSE)*$F17</f>
        <v>34544.66906637417</v>
      </c>
      <c r="H17" s="352">
        <f>VLOOKUP($E17,Ratio,3,FALSE)*$F17</f>
        <v>3984.076229829827</v>
      </c>
      <c r="I17" s="382">
        <f>VLOOKUP($E17,Ratio,4,FALSE)*$F17</f>
        <v>313239.254703796</v>
      </c>
    </row>
    <row r="18" spans="1:9" ht="15.75" customHeight="1">
      <c r="A18" s="246"/>
      <c r="B18" s="592" t="s">
        <v>183</v>
      </c>
      <c r="C18" s="755">
        <v>262</v>
      </c>
      <c r="D18" s="756">
        <v>408.1</v>
      </c>
      <c r="E18" s="266" t="s">
        <v>392</v>
      </c>
      <c r="F18" s="669"/>
      <c r="G18" s="352">
        <f>VLOOKUP($E18,Ratio,2,FALSE)*$F18</f>
        <v>0</v>
      </c>
      <c r="H18" s="352">
        <f>VLOOKUP($E18,Ratio,3,FALSE)*$F18</f>
        <v>0</v>
      </c>
      <c r="I18" s="382">
        <f>VLOOKUP($E18,Ratio,4,FALSE)*$F18</f>
        <v>0</v>
      </c>
    </row>
    <row r="19" spans="1:9" ht="15.75" customHeight="1">
      <c r="A19" s="288" t="s">
        <v>234</v>
      </c>
      <c r="B19" s="99"/>
      <c r="C19" s="804"/>
      <c r="D19" s="805"/>
      <c r="E19" s="806"/>
      <c r="F19" s="673">
        <f>SUM(F16:F18)</f>
        <v>351768</v>
      </c>
      <c r="G19" s="673">
        <f>SUM(G16:G18)</f>
        <v>34544.66906637417</v>
      </c>
      <c r="H19" s="673">
        <f>SUM(H16:H18)</f>
        <v>3984.076229829827</v>
      </c>
      <c r="I19" s="674">
        <f>SUM(I16:I18)</f>
        <v>313239.254703796</v>
      </c>
    </row>
    <row r="20" spans="1:9" ht="15.75" customHeight="1">
      <c r="A20" s="288"/>
      <c r="B20" s="99"/>
      <c r="C20" s="217"/>
      <c r="D20" s="280"/>
      <c r="E20" s="281"/>
      <c r="F20" s="757"/>
      <c r="G20" s="757"/>
      <c r="H20" s="757"/>
      <c r="I20" s="758"/>
    </row>
    <row r="21" spans="1:11" ht="15.75" customHeight="1">
      <c r="A21" s="289" t="s">
        <v>235</v>
      </c>
      <c r="B21" s="105"/>
      <c r="C21" s="284"/>
      <c r="D21" s="285"/>
      <c r="E21" s="281"/>
      <c r="F21" s="759"/>
      <c r="G21" s="759"/>
      <c r="H21" s="759"/>
      <c r="I21" s="760"/>
      <c r="K21" s="763"/>
    </row>
    <row r="22" spans="1:9" ht="15.75" customHeight="1">
      <c r="A22" s="246"/>
      <c r="B22" s="592" t="s">
        <v>454</v>
      </c>
      <c r="C22" s="753">
        <v>262</v>
      </c>
      <c r="D22" s="754">
        <v>408.1</v>
      </c>
      <c r="E22" s="266" t="s">
        <v>18</v>
      </c>
      <c r="F22" s="669"/>
      <c r="G22" s="352">
        <f>VLOOKUP($E22,Ratio,2,FALSE)*$F22</f>
        <v>0</v>
      </c>
      <c r="H22" s="352">
        <f>VLOOKUP($E22,Ratio,3,FALSE)*$F22</f>
        <v>0</v>
      </c>
      <c r="I22" s="382">
        <f>VLOOKUP($E22,Ratio,4,FALSE)*$F22</f>
        <v>0</v>
      </c>
    </row>
    <row r="23" spans="1:9" ht="15.75" customHeight="1">
      <c r="A23" s="246"/>
      <c r="B23" s="592" t="s">
        <v>184</v>
      </c>
      <c r="C23" s="755">
        <v>262</v>
      </c>
      <c r="D23" s="756">
        <v>408.1</v>
      </c>
      <c r="E23" s="266" t="s">
        <v>7</v>
      </c>
      <c r="F23" s="669">
        <v>67685</v>
      </c>
      <c r="G23" s="352">
        <f aca="true" t="shared" si="0" ref="G23:G28">VLOOKUP($E23,Ratio,2,FALSE)*$F23</f>
        <v>6646.869316588023</v>
      </c>
      <c r="H23" s="352">
        <f aca="true" t="shared" si="1" ref="H23:H28">VLOOKUP($E23,Ratio,3,FALSE)*$F23</f>
        <v>766.5910475541601</v>
      </c>
      <c r="I23" s="382">
        <f aca="true" t="shared" si="2" ref="I23:I28">VLOOKUP($E23,Ratio,4,FALSE)*$F23</f>
        <v>60271.53963585782</v>
      </c>
    </row>
    <row r="24" spans="1:9" ht="15.75" customHeight="1">
      <c r="A24" s="246"/>
      <c r="B24" s="592" t="s">
        <v>455</v>
      </c>
      <c r="C24" s="755">
        <v>262</v>
      </c>
      <c r="D24" s="756">
        <v>409.1</v>
      </c>
      <c r="E24" s="266" t="s">
        <v>392</v>
      </c>
      <c r="F24" s="669">
        <f>33945+2445727+5667</f>
        <v>2485339</v>
      </c>
      <c r="G24" s="352">
        <f>VLOOKUP($E24,Ratio,2,FALSE)*$F24</f>
        <v>0</v>
      </c>
      <c r="H24" s="352">
        <f>VLOOKUP($E24,Ratio,3,FALSE)*$F24</f>
        <v>0</v>
      </c>
      <c r="I24" s="382">
        <f>VLOOKUP($E24,Ratio,4,FALSE)*$F24</f>
        <v>2485339</v>
      </c>
    </row>
    <row r="25" spans="1:9" ht="15.75" customHeight="1">
      <c r="A25" s="246"/>
      <c r="B25" s="592" t="s">
        <v>456</v>
      </c>
      <c r="C25" s="753">
        <v>262</v>
      </c>
      <c r="D25" s="754">
        <v>408.1</v>
      </c>
      <c r="E25" s="266" t="s">
        <v>392</v>
      </c>
      <c r="F25" s="669"/>
      <c r="G25" s="352">
        <f t="shared" si="0"/>
        <v>0</v>
      </c>
      <c r="H25" s="352">
        <f t="shared" si="1"/>
        <v>0</v>
      </c>
      <c r="I25" s="382">
        <f t="shared" si="2"/>
        <v>0</v>
      </c>
    </row>
    <row r="26" spans="1:9" ht="15.75" customHeight="1">
      <c r="A26" s="246"/>
      <c r="B26" s="592" t="s">
        <v>185</v>
      </c>
      <c r="C26" s="755">
        <v>262</v>
      </c>
      <c r="D26" s="756">
        <v>408.1</v>
      </c>
      <c r="E26" s="266" t="s">
        <v>392</v>
      </c>
      <c r="F26" s="669"/>
      <c r="G26" s="352">
        <f t="shared" si="0"/>
        <v>0</v>
      </c>
      <c r="H26" s="352">
        <f t="shared" si="1"/>
        <v>0</v>
      </c>
      <c r="I26" s="382">
        <f t="shared" si="2"/>
        <v>0</v>
      </c>
    </row>
    <row r="27" spans="1:9" ht="15.75" customHeight="1">
      <c r="A27" s="246"/>
      <c r="B27" s="592" t="s">
        <v>457</v>
      </c>
      <c r="C27" s="753">
        <v>262</v>
      </c>
      <c r="D27" s="754">
        <v>408.1</v>
      </c>
      <c r="E27" s="266" t="s">
        <v>392</v>
      </c>
      <c r="F27" s="669"/>
      <c r="G27" s="352">
        <f t="shared" si="0"/>
        <v>0</v>
      </c>
      <c r="H27" s="352">
        <f t="shared" si="1"/>
        <v>0</v>
      </c>
      <c r="I27" s="382">
        <f t="shared" si="2"/>
        <v>0</v>
      </c>
    </row>
    <row r="28" spans="1:9" ht="15.75" customHeight="1">
      <c r="A28" s="246"/>
      <c r="B28" s="592" t="s">
        <v>17</v>
      </c>
      <c r="C28" s="755">
        <v>262</v>
      </c>
      <c r="D28" s="756">
        <v>408.1</v>
      </c>
      <c r="E28" s="266" t="s">
        <v>392</v>
      </c>
      <c r="F28" s="669">
        <v>1301536</v>
      </c>
      <c r="G28" s="352">
        <f t="shared" si="0"/>
        <v>0</v>
      </c>
      <c r="H28" s="352">
        <f t="shared" si="1"/>
        <v>0</v>
      </c>
      <c r="I28" s="382">
        <f t="shared" si="2"/>
        <v>1301536</v>
      </c>
    </row>
    <row r="29" spans="1:9" ht="15.75" customHeight="1">
      <c r="A29" s="288" t="s">
        <v>233</v>
      </c>
      <c r="B29" s="105"/>
      <c r="C29" s="804"/>
      <c r="D29" s="805"/>
      <c r="E29" s="806"/>
      <c r="F29" s="673">
        <f>SUM(F22:F28)</f>
        <v>3854560</v>
      </c>
      <c r="G29" s="673">
        <f>SUM(G22:G28)</f>
        <v>6646.869316588023</v>
      </c>
      <c r="H29" s="673">
        <f>SUM(H22:H28)</f>
        <v>766.5910475541601</v>
      </c>
      <c r="I29" s="674">
        <f>SUM(I22:I28)</f>
        <v>3847146.539635858</v>
      </c>
    </row>
    <row r="30" spans="1:9" ht="15.75" customHeight="1">
      <c r="A30" s="288"/>
      <c r="B30" s="105"/>
      <c r="C30" s="284"/>
      <c r="D30" s="285"/>
      <c r="E30" s="281"/>
      <c r="F30" s="761"/>
      <c r="G30" s="761"/>
      <c r="H30" s="761"/>
      <c r="I30" s="762"/>
    </row>
    <row r="31" spans="1:9" ht="15.75" customHeight="1">
      <c r="A31" s="288" t="s">
        <v>458</v>
      </c>
      <c r="B31" s="105"/>
      <c r="C31" s="804"/>
      <c r="D31" s="805"/>
      <c r="E31" s="806"/>
      <c r="F31" s="673">
        <f>F29+F19</f>
        <v>4206328</v>
      </c>
      <c r="G31" s="673">
        <f>G29+G19</f>
        <v>41191.53838296219</v>
      </c>
      <c r="H31" s="673">
        <f>H29+H19</f>
        <v>4750.667277383987</v>
      </c>
      <c r="I31" s="674">
        <f>I29+I19</f>
        <v>4160385.794339654</v>
      </c>
    </row>
    <row r="32" spans="1:9" ht="15.75" customHeight="1">
      <c r="A32" s="288"/>
      <c r="B32" s="105"/>
      <c r="C32" s="284"/>
      <c r="D32" s="285"/>
      <c r="E32" s="281"/>
      <c r="F32" s="417"/>
      <c r="G32" s="417"/>
      <c r="H32" s="417"/>
      <c r="I32" s="418"/>
    </row>
    <row r="33" spans="1:11" ht="15.75" customHeight="1" thickBot="1">
      <c r="A33" s="290"/>
      <c r="B33" s="291"/>
      <c r="C33" s="291"/>
      <c r="D33" s="291"/>
      <c r="E33" s="291"/>
      <c r="F33" s="291"/>
      <c r="G33" s="291"/>
      <c r="H33" s="291"/>
      <c r="I33" s="292"/>
      <c r="K33" s="98"/>
    </row>
    <row r="34" spans="1:11" ht="16.5" thickTop="1">
      <c r="A34" s="98"/>
      <c r="B34" s="98"/>
      <c r="C34" s="98"/>
      <c r="D34" s="98"/>
      <c r="E34" s="98"/>
      <c r="F34" s="98"/>
      <c r="G34" s="98"/>
      <c r="H34" s="98"/>
      <c r="I34" s="98"/>
      <c r="K34" s="98"/>
    </row>
    <row r="35" spans="1:11" ht="15.75">
      <c r="A35" s="98"/>
      <c r="B35" s="98"/>
      <c r="C35" s="98"/>
      <c r="D35" s="98"/>
      <c r="E35" s="98"/>
      <c r="F35" s="98"/>
      <c r="G35" s="98"/>
      <c r="H35" s="98"/>
      <c r="I35" s="98"/>
      <c r="K35" s="98"/>
    </row>
    <row r="36" spans="1:11" ht="15.75">
      <c r="A36" s="98"/>
      <c r="B36" s="98"/>
      <c r="C36" s="98"/>
      <c r="D36" s="98"/>
      <c r="E36" s="98"/>
      <c r="F36" s="98"/>
      <c r="G36" s="98"/>
      <c r="H36" s="98"/>
      <c r="I36" s="98"/>
      <c r="K36" s="98"/>
    </row>
    <row r="37" spans="1:11" ht="15.75">
      <c r="A37" s="98"/>
      <c r="B37" s="98"/>
      <c r="C37" s="98"/>
      <c r="D37" s="98"/>
      <c r="E37" s="98"/>
      <c r="F37" s="98"/>
      <c r="G37" s="98"/>
      <c r="H37" s="98"/>
      <c r="I37" s="98"/>
      <c r="K37" s="98"/>
    </row>
    <row r="38" spans="1:11" ht="15.75">
      <c r="A38" s="98"/>
      <c r="B38" s="98"/>
      <c r="C38" s="98"/>
      <c r="D38" s="98"/>
      <c r="E38" s="98"/>
      <c r="F38" s="98"/>
      <c r="G38" s="98"/>
      <c r="H38" s="98"/>
      <c r="I38" s="98"/>
      <c r="K38" s="98"/>
    </row>
    <row r="39" spans="1:11" ht="15.75">
      <c r="A39" s="98"/>
      <c r="B39" s="98"/>
      <c r="C39" s="98"/>
      <c r="D39" s="98"/>
      <c r="E39" s="98"/>
      <c r="F39" s="98"/>
      <c r="G39" s="98"/>
      <c r="H39" s="98"/>
      <c r="I39" s="98"/>
      <c r="K39" s="98"/>
    </row>
    <row r="40" spans="1:11" ht="15.75">
      <c r="A40" s="98"/>
      <c r="B40" s="98"/>
      <c r="C40" s="98"/>
      <c r="D40" s="98"/>
      <c r="E40" s="98"/>
      <c r="F40" s="98"/>
      <c r="G40" s="98"/>
      <c r="H40" s="98"/>
      <c r="I40" s="98"/>
      <c r="K40" s="98"/>
    </row>
    <row r="41" spans="1:11" ht="15.75">
      <c r="A41" s="98"/>
      <c r="B41" s="98"/>
      <c r="C41" s="98"/>
      <c r="D41" s="98"/>
      <c r="E41" s="98"/>
      <c r="F41" s="98"/>
      <c r="G41" s="98"/>
      <c r="H41" s="98"/>
      <c r="I41" s="98"/>
      <c r="K41" s="98"/>
    </row>
  </sheetData>
  <mergeCells count="12">
    <mergeCell ref="A1:I1"/>
    <mergeCell ref="A2:I2"/>
    <mergeCell ref="A3:I3"/>
    <mergeCell ref="A9:I9"/>
    <mergeCell ref="E5:G5"/>
    <mergeCell ref="E6:G6"/>
    <mergeCell ref="E7:G7"/>
    <mergeCell ref="A11:B13"/>
    <mergeCell ref="F11:F13"/>
    <mergeCell ref="G11:G13"/>
    <mergeCell ref="H11:H13"/>
    <mergeCell ref="E11:E13"/>
  </mergeCells>
  <printOptions horizontalCentered="1"/>
  <pageMargins left="0.2" right="0.28" top="0.54" bottom="0.66" header="0.25" footer="0.25"/>
  <pageSetup fitToHeight="2" horizontalDpi="600" verticalDpi="600" orientation="landscape" paperSize="9" scale="83" r:id="rId1"/>
  <headerFooter alignWithMargins="0">
    <oddFooter>&amp;L&amp;F
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46"/>
  </sheetPr>
  <dimension ref="A1:N71"/>
  <sheetViews>
    <sheetView workbookViewId="0" topLeftCell="B40">
      <selection activeCell="E34" sqref="E34"/>
    </sheetView>
  </sheetViews>
  <sheetFormatPr defaultColWidth="9.00390625" defaultRowHeight="15.75"/>
  <cols>
    <col min="1" max="1" width="5.375" style="9" customWidth="1"/>
    <col min="2" max="2" width="46.125" style="9" customWidth="1"/>
    <col min="3" max="4" width="10.625" style="9" customWidth="1"/>
    <col min="5" max="5" width="10.00390625" style="9" customWidth="1"/>
    <col min="6" max="6" width="9.375" style="9" customWidth="1"/>
    <col min="7" max="10" width="14.50390625" style="9" customWidth="1"/>
    <col min="11" max="11" width="9.00390625" style="9" customWidth="1"/>
    <col min="12" max="12" width="10.625" style="9" bestFit="1" customWidth="1"/>
    <col min="13" max="13" width="13.25390625" style="9" bestFit="1" customWidth="1"/>
    <col min="14" max="14" width="12.50390625" style="9" bestFit="1" customWidth="1"/>
    <col min="15" max="16384" width="9.00390625" style="9" customWidth="1"/>
  </cols>
  <sheetData>
    <row r="1" spans="1:10" ht="19.5" thickTop="1">
      <c r="A1" s="226" t="s">
        <v>89</v>
      </c>
      <c r="B1" s="298"/>
      <c r="C1" s="227"/>
      <c r="D1" s="227"/>
      <c r="E1" s="227"/>
      <c r="F1" s="227"/>
      <c r="G1" s="227"/>
      <c r="H1" s="227"/>
      <c r="I1" s="227"/>
      <c r="J1" s="229"/>
    </row>
    <row r="2" spans="1:10" ht="15.75">
      <c r="A2" s="230" t="s">
        <v>91</v>
      </c>
      <c r="B2" s="135"/>
      <c r="C2" s="76"/>
      <c r="D2" s="76"/>
      <c r="E2" s="76"/>
      <c r="F2" s="76"/>
      <c r="G2" s="76"/>
      <c r="H2" s="76"/>
      <c r="I2" s="76"/>
      <c r="J2" s="231"/>
    </row>
    <row r="3" spans="1:10" ht="15.75">
      <c r="A3" s="232" t="s">
        <v>400</v>
      </c>
      <c r="B3" s="136"/>
      <c r="C3" s="3"/>
      <c r="D3" s="3"/>
      <c r="E3" s="4"/>
      <c r="F3" s="4"/>
      <c r="G3" s="5"/>
      <c r="H3" s="6"/>
      <c r="I3" s="19"/>
      <c r="J3" s="233"/>
    </row>
    <row r="4" spans="1:10" ht="13.5" customHeight="1" thickBot="1">
      <c r="A4" s="232"/>
      <c r="B4" s="136"/>
      <c r="C4" s="3"/>
      <c r="D4" s="3"/>
      <c r="E4" s="4"/>
      <c r="F4" s="4"/>
      <c r="G4" s="5"/>
      <c r="H4" s="6"/>
      <c r="I4" s="19"/>
      <c r="J4" s="233"/>
    </row>
    <row r="5" spans="1:10" ht="15.75" customHeight="1">
      <c r="A5" s="232"/>
      <c r="B5" s="136"/>
      <c r="C5" s="3"/>
      <c r="D5" s="726" t="s">
        <v>460</v>
      </c>
      <c r="E5" s="852" t="s">
        <v>472</v>
      </c>
      <c r="F5" s="853"/>
      <c r="G5" s="854"/>
      <c r="H5" s="6"/>
      <c r="I5" s="19"/>
      <c r="J5" s="233"/>
    </row>
    <row r="6" spans="1:10" ht="15.75" customHeight="1">
      <c r="A6" s="232"/>
      <c r="B6" s="136"/>
      <c r="C6" s="3"/>
      <c r="D6" s="726" t="s">
        <v>462</v>
      </c>
      <c r="E6" s="855">
        <v>2006</v>
      </c>
      <c r="F6" s="856"/>
      <c r="G6" s="857"/>
      <c r="H6" s="6"/>
      <c r="I6" s="19"/>
      <c r="J6" s="233"/>
    </row>
    <row r="7" spans="1:10" ht="15.75" customHeight="1" thickBot="1">
      <c r="A7" s="232"/>
      <c r="B7" s="136"/>
      <c r="C7" s="3"/>
      <c r="D7" s="726" t="s">
        <v>463</v>
      </c>
      <c r="E7" s="858">
        <v>39575</v>
      </c>
      <c r="F7" s="859"/>
      <c r="G7" s="860"/>
      <c r="H7" s="6"/>
      <c r="I7" s="19"/>
      <c r="J7" s="233"/>
    </row>
    <row r="8" spans="1:10" ht="9.75" customHeight="1">
      <c r="A8" s="232"/>
      <c r="B8" s="136"/>
      <c r="C8" s="3"/>
      <c r="D8" s="3"/>
      <c r="E8" s="4"/>
      <c r="F8" s="4"/>
      <c r="G8" s="5"/>
      <c r="H8" s="6"/>
      <c r="I8" s="19"/>
      <c r="J8" s="233"/>
    </row>
    <row r="9" spans="1:14" ht="15.75">
      <c r="A9" s="481" t="s">
        <v>192</v>
      </c>
      <c r="B9" s="136"/>
      <c r="C9" s="3"/>
      <c r="D9" s="3"/>
      <c r="E9" s="4"/>
      <c r="F9" s="4"/>
      <c r="G9" s="5"/>
      <c r="H9" s="6"/>
      <c r="I9" s="19"/>
      <c r="J9" s="233"/>
      <c r="L9"/>
      <c r="M9"/>
      <c r="N9"/>
    </row>
    <row r="10" spans="1:14" ht="9" customHeight="1" thickBot="1">
      <c r="A10" s="255"/>
      <c r="B10" s="136"/>
      <c r="C10" s="3"/>
      <c r="D10" s="3"/>
      <c r="E10" s="4"/>
      <c r="F10" s="4"/>
      <c r="G10" s="5"/>
      <c r="H10" s="6"/>
      <c r="I10" s="19"/>
      <c r="J10" s="233"/>
      <c r="L10"/>
      <c r="M10"/>
      <c r="N10"/>
    </row>
    <row r="11" spans="1:14" ht="16.5" thickBot="1">
      <c r="A11" s="884" t="s">
        <v>12</v>
      </c>
      <c r="B11" s="866"/>
      <c r="C11" s="459" t="s">
        <v>315</v>
      </c>
      <c r="D11" s="460"/>
      <c r="E11" s="461" t="s">
        <v>351</v>
      </c>
      <c r="F11" s="462"/>
      <c r="G11" s="445"/>
      <c r="H11" s="446"/>
      <c r="I11" s="446"/>
      <c r="J11" s="447"/>
      <c r="L11"/>
      <c r="M11"/>
      <c r="N11"/>
    </row>
    <row r="12" spans="1:14" ht="16.5" thickBot="1">
      <c r="A12" s="893"/>
      <c r="B12" s="868"/>
      <c r="C12" s="448" t="s">
        <v>311</v>
      </c>
      <c r="D12" s="449" t="s">
        <v>8</v>
      </c>
      <c r="E12" s="463" t="s">
        <v>13</v>
      </c>
      <c r="F12" s="464"/>
      <c r="G12" s="450" t="s">
        <v>9</v>
      </c>
      <c r="H12" s="451"/>
      <c r="I12" s="451"/>
      <c r="J12" s="452" t="s">
        <v>10</v>
      </c>
      <c r="L12"/>
      <c r="M12"/>
      <c r="N12"/>
    </row>
    <row r="13" spans="1:14" ht="16.5" thickBot="1">
      <c r="A13" s="894"/>
      <c r="B13" s="895"/>
      <c r="C13" s="453" t="s">
        <v>312</v>
      </c>
      <c r="D13" s="454" t="s">
        <v>238</v>
      </c>
      <c r="E13" s="455" t="s">
        <v>349</v>
      </c>
      <c r="F13" s="455" t="s">
        <v>350</v>
      </c>
      <c r="G13" s="456" t="s">
        <v>14</v>
      </c>
      <c r="H13" s="457" t="s">
        <v>15</v>
      </c>
      <c r="I13" s="457" t="s">
        <v>16</v>
      </c>
      <c r="J13" s="458" t="s">
        <v>17</v>
      </c>
      <c r="L13"/>
      <c r="M13"/>
      <c r="N13"/>
    </row>
    <row r="14" spans="1:14" ht="16.5" thickTop="1">
      <c r="A14" s="299" t="s">
        <v>76</v>
      </c>
      <c r="B14" s="48"/>
      <c r="C14" s="77"/>
      <c r="D14" s="42"/>
      <c r="E14" s="10"/>
      <c r="F14" s="10"/>
      <c r="G14" s="11"/>
      <c r="H14" s="11"/>
      <c r="I14" s="11"/>
      <c r="J14" s="267"/>
      <c r="L14"/>
      <c r="M14"/>
      <c r="N14"/>
    </row>
    <row r="15" spans="1:10" s="98" customFormat="1" ht="12.75">
      <c r="A15" s="764"/>
      <c r="B15" s="81" t="s">
        <v>453</v>
      </c>
      <c r="C15" s="765">
        <v>114</v>
      </c>
      <c r="D15" s="265">
        <v>407.4</v>
      </c>
      <c r="E15" s="266" t="s">
        <v>2</v>
      </c>
      <c r="F15" s="266" t="s">
        <v>392</v>
      </c>
      <c r="G15" s="766"/>
      <c r="H15" s="352">
        <f>IF($E15="DIRECT",$L15,VLOOKUP($E15,Ratio,2,FALSE)*$G15)</f>
        <v>0</v>
      </c>
      <c r="I15" s="352">
        <f>IF($E15="DIRECT",$M15,VLOOKUP($E15,Ratio,3,FALSE)*$G15)</f>
        <v>0</v>
      </c>
      <c r="J15" s="382">
        <f>IF($E15="DIRECT",$N15,VLOOKUP($E15,Ratio,4,FALSE)*$G15)</f>
        <v>0</v>
      </c>
    </row>
    <row r="16" spans="1:10" s="98" customFormat="1" ht="13.5">
      <c r="A16" s="764"/>
      <c r="B16" s="779" t="s">
        <v>465</v>
      </c>
      <c r="C16" s="765">
        <v>114</v>
      </c>
      <c r="D16" s="265">
        <v>407.3</v>
      </c>
      <c r="E16" s="266" t="s">
        <v>2</v>
      </c>
      <c r="F16" s="266" t="s">
        <v>392</v>
      </c>
      <c r="G16" s="766"/>
      <c r="H16" s="352">
        <f>IF($E16="DIRECT",$L16,VLOOKUP($E16,Ratio,2,FALSE)*$G16)</f>
        <v>0</v>
      </c>
      <c r="I16" s="352">
        <f>IF($E16="DIRECT",$M16,VLOOKUP($E16,Ratio,3,FALSE)*$G16)</f>
        <v>0</v>
      </c>
      <c r="J16" s="382">
        <f>IF($E16="DIRECT",$N16,VLOOKUP($E16,Ratio,4,FALSE)*$G16)</f>
        <v>0</v>
      </c>
    </row>
    <row r="17" spans="1:10" s="98" customFormat="1" ht="12.75">
      <c r="A17" s="235"/>
      <c r="B17" s="86" t="s">
        <v>390</v>
      </c>
      <c r="C17" s="765">
        <v>114</v>
      </c>
      <c r="D17" s="265">
        <v>411.6</v>
      </c>
      <c r="E17" s="266" t="s">
        <v>2</v>
      </c>
      <c r="F17" s="266" t="s">
        <v>392</v>
      </c>
      <c r="G17" s="766"/>
      <c r="H17" s="352">
        <f>IF($E17="DIRECT",$L17,VLOOKUP($E17,Ratio,2,FALSE)*$G17)</f>
        <v>0</v>
      </c>
      <c r="I17" s="352">
        <f>IF($E17="DIRECT",$M17,VLOOKUP($E17,Ratio,3,FALSE)*$G17)</f>
        <v>0</v>
      </c>
      <c r="J17" s="382">
        <f>IF($E17="DIRECT",$N17,VLOOKUP($E17,Ratio,4,FALSE)*$G17)</f>
        <v>0</v>
      </c>
    </row>
    <row r="18" spans="1:10" s="98" customFormat="1" ht="13.5">
      <c r="A18" s="235"/>
      <c r="B18" s="780" t="s">
        <v>466</v>
      </c>
      <c r="C18" s="765">
        <v>114</v>
      </c>
      <c r="D18" s="265" t="s">
        <v>77</v>
      </c>
      <c r="E18" s="266" t="s">
        <v>2</v>
      </c>
      <c r="F18" s="266" t="s">
        <v>392</v>
      </c>
      <c r="G18" s="766"/>
      <c r="H18" s="352">
        <f>IF($E18="DIRECT",$L18,VLOOKUP($E18,Ratio,2,FALSE)*$G18)</f>
        <v>0</v>
      </c>
      <c r="I18" s="352">
        <f>IF($E18="DIRECT",$M18,VLOOKUP($E18,Ratio,3,FALSE)*$G18)</f>
        <v>0</v>
      </c>
      <c r="J18" s="382">
        <f>IF($E18="DIRECT",$N18,VLOOKUP($E18,Ratio,4,FALSE)*$G18)</f>
        <v>0</v>
      </c>
    </row>
    <row r="19" spans="1:10" s="98" customFormat="1" ht="12.75">
      <c r="A19" s="235"/>
      <c r="B19" s="86" t="s">
        <v>391</v>
      </c>
      <c r="C19" s="765">
        <v>114</v>
      </c>
      <c r="D19" s="265">
        <v>411.8</v>
      </c>
      <c r="E19" s="261" t="s">
        <v>394</v>
      </c>
      <c r="F19" s="261"/>
      <c r="G19" s="766"/>
      <c r="H19" s="766">
        <f>VLOOKUP($E19,Ratio,2,FALSE)*$G19</f>
        <v>0</v>
      </c>
      <c r="I19" s="766">
        <f>VLOOKUP($E19,Ratio,3,FALSE)*$G19</f>
        <v>0</v>
      </c>
      <c r="J19" s="767">
        <f>VLOOKUP($E19,Ratio,4,FALSE)*$G19</f>
        <v>0</v>
      </c>
    </row>
    <row r="20" spans="1:10" s="98" customFormat="1" ht="13.5">
      <c r="A20" s="235"/>
      <c r="B20" s="780" t="s">
        <v>464</v>
      </c>
      <c r="C20" s="765">
        <v>114</v>
      </c>
      <c r="D20" s="265">
        <v>411.9</v>
      </c>
      <c r="E20" s="261" t="s">
        <v>394</v>
      </c>
      <c r="F20" s="261"/>
      <c r="G20" s="766"/>
      <c r="H20" s="766">
        <f>VLOOKUP($E20,Ratio,2,FALSE)*$G20</f>
        <v>0</v>
      </c>
      <c r="I20" s="766">
        <f>VLOOKUP($E20,Ratio,3,FALSE)*$G20</f>
        <v>0</v>
      </c>
      <c r="J20" s="767">
        <f>VLOOKUP($E20,Ratio,4,FALSE)*$G20</f>
        <v>0</v>
      </c>
    </row>
    <row r="21" spans="1:10" s="98" customFormat="1" ht="12.75">
      <c r="A21" s="235"/>
      <c r="B21" s="86" t="s">
        <v>408</v>
      </c>
      <c r="C21" s="765">
        <v>114</v>
      </c>
      <c r="D21" s="265">
        <v>421</v>
      </c>
      <c r="E21" s="261" t="s">
        <v>2</v>
      </c>
      <c r="F21" s="261" t="s">
        <v>394</v>
      </c>
      <c r="G21" s="766"/>
      <c r="H21" s="352">
        <f>IF($E21="DIRECT",$L21,VLOOKUP($E21,Ratio,2,FALSE)*$G21)</f>
        <v>0</v>
      </c>
      <c r="I21" s="352">
        <f>IF($E21="DIRECT",$M21,VLOOKUP($E21,Ratio,3,FALSE)*$G21)</f>
        <v>0</v>
      </c>
      <c r="J21" s="382">
        <f>IF($E21="DIRECT",$N21,VLOOKUP($E21,Ratio,4,FALSE)*$G21)</f>
        <v>0</v>
      </c>
    </row>
    <row r="22" spans="1:14" ht="15.75">
      <c r="A22" s="300" t="s">
        <v>84</v>
      </c>
      <c r="B22" s="316"/>
      <c r="C22" s="770"/>
      <c r="D22" s="771"/>
      <c r="E22" s="772"/>
      <c r="F22" s="772"/>
      <c r="G22" s="773">
        <f>G15-G16+G17-G18+G19-G20+G21</f>
        <v>0</v>
      </c>
      <c r="H22" s="773">
        <f>H15-H16+H17-H18+H19-H20+H21</f>
        <v>0</v>
      </c>
      <c r="I22" s="773">
        <f>I15-I16+I17-I18+I19-I20+I21</f>
        <v>0</v>
      </c>
      <c r="J22" s="774">
        <f>J15-J16+J17-J18+J19-J20+J21</f>
        <v>0</v>
      </c>
      <c r="L22"/>
      <c r="M22"/>
      <c r="N22"/>
    </row>
    <row r="23" spans="1:14" ht="15.75">
      <c r="A23" s="301"/>
      <c r="B23" s="316"/>
      <c r="C23" s="94"/>
      <c r="D23" s="94"/>
      <c r="E23" s="94"/>
      <c r="F23" s="94"/>
      <c r="G23" s="317"/>
      <c r="H23" s="317"/>
      <c r="I23" s="317"/>
      <c r="J23" s="318"/>
      <c r="L23"/>
      <c r="M23"/>
      <c r="N23"/>
    </row>
    <row r="24" spans="1:14" ht="15.75">
      <c r="A24" s="302" t="s">
        <v>317</v>
      </c>
      <c r="B24" s="316"/>
      <c r="C24" s="94"/>
      <c r="D24" s="94"/>
      <c r="E24" s="94"/>
      <c r="F24" s="94"/>
      <c r="G24" s="317"/>
      <c r="H24" s="317"/>
      <c r="I24" s="317"/>
      <c r="J24" s="318"/>
      <c r="L24"/>
      <c r="M24"/>
      <c r="N24"/>
    </row>
    <row r="25" spans="1:10" s="98" customFormat="1" ht="12.75">
      <c r="A25" s="303"/>
      <c r="B25" s="84" t="s">
        <v>99</v>
      </c>
      <c r="C25" s="768">
        <v>310</v>
      </c>
      <c r="D25" s="266">
        <v>447</v>
      </c>
      <c r="E25" s="261" t="s">
        <v>394</v>
      </c>
      <c r="F25" s="261"/>
      <c r="G25" s="839">
        <v>14866154</v>
      </c>
      <c r="H25" s="766">
        <f>VLOOKUP($E25,Ratio,2,FALSE)*$G25</f>
        <v>14866154</v>
      </c>
      <c r="I25" s="766">
        <f>VLOOKUP($E25,Ratio,3,FALSE)*$G25</f>
        <v>0</v>
      </c>
      <c r="J25" s="767">
        <f>VLOOKUP($E25,Ratio,4,FALSE)*$G25</f>
        <v>0</v>
      </c>
    </row>
    <row r="26" spans="1:14" ht="15.75">
      <c r="A26" s="248" t="s">
        <v>100</v>
      </c>
      <c r="B26" s="106"/>
      <c r="C26" s="770"/>
      <c r="D26" s="771"/>
      <c r="E26" s="772"/>
      <c r="F26" s="772"/>
      <c r="G26" s="773">
        <f>SUM(G25)</f>
        <v>14866154</v>
      </c>
      <c r="H26" s="773">
        <f>SUM(H25)</f>
        <v>14866154</v>
      </c>
      <c r="I26" s="773">
        <f>SUM(I25)</f>
        <v>0</v>
      </c>
      <c r="J26" s="774">
        <f>SUM(J25)</f>
        <v>0</v>
      </c>
      <c r="L26"/>
      <c r="M26"/>
      <c r="N26"/>
    </row>
    <row r="27" spans="1:14" ht="15.75">
      <c r="A27" s="304"/>
      <c r="B27" s="106"/>
      <c r="C27" s="94"/>
      <c r="D27" s="94"/>
      <c r="E27" s="94"/>
      <c r="F27" s="94"/>
      <c r="G27" s="317"/>
      <c r="H27" s="317"/>
      <c r="I27" s="317"/>
      <c r="J27" s="318"/>
      <c r="L27"/>
      <c r="M27"/>
      <c r="N27"/>
    </row>
    <row r="28" spans="1:14" ht="15.75">
      <c r="A28" s="305" t="s">
        <v>78</v>
      </c>
      <c r="B28" s="106"/>
      <c r="C28" s="94"/>
      <c r="D28" s="94"/>
      <c r="E28" s="94"/>
      <c r="F28" s="94"/>
      <c r="G28" s="317"/>
      <c r="H28" s="317"/>
      <c r="I28" s="317"/>
      <c r="J28" s="318"/>
      <c r="L28"/>
      <c r="M28"/>
      <c r="N28"/>
    </row>
    <row r="29" spans="1:10" s="98" customFormat="1" ht="12.75">
      <c r="A29" s="769"/>
      <c r="B29" s="92" t="s">
        <v>171</v>
      </c>
      <c r="C29" s="768">
        <v>300</v>
      </c>
      <c r="D29" s="266">
        <v>450</v>
      </c>
      <c r="E29" s="261" t="s">
        <v>392</v>
      </c>
      <c r="F29" s="261"/>
      <c r="G29" s="766">
        <v>174704</v>
      </c>
      <c r="H29" s="766">
        <f aca="true" t="shared" si="0" ref="H29:H35">VLOOKUP($E29,Ratio,2,FALSE)*$G29</f>
        <v>0</v>
      </c>
      <c r="I29" s="766">
        <f aca="true" t="shared" si="1" ref="I29:I35">VLOOKUP($E29,Ratio,3,FALSE)*$G29</f>
        <v>0</v>
      </c>
      <c r="J29" s="767">
        <f aca="true" t="shared" si="2" ref="J29:J35">VLOOKUP($E29,Ratio,4,FALSE)*$G29</f>
        <v>174704</v>
      </c>
    </row>
    <row r="30" spans="1:10" s="98" customFormat="1" ht="12.75">
      <c r="A30" s="769"/>
      <c r="B30" s="92" t="s">
        <v>176</v>
      </c>
      <c r="C30" s="768">
        <v>300</v>
      </c>
      <c r="D30" s="266" t="s">
        <v>79</v>
      </c>
      <c r="E30" s="261" t="s">
        <v>392</v>
      </c>
      <c r="F30" s="261"/>
      <c r="G30" s="766">
        <v>4246779</v>
      </c>
      <c r="H30" s="766">
        <f t="shared" si="0"/>
        <v>0</v>
      </c>
      <c r="I30" s="766">
        <f t="shared" si="1"/>
        <v>0</v>
      </c>
      <c r="J30" s="767">
        <f t="shared" si="2"/>
        <v>4246779</v>
      </c>
    </row>
    <row r="31" spans="1:10" s="98" customFormat="1" ht="12.75">
      <c r="A31" s="769"/>
      <c r="B31" s="92" t="s">
        <v>175</v>
      </c>
      <c r="C31" s="768">
        <v>300</v>
      </c>
      <c r="D31" s="266" t="s">
        <v>80</v>
      </c>
      <c r="E31" s="261" t="s">
        <v>394</v>
      </c>
      <c r="F31" s="261"/>
      <c r="G31" s="766"/>
      <c r="H31" s="766">
        <f t="shared" si="0"/>
        <v>0</v>
      </c>
      <c r="I31" s="766">
        <f t="shared" si="1"/>
        <v>0</v>
      </c>
      <c r="J31" s="767">
        <f t="shared" si="2"/>
        <v>0</v>
      </c>
    </row>
    <row r="32" spans="1:10" s="98" customFormat="1" ht="12.75">
      <c r="A32" s="769"/>
      <c r="B32" s="92" t="s">
        <v>174</v>
      </c>
      <c r="C32" s="768">
        <v>300</v>
      </c>
      <c r="D32" s="266" t="s">
        <v>81</v>
      </c>
      <c r="E32" s="261" t="s">
        <v>19</v>
      </c>
      <c r="F32" s="261"/>
      <c r="G32" s="766">
        <v>114985</v>
      </c>
      <c r="H32" s="766">
        <f t="shared" si="0"/>
        <v>0</v>
      </c>
      <c r="I32" s="766">
        <f t="shared" si="1"/>
        <v>4866.917899088872</v>
      </c>
      <c r="J32" s="767">
        <f t="shared" si="2"/>
        <v>110118.08210091112</v>
      </c>
    </row>
    <row r="33" spans="1:10" s="98" customFormat="1" ht="12.75">
      <c r="A33" s="769"/>
      <c r="B33" s="92" t="s">
        <v>173</v>
      </c>
      <c r="C33" s="768">
        <v>300</v>
      </c>
      <c r="D33" s="266">
        <v>455</v>
      </c>
      <c r="E33" s="261" t="s">
        <v>392</v>
      </c>
      <c r="F33" s="261"/>
      <c r="G33" s="766"/>
      <c r="H33" s="766">
        <f t="shared" si="0"/>
        <v>0</v>
      </c>
      <c r="I33" s="766">
        <f t="shared" si="1"/>
        <v>0</v>
      </c>
      <c r="J33" s="767">
        <f t="shared" si="2"/>
        <v>0</v>
      </c>
    </row>
    <row r="34" spans="1:10" s="98" customFormat="1" ht="12.75">
      <c r="A34" s="769"/>
      <c r="B34" s="92" t="s">
        <v>172</v>
      </c>
      <c r="C34" s="768">
        <v>300</v>
      </c>
      <c r="D34" s="266" t="s">
        <v>82</v>
      </c>
      <c r="E34" s="261" t="s">
        <v>2</v>
      </c>
      <c r="F34" s="261" t="s">
        <v>394</v>
      </c>
      <c r="G34" s="766">
        <v>2685267</v>
      </c>
      <c r="H34" s="352">
        <f>IF($E34="DIRECT",$L34,VLOOKUP($E34,Ratio,2,FALSE)*$G34)</f>
        <v>0</v>
      </c>
      <c r="I34" s="352">
        <f>IF($E34="DIRECT",$M34,VLOOKUP($E34,Ratio,3,FALSE)*$G34)</f>
        <v>0</v>
      </c>
      <c r="J34" s="382">
        <v>2685267</v>
      </c>
    </row>
    <row r="35" spans="1:10" s="98" customFormat="1" ht="12.75">
      <c r="A35" s="769"/>
      <c r="B35" s="92" t="s">
        <v>270</v>
      </c>
      <c r="C35" s="768">
        <v>330</v>
      </c>
      <c r="D35" s="261">
        <v>456.1</v>
      </c>
      <c r="E35" s="261" t="s">
        <v>393</v>
      </c>
      <c r="F35" s="261"/>
      <c r="G35" s="766">
        <v>2841</v>
      </c>
      <c r="H35" s="766">
        <f t="shared" si="0"/>
        <v>0</v>
      </c>
      <c r="I35" s="766">
        <f t="shared" si="1"/>
        <v>2841</v>
      </c>
      <c r="J35" s="767">
        <f t="shared" si="2"/>
        <v>0</v>
      </c>
    </row>
    <row r="36" spans="1:10" s="98" customFormat="1" ht="12.75">
      <c r="A36" s="303"/>
      <c r="B36" s="92"/>
      <c r="C36" s="126"/>
      <c r="D36" s="83"/>
      <c r="E36" s="85"/>
      <c r="F36" s="85"/>
      <c r="G36" s="109"/>
      <c r="H36" s="109"/>
      <c r="I36" s="109"/>
      <c r="J36" s="325"/>
    </row>
    <row r="37" spans="1:10" ht="15.75">
      <c r="A37" s="248" t="s">
        <v>83</v>
      </c>
      <c r="B37" s="106"/>
      <c r="C37" s="775"/>
      <c r="D37" s="776"/>
      <c r="E37" s="776"/>
      <c r="F37" s="777"/>
      <c r="G37" s="773">
        <f>SUM(G29:G36)</f>
        <v>7224576</v>
      </c>
      <c r="H37" s="773">
        <f>SUM(H29:H36)</f>
        <v>0</v>
      </c>
      <c r="I37" s="773">
        <f>SUM(I29:I36)</f>
        <v>7707.917899088872</v>
      </c>
      <c r="J37" s="774">
        <f>SUM(J29:J36)</f>
        <v>7216868.082100911</v>
      </c>
    </row>
    <row r="38" spans="1:10" ht="15.75">
      <c r="A38" s="307"/>
      <c r="B38" s="106"/>
      <c r="C38" s="94"/>
      <c r="D38" s="94"/>
      <c r="E38" s="94"/>
      <c r="F38" s="94"/>
      <c r="G38" s="317"/>
      <c r="H38" s="317"/>
      <c r="I38" s="317"/>
      <c r="J38" s="318"/>
    </row>
    <row r="39" spans="1:10" ht="15.75">
      <c r="A39" s="248" t="s">
        <v>84</v>
      </c>
      <c r="B39" s="106"/>
      <c r="C39" s="775"/>
      <c r="D39" s="776"/>
      <c r="E39" s="776"/>
      <c r="F39" s="776"/>
      <c r="G39" s="778">
        <f>+G37+G26+G22</f>
        <v>22090730</v>
      </c>
      <c r="H39" s="773">
        <f>+H37+H26+H22</f>
        <v>14866154</v>
      </c>
      <c r="I39" s="773">
        <f>+I37+I26+I22</f>
        <v>7707.917899088872</v>
      </c>
      <c r="J39" s="774">
        <f>+J37+J26+J22</f>
        <v>7216868.082100911</v>
      </c>
    </row>
    <row r="40" spans="1:10" s="98" customFormat="1" ht="12.75">
      <c r="A40" s="308" t="s">
        <v>102</v>
      </c>
      <c r="B40" s="51"/>
      <c r="C40" s="92"/>
      <c r="D40" s="92"/>
      <c r="E40" s="92"/>
      <c r="F40" s="92"/>
      <c r="G40" s="153"/>
      <c r="H40" s="153"/>
      <c r="I40" s="153"/>
      <c r="J40" s="347"/>
    </row>
    <row r="41" spans="1:10" ht="15.75">
      <c r="A41" s="309"/>
      <c r="B41" s="12"/>
      <c r="C41" s="12"/>
      <c r="D41" s="12"/>
      <c r="E41" s="12"/>
      <c r="F41" s="12"/>
      <c r="G41" s="1"/>
      <c r="H41" s="1"/>
      <c r="I41" s="1"/>
      <c r="J41" s="247"/>
    </row>
    <row r="42" spans="1:10" ht="16.5" thickBot="1">
      <c r="A42" s="310"/>
      <c r="B42" s="311"/>
      <c r="C42" s="311"/>
      <c r="D42" s="311"/>
      <c r="E42" s="311"/>
      <c r="F42" s="311"/>
      <c r="G42" s="312"/>
      <c r="H42" s="312"/>
      <c r="I42" s="312"/>
      <c r="J42" s="313"/>
    </row>
    <row r="43" ht="16.5" thickTop="1"/>
    <row r="60" spans="1:7" ht="15.75">
      <c r="A60"/>
      <c r="B60"/>
      <c r="C60"/>
      <c r="D60"/>
      <c r="E60"/>
      <c r="F60"/>
      <c r="G60"/>
    </row>
    <row r="61" spans="1:7" ht="15.75">
      <c r="A61"/>
      <c r="B61"/>
      <c r="C61"/>
      <c r="D61"/>
      <c r="E61"/>
      <c r="F61"/>
      <c r="G61"/>
    </row>
    <row r="62" spans="1:7" ht="15.75">
      <c r="A62"/>
      <c r="B62"/>
      <c r="C62"/>
      <c r="D62"/>
      <c r="E62"/>
      <c r="F62"/>
      <c r="G62"/>
    </row>
    <row r="63" spans="1:7" ht="15.75">
      <c r="A63"/>
      <c r="B63"/>
      <c r="C63"/>
      <c r="D63"/>
      <c r="E63"/>
      <c r="F63"/>
      <c r="G63"/>
    </row>
    <row r="64" spans="1:7" ht="15.75">
      <c r="A64"/>
      <c r="B64"/>
      <c r="C64"/>
      <c r="D64"/>
      <c r="E64"/>
      <c r="F64"/>
      <c r="G64"/>
    </row>
    <row r="65" spans="1:7" ht="15.75">
      <c r="A65"/>
      <c r="B65"/>
      <c r="C65"/>
      <c r="D65"/>
      <c r="E65"/>
      <c r="F65"/>
      <c r="G65"/>
    </row>
    <row r="66" spans="1:7" ht="15.75">
      <c r="A66"/>
      <c r="B66"/>
      <c r="C66"/>
      <c r="D66"/>
      <c r="E66"/>
      <c r="F66"/>
      <c r="G66"/>
    </row>
    <row r="67" spans="1:7" ht="15.75">
      <c r="A67"/>
      <c r="B67"/>
      <c r="C67"/>
      <c r="D67"/>
      <c r="E67"/>
      <c r="F67"/>
      <c r="G67"/>
    </row>
    <row r="68" spans="1:7" ht="15.75">
      <c r="A68"/>
      <c r="B68"/>
      <c r="C68"/>
      <c r="D68"/>
      <c r="E68"/>
      <c r="F68"/>
      <c r="G68"/>
    </row>
    <row r="69" spans="1:7" ht="15.75">
      <c r="A69"/>
      <c r="B69"/>
      <c r="C69"/>
      <c r="D69"/>
      <c r="E69"/>
      <c r="F69"/>
      <c r="G69"/>
    </row>
    <row r="70" spans="1:7" ht="15.75">
      <c r="A70"/>
      <c r="B70"/>
      <c r="C70"/>
      <c r="D70"/>
      <c r="E70"/>
      <c r="F70"/>
      <c r="G70"/>
    </row>
    <row r="71" spans="1:7" ht="15.75">
      <c r="A71"/>
      <c r="B71"/>
      <c r="C71"/>
      <c r="D71"/>
      <c r="E71"/>
      <c r="F71"/>
      <c r="G71"/>
    </row>
  </sheetData>
  <mergeCells count="4">
    <mergeCell ref="A11:B13"/>
    <mergeCell ref="E5:G5"/>
    <mergeCell ref="E6:G6"/>
    <mergeCell ref="E7:G7"/>
  </mergeCells>
  <dataValidations count="2">
    <dataValidation type="list" allowBlank="1" showInputMessage="1" showErrorMessage="1" sqref="E15:E18">
      <formula1>DIST</formula1>
    </dataValidation>
    <dataValidation type="list" allowBlank="1" showInputMessage="1" showErrorMessage="1" sqref="E21 E34">
      <formula1>PROD</formula1>
    </dataValidation>
  </dataValidations>
  <printOptions horizontalCentered="1"/>
  <pageMargins left="0.2" right="0.28" top="0.75" bottom="0.75" header="0.25" footer="0.25"/>
  <pageSetup horizontalDpi="600" verticalDpi="600" orientation="landscape" paperSize="9" scale="80" r:id="rId1"/>
  <headerFooter alignWithMargins="0">
    <oddFooter>&amp;L&amp;F&amp;CPage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40"/>
  </sheetPr>
  <dimension ref="A1:Q71"/>
  <sheetViews>
    <sheetView tabSelected="1" workbookViewId="0" topLeftCell="A43">
      <selection activeCell="C8" sqref="C8"/>
    </sheetView>
  </sheetViews>
  <sheetFormatPr defaultColWidth="9.00390625" defaultRowHeight="15.75"/>
  <cols>
    <col min="1" max="1" width="35.00390625" style="9" customWidth="1"/>
    <col min="2" max="2" width="11.00390625" style="0" customWidth="1"/>
    <col min="3" max="6" width="18.625" style="0" customWidth="1"/>
    <col min="7" max="7" width="16.625" style="0" customWidth="1"/>
  </cols>
  <sheetData>
    <row r="1" spans="1:17" s="9" customFormat="1" ht="19.5" customHeight="1" thickTop="1">
      <c r="A1" s="909" t="s">
        <v>89</v>
      </c>
      <c r="B1" s="910"/>
      <c r="C1" s="910"/>
      <c r="D1" s="910"/>
      <c r="E1" s="910"/>
      <c r="F1" s="911"/>
      <c r="G1"/>
      <c r="H1"/>
      <c r="I1"/>
      <c r="J1"/>
      <c r="K1"/>
      <c r="L1"/>
      <c r="M1"/>
      <c r="N1"/>
      <c r="O1"/>
      <c r="P1"/>
      <c r="Q1"/>
    </row>
    <row r="2" spans="1:17" s="9" customFormat="1" ht="19.5" customHeight="1">
      <c r="A2" s="912" t="s">
        <v>91</v>
      </c>
      <c r="B2" s="881"/>
      <c r="C2" s="881"/>
      <c r="D2" s="881"/>
      <c r="E2" s="881"/>
      <c r="F2" s="913"/>
      <c r="G2"/>
      <c r="H2"/>
      <c r="I2"/>
      <c r="J2"/>
      <c r="K2"/>
      <c r="L2"/>
      <c r="M2"/>
      <c r="N2"/>
      <c r="O2"/>
      <c r="P2"/>
      <c r="Q2"/>
    </row>
    <row r="3" spans="1:17" s="9" customFormat="1" ht="19.5" customHeight="1">
      <c r="A3" s="914" t="s">
        <v>400</v>
      </c>
      <c r="B3" s="878"/>
      <c r="C3" s="878"/>
      <c r="D3" s="878"/>
      <c r="E3" s="878"/>
      <c r="F3" s="915"/>
      <c r="G3"/>
      <c r="H3"/>
      <c r="I3"/>
      <c r="J3"/>
      <c r="K3"/>
      <c r="L3"/>
      <c r="M3"/>
      <c r="N3"/>
      <c r="O3"/>
      <c r="P3"/>
      <c r="Q3"/>
    </row>
    <row r="4" spans="1:17" s="9" customFormat="1" ht="11.25" customHeight="1" thickBot="1">
      <c r="A4" s="529"/>
      <c r="B4" s="296"/>
      <c r="C4" s="296"/>
      <c r="D4" s="296"/>
      <c r="E4" s="296"/>
      <c r="F4" s="530"/>
      <c r="G4"/>
      <c r="H4"/>
      <c r="I4"/>
      <c r="J4"/>
      <c r="K4"/>
      <c r="L4"/>
      <c r="M4"/>
      <c r="N4"/>
      <c r="O4"/>
      <c r="P4"/>
      <c r="Q4"/>
    </row>
    <row r="5" spans="1:17" s="9" customFormat="1" ht="15.75" customHeight="1">
      <c r="A5" s="529"/>
      <c r="B5" s="726" t="s">
        <v>460</v>
      </c>
      <c r="C5" s="852" t="s">
        <v>472</v>
      </c>
      <c r="D5" s="853"/>
      <c r="E5" s="854"/>
      <c r="F5" s="530"/>
      <c r="G5"/>
      <c r="H5"/>
      <c r="I5"/>
      <c r="J5"/>
      <c r="K5"/>
      <c r="L5"/>
      <c r="M5"/>
      <c r="N5"/>
      <c r="O5"/>
      <c r="P5"/>
      <c r="Q5"/>
    </row>
    <row r="6" spans="1:17" s="9" customFormat="1" ht="15.75" customHeight="1">
      <c r="A6" s="794"/>
      <c r="B6" s="726" t="s">
        <v>462</v>
      </c>
      <c r="C6" s="855">
        <v>2006</v>
      </c>
      <c r="D6" s="856"/>
      <c r="E6" s="857"/>
      <c r="F6" s="530"/>
      <c r="G6"/>
      <c r="H6"/>
      <c r="I6"/>
      <c r="J6"/>
      <c r="K6"/>
      <c r="L6"/>
      <c r="M6"/>
      <c r="N6"/>
      <c r="O6"/>
      <c r="P6"/>
      <c r="Q6"/>
    </row>
    <row r="7" spans="1:17" s="9" customFormat="1" ht="15.75" customHeight="1" thickBot="1">
      <c r="A7" s="529"/>
      <c r="B7" s="726" t="s">
        <v>463</v>
      </c>
      <c r="C7" s="858">
        <v>39575</v>
      </c>
      <c r="D7" s="859"/>
      <c r="E7" s="860"/>
      <c r="F7" s="530"/>
      <c r="G7"/>
      <c r="H7"/>
      <c r="I7"/>
      <c r="J7"/>
      <c r="K7"/>
      <c r="L7"/>
      <c r="M7"/>
      <c r="N7"/>
      <c r="O7"/>
      <c r="P7"/>
      <c r="Q7"/>
    </row>
    <row r="8" spans="1:17" s="80" customFormat="1" ht="15.75" customHeight="1">
      <c r="A8" s="791"/>
      <c r="B8" s="735"/>
      <c r="C8" s="258"/>
      <c r="D8" s="258"/>
      <c r="E8" s="258"/>
      <c r="F8" s="340"/>
      <c r="G8" s="736"/>
      <c r="H8" s="736"/>
      <c r="I8" s="736"/>
      <c r="J8" s="736"/>
      <c r="K8" s="736"/>
      <c r="L8" s="736"/>
      <c r="M8" s="736"/>
      <c r="N8" s="736"/>
      <c r="O8" s="736"/>
      <c r="P8" s="736"/>
      <c r="Q8" s="736"/>
    </row>
    <row r="9" spans="1:17" s="9" customFormat="1" ht="19.5" customHeight="1">
      <c r="A9" s="925" t="s">
        <v>101</v>
      </c>
      <c r="B9" s="926"/>
      <c r="C9" s="926"/>
      <c r="D9" s="926"/>
      <c r="E9" s="926"/>
      <c r="F9" s="927"/>
      <c r="G9"/>
      <c r="H9"/>
      <c r="I9"/>
      <c r="J9"/>
      <c r="K9"/>
      <c r="L9"/>
      <c r="M9"/>
      <c r="N9"/>
      <c r="O9"/>
      <c r="P9"/>
      <c r="Q9"/>
    </row>
    <row r="10" spans="1:17" s="9" customFormat="1" ht="10.5" customHeight="1" thickBot="1">
      <c r="A10" s="531"/>
      <c r="B10" s="532"/>
      <c r="C10" s="532"/>
      <c r="D10" s="532"/>
      <c r="E10" s="532"/>
      <c r="F10" s="533"/>
      <c r="G10"/>
      <c r="H10"/>
      <c r="I10"/>
      <c r="J10"/>
      <c r="K10"/>
      <c r="L10"/>
      <c r="M10"/>
      <c r="N10"/>
      <c r="O10"/>
      <c r="P10"/>
      <c r="Q10"/>
    </row>
    <row r="11" spans="1:17" s="9" customFormat="1" ht="16.5" thickBot="1">
      <c r="A11" s="320"/>
      <c r="B11" s="143"/>
      <c r="C11" s="143"/>
      <c r="D11" s="143"/>
      <c r="E11" s="143"/>
      <c r="F11" s="319"/>
      <c r="G11"/>
      <c r="H11"/>
      <c r="I11"/>
      <c r="J11"/>
      <c r="K11"/>
      <c r="L11"/>
      <c r="M11"/>
      <c r="N11"/>
      <c r="O11"/>
      <c r="P11"/>
      <c r="Q11"/>
    </row>
    <row r="12" spans="1:6" s="9" customFormat="1" ht="16.5" thickBot="1">
      <c r="A12" s="322"/>
      <c r="B12" s="1"/>
      <c r="C12" s="442" t="s">
        <v>14</v>
      </c>
      <c r="D12" s="443" t="s">
        <v>15</v>
      </c>
      <c r="E12" s="443" t="s">
        <v>16</v>
      </c>
      <c r="F12" s="444" t="s">
        <v>348</v>
      </c>
    </row>
    <row r="13" spans="1:6" s="9" customFormat="1" ht="16.5" thickBot="1">
      <c r="A13" s="323" t="s">
        <v>85</v>
      </c>
      <c r="B13" s="23"/>
      <c r="C13" s="807">
        <f>'Sch 3 - Expenses'!G100</f>
        <v>62395215</v>
      </c>
      <c r="D13" s="807">
        <f>'Sch 3 - Expenses'!H100</f>
        <v>50605835.77145313</v>
      </c>
      <c r="E13" s="807">
        <f>'Sch 3 - Expenses'!I100</f>
        <v>220860.02530705227</v>
      </c>
      <c r="F13" s="808">
        <f>'Sch 3 - Expenses'!J100</f>
        <v>11568519.20323982</v>
      </c>
    </row>
    <row r="14" spans="1:6" s="9" customFormat="1" ht="15.75">
      <c r="A14" s="324" t="s">
        <v>103</v>
      </c>
      <c r="B14" s="23"/>
      <c r="C14" s="109"/>
      <c r="D14" s="109"/>
      <c r="E14" s="109"/>
      <c r="F14" s="325"/>
    </row>
    <row r="15" spans="1:6" s="9" customFormat="1" ht="16.5" thickBot="1">
      <c r="A15" s="326"/>
      <c r="B15" s="23"/>
      <c r="C15" s="109"/>
      <c r="D15" s="109"/>
      <c r="E15" s="109"/>
      <c r="F15" s="325"/>
    </row>
    <row r="16" spans="1:6" s="9" customFormat="1" ht="16.5" thickBot="1">
      <c r="A16" s="323" t="s">
        <v>261</v>
      </c>
      <c r="B16" s="23"/>
      <c r="C16" s="807">
        <f>IF('Sch 2 -Rate of Return'!E42&gt;0,'Sch 2 -Rate of Return'!E42,IF('Sch 2 -Rate of Return'!E98&gt;0,'Sch 2 -Rate of Return'!E98,IF('Sch 2 -Rate of Return'!E125&gt;0,'Sch 2 -Rate of Return'!E125,0)))</f>
        <v>4181448.821738781</v>
      </c>
      <c r="D16" s="807">
        <f>IF('Sch 2 -Rate of Return'!F42&gt;0,'Sch 2 -Rate of Return'!F42,IF('Sch 2 -Rate of Return'!F98&gt;0,'Sch 2 -Rate of Return'!F98,IF('Sch 2 -Rate of Return'!F125&gt;0,'Sch 2 -Rate of Return'!F125,0)))</f>
        <v>650132.7554003296</v>
      </c>
      <c r="E16" s="807">
        <f>IF('Sch 2 -Rate of Return'!G42&gt;0,'Sch 2 -Rate of Return'!G42,IF('Sch 2 -Rate of Return'!G98&gt;0,'Sch 2 -Rate of Return'!G98,IF('Sch 2 -Rate of Return'!G125&gt;0,'Sch 2 -Rate of Return'!G125,0)))</f>
        <v>135690.74017929082</v>
      </c>
      <c r="F16" s="808">
        <f>IF('Sch 2 -Rate of Return'!H42&gt;0,'Sch 2 -Rate of Return'!H42,IF('Sch 2 -Rate of Return'!H98&gt;0,'Sch 2 -Rate of Return'!H98,IF('Sch 2 -Rate of Return'!H125&gt;0,'Sch 2 -Rate of Return'!H125,0)))</f>
        <v>3395625.326159161</v>
      </c>
    </row>
    <row r="17" spans="1:6" s="9" customFormat="1" ht="15.75">
      <c r="A17" s="324" t="s">
        <v>240</v>
      </c>
      <c r="B17" s="23"/>
      <c r="C17" s="109"/>
      <c r="D17" s="109"/>
      <c r="E17" s="109"/>
      <c r="F17" s="325"/>
    </row>
    <row r="18" spans="1:6" s="9" customFormat="1" ht="16.5" thickBot="1">
      <c r="A18" s="326"/>
      <c r="B18" s="23"/>
      <c r="C18" s="109"/>
      <c r="D18" s="109"/>
      <c r="E18" s="109"/>
      <c r="F18" s="325"/>
    </row>
    <row r="19" spans="1:6" s="9" customFormat="1" ht="16.5" thickBot="1">
      <c r="A19" s="323" t="s">
        <v>236</v>
      </c>
      <c r="B19" s="23"/>
      <c r="C19" s="807">
        <f>'Sch 3A - Taxes'!F31</f>
        <v>4206328</v>
      </c>
      <c r="D19" s="807">
        <f>'Sch 3A - Taxes'!G31</f>
        <v>41191.53838296219</v>
      </c>
      <c r="E19" s="807">
        <f>'Sch 3A - Taxes'!H31</f>
        <v>4750.667277383987</v>
      </c>
      <c r="F19" s="808">
        <f>'Sch 3A - Taxes'!I31</f>
        <v>4160385.794339654</v>
      </c>
    </row>
    <row r="20" spans="1:6" s="9" customFormat="1" ht="15.75">
      <c r="A20" s="324" t="s">
        <v>193</v>
      </c>
      <c r="B20" s="23"/>
      <c r="C20" s="109"/>
      <c r="D20" s="109"/>
      <c r="E20" s="109"/>
      <c r="F20" s="325"/>
    </row>
    <row r="21" spans="1:6" s="9" customFormat="1" ht="16.5" thickBot="1">
      <c r="A21" s="326"/>
      <c r="B21" s="23"/>
      <c r="C21" s="109"/>
      <c r="D21" s="109"/>
      <c r="E21" s="109"/>
      <c r="F21" s="325"/>
    </row>
    <row r="22" spans="1:6" s="9" customFormat="1" ht="16.5" thickBot="1">
      <c r="A22" s="323" t="s">
        <v>84</v>
      </c>
      <c r="B22" s="23"/>
      <c r="C22" s="807">
        <f>'Sch 3B - Other Items'!G39</f>
        <v>22090730</v>
      </c>
      <c r="D22" s="807">
        <f>'Sch 3B - Other Items'!H39</f>
        <v>14866154</v>
      </c>
      <c r="E22" s="807">
        <f>'Sch 3B - Other Items'!I39</f>
        <v>7707.917899088872</v>
      </c>
      <c r="F22" s="808">
        <f>'Sch 3B - Other Items'!J39</f>
        <v>7216868.082100911</v>
      </c>
    </row>
    <row r="23" spans="1:6" s="9" customFormat="1" ht="15.75">
      <c r="A23" s="324" t="s">
        <v>271</v>
      </c>
      <c r="B23" s="23"/>
      <c r="C23" s="109"/>
      <c r="D23" s="109"/>
      <c r="E23" s="109"/>
      <c r="F23" s="325"/>
    </row>
    <row r="24" spans="1:6" s="9" customFormat="1" ht="16.5" thickBot="1">
      <c r="A24" s="326"/>
      <c r="B24" s="23"/>
      <c r="C24" s="109"/>
      <c r="D24" s="109"/>
      <c r="E24" s="109"/>
      <c r="F24" s="325"/>
    </row>
    <row r="25" spans="1:6" s="9" customFormat="1" ht="16.5" thickBot="1">
      <c r="A25" s="323" t="s">
        <v>86</v>
      </c>
      <c r="B25" s="23"/>
      <c r="C25" s="809">
        <f>C13+C16+C19-C22</f>
        <v>48692261.82173878</v>
      </c>
      <c r="D25" s="809">
        <f>D13+D16+D19-D22</f>
        <v>36431006.06523642</v>
      </c>
      <c r="E25" s="809">
        <f>E13+E16+E19-E22</f>
        <v>353593.51486463816</v>
      </c>
      <c r="F25" s="810">
        <f>F13+F16+F19-F22</f>
        <v>11907662.241637724</v>
      </c>
    </row>
    <row r="26" spans="1:9" s="9" customFormat="1" ht="15.75">
      <c r="A26" s="324" t="s">
        <v>237</v>
      </c>
      <c r="B26" s="49"/>
      <c r="C26" s="88"/>
      <c r="D26" s="88"/>
      <c r="E26" s="94"/>
      <c r="F26" s="318"/>
      <c r="G26" s="11"/>
      <c r="H26" s="11"/>
      <c r="I26" s="11"/>
    </row>
    <row r="27" spans="1:6" s="9" customFormat="1" ht="15.75">
      <c r="A27" s="322"/>
      <c r="B27" s="1"/>
      <c r="C27" s="1"/>
      <c r="D27" s="1"/>
      <c r="E27" s="1"/>
      <c r="F27" s="247"/>
    </row>
    <row r="28" spans="1:6" s="9" customFormat="1" ht="16.5" thickBot="1">
      <c r="A28" s="290"/>
      <c r="B28" s="312"/>
      <c r="C28" s="312"/>
      <c r="D28" s="312"/>
      <c r="E28" s="312"/>
      <c r="F28" s="313"/>
    </row>
    <row r="29" spans="1:6" s="9" customFormat="1" ht="16.5" thickTop="1">
      <c r="A29" s="335"/>
      <c r="B29" s="336"/>
      <c r="C29" s="336"/>
      <c r="D29" s="336"/>
      <c r="E29" s="336"/>
      <c r="F29" s="337"/>
    </row>
    <row r="30" spans="1:6" s="9" customFormat="1" ht="16.5" thickBot="1">
      <c r="A30" s="322"/>
      <c r="B30" s="1"/>
      <c r="C30" s="1"/>
      <c r="D30" s="1"/>
      <c r="E30" s="1"/>
      <c r="F30" s="247"/>
    </row>
    <row r="31" spans="1:6" s="9" customFormat="1" ht="16.5" thickBot="1">
      <c r="A31" s="811" t="s">
        <v>272</v>
      </c>
      <c r="B31" s="77"/>
      <c r="C31" s="87"/>
      <c r="D31" s="89"/>
      <c r="E31" s="89"/>
      <c r="F31" s="247"/>
    </row>
    <row r="32" spans="1:9" s="9" customFormat="1" ht="15.75">
      <c r="A32" s="327" t="s">
        <v>163</v>
      </c>
      <c r="B32" s="77"/>
      <c r="C32" s="87"/>
      <c r="D32" s="781">
        <f>D25</f>
        <v>36431006.06523642</v>
      </c>
      <c r="E32" s="89"/>
      <c r="F32" s="328"/>
      <c r="G32" s="26"/>
      <c r="H32" s="26"/>
      <c r="I32" s="26"/>
    </row>
    <row r="33" spans="1:9" s="9" customFormat="1" ht="15.75">
      <c r="A33" s="327" t="s">
        <v>16</v>
      </c>
      <c r="B33" s="77"/>
      <c r="C33" s="87"/>
      <c r="D33" s="782">
        <f>+E25</f>
        <v>353593.51486463816</v>
      </c>
      <c r="E33" s="89"/>
      <c r="F33" s="329"/>
      <c r="G33"/>
      <c r="H33"/>
      <c r="I33" s="25"/>
    </row>
    <row r="34" spans="1:9" s="9" customFormat="1" ht="16.5" thickBot="1">
      <c r="A34" s="327" t="s">
        <v>276</v>
      </c>
      <c r="B34" s="77"/>
      <c r="C34" s="87"/>
      <c r="D34" s="783"/>
      <c r="E34" s="89"/>
      <c r="F34" s="329"/>
      <c r="G34"/>
      <c r="H34"/>
      <c r="I34" s="25"/>
    </row>
    <row r="35" spans="1:9" s="9" customFormat="1" ht="16.5" thickBot="1">
      <c r="A35" s="234" t="s">
        <v>273</v>
      </c>
      <c r="B35" s="77"/>
      <c r="C35" s="87"/>
      <c r="D35" s="809">
        <f>D32+D33-D34</f>
        <v>36784599.58010106</v>
      </c>
      <c r="E35" s="89"/>
      <c r="F35" s="329"/>
      <c r="G35"/>
      <c r="H35"/>
      <c r="I35" s="25"/>
    </row>
    <row r="36" spans="1:9" s="9" customFormat="1" ht="16.5" thickBot="1">
      <c r="A36" s="327"/>
      <c r="B36" s="77"/>
      <c r="C36" s="87"/>
      <c r="D36" s="115"/>
      <c r="E36" s="89"/>
      <c r="F36" s="329"/>
      <c r="G36"/>
      <c r="H36"/>
      <c r="I36" s="78"/>
    </row>
    <row r="37" spans="1:9" s="9" customFormat="1" ht="16.5" thickBot="1">
      <c r="A37" s="811" t="s">
        <v>274</v>
      </c>
      <c r="B37" s="77"/>
      <c r="C37" s="87"/>
      <c r="D37" s="115"/>
      <c r="E37" s="89"/>
      <c r="F37" s="329"/>
      <c r="G37"/>
      <c r="H37"/>
      <c r="I37" s="58"/>
    </row>
    <row r="38" spans="1:9" s="9" customFormat="1" ht="15.75">
      <c r="A38" s="327" t="s">
        <v>164</v>
      </c>
      <c r="B38" s="77"/>
      <c r="C38" s="87"/>
      <c r="D38" s="333">
        <v>835781</v>
      </c>
      <c r="E38" s="95"/>
      <c r="F38" s="329"/>
      <c r="G38"/>
      <c r="H38"/>
      <c r="I38" s="53"/>
    </row>
    <row r="39" spans="1:9" s="9" customFormat="1" ht="15.75">
      <c r="A39" s="327" t="s">
        <v>165</v>
      </c>
      <c r="B39" s="77"/>
      <c r="C39" s="87"/>
      <c r="D39" s="332"/>
      <c r="E39" s="95"/>
      <c r="F39" s="329"/>
      <c r="G39"/>
      <c r="H39"/>
      <c r="I39" s="79"/>
    </row>
    <row r="40" spans="1:9" s="9" customFormat="1" ht="15.75">
      <c r="A40" s="327" t="s">
        <v>277</v>
      </c>
      <c r="B40" s="77"/>
      <c r="C40" s="87"/>
      <c r="D40" s="332">
        <f>D38-D39</f>
        <v>835781</v>
      </c>
      <c r="E40" s="95"/>
      <c r="F40" s="329"/>
      <c r="G40"/>
      <c r="H40"/>
      <c r="I40" s="53"/>
    </row>
    <row r="41" spans="1:9" s="9" customFormat="1" ht="16.5" thickBot="1">
      <c r="A41" s="327" t="s">
        <v>278</v>
      </c>
      <c r="B41" s="77"/>
      <c r="C41" s="87"/>
      <c r="D41" s="334">
        <f>D40*0.05</f>
        <v>41789.05</v>
      </c>
      <c r="E41" s="96"/>
      <c r="F41" s="329"/>
      <c r="G41"/>
      <c r="H41"/>
      <c r="I41" s="53"/>
    </row>
    <row r="42" spans="1:9" s="9" customFormat="1" ht="16.5" thickBot="1">
      <c r="A42" s="234" t="s">
        <v>275</v>
      </c>
      <c r="B42" s="77"/>
      <c r="C42" s="87"/>
      <c r="D42" s="813">
        <f>D40+D41</f>
        <v>877570.05</v>
      </c>
      <c r="E42" s="89"/>
      <c r="F42" s="330"/>
      <c r="G42"/>
      <c r="H42"/>
      <c r="I42" s="32"/>
    </row>
    <row r="43" spans="1:6" s="9" customFormat="1" ht="16.5" thickBot="1">
      <c r="A43" s="331"/>
      <c r="B43" s="77"/>
      <c r="C43" s="87"/>
      <c r="D43" s="97"/>
      <c r="E43" s="89"/>
      <c r="F43" s="247"/>
    </row>
    <row r="44" spans="1:6" s="9" customFormat="1" ht="19.5" thickBot="1">
      <c r="A44" s="812" t="s">
        <v>166</v>
      </c>
      <c r="B44" s="150"/>
      <c r="C44" s="151"/>
      <c r="D44" s="814">
        <f>IF(D42=0,"$0",D35/D42)</f>
        <v>41.9164254524195</v>
      </c>
      <c r="E44" s="89"/>
      <c r="F44" s="247"/>
    </row>
    <row r="45" spans="1:6" s="9" customFormat="1" ht="16.5" thickBot="1">
      <c r="A45" s="290"/>
      <c r="B45" s="312"/>
      <c r="C45" s="312"/>
      <c r="D45" s="312"/>
      <c r="E45" s="312"/>
      <c r="F45" s="313"/>
    </row>
    <row r="46" ht="16.5" thickTop="1">
      <c r="A46" s="147"/>
    </row>
    <row r="47" ht="15.75">
      <c r="A47" s="147"/>
    </row>
    <row r="48" ht="15.75">
      <c r="A48" s="147"/>
    </row>
    <row r="49" ht="15.75">
      <c r="A49" s="147"/>
    </row>
    <row r="59" ht="15.75">
      <c r="A59"/>
    </row>
    <row r="60" ht="15.75">
      <c r="A60"/>
    </row>
    <row r="61" ht="15.75">
      <c r="A61"/>
    </row>
    <row r="62" ht="15.75">
      <c r="A62"/>
    </row>
    <row r="63" ht="15.75">
      <c r="A63"/>
    </row>
    <row r="64" ht="15.75">
      <c r="A64"/>
    </row>
    <row r="65" ht="15.75">
      <c r="A65"/>
    </row>
    <row r="66" ht="15.75">
      <c r="A66"/>
    </row>
    <row r="67" ht="15.75">
      <c r="A67"/>
    </row>
    <row r="68" ht="15.75">
      <c r="A68"/>
    </row>
    <row r="69" ht="15.75">
      <c r="A69"/>
    </row>
    <row r="70" ht="15.75">
      <c r="A70"/>
    </row>
    <row r="71" ht="15.75">
      <c r="A71"/>
    </row>
  </sheetData>
  <mergeCells count="7">
    <mergeCell ref="A1:F1"/>
    <mergeCell ref="A2:F2"/>
    <mergeCell ref="A3:F3"/>
    <mergeCell ref="A9:F9"/>
    <mergeCell ref="C5:E5"/>
    <mergeCell ref="C6:E6"/>
    <mergeCell ref="C7:E7"/>
  </mergeCells>
  <printOptions horizontalCentered="1"/>
  <pageMargins left="0.2" right="0.28" top="0.75" bottom="0.75" header="0.25" footer="0.25"/>
  <pageSetup horizontalDpi="600" verticalDpi="600" orientation="landscape" paperSize="9" scale="85" r:id="rId1"/>
  <headerFooter alignWithMargins="0">
    <oddFooter>&amp;L&amp;F&amp;CPage &amp;P of &amp;N&amp;R&amp;D</oddFooter>
  </headerFooter>
  <rowBreaks count="1" manualBreakCount="1">
    <brk id="28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41"/>
  <sheetViews>
    <sheetView zoomScaleSheetLayoutView="100" workbookViewId="0" topLeftCell="A1">
      <selection activeCell="C8" sqref="C8"/>
    </sheetView>
  </sheetViews>
  <sheetFormatPr defaultColWidth="9.00390625" defaultRowHeight="15.75"/>
  <cols>
    <col min="1" max="1" width="3.875" style="98" customWidth="1"/>
    <col min="2" max="2" width="48.125" style="98" customWidth="1"/>
    <col min="3" max="3" width="14.75390625" style="114" customWidth="1"/>
    <col min="4" max="4" width="24.375" style="98" customWidth="1"/>
    <col min="5" max="5" width="0.12890625" style="98" customWidth="1"/>
    <col min="6" max="16384" width="9.00390625" style="98" customWidth="1"/>
  </cols>
  <sheetData>
    <row r="1" spans="1:4" ht="19.5" thickTop="1">
      <c r="A1" s="909" t="s">
        <v>89</v>
      </c>
      <c r="B1" s="910"/>
      <c r="C1" s="910"/>
      <c r="D1" s="911"/>
    </row>
    <row r="2" spans="1:4" ht="15.75">
      <c r="A2" s="912" t="s">
        <v>91</v>
      </c>
      <c r="B2" s="881"/>
      <c r="C2" s="881"/>
      <c r="D2" s="913"/>
    </row>
    <row r="3" spans="1:4" ht="15.75">
      <c r="A3" s="914" t="s">
        <v>400</v>
      </c>
      <c r="B3" s="878"/>
      <c r="C3" s="878"/>
      <c r="D3" s="915"/>
    </row>
    <row r="4" spans="1:4" ht="12.75" customHeight="1" thickBot="1">
      <c r="A4" s="529"/>
      <c r="B4" s="296"/>
      <c r="C4" s="296"/>
      <c r="D4" s="530"/>
    </row>
    <row r="5" spans="1:5" ht="15.75">
      <c r="A5" s="529"/>
      <c r="B5" s="726" t="s">
        <v>460</v>
      </c>
      <c r="C5" s="852" t="s">
        <v>472</v>
      </c>
      <c r="D5" s="853"/>
      <c r="E5" s="854"/>
    </row>
    <row r="6" spans="1:5" ht="15.75">
      <c r="A6" s="529"/>
      <c r="B6" s="726" t="s">
        <v>462</v>
      </c>
      <c r="C6" s="855">
        <v>2006</v>
      </c>
      <c r="D6" s="856"/>
      <c r="E6" s="857"/>
    </row>
    <row r="7" spans="1:5" ht="16.5" thickBot="1">
      <c r="A7" s="529"/>
      <c r="B7" s="726" t="s">
        <v>463</v>
      </c>
      <c r="C7" s="858">
        <v>39575</v>
      </c>
      <c r="D7" s="859"/>
      <c r="E7" s="860"/>
    </row>
    <row r="8" spans="1:4" ht="15.75">
      <c r="A8" s="529"/>
      <c r="B8" s="296"/>
      <c r="C8" s="296"/>
      <c r="D8" s="530"/>
    </row>
    <row r="9" spans="1:5" ht="15.75">
      <c r="A9" s="925" t="s">
        <v>327</v>
      </c>
      <c r="B9" s="926"/>
      <c r="C9" s="926"/>
      <c r="D9" s="927"/>
      <c r="E9"/>
    </row>
    <row r="10" spans="1:5" s="526" customFormat="1" ht="9" customHeight="1" thickBot="1">
      <c r="A10" s="787"/>
      <c r="B10" s="788"/>
      <c r="C10" s="788"/>
      <c r="D10" s="789"/>
      <c r="E10" s="496"/>
    </row>
    <row r="11" spans="1:5" ht="15.75">
      <c r="A11" s="931" t="s">
        <v>471</v>
      </c>
      <c r="B11" s="932"/>
      <c r="C11" s="345" t="s">
        <v>167</v>
      </c>
      <c r="D11" s="928" t="s">
        <v>158</v>
      </c>
      <c r="E11"/>
    </row>
    <row r="12" spans="1:5" ht="15.75">
      <c r="A12" s="933"/>
      <c r="B12" s="934"/>
      <c r="C12" s="314" t="s">
        <v>311</v>
      </c>
      <c r="D12" s="929"/>
      <c r="E12"/>
    </row>
    <row r="13" spans="1:5" ht="16.5" thickBot="1">
      <c r="A13" s="935"/>
      <c r="B13" s="936"/>
      <c r="C13" s="346" t="s">
        <v>312</v>
      </c>
      <c r="D13" s="930"/>
      <c r="E13"/>
    </row>
    <row r="14" spans="1:5" ht="15.75">
      <c r="A14" s="540" t="s">
        <v>279</v>
      </c>
      <c r="B14" s="154"/>
      <c r="C14" s="296"/>
      <c r="D14" s="340"/>
      <c r="E14"/>
    </row>
    <row r="15" spans="1:4" ht="15.75">
      <c r="A15" s="540" t="s">
        <v>154</v>
      </c>
      <c r="B15" s="154"/>
      <c r="C15" s="348"/>
      <c r="D15" s="341"/>
    </row>
    <row r="16" spans="1:4" ht="12.75">
      <c r="A16" s="541"/>
      <c r="B16" s="784" t="s">
        <v>15</v>
      </c>
      <c r="C16" s="349" t="s">
        <v>328</v>
      </c>
      <c r="D16" s="350">
        <v>163488</v>
      </c>
    </row>
    <row r="17" spans="1:4" ht="12.75">
      <c r="A17" s="541"/>
      <c r="B17" s="784" t="s">
        <v>16</v>
      </c>
      <c r="C17" s="349" t="s">
        <v>328</v>
      </c>
      <c r="D17" s="350"/>
    </row>
    <row r="18" spans="1:4" ht="12.75">
      <c r="A18" s="541"/>
      <c r="B18" s="784" t="s">
        <v>280</v>
      </c>
      <c r="C18" s="349" t="s">
        <v>328</v>
      </c>
      <c r="D18" s="350">
        <v>723908</v>
      </c>
    </row>
    <row r="19" spans="1:4" ht="12.75">
      <c r="A19" s="541"/>
      <c r="B19" s="784" t="s">
        <v>281</v>
      </c>
      <c r="C19" s="349" t="s">
        <v>328</v>
      </c>
      <c r="D19" s="350">
        <v>724810</v>
      </c>
    </row>
    <row r="20" spans="1:4" ht="12.75">
      <c r="A20" s="541"/>
      <c r="B20" s="784" t="s">
        <v>323</v>
      </c>
      <c r="C20" s="349" t="s">
        <v>328</v>
      </c>
      <c r="D20" s="350">
        <v>65548</v>
      </c>
    </row>
    <row r="21" spans="1:4" ht="12.75">
      <c r="A21" s="541"/>
      <c r="B21" s="784" t="s">
        <v>283</v>
      </c>
      <c r="C21" s="349" t="s">
        <v>328</v>
      </c>
      <c r="D21" s="350"/>
    </row>
    <row r="22" spans="1:4" ht="12.75">
      <c r="A22" s="541"/>
      <c r="B22" s="784" t="s">
        <v>284</v>
      </c>
      <c r="C22" s="349" t="s">
        <v>328</v>
      </c>
      <c r="D22" s="350">
        <v>1130861</v>
      </c>
    </row>
    <row r="23" spans="1:9" ht="15.75">
      <c r="A23" s="540" t="s">
        <v>440</v>
      </c>
      <c r="B23" s="155"/>
      <c r="C23" s="785"/>
      <c r="D23" s="786">
        <f>SUM(D16:D22)</f>
        <v>2808615</v>
      </c>
      <c r="I23" s="526"/>
    </row>
    <row r="24" spans="1:9" ht="15.75">
      <c r="A24" s="541"/>
      <c r="B24" s="155"/>
      <c r="C24" s="157"/>
      <c r="D24" s="347"/>
      <c r="I24" s="526"/>
    </row>
    <row r="25" spans="1:9" ht="15.75">
      <c r="A25" s="540" t="s">
        <v>155</v>
      </c>
      <c r="B25" s="154"/>
      <c r="C25" s="158"/>
      <c r="D25" s="347"/>
      <c r="I25" s="526"/>
    </row>
    <row r="26" spans="1:9" ht="12.75">
      <c r="A26" s="541"/>
      <c r="B26" s="784" t="s">
        <v>15</v>
      </c>
      <c r="C26" s="349" t="s">
        <v>328</v>
      </c>
      <c r="D26" s="350"/>
      <c r="I26" s="526"/>
    </row>
    <row r="27" spans="1:9" ht="12.75">
      <c r="A27" s="541"/>
      <c r="B27" s="784" t="s">
        <v>16</v>
      </c>
      <c r="C27" s="349" t="s">
        <v>328</v>
      </c>
      <c r="D27" s="350"/>
      <c r="I27" s="526"/>
    </row>
    <row r="28" spans="1:9" ht="12.75">
      <c r="A28" s="541"/>
      <c r="B28" s="784" t="s">
        <v>280</v>
      </c>
      <c r="C28" s="349" t="s">
        <v>328</v>
      </c>
      <c r="D28" s="350">
        <v>729927</v>
      </c>
      <c r="I28" s="526"/>
    </row>
    <row r="29" spans="1:9" ht="12.75">
      <c r="A29" s="541"/>
      <c r="B29" s="784" t="s">
        <v>284</v>
      </c>
      <c r="C29" s="349" t="s">
        <v>328</v>
      </c>
      <c r="D29" s="350"/>
      <c r="I29" s="526"/>
    </row>
    <row r="30" spans="1:9" ht="15.75">
      <c r="A30" s="540" t="s">
        <v>441</v>
      </c>
      <c r="B30" s="154"/>
      <c r="C30" s="785"/>
      <c r="D30" s="786">
        <f>SUM(D26:D29)</f>
        <v>729927</v>
      </c>
      <c r="I30" s="526"/>
    </row>
    <row r="31" spans="1:9" ht="15.75">
      <c r="A31" s="540"/>
      <c r="B31" s="154"/>
      <c r="C31" s="158"/>
      <c r="D31" s="347"/>
      <c r="I31" s="526"/>
    </row>
    <row r="32" spans="1:4" ht="15.75">
      <c r="A32" s="540" t="s">
        <v>318</v>
      </c>
      <c r="B32" s="154"/>
      <c r="C32" s="158"/>
      <c r="D32" s="347"/>
    </row>
    <row r="33" spans="1:4" ht="12.75">
      <c r="A33" s="541"/>
      <c r="B33" s="784" t="s">
        <v>319</v>
      </c>
      <c r="C33" s="349" t="s">
        <v>328</v>
      </c>
      <c r="D33" s="350">
        <v>163488</v>
      </c>
    </row>
    <row r="34" spans="1:4" ht="12.75">
      <c r="A34" s="541"/>
      <c r="B34" s="784" t="s">
        <v>320</v>
      </c>
      <c r="C34" s="349" t="s">
        <v>328</v>
      </c>
      <c r="D34" s="350"/>
    </row>
    <row r="35" spans="1:4" ht="12.75">
      <c r="A35" s="541"/>
      <c r="B35" s="784" t="s">
        <v>321</v>
      </c>
      <c r="C35" s="349" t="s">
        <v>328</v>
      </c>
      <c r="D35" s="350">
        <v>1453835</v>
      </c>
    </row>
    <row r="36" spans="1:4" ht="12.75">
      <c r="A36" s="541"/>
      <c r="B36" s="784" t="s">
        <v>322</v>
      </c>
      <c r="C36" s="349" t="s">
        <v>328</v>
      </c>
      <c r="D36" s="350">
        <v>724810</v>
      </c>
    </row>
    <row r="37" spans="1:4" ht="12.75">
      <c r="A37" s="541"/>
      <c r="B37" s="784" t="s">
        <v>324</v>
      </c>
      <c r="C37" s="349" t="s">
        <v>328</v>
      </c>
      <c r="D37" s="350">
        <v>65548</v>
      </c>
    </row>
    <row r="38" spans="1:4" ht="12.75">
      <c r="A38" s="541"/>
      <c r="B38" s="784" t="s">
        <v>325</v>
      </c>
      <c r="C38" s="349" t="s">
        <v>328</v>
      </c>
      <c r="D38" s="350"/>
    </row>
    <row r="39" spans="1:4" ht="12.75">
      <c r="A39" s="541"/>
      <c r="B39" s="784" t="s">
        <v>326</v>
      </c>
      <c r="C39" s="349" t="s">
        <v>328</v>
      </c>
      <c r="D39" s="350">
        <v>1130861</v>
      </c>
    </row>
    <row r="40" spans="1:4" ht="15.75">
      <c r="A40" s="540" t="s">
        <v>442</v>
      </c>
      <c r="B40" s="155"/>
      <c r="C40" s="785"/>
      <c r="D40" s="786">
        <f>SUM(D33:D39)</f>
        <v>3538542</v>
      </c>
    </row>
    <row r="41" spans="1:4" ht="13.5" thickBot="1">
      <c r="A41" s="542"/>
      <c r="B41" s="342"/>
      <c r="C41" s="343"/>
      <c r="D41" s="344"/>
    </row>
    <row r="42" ht="13.5" thickTop="1"/>
  </sheetData>
  <mergeCells count="9">
    <mergeCell ref="D11:D13"/>
    <mergeCell ref="A11:B13"/>
    <mergeCell ref="A1:D1"/>
    <mergeCell ref="A2:D2"/>
    <mergeCell ref="A3:D3"/>
    <mergeCell ref="A9:D9"/>
    <mergeCell ref="C5:E5"/>
    <mergeCell ref="C6:E6"/>
    <mergeCell ref="C7:E7"/>
  </mergeCells>
  <printOptions horizontalCentered="1"/>
  <pageMargins left="0.2" right="0.28" top="0.75" bottom="0.75" header="0.25" footer="0.25"/>
  <pageSetup horizontalDpi="600" verticalDpi="600" orientation="landscape" paperSize="9" scale="85" r:id="rId1"/>
  <headerFooter alignWithMargins="0">
    <oddFooter>&amp;L&amp;F&amp;CPage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Revised Average SYstem Cost Template</dc:title>
  <dc:subject>Average System Cost Methodology</dc:subject>
  <dc:creator>BPA</dc:creator>
  <cp:keywords/>
  <dc:description/>
  <cp:lastModifiedBy>Arnold L. Wagner</cp:lastModifiedBy>
  <cp:lastPrinted>2008-05-07T21:16:22Z</cp:lastPrinted>
  <dcterms:created xsi:type="dcterms:W3CDTF">2002-12-16T15:40:56Z</dcterms:created>
  <dcterms:modified xsi:type="dcterms:W3CDTF">2008-05-12T23:16:14Z</dcterms:modified>
  <cp:category/>
  <cp:version/>
  <cp:contentType/>
  <cp:contentStatus/>
</cp:coreProperties>
</file>