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-69" sheetId="1" r:id="rId1"/>
  </sheets>
  <definedNames>
    <definedName name="_Order1" localSheetId="0" hidden="1">255</definedName>
    <definedName name="PRINT">'t-69'!$A$8:$L$412</definedName>
    <definedName name="_xlnm.Print_Area" localSheetId="0">'t-69'!$A$8:$N$406</definedName>
    <definedName name="_xlnm.Print_Titles" localSheetId="0">'t-69'!$1:$7</definedName>
    <definedName name="Print_Titles_MI">'t-69'!$1:$7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<sst xmlns="http://schemas.openxmlformats.org/spreadsheetml/2006/main" count="362" uniqueCount="362">
  <si>
    <t>AREA / STATE</t>
  </si>
  <si>
    <t>TOTAL</t>
  </si>
  <si>
    <t>OBLIGATED</t>
  </si>
  <si>
    <t>AK-Anchorage</t>
  </si>
  <si>
    <t>AK-DOT</t>
  </si>
  <si>
    <t>AL-Birmingham</t>
  </si>
  <si>
    <t>AL-DOT</t>
  </si>
  <si>
    <t>AL-Montgomery</t>
  </si>
  <si>
    <t>AR-Little Rock</t>
  </si>
  <si>
    <t>AZ-Phoenix</t>
  </si>
  <si>
    <t>AZ-Tucson</t>
  </si>
  <si>
    <t>CA-Bakersfield</t>
  </si>
  <si>
    <t>CA-Davis</t>
  </si>
  <si>
    <t>CA-DOT</t>
  </si>
  <si>
    <t>CA-Fairfield</t>
  </si>
  <si>
    <t>CA-Fresno</t>
  </si>
  <si>
    <t>CA-Los Angeles</t>
  </si>
  <si>
    <t>CA-Modesto</t>
  </si>
  <si>
    <t>CA-Napa</t>
  </si>
  <si>
    <t>CA-Palm Springs</t>
  </si>
  <si>
    <t>CA-Sacramento</t>
  </si>
  <si>
    <t>CA-San Diego</t>
  </si>
  <si>
    <t>CA-San Fran/San Jose</t>
  </si>
  <si>
    <t>CA-San Jose</t>
  </si>
  <si>
    <t>CA-Santa Barbara</t>
  </si>
  <si>
    <t>CA-Santa Cruz</t>
  </si>
  <si>
    <t>CA-Santa Maria</t>
  </si>
  <si>
    <t>CA-Santa Rosa</t>
  </si>
  <si>
    <t>CA-Simi Valley</t>
  </si>
  <si>
    <t>CA-Stockton</t>
  </si>
  <si>
    <t>CO-Denver</t>
  </si>
  <si>
    <t>CO-DOT</t>
  </si>
  <si>
    <t>CT-DOT</t>
  </si>
  <si>
    <t>CT-Norwalk</t>
  </si>
  <si>
    <t>FL-Orlando</t>
  </si>
  <si>
    <t>GA-Atlanta</t>
  </si>
  <si>
    <t>GA-DOT</t>
  </si>
  <si>
    <t>HI- DOT</t>
  </si>
  <si>
    <t>IA-Des Moines</t>
  </si>
  <si>
    <t>IA-DOT</t>
  </si>
  <si>
    <t>IA-Sioux City</t>
  </si>
  <si>
    <t>ID-Boise</t>
  </si>
  <si>
    <t>ID-DOT</t>
  </si>
  <si>
    <t>ID-Pocatello</t>
  </si>
  <si>
    <t>IL-Chicago</t>
  </si>
  <si>
    <t>IL-DOT</t>
  </si>
  <si>
    <t>IL-St. Louis, MO</t>
  </si>
  <si>
    <t>IN-Indianapolis</t>
  </si>
  <si>
    <t>IN-NWIN</t>
  </si>
  <si>
    <t>KY-Louisville</t>
  </si>
  <si>
    <t>LA-Baton Rouge</t>
  </si>
  <si>
    <t>LA-New Orleans</t>
  </si>
  <si>
    <t>LA-Shreveport</t>
  </si>
  <si>
    <t>MA-Boston</t>
  </si>
  <si>
    <t>MA-Brockton</t>
  </si>
  <si>
    <t>MA-DOT</t>
  </si>
  <si>
    <t>MA-Springfield</t>
  </si>
  <si>
    <t>MA-Worcester</t>
  </si>
  <si>
    <t>MD-Baltimore</t>
  </si>
  <si>
    <t>ME-DOT</t>
  </si>
  <si>
    <t>ME-Portland</t>
  </si>
  <si>
    <t>MI-Ann Arbor</t>
  </si>
  <si>
    <t>MI-Benton Harbor</t>
  </si>
  <si>
    <t>MI-Detroit</t>
  </si>
  <si>
    <t>MI-DOT</t>
  </si>
  <si>
    <t>MI-Flint</t>
  </si>
  <si>
    <t>MI-Grand Rapids</t>
  </si>
  <si>
    <t>MI-Jackson</t>
  </si>
  <si>
    <t>MI-Kalamazoo</t>
  </si>
  <si>
    <t>MI-Lansing</t>
  </si>
  <si>
    <t>MI-Muskegon</t>
  </si>
  <si>
    <t>MN-DOT</t>
  </si>
  <si>
    <t>MN-Duluth</t>
  </si>
  <si>
    <t>MN-Rochester</t>
  </si>
  <si>
    <t>MO-St. Louis</t>
  </si>
  <si>
    <t>MT-Missoula</t>
  </si>
  <si>
    <t>NE-Omaha</t>
  </si>
  <si>
    <t>NH-DOT</t>
  </si>
  <si>
    <t>NJ-DOT</t>
  </si>
  <si>
    <t>NJ-Northeastern NJ</t>
  </si>
  <si>
    <t>NM-Albuquerque</t>
  </si>
  <si>
    <t>NM-DOT</t>
  </si>
  <si>
    <t>NV-Reno</t>
  </si>
  <si>
    <t>NY-DOT</t>
  </si>
  <si>
    <t>NY-Glen Falls</t>
  </si>
  <si>
    <t>NY-Poughkeepsie</t>
  </si>
  <si>
    <t>NY-Rochester</t>
  </si>
  <si>
    <t>NY-Syracuse</t>
  </si>
  <si>
    <t>OH-Akron</t>
  </si>
  <si>
    <t>OH-Canton</t>
  </si>
  <si>
    <t>OH-Cincinnati</t>
  </si>
  <si>
    <t>OH-Cleveland</t>
  </si>
  <si>
    <t>OH-Columbus</t>
  </si>
  <si>
    <t>OH-Dayton</t>
  </si>
  <si>
    <t>OH-DOT</t>
  </si>
  <si>
    <t>OH-Toledo</t>
  </si>
  <si>
    <t>OK-Oklahoma City</t>
  </si>
  <si>
    <t>OK-Tulsa</t>
  </si>
  <si>
    <t>OR-DOT</t>
  </si>
  <si>
    <t>OR-Salem</t>
  </si>
  <si>
    <t>PA-Altoona</t>
  </si>
  <si>
    <t>PA-DOT</t>
  </si>
  <si>
    <t>PA-Erie</t>
  </si>
  <si>
    <t>PA-Harrisburg</t>
  </si>
  <si>
    <t>PA-Johnstown</t>
  </si>
  <si>
    <t>PA-Lancaster</t>
  </si>
  <si>
    <t>PA-Monessen</t>
  </si>
  <si>
    <t>PA-Philadelphia</t>
  </si>
  <si>
    <t>PA-Pittsburgh</t>
  </si>
  <si>
    <t>PA-Reading</t>
  </si>
  <si>
    <t>PA-Sharon</t>
  </si>
  <si>
    <t>PA-State College</t>
  </si>
  <si>
    <t>PA-Williamsport</t>
  </si>
  <si>
    <t>RI-DOT</t>
  </si>
  <si>
    <t>TN-Chattanooga</t>
  </si>
  <si>
    <t>TN-DOT</t>
  </si>
  <si>
    <t>TN-Knoxville</t>
  </si>
  <si>
    <t>TN-Memphis</t>
  </si>
  <si>
    <t>TX-Austin</t>
  </si>
  <si>
    <t>TX-Denton</t>
  </si>
  <si>
    <t>TX-DOT</t>
  </si>
  <si>
    <t>TX-El Paso</t>
  </si>
  <si>
    <t>TX-Galveston</t>
  </si>
  <si>
    <t>UT-Salt Lake City</t>
  </si>
  <si>
    <t>VA-Charlottesville</t>
  </si>
  <si>
    <t>VA-Danville</t>
  </si>
  <si>
    <t>VA-DOT</t>
  </si>
  <si>
    <t>VA-Lynchburg</t>
  </si>
  <si>
    <t>VA-Petersburg</t>
  </si>
  <si>
    <t xml:space="preserve">VA-Richmond </t>
  </si>
  <si>
    <t>VA-Roanoke</t>
  </si>
  <si>
    <t>VA-Wash, DC-MD-VA</t>
  </si>
  <si>
    <t>VI-DOT</t>
  </si>
  <si>
    <t>VT-Burlington</t>
  </si>
  <si>
    <t>VT-DOT</t>
  </si>
  <si>
    <t>WA-DOT</t>
  </si>
  <si>
    <t>WA-Olympia</t>
  </si>
  <si>
    <t>WA-Seattle</t>
  </si>
  <si>
    <t>WA-Spokane</t>
  </si>
  <si>
    <t>WA-Tacoma</t>
  </si>
  <si>
    <t>WI-DOT</t>
  </si>
  <si>
    <t>WI-Milwaukee</t>
  </si>
  <si>
    <t xml:space="preserve"> </t>
  </si>
  <si>
    <t>% of TOTAL</t>
  </si>
  <si>
    <t>FY 98</t>
  </si>
  <si>
    <t>CA-Seaside-Monterey</t>
  </si>
  <si>
    <t>CO-Colorado Springs</t>
  </si>
  <si>
    <t>DC-Washington</t>
  </si>
  <si>
    <t>GA-Augusta</t>
  </si>
  <si>
    <t>IA-Iowa City</t>
  </si>
  <si>
    <t>MA-Lowell</t>
  </si>
  <si>
    <t>MA-Taunton</t>
  </si>
  <si>
    <t>MI-Port Huron</t>
  </si>
  <si>
    <t>MO-Springfield</t>
  </si>
  <si>
    <t>NV-Las Vegas</t>
  </si>
  <si>
    <t>NY-Elmira</t>
  </si>
  <si>
    <t>OH-Lorain-Elyria</t>
  </si>
  <si>
    <t>SC-Charleston</t>
  </si>
  <si>
    <t>TN-Johnson City</t>
  </si>
  <si>
    <t>WA-Bremerton</t>
  </si>
  <si>
    <t>FY 99</t>
  </si>
  <si>
    <t>MO-Kansas City</t>
  </si>
  <si>
    <t>PR-San Juan</t>
  </si>
  <si>
    <t>TN-Nashville</t>
  </si>
  <si>
    <t>TX-Houston</t>
  </si>
  <si>
    <t>FY 00</t>
  </si>
  <si>
    <t>CO-Fort Collins</t>
  </si>
  <si>
    <t>NY-Buffalo-Niagara Falls</t>
  </si>
  <si>
    <t>NY-Utica-Rome</t>
  </si>
  <si>
    <t>MN-Minneapolis-St. Paul</t>
  </si>
  <si>
    <t>NM-Las Cruces</t>
  </si>
  <si>
    <t>WI-Kenosha</t>
  </si>
  <si>
    <t>CA-Riverside-San Brndno</t>
  </si>
  <si>
    <t>CA-San Luis Obispo</t>
  </si>
  <si>
    <t>CA-Visalia</t>
  </si>
  <si>
    <t>MI-Holland</t>
  </si>
  <si>
    <t>NH-Nashua</t>
  </si>
  <si>
    <t>OH-Springfield</t>
  </si>
  <si>
    <t>WI-Beloit</t>
  </si>
  <si>
    <t>CA-Merced</t>
  </si>
  <si>
    <t>MA-Pittsfield</t>
  </si>
  <si>
    <t>MN-Fargo-Moorhead</t>
  </si>
  <si>
    <t>MN-St. Cloud</t>
  </si>
  <si>
    <t>NH-Manchester</t>
  </si>
  <si>
    <t>OH-Lima</t>
  </si>
  <si>
    <t>WA-Bellingham</t>
  </si>
  <si>
    <t>CA-Lompoc</t>
  </si>
  <si>
    <t>CA-Vacaville</t>
  </si>
  <si>
    <t>IA-Cedar Rapids</t>
  </si>
  <si>
    <t>LA-Alexandria</t>
  </si>
  <si>
    <t>MA-New Bedford</t>
  </si>
  <si>
    <t>MI-Battle Creek</t>
  </si>
  <si>
    <t>OR-Medford</t>
  </si>
  <si>
    <t>NC-Greensboro</t>
  </si>
  <si>
    <t>NC-Winston-Salem</t>
  </si>
  <si>
    <t>NY-Binghamton</t>
  </si>
  <si>
    <t>%</t>
  </si>
  <si>
    <t>WI-Madison</t>
  </si>
  <si>
    <t>FL-Tampa-St.Pete-Clrwtr</t>
  </si>
  <si>
    <t>CA-Lancaster-Palmdale</t>
  </si>
  <si>
    <t>CA-Oxnard-Ventura</t>
  </si>
  <si>
    <t>CA-San Francisco-Oklnd</t>
  </si>
  <si>
    <t>CT-Hartford-Middletown</t>
  </si>
  <si>
    <t>CT-New Haven-Meriden</t>
  </si>
  <si>
    <t>FL-Ft Laud-Hlywd-PompBch</t>
  </si>
  <si>
    <t>FL-Miami-Hialeah</t>
  </si>
  <si>
    <t>FL-Sarasota-Bradenton</t>
  </si>
  <si>
    <t>FL-W Plm Bch-BR-Dlry</t>
  </si>
  <si>
    <t>IA-Waterloo-Cedar Falls</t>
  </si>
  <si>
    <t>IN-South Bend-Mishawaka</t>
  </si>
  <si>
    <t>KY-Huntington-Ashland</t>
  </si>
  <si>
    <t>MA-Fitchburg-Leominster</t>
  </si>
  <si>
    <t>MA-Lawrence-Haverhill</t>
  </si>
  <si>
    <t>NY-Albany-Schnctdy-Troy</t>
  </si>
  <si>
    <t>OH-Youngstown-Warren</t>
  </si>
  <si>
    <t>OR-Eugene-Springfield</t>
  </si>
  <si>
    <t>PA-Allentown-Bthlm-Easton</t>
  </si>
  <si>
    <t>PA-Scranton-Wilkes Barre</t>
  </si>
  <si>
    <t>TX-Dallas-Fort Worth</t>
  </si>
  <si>
    <t>WA-Portland-Vancouver</t>
  </si>
  <si>
    <t>WA-Richland-Knnwck-Psco</t>
  </si>
  <si>
    <t>OR-Portland-Vancouver</t>
  </si>
  <si>
    <t>WV-Huntington-Ashland</t>
  </si>
  <si>
    <t>AZ-DOT</t>
  </si>
  <si>
    <t>CO-Boulder</t>
  </si>
  <si>
    <t>FL-DOT</t>
  </si>
  <si>
    <t>MT-Great Falls</t>
  </si>
  <si>
    <t>NC-Charlotte</t>
  </si>
  <si>
    <t>NC-Raleigh</t>
  </si>
  <si>
    <t>UT-Ogden</t>
  </si>
  <si>
    <t>NY-New York City</t>
  </si>
  <si>
    <t>UT-Provo-Orem</t>
  </si>
  <si>
    <t>CHECK</t>
  </si>
  <si>
    <t>NC-Chapel Hill / Durham</t>
  </si>
  <si>
    <t>FY 01</t>
  </si>
  <si>
    <t>NH-Prtsmth-Dover-Rchstr</t>
  </si>
  <si>
    <t>CA-Antioch-Pittsburg</t>
  </si>
  <si>
    <t>CA-Yuba City</t>
  </si>
  <si>
    <t>CT-Stamford</t>
  </si>
  <si>
    <t>IL-Springfield</t>
  </si>
  <si>
    <t>MD-DOT</t>
  </si>
  <si>
    <t>MT-DOT</t>
  </si>
  <si>
    <t>OH-Steubenville-Weir</t>
  </si>
  <si>
    <t>RI-Providence-Pawtucket</t>
  </si>
  <si>
    <t>WI-Sheboygan</t>
  </si>
  <si>
    <t>WI-Racine</t>
  </si>
  <si>
    <t>AZ-Flagstaff</t>
  </si>
  <si>
    <t>CA-Lodi</t>
  </si>
  <si>
    <t>GA-Savannah</t>
  </si>
  <si>
    <t>MS-Biloxi-Gulfport</t>
  </si>
  <si>
    <t>NE-Lincoln</t>
  </si>
  <si>
    <t>TN-Clarksville</t>
  </si>
  <si>
    <t>FLEXIBLE FUND OBLIGATIONS BY AREA, WITH STATE TOTALS</t>
  </si>
  <si>
    <t>FY 02</t>
  </si>
  <si>
    <t>AZ-Yuma</t>
  </si>
  <si>
    <t>IN-Elkhart-Goshen</t>
  </si>
  <si>
    <t>MO-DOT</t>
  </si>
  <si>
    <t>MO-St. Joseph</t>
  </si>
  <si>
    <t>PA-York</t>
  </si>
  <si>
    <t>TN-Kingsport</t>
  </si>
  <si>
    <t>AL + 2 UZAs</t>
  </si>
  <si>
    <t>AZ + 4 UZAs</t>
  </si>
  <si>
    <t>CO + 4 UZAs</t>
  </si>
  <si>
    <t>DC (1 UZA)</t>
  </si>
  <si>
    <t>HI</t>
  </si>
  <si>
    <t>ID + 2 UZAs</t>
  </si>
  <si>
    <t>IL + 3 UZAs</t>
  </si>
  <si>
    <t>MD + 1 UZA</t>
  </si>
  <si>
    <t>MI + 12 UZAs</t>
  </si>
  <si>
    <t>MT + 2 UZAs</t>
  </si>
  <si>
    <t>NH + 3 UZAs</t>
  </si>
  <si>
    <t>NJ + 1 UZA</t>
  </si>
  <si>
    <t>NM + 2 UZAs</t>
  </si>
  <si>
    <t>OR + 4 UZAs</t>
  </si>
  <si>
    <t>PA + 15 UZAs</t>
  </si>
  <si>
    <t>RI + 1 UZA</t>
  </si>
  <si>
    <t>TN + 7 UZAs</t>
  </si>
  <si>
    <t>VI</t>
  </si>
  <si>
    <t>VT + 1 UZA</t>
  </si>
  <si>
    <t>WA + 8 UZAs</t>
  </si>
  <si>
    <t xml:space="preserve">TOTAL </t>
  </si>
  <si>
    <t>(Fiscal Years 1992 - 2004)</t>
  </si>
  <si>
    <t>FY 03</t>
  </si>
  <si>
    <t>FY 04</t>
  </si>
  <si>
    <t>CA-Tracy</t>
  </si>
  <si>
    <t>CA-Victorville-Hesperia-AV</t>
  </si>
  <si>
    <t>FL-Cape Coral</t>
  </si>
  <si>
    <t>FL-Daytona Bch-Prt Ornge</t>
  </si>
  <si>
    <t>GA-Athens-Clarke County</t>
  </si>
  <si>
    <t>MA-Barnstable Town</t>
  </si>
  <si>
    <t>MA + 12 UZAs</t>
  </si>
  <si>
    <t>ME-Dover-Rchstr, NH-ME</t>
  </si>
  <si>
    <t>MN-Grand Forks, ND-MN</t>
  </si>
  <si>
    <t>NY + 11 UZAs</t>
  </si>
  <si>
    <t>NY-Kingston</t>
  </si>
  <si>
    <t>OH-Middletown</t>
  </si>
  <si>
    <t>OH + 14 UZAs</t>
  </si>
  <si>
    <t>OH-Newark</t>
  </si>
  <si>
    <t>PR-Puerto Rico</t>
  </si>
  <si>
    <t>PR + 1 UZA</t>
  </si>
  <si>
    <t>TX-Abilene</t>
  </si>
  <si>
    <t>TX-Brownsville</t>
  </si>
  <si>
    <t>TX-College Station</t>
  </si>
  <si>
    <t>TX-Laredo</t>
  </si>
  <si>
    <t>TX-Longview</t>
  </si>
  <si>
    <t>TX-Lubbock</t>
  </si>
  <si>
    <t>TX-Port Authur</t>
  </si>
  <si>
    <t>TX-San Angelo</t>
  </si>
  <si>
    <t>TX-Sherman</t>
  </si>
  <si>
    <t>TX-Texas City</t>
  </si>
  <si>
    <t>TX-Tyler</t>
  </si>
  <si>
    <t>TX-Waco</t>
  </si>
  <si>
    <t>VA-Blacksburg</t>
  </si>
  <si>
    <t>VA-Virginia Beach</t>
  </si>
  <si>
    <t>VA-Fredericksburg</t>
  </si>
  <si>
    <t>AK + 2 UZAs</t>
  </si>
  <si>
    <t>AK-Fairbanks</t>
  </si>
  <si>
    <t>CA-Concord</t>
  </si>
  <si>
    <t>CA-Santa Clarita</t>
  </si>
  <si>
    <t>CA + 35 UZAs</t>
  </si>
  <si>
    <t>CA-Vallejo</t>
  </si>
  <si>
    <t>CT-Bridgeport-Stamford</t>
  </si>
  <si>
    <t>FL + 9 UZAs</t>
  </si>
  <si>
    <t>FL-Gainesville</t>
  </si>
  <si>
    <t>GA + 4 UZAs</t>
  </si>
  <si>
    <t>IA + 6 UZAs</t>
  </si>
  <si>
    <t>IA-Davenport</t>
  </si>
  <si>
    <t>KS-Kansas City</t>
  </si>
  <si>
    <t>MA-Providence, RI-MA</t>
  </si>
  <si>
    <t>ME + 3 UZAs</t>
  </si>
  <si>
    <t>ME-Lewiston</t>
  </si>
  <si>
    <t>MO + 5 UZAs</t>
  </si>
  <si>
    <t>MO-Columbia</t>
  </si>
  <si>
    <t>SC + 1 UZA</t>
  </si>
  <si>
    <t>SC-DOT</t>
  </si>
  <si>
    <t>TX-Killeen</t>
  </si>
  <si>
    <t>TX + 20 UZAs</t>
  </si>
  <si>
    <t>TX-Temple</t>
  </si>
  <si>
    <t>VA-Harrisonburg</t>
  </si>
  <si>
    <t>VA + 12 UZAs</t>
  </si>
  <si>
    <t>VA-Winchester</t>
  </si>
  <si>
    <t>WI + 7 UZAs</t>
  </si>
  <si>
    <t>WI-Appleton</t>
  </si>
  <si>
    <t>CT + 5 UZAs</t>
  </si>
  <si>
    <t>WY-DOT</t>
  </si>
  <si>
    <t>WY</t>
  </si>
  <si>
    <t>(AR) 1 UZA</t>
  </si>
  <si>
    <t>(IN) 4 UZAs</t>
  </si>
  <si>
    <t>(KS) 1 UZA</t>
  </si>
  <si>
    <t>(KY) 2 UZAs</t>
  </si>
  <si>
    <t>(LA) 4 UZAs</t>
  </si>
  <si>
    <t>MN + 6 UZAs</t>
  </si>
  <si>
    <t>(MS) 1 UZA</t>
  </si>
  <si>
    <t>(NC) 5 UZAs</t>
  </si>
  <si>
    <t>(NE) 2 UZAs</t>
  </si>
  <si>
    <t>(NV) 2 UZAs</t>
  </si>
  <si>
    <t>(OK) 2 UZAs</t>
  </si>
  <si>
    <t>(UT) 3 UZAs</t>
  </si>
  <si>
    <t>(WV) 1 UZA</t>
  </si>
  <si>
    <t>FY 92-97</t>
  </si>
  <si>
    <t xml:space="preserve">  (37 DOTs &amp; 247 UZAs)</t>
  </si>
  <si>
    <t>TABLE 95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</si>
</sst>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dd\-mmm\-yy_)"/>
  </numFmts>
  <fonts count="12">
    <font>
      <sz val="12"/>
      <name val="Arial"/>
      <family val="0"/>
    </font>
    <font>
      <sz val="10"/>
      <name val="Arial"/>
      <family val="0"/>
    </font>
    <font>
      <sz val="12"/>
      <color indexed="14"/>
      <name val="Arial"/>
      <family val="0"/>
    </font>
    <font>
      <b/>
      <sz val="12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3" fillId="0" borderId="12" xfId="0" applyNumberFormat="1" applyFont="1" applyFill="1" applyBorder="1" applyAlignment="1" applyProtection="1">
      <alignment/>
      <protection/>
    </xf>
    <xf numFmtId="37" fontId="3" fillId="0" borderId="13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37" fontId="6" fillId="0" borderId="13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37" fontId="6" fillId="0" borderId="17" xfId="0" applyNumberFormat="1" applyFont="1" applyFill="1" applyBorder="1" applyAlignment="1" applyProtection="1">
      <alignment/>
      <protection/>
    </xf>
    <xf numFmtId="37" fontId="6" fillId="0" borderId="16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37" fontId="6" fillId="0" borderId="20" xfId="0" applyNumberFormat="1" applyFont="1" applyFill="1" applyBorder="1" applyAlignment="1" applyProtection="1">
      <alignment/>
      <protection/>
    </xf>
    <xf numFmtId="37" fontId="6" fillId="0" borderId="11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37" fontId="6" fillId="0" borderId="4" xfId="0" applyNumberFormat="1" applyFont="1" applyFill="1" applyBorder="1" applyAlignment="1" applyProtection="1">
      <alignment/>
      <protection/>
    </xf>
    <xf numFmtId="37" fontId="6" fillId="0" borderId="2" xfId="0" applyNumberFormat="1" applyFont="1" applyFill="1" applyBorder="1" applyAlignment="1" applyProtection="1">
      <alignment/>
      <protection/>
    </xf>
    <xf numFmtId="0" fontId="3" fillId="0" borderId="6" xfId="0" applyFont="1" applyFill="1" applyBorder="1" applyAlignment="1">
      <alignment/>
    </xf>
    <xf numFmtId="37" fontId="6" fillId="0" borderId="7" xfId="0" applyNumberFormat="1" applyFont="1" applyFill="1" applyBorder="1" applyAlignment="1" applyProtection="1">
      <alignment/>
      <protection/>
    </xf>
    <xf numFmtId="37" fontId="6" fillId="0" borderId="8" xfId="0" applyNumberFormat="1" applyFont="1" applyFill="1" applyBorder="1" applyAlignment="1" applyProtection="1">
      <alignment/>
      <protection/>
    </xf>
    <xf numFmtId="0" fontId="3" fillId="0" borderId="6" xfId="0" applyFont="1" applyFill="1" applyBorder="1" applyAlignment="1" applyProtection="1">
      <alignment/>
      <protection/>
    </xf>
    <xf numFmtId="39" fontId="3" fillId="0" borderId="7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37" fontId="6" fillId="0" borderId="0" xfId="0" applyNumberFormat="1" applyFont="1" applyFill="1" applyBorder="1" applyAlignment="1" applyProtection="1">
      <alignment/>
      <protection/>
    </xf>
    <xf numFmtId="37" fontId="6" fillId="0" borderId="3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/>
      <protection/>
    </xf>
    <xf numFmtId="39" fontId="3" fillId="0" borderId="9" xfId="0" applyNumberFormat="1" applyFont="1" applyFill="1" applyBorder="1" applyAlignment="1" applyProtection="1">
      <alignment/>
      <protection/>
    </xf>
    <xf numFmtId="37" fontId="6" fillId="0" borderId="21" xfId="0" applyNumberFormat="1" applyFont="1" applyFill="1" applyBorder="1" applyAlignment="1" applyProtection="1">
      <alignment/>
      <protection/>
    </xf>
    <xf numFmtId="37" fontId="6" fillId="0" borderId="22" xfId="0" applyNumberFormat="1" applyFont="1" applyFill="1" applyBorder="1" applyAlignment="1" applyProtection="1">
      <alignment/>
      <protection/>
    </xf>
    <xf numFmtId="37" fontId="6" fillId="0" borderId="23" xfId="0" applyNumberFormat="1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/>
      <protection/>
    </xf>
    <xf numFmtId="37" fontId="6" fillId="0" borderId="24" xfId="0" applyNumberFormat="1" applyFont="1" applyFill="1" applyBorder="1" applyAlignment="1" applyProtection="1">
      <alignment/>
      <protection/>
    </xf>
    <xf numFmtId="37" fontId="6" fillId="0" borderId="25" xfId="0" applyNumberFormat="1" applyFont="1" applyFill="1" applyBorder="1" applyAlignment="1" applyProtection="1">
      <alignment/>
      <protection/>
    </xf>
    <xf numFmtId="37" fontId="6" fillId="0" borderId="26" xfId="0" applyNumberFormat="1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/>
      <protection/>
    </xf>
    <xf numFmtId="164" fontId="3" fillId="0" borderId="27" xfId="0" applyNumberFormat="1" applyFont="1" applyFill="1" applyBorder="1" applyAlignment="1" applyProtection="1">
      <alignment/>
      <protection/>
    </xf>
    <xf numFmtId="164" fontId="3" fillId="0" borderId="29" xfId="0" applyNumberFormat="1" applyFont="1" applyFill="1" applyBorder="1" applyAlignment="1" applyProtection="1">
      <alignment/>
      <protection/>
    </xf>
    <xf numFmtId="164" fontId="3" fillId="0" borderId="5" xfId="0" applyNumberFormat="1" applyFont="1" applyFill="1" applyBorder="1" applyAlignment="1" applyProtection="1">
      <alignment/>
      <protection/>
    </xf>
    <xf numFmtId="164" fontId="3" fillId="0" borderId="28" xfId="0" applyNumberFormat="1" applyFont="1" applyFill="1" applyBorder="1" applyAlignment="1" applyProtection="1">
      <alignment/>
      <protection/>
    </xf>
    <xf numFmtId="37" fontId="6" fillId="0" borderId="30" xfId="0" applyNumberFormat="1" applyFont="1" applyFill="1" applyBorder="1" applyAlignment="1" applyProtection="1">
      <alignment/>
      <protection/>
    </xf>
    <xf numFmtId="39" fontId="3" fillId="0" borderId="26" xfId="0" applyNumberFormat="1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6" fillId="0" borderId="24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8" fillId="2" borderId="0" xfId="0" applyFont="1" applyFill="1" applyBorder="1" applyAlignment="1">
      <alignment/>
    </xf>
    <xf numFmtId="37" fontId="0" fillId="0" borderId="0" xfId="0" applyNumberFormat="1" applyBorder="1" applyAlignment="1">
      <alignment/>
    </xf>
    <xf numFmtId="0" fontId="9" fillId="0" borderId="14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416"/>
  <sheetViews>
    <sheetView tabSelected="1" defaultGridColor="0" zoomScale="75" zoomScaleNormal="75" zoomScaleSheetLayoutView="50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N2"/>
    </sheetView>
  </sheetViews>
  <sheetFormatPr defaultColWidth="9.77734375" defaultRowHeight="15"/>
  <cols>
    <col min="1" max="1" width="22.77734375" style="0" customWidth="1"/>
    <col min="2" max="2" width="0.88671875" style="0" customWidth="1"/>
    <col min="3" max="3" width="16.99609375" style="0" customWidth="1"/>
    <col min="4" max="4" width="16.10546875" style="0" customWidth="1"/>
    <col min="5" max="5" width="14.77734375" style="0" customWidth="1"/>
    <col min="6" max="7" width="17.4453125" style="0" bestFit="1" customWidth="1"/>
    <col min="8" max="8" width="16.99609375" style="0" bestFit="1" customWidth="1"/>
    <col min="9" max="9" width="16.3359375" style="0" bestFit="1" customWidth="1"/>
    <col min="10" max="10" width="14.77734375" style="0" customWidth="1"/>
    <col min="11" max="11" width="1.77734375" style="0" customWidth="1"/>
    <col min="12" max="12" width="18.10546875" style="0" bestFit="1" customWidth="1"/>
    <col min="13" max="13" width="6.77734375" style="0" customWidth="1"/>
    <col min="14" max="14" width="0.671875" style="0" customWidth="1"/>
    <col min="15" max="16" width="11.4453125" style="0" customWidth="1"/>
    <col min="17" max="18" width="9.77734375" style="1" customWidth="1"/>
    <col min="19" max="19" width="15.5546875" style="1" customWidth="1"/>
    <col min="20" max="16384" width="9.77734375" style="1" customWidth="1"/>
  </cols>
  <sheetData>
    <row r="1" spans="1:16" ht="21.75" customHeight="1">
      <c r="A1" s="78" t="s">
        <v>361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  <c r="P1" s="1"/>
    </row>
    <row r="2" spans="1:16" ht="21.75" customHeight="1">
      <c r="A2" s="78" t="s">
        <v>252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"/>
      <c r="P2" s="1"/>
    </row>
    <row r="3" spans="1:16" ht="21.75" customHeight="1">
      <c r="A3" s="79" t="s">
        <v>281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1"/>
      <c r="P3" s="1"/>
    </row>
    <row r="4" spans="1:16" ht="15.75" thickBo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1"/>
      <c r="P4" s="1"/>
    </row>
    <row r="5" spans="1:16" ht="24" customHeight="1" thickBot="1">
      <c r="A5" s="3" t="s">
        <v>0</v>
      </c>
      <c r="B5" s="4"/>
      <c r="C5" s="6" t="s">
        <v>359</v>
      </c>
      <c r="D5" s="6" t="s">
        <v>144</v>
      </c>
      <c r="E5" s="7" t="s">
        <v>160</v>
      </c>
      <c r="F5" s="68" t="s">
        <v>165</v>
      </c>
      <c r="G5" s="68" t="s">
        <v>234</v>
      </c>
      <c r="H5" s="68" t="s">
        <v>253</v>
      </c>
      <c r="I5" s="68" t="s">
        <v>282</v>
      </c>
      <c r="J5" s="68" t="s">
        <v>283</v>
      </c>
      <c r="K5" s="8"/>
      <c r="L5" s="5" t="s">
        <v>1</v>
      </c>
      <c r="M5" s="5"/>
      <c r="N5" s="9"/>
      <c r="O5" s="1"/>
      <c r="P5" s="1"/>
    </row>
    <row r="6" spans="1:16" ht="13.5" customHeight="1">
      <c r="A6" s="3"/>
      <c r="B6" s="4"/>
      <c r="C6" s="4"/>
      <c r="D6" s="4"/>
      <c r="E6" s="10"/>
      <c r="F6" s="69"/>
      <c r="G6" s="69"/>
      <c r="H6" s="69"/>
      <c r="I6" s="4"/>
      <c r="J6" s="10"/>
      <c r="K6" s="8"/>
      <c r="L6" s="54" t="s">
        <v>2</v>
      </c>
      <c r="M6" s="54" t="s">
        <v>196</v>
      </c>
      <c r="N6" s="59"/>
      <c r="O6" s="1"/>
      <c r="P6" s="1"/>
    </row>
    <row r="7" spans="1:16" ht="16.5" thickBot="1">
      <c r="A7" s="11"/>
      <c r="B7" s="12"/>
      <c r="C7" s="14"/>
      <c r="D7" s="14"/>
      <c r="E7" s="15"/>
      <c r="F7" s="70"/>
      <c r="G7" s="70"/>
      <c r="H7" s="70"/>
      <c r="I7" s="14"/>
      <c r="J7" s="15"/>
      <c r="K7" s="13"/>
      <c r="L7" s="55"/>
      <c r="M7" s="55"/>
      <c r="N7" s="60"/>
      <c r="O7" s="2"/>
      <c r="P7" s="2"/>
    </row>
    <row r="8" spans="1:16" ht="12.75" customHeight="1">
      <c r="A8" s="16"/>
      <c r="B8" s="17"/>
      <c r="C8" s="21"/>
      <c r="D8" s="21"/>
      <c r="E8" s="22"/>
      <c r="F8" s="53"/>
      <c r="G8" s="53"/>
      <c r="H8" s="53"/>
      <c r="I8" s="53"/>
      <c r="J8" s="53"/>
      <c r="K8" s="20"/>
      <c r="L8" s="46"/>
      <c r="M8" s="46"/>
      <c r="N8" s="61"/>
      <c r="O8" s="2"/>
      <c r="P8" s="2"/>
    </row>
    <row r="9" spans="1:16" ht="12.75" customHeight="1">
      <c r="A9" s="23" t="s">
        <v>3</v>
      </c>
      <c r="B9" s="24"/>
      <c r="C9" s="25">
        <v>9729282</v>
      </c>
      <c r="D9" s="25">
        <v>0</v>
      </c>
      <c r="E9" s="46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19"/>
      <c r="L9" s="46">
        <f>SUM(C9:K9)</f>
        <v>9729282</v>
      </c>
      <c r="M9" s="72">
        <f>(L9/L$12)*100</f>
        <v>24.159414437862427</v>
      </c>
      <c r="N9" s="62"/>
      <c r="O9" s="2"/>
      <c r="P9" s="2"/>
    </row>
    <row r="10" spans="1:16" ht="12.75" customHeight="1">
      <c r="A10" s="23" t="s">
        <v>4</v>
      </c>
      <c r="B10" s="24"/>
      <c r="C10" s="25">
        <v>3912860</v>
      </c>
      <c r="D10" s="25">
        <f>277400+1086200</f>
        <v>1363600</v>
      </c>
      <c r="E10" s="46">
        <v>2912425</v>
      </c>
      <c r="F10" s="51">
        <v>227425</v>
      </c>
      <c r="G10" s="51">
        <v>2531707</v>
      </c>
      <c r="H10" s="51">
        <v>2379190</v>
      </c>
      <c r="I10" s="51">
        <v>498024</v>
      </c>
      <c r="J10" s="51">
        <v>15999174</v>
      </c>
      <c r="K10" s="19"/>
      <c r="L10" s="46">
        <f>SUM(C10:K10)</f>
        <v>29824405</v>
      </c>
      <c r="M10" s="72">
        <f>(L10/L$12)*100</f>
        <v>74.05892446715558</v>
      </c>
      <c r="N10" s="62"/>
      <c r="O10" s="2"/>
      <c r="P10" s="2"/>
    </row>
    <row r="11" spans="1:16" ht="12.75" customHeight="1">
      <c r="A11" s="23" t="s">
        <v>316</v>
      </c>
      <c r="B11" s="24"/>
      <c r="C11" s="25"/>
      <c r="D11" s="25">
        <v>0</v>
      </c>
      <c r="E11" s="46">
        <v>0</v>
      </c>
      <c r="F11" s="51">
        <v>0</v>
      </c>
      <c r="G11" s="51">
        <v>0</v>
      </c>
      <c r="H11" s="51">
        <v>0</v>
      </c>
      <c r="I11" s="51">
        <v>0</v>
      </c>
      <c r="J11" s="51">
        <v>717496</v>
      </c>
      <c r="K11" s="19"/>
      <c r="L11" s="46">
        <f>SUM(C11:K11)</f>
        <v>717496</v>
      </c>
      <c r="M11" s="72">
        <f>(L11/L$12)*100</f>
        <v>1.7816610949819875</v>
      </c>
      <c r="N11" s="62"/>
      <c r="O11" s="2"/>
      <c r="P11" s="2"/>
    </row>
    <row r="12" spans="1:16" ht="12.75" customHeight="1">
      <c r="A12" s="26" t="s">
        <v>315</v>
      </c>
      <c r="B12" s="27"/>
      <c r="C12" s="28">
        <v>13642142</v>
      </c>
      <c r="D12" s="28">
        <f aca="true" t="shared" si="0" ref="D12:J12">SUM(D8:D11)</f>
        <v>1363600</v>
      </c>
      <c r="E12" s="28">
        <f t="shared" si="0"/>
        <v>2912425</v>
      </c>
      <c r="F12" s="50">
        <f t="shared" si="0"/>
        <v>227425</v>
      </c>
      <c r="G12" s="50">
        <f t="shared" si="0"/>
        <v>2531707</v>
      </c>
      <c r="H12" s="50">
        <f t="shared" si="0"/>
        <v>2379190</v>
      </c>
      <c r="I12" s="50">
        <f t="shared" si="0"/>
        <v>498024</v>
      </c>
      <c r="J12" s="50">
        <f t="shared" si="0"/>
        <v>16716670</v>
      </c>
      <c r="K12" s="28"/>
      <c r="L12" s="56">
        <f>SUM(L8:L11)</f>
        <v>40271183</v>
      </c>
      <c r="M12" s="73">
        <f>(L12/(L$403)*100)</f>
        <v>0.39039913059126224</v>
      </c>
      <c r="N12" s="63"/>
      <c r="O12" s="2"/>
      <c r="P12" s="2"/>
    </row>
    <row r="13" spans="1:16" ht="12.75" customHeight="1">
      <c r="A13" s="16"/>
      <c r="B13" s="17"/>
      <c r="C13" s="25"/>
      <c r="D13" s="25"/>
      <c r="E13" s="51"/>
      <c r="F13" s="51"/>
      <c r="G13" s="51"/>
      <c r="H13" s="51"/>
      <c r="I13" s="51"/>
      <c r="J13" s="51"/>
      <c r="K13" s="19"/>
      <c r="L13" s="46"/>
      <c r="M13" s="46"/>
      <c r="N13" s="62"/>
      <c r="O13" s="2"/>
      <c r="P13" s="2"/>
    </row>
    <row r="14" spans="1:16" ht="12.75" customHeight="1">
      <c r="A14" s="23" t="s">
        <v>5</v>
      </c>
      <c r="B14" s="24"/>
      <c r="C14" s="25">
        <v>6189968</v>
      </c>
      <c r="D14" s="25">
        <v>120000</v>
      </c>
      <c r="E14" s="51">
        <v>0</v>
      </c>
      <c r="F14" s="51">
        <v>0</v>
      </c>
      <c r="G14" s="51">
        <v>0</v>
      </c>
      <c r="H14" s="51">
        <v>1113442</v>
      </c>
      <c r="I14" s="51">
        <v>826022</v>
      </c>
      <c r="J14" s="51">
        <v>0</v>
      </c>
      <c r="K14" s="19"/>
      <c r="L14" s="46">
        <f>SUM(C14:K14)</f>
        <v>8249432</v>
      </c>
      <c r="M14" s="72">
        <f>(L14/L$17)*100</f>
        <v>32.00779352255781</v>
      </c>
      <c r="N14" s="62"/>
      <c r="O14" s="2"/>
      <c r="P14" s="2"/>
    </row>
    <row r="15" spans="1:16" ht="12.75" customHeight="1">
      <c r="A15" s="23" t="s">
        <v>6</v>
      </c>
      <c r="B15" s="24"/>
      <c r="C15" s="25">
        <v>1941990</v>
      </c>
      <c r="D15" s="25">
        <v>1600000</v>
      </c>
      <c r="E15" s="51">
        <v>0</v>
      </c>
      <c r="F15" s="51">
        <v>2500000</v>
      </c>
      <c r="G15" s="51">
        <v>5200000</v>
      </c>
      <c r="H15" s="51">
        <v>2600000</v>
      </c>
      <c r="I15" s="51">
        <v>2600000</v>
      </c>
      <c r="J15" s="51">
        <v>0</v>
      </c>
      <c r="K15" s="19"/>
      <c r="L15" s="46">
        <f>SUM(C15:K15)</f>
        <v>16441990</v>
      </c>
      <c r="M15" s="72">
        <f>(L15/L$17)*100</f>
        <v>63.794915943298925</v>
      </c>
      <c r="N15" s="62"/>
      <c r="O15" s="2"/>
      <c r="P15" s="2"/>
    </row>
    <row r="16" spans="1:16" ht="12.75" customHeight="1">
      <c r="A16" s="23" t="s">
        <v>7</v>
      </c>
      <c r="B16" s="24"/>
      <c r="C16" s="25">
        <v>1081776</v>
      </c>
      <c r="D16" s="25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19"/>
      <c r="L16" s="46">
        <f>SUM(C16:K16)</f>
        <v>1081776</v>
      </c>
      <c r="M16" s="72">
        <f>(L16/L$17)*100</f>
        <v>4.19729053414326</v>
      </c>
      <c r="N16" s="62"/>
      <c r="O16" s="2"/>
      <c r="P16" s="2"/>
    </row>
    <row r="17" spans="1:16" ht="12.75" customHeight="1">
      <c r="A17" s="26" t="s">
        <v>260</v>
      </c>
      <c r="B17" s="27"/>
      <c r="C17" s="28">
        <v>9213734</v>
      </c>
      <c r="D17" s="28">
        <f aca="true" t="shared" si="1" ref="D17:J17">SUM(D13:D16)</f>
        <v>1720000</v>
      </c>
      <c r="E17" s="28">
        <f t="shared" si="1"/>
        <v>0</v>
      </c>
      <c r="F17" s="50">
        <f t="shared" si="1"/>
        <v>2500000</v>
      </c>
      <c r="G17" s="50">
        <f t="shared" si="1"/>
        <v>5200000</v>
      </c>
      <c r="H17" s="50">
        <f t="shared" si="1"/>
        <v>3713442</v>
      </c>
      <c r="I17" s="50">
        <f t="shared" si="1"/>
        <v>3426022</v>
      </c>
      <c r="J17" s="50">
        <f t="shared" si="1"/>
        <v>0</v>
      </c>
      <c r="K17" s="28"/>
      <c r="L17" s="56">
        <f>SUM(L13:L16)</f>
        <v>25773198</v>
      </c>
      <c r="M17" s="73">
        <f>(L17/(L$403)*100)</f>
        <v>0.24985196217743236</v>
      </c>
      <c r="N17" s="63"/>
      <c r="O17" s="2"/>
      <c r="P17" s="2"/>
    </row>
    <row r="18" spans="1:16" ht="12.75" customHeight="1">
      <c r="A18" s="16"/>
      <c r="B18" s="17"/>
      <c r="C18" s="25"/>
      <c r="D18" s="25"/>
      <c r="E18" s="51"/>
      <c r="F18" s="51"/>
      <c r="G18" s="51"/>
      <c r="H18" s="51"/>
      <c r="I18" s="51"/>
      <c r="J18" s="51"/>
      <c r="K18" s="19"/>
      <c r="L18" s="46"/>
      <c r="M18" s="46"/>
      <c r="N18" s="62"/>
      <c r="O18" s="2"/>
      <c r="P18" s="2"/>
    </row>
    <row r="19" spans="1:16" ht="12.75" customHeight="1">
      <c r="A19" s="23" t="s">
        <v>8</v>
      </c>
      <c r="B19" s="24"/>
      <c r="C19" s="25">
        <v>3495000</v>
      </c>
      <c r="D19" s="25">
        <v>0</v>
      </c>
      <c r="E19" s="51">
        <v>0</v>
      </c>
      <c r="F19" s="51">
        <v>0</v>
      </c>
      <c r="G19" s="51">
        <v>2110923</v>
      </c>
      <c r="H19" s="51">
        <v>0</v>
      </c>
      <c r="I19" s="51">
        <v>3503520</v>
      </c>
      <c r="J19" s="51">
        <v>2327253</v>
      </c>
      <c r="K19" s="19"/>
      <c r="L19" s="46">
        <f>SUM(C19:K19)</f>
        <v>11436696</v>
      </c>
      <c r="M19" s="72">
        <f>(L19/L$20)*100</f>
        <v>100</v>
      </c>
      <c r="N19" s="62"/>
      <c r="O19" s="2"/>
      <c r="P19" s="2"/>
    </row>
    <row r="20" spans="1:16" ht="12.75" customHeight="1">
      <c r="A20" s="26" t="s">
        <v>346</v>
      </c>
      <c r="B20" s="27"/>
      <c r="C20" s="28">
        <v>3495000</v>
      </c>
      <c r="D20" s="28">
        <f aca="true" t="shared" si="2" ref="D20:J20">SUM(D18:D19)</f>
        <v>0</v>
      </c>
      <c r="E20" s="28">
        <f t="shared" si="2"/>
        <v>0</v>
      </c>
      <c r="F20" s="50">
        <f t="shared" si="2"/>
        <v>0</v>
      </c>
      <c r="G20" s="50">
        <f t="shared" si="2"/>
        <v>2110923</v>
      </c>
      <c r="H20" s="50">
        <f t="shared" si="2"/>
        <v>0</v>
      </c>
      <c r="I20" s="50">
        <f t="shared" si="2"/>
        <v>3503520</v>
      </c>
      <c r="J20" s="50">
        <f t="shared" si="2"/>
        <v>2327253</v>
      </c>
      <c r="K20" s="28"/>
      <c r="L20" s="56">
        <f>SUM(L18:L19)</f>
        <v>11436696</v>
      </c>
      <c r="M20" s="73">
        <f>(L20/(L$403)*100)</f>
        <v>0.11087025119765086</v>
      </c>
      <c r="N20" s="63"/>
      <c r="O20" s="2"/>
      <c r="P20" s="2"/>
    </row>
    <row r="21" spans="1:16" ht="12.75" customHeight="1">
      <c r="A21" s="23"/>
      <c r="B21" s="24"/>
      <c r="C21" s="25"/>
      <c r="D21" s="25"/>
      <c r="E21" s="51"/>
      <c r="F21" s="51"/>
      <c r="G21" s="51"/>
      <c r="H21" s="51"/>
      <c r="I21" s="51"/>
      <c r="J21" s="51"/>
      <c r="K21" s="19"/>
      <c r="L21" s="46"/>
      <c r="M21" s="46"/>
      <c r="N21" s="62"/>
      <c r="O21" s="2"/>
      <c r="P21" s="2"/>
    </row>
    <row r="22" spans="1:16" ht="12.75" customHeight="1">
      <c r="A22" s="23" t="s">
        <v>223</v>
      </c>
      <c r="B22" s="24"/>
      <c r="C22" s="25">
        <v>0</v>
      </c>
      <c r="D22" s="25">
        <v>0</v>
      </c>
      <c r="E22" s="51">
        <v>0</v>
      </c>
      <c r="F22" s="51">
        <v>2347085</v>
      </c>
      <c r="G22" s="51">
        <v>2460745</v>
      </c>
      <c r="H22" s="51">
        <v>2427801</v>
      </c>
      <c r="I22" s="51">
        <v>2110701</v>
      </c>
      <c r="J22" s="51">
        <v>2110701</v>
      </c>
      <c r="K22" s="19"/>
      <c r="L22" s="46">
        <f>SUM(C22:K22)</f>
        <v>11457033</v>
      </c>
      <c r="M22" s="72">
        <f>(L22/L$27)*100</f>
        <v>7.931077535643746</v>
      </c>
      <c r="N22" s="62"/>
      <c r="O22" s="2"/>
      <c r="P22" s="2"/>
    </row>
    <row r="23" spans="1:16" ht="12.75" customHeight="1">
      <c r="A23" s="23" t="s">
        <v>246</v>
      </c>
      <c r="B23" s="24"/>
      <c r="C23" s="25">
        <v>0</v>
      </c>
      <c r="D23" s="25">
        <v>0</v>
      </c>
      <c r="E23" s="51">
        <v>0</v>
      </c>
      <c r="F23" s="51">
        <v>118993</v>
      </c>
      <c r="G23" s="51">
        <v>0</v>
      </c>
      <c r="H23" s="51">
        <v>210950</v>
      </c>
      <c r="I23" s="51">
        <v>258606</v>
      </c>
      <c r="J23" s="51">
        <v>259583</v>
      </c>
      <c r="K23" s="19"/>
      <c r="L23" s="46">
        <f>SUM(C23:K23)</f>
        <v>848132</v>
      </c>
      <c r="M23" s="72">
        <f>(L23/L$27)*100</f>
        <v>0.5871154122066858</v>
      </c>
      <c r="N23" s="62"/>
      <c r="O23" s="2"/>
      <c r="P23" s="2"/>
    </row>
    <row r="24" spans="1:16" ht="12.75" customHeight="1">
      <c r="A24" s="23" t="s">
        <v>9</v>
      </c>
      <c r="B24" s="24"/>
      <c r="C24" s="25">
        <v>37932911</v>
      </c>
      <c r="D24" s="25">
        <v>2302866</v>
      </c>
      <c r="E24" s="51">
        <v>22641980</v>
      </c>
      <c r="F24" s="51">
        <v>9018389</v>
      </c>
      <c r="G24" s="51">
        <v>0</v>
      </c>
      <c r="H24" s="51">
        <v>19964913</v>
      </c>
      <c r="I24" s="51">
        <v>0</v>
      </c>
      <c r="J24" s="51">
        <v>25700400</v>
      </c>
      <c r="K24" s="19"/>
      <c r="L24" s="46">
        <f>SUM(C24:K24)</f>
        <v>117561459</v>
      </c>
      <c r="M24" s="72">
        <f>(L24/L$27)*100</f>
        <v>81.38137042394862</v>
      </c>
      <c r="N24" s="62"/>
      <c r="O24" s="2"/>
      <c r="P24" s="2"/>
    </row>
    <row r="25" spans="1:16" ht="12.75" customHeight="1">
      <c r="A25" s="23" t="s">
        <v>10</v>
      </c>
      <c r="B25" s="24"/>
      <c r="C25" s="25">
        <v>5108432</v>
      </c>
      <c r="D25" s="25">
        <v>1000000</v>
      </c>
      <c r="E25" s="51">
        <v>1000000</v>
      </c>
      <c r="F25" s="51">
        <v>1073867</v>
      </c>
      <c r="G25" s="51">
        <v>954105</v>
      </c>
      <c r="H25" s="51">
        <v>1022263</v>
      </c>
      <c r="I25" s="51">
        <v>0</v>
      </c>
      <c r="J25" s="51">
        <v>4120263</v>
      </c>
      <c r="K25" s="19"/>
      <c r="L25" s="46">
        <f>SUM(C25:K25)</f>
        <v>14278930</v>
      </c>
      <c r="M25" s="72">
        <f>(L25/L$27)*100</f>
        <v>9.884522542269849</v>
      </c>
      <c r="N25" s="62"/>
      <c r="O25" s="2"/>
      <c r="P25" s="2"/>
    </row>
    <row r="26" spans="1:16" ht="12.75" customHeight="1">
      <c r="A26" s="23" t="s">
        <v>254</v>
      </c>
      <c r="B26" s="24"/>
      <c r="C26" s="25">
        <v>0</v>
      </c>
      <c r="D26" s="25">
        <v>0</v>
      </c>
      <c r="E26" s="51">
        <v>0</v>
      </c>
      <c r="F26" s="51">
        <v>0</v>
      </c>
      <c r="G26" s="51">
        <v>0</v>
      </c>
      <c r="H26" s="51">
        <v>155952</v>
      </c>
      <c r="I26" s="51">
        <v>0</v>
      </c>
      <c r="J26" s="51">
        <v>155952</v>
      </c>
      <c r="K26" s="19"/>
      <c r="L26" s="46">
        <f>SUM(C26:K26)</f>
        <v>311904</v>
      </c>
      <c r="M26" s="72">
        <f>(L26/L$27)*100</f>
        <v>0.21591408593109812</v>
      </c>
      <c r="N26" s="62"/>
      <c r="O26" s="2"/>
      <c r="P26" s="2"/>
    </row>
    <row r="27" spans="1:16" ht="12.75" customHeight="1">
      <c r="A27" s="26" t="s">
        <v>261</v>
      </c>
      <c r="B27" s="27"/>
      <c r="C27" s="28">
        <v>43041343</v>
      </c>
      <c r="D27" s="28">
        <f aca="true" t="shared" si="3" ref="D27:J27">SUM(D21:D26)</f>
        <v>3302866</v>
      </c>
      <c r="E27" s="28">
        <f t="shared" si="3"/>
        <v>23641980</v>
      </c>
      <c r="F27" s="50">
        <f t="shared" si="3"/>
        <v>12558334</v>
      </c>
      <c r="G27" s="50">
        <f t="shared" si="3"/>
        <v>3414850</v>
      </c>
      <c r="H27" s="50">
        <f t="shared" si="3"/>
        <v>23781879</v>
      </c>
      <c r="I27" s="50">
        <f t="shared" si="3"/>
        <v>2369307</v>
      </c>
      <c r="J27" s="50">
        <f t="shared" si="3"/>
        <v>32346899</v>
      </c>
      <c r="K27" s="28"/>
      <c r="L27" s="56">
        <f>SUM(L21:L26)</f>
        <v>144457458</v>
      </c>
      <c r="M27" s="73">
        <f>(L27/(L$403)*100)</f>
        <v>1.4004074827060278</v>
      </c>
      <c r="N27" s="63"/>
      <c r="O27" s="2"/>
      <c r="P27" s="2"/>
    </row>
    <row r="28" spans="1:16" ht="12.75" customHeight="1">
      <c r="A28" s="23"/>
      <c r="B28" s="24"/>
      <c r="C28" s="25"/>
      <c r="D28" s="25"/>
      <c r="E28" s="51"/>
      <c r="F28" s="51"/>
      <c r="G28" s="51"/>
      <c r="H28" s="51"/>
      <c r="I28" s="51"/>
      <c r="J28" s="51"/>
      <c r="K28" s="19"/>
      <c r="L28" s="46"/>
      <c r="M28" s="46"/>
      <c r="N28" s="62"/>
      <c r="O28" s="2"/>
      <c r="P28" s="2"/>
    </row>
    <row r="29" spans="1:16" ht="12.75" customHeight="1">
      <c r="A29" s="23" t="s">
        <v>236</v>
      </c>
      <c r="B29" s="24"/>
      <c r="C29" s="25">
        <v>0</v>
      </c>
      <c r="D29" s="25">
        <v>0</v>
      </c>
      <c r="E29" s="51">
        <v>0</v>
      </c>
      <c r="F29" s="51">
        <v>0</v>
      </c>
      <c r="G29" s="51">
        <v>1821000</v>
      </c>
      <c r="H29" s="51">
        <v>0</v>
      </c>
      <c r="I29" s="51">
        <v>0</v>
      </c>
      <c r="J29" s="51">
        <v>511000</v>
      </c>
      <c r="K29" s="19"/>
      <c r="L29" s="46">
        <f aca="true" t="shared" si="4" ref="L29:L65">SUM(C29:K29)</f>
        <v>2332000</v>
      </c>
      <c r="M29" s="72">
        <f>(L29/L$66)*100</f>
        <v>0.06655138813293465</v>
      </c>
      <c r="N29" s="62"/>
      <c r="O29" s="2"/>
      <c r="P29" s="2"/>
    </row>
    <row r="30" spans="1:16" ht="12.75" customHeight="1">
      <c r="A30" s="23" t="s">
        <v>11</v>
      </c>
      <c r="B30" s="24"/>
      <c r="C30" s="25">
        <v>8620378</v>
      </c>
      <c r="D30" s="25">
        <v>0</v>
      </c>
      <c r="E30" s="51">
        <v>0</v>
      </c>
      <c r="F30" s="51">
        <v>5666260</v>
      </c>
      <c r="G30" s="51">
        <v>717092</v>
      </c>
      <c r="H30" s="51">
        <v>0</v>
      </c>
      <c r="I30" s="51">
        <v>376253</v>
      </c>
      <c r="J30" s="51">
        <v>0</v>
      </c>
      <c r="K30" s="19"/>
      <c r="L30" s="46">
        <f t="shared" si="4"/>
        <v>15379983</v>
      </c>
      <c r="M30" s="72">
        <f>(L30/L$66)*100</f>
        <v>0.4389190472173828</v>
      </c>
      <c r="N30" s="62"/>
      <c r="O30" s="2"/>
      <c r="P30" s="2"/>
    </row>
    <row r="31" spans="1:16" ht="12.75" customHeight="1">
      <c r="A31" s="23" t="s">
        <v>317</v>
      </c>
      <c r="B31" s="24"/>
      <c r="C31" s="25">
        <v>0</v>
      </c>
      <c r="D31" s="25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294000</v>
      </c>
      <c r="K31" s="19"/>
      <c r="L31" s="46">
        <f t="shared" si="4"/>
        <v>294000</v>
      </c>
      <c r="M31" s="72">
        <f>(L31/L$66)*100</f>
        <v>0.008390269344375124</v>
      </c>
      <c r="N31" s="62"/>
      <c r="O31" s="2"/>
      <c r="P31" s="2"/>
    </row>
    <row r="32" spans="1:16" ht="12.75" customHeight="1">
      <c r="A32" s="23" t="s">
        <v>12</v>
      </c>
      <c r="B32" s="24"/>
      <c r="C32" s="25">
        <v>106236</v>
      </c>
      <c r="D32" s="25">
        <v>0</v>
      </c>
      <c r="E32" s="51">
        <v>0</v>
      </c>
      <c r="F32" s="51">
        <v>1217288</v>
      </c>
      <c r="G32" s="51">
        <v>0</v>
      </c>
      <c r="H32" s="51">
        <v>0</v>
      </c>
      <c r="I32" s="51">
        <v>0</v>
      </c>
      <c r="J32" s="51">
        <v>0</v>
      </c>
      <c r="K32" s="19"/>
      <c r="L32" s="46">
        <f t="shared" si="4"/>
        <v>1323524</v>
      </c>
      <c r="M32" s="72">
        <f aca="true" t="shared" si="5" ref="M32:M65">(L32/L$66)*100</f>
        <v>0.0377711661351862</v>
      </c>
      <c r="N32" s="62"/>
      <c r="O32" s="2"/>
      <c r="P32" s="2"/>
    </row>
    <row r="33" spans="1:16" ht="12.75" customHeight="1">
      <c r="A33" s="23" t="s">
        <v>13</v>
      </c>
      <c r="B33" s="24"/>
      <c r="C33" s="25">
        <v>13707150</v>
      </c>
      <c r="D33" s="25">
        <f>26636464+2881770-528000+528000</f>
        <v>29518234</v>
      </c>
      <c r="E33" s="51">
        <v>4131323</v>
      </c>
      <c r="F33" s="51">
        <f>53910697-1709570-1576872-2878372-778000-2323000-1994233</f>
        <v>42650650</v>
      </c>
      <c r="G33" s="51">
        <v>93681704</v>
      </c>
      <c r="H33" s="51">
        <v>53830278</v>
      </c>
      <c r="I33" s="51">
        <v>2950856</v>
      </c>
      <c r="J33" s="51">
        <v>95898422</v>
      </c>
      <c r="K33" s="19"/>
      <c r="L33" s="46">
        <f t="shared" si="4"/>
        <v>336368617</v>
      </c>
      <c r="M33" s="72">
        <f t="shared" si="5"/>
        <v>9.599398964710739</v>
      </c>
      <c r="N33" s="62"/>
      <c r="O33" s="2"/>
      <c r="P33" s="2"/>
    </row>
    <row r="34" spans="1:16" ht="12.75" customHeight="1">
      <c r="A34" s="23" t="s">
        <v>14</v>
      </c>
      <c r="B34" s="24"/>
      <c r="C34" s="25">
        <v>8615500</v>
      </c>
      <c r="D34" s="25">
        <v>0</v>
      </c>
      <c r="E34" s="51">
        <v>1911460</v>
      </c>
      <c r="F34" s="51">
        <v>0</v>
      </c>
      <c r="G34" s="51">
        <v>2811000</v>
      </c>
      <c r="H34" s="51">
        <v>1593540</v>
      </c>
      <c r="I34" s="51">
        <v>85000</v>
      </c>
      <c r="J34" s="51">
        <v>211000</v>
      </c>
      <c r="K34" s="19"/>
      <c r="L34" s="46">
        <f t="shared" si="4"/>
        <v>15227500</v>
      </c>
      <c r="M34" s="72">
        <f t="shared" si="5"/>
        <v>0.43456743687575583</v>
      </c>
      <c r="N34" s="62"/>
      <c r="O34" s="2"/>
      <c r="P34" s="2"/>
    </row>
    <row r="35" spans="1:16" ht="12.75" customHeight="1">
      <c r="A35" s="23" t="s">
        <v>15</v>
      </c>
      <c r="B35" s="24"/>
      <c r="C35" s="25">
        <v>6397400</v>
      </c>
      <c r="D35" s="25">
        <v>0</v>
      </c>
      <c r="E35" s="51">
        <v>0</v>
      </c>
      <c r="F35" s="51">
        <v>970000</v>
      </c>
      <c r="G35" s="51">
        <v>5280000</v>
      </c>
      <c r="H35" s="51">
        <v>7367767</v>
      </c>
      <c r="I35" s="51">
        <v>0</v>
      </c>
      <c r="J35" s="51">
        <v>0</v>
      </c>
      <c r="K35" s="19"/>
      <c r="L35" s="46">
        <f t="shared" si="4"/>
        <v>20015167</v>
      </c>
      <c r="M35" s="72">
        <f t="shared" si="5"/>
        <v>0.5711994629341789</v>
      </c>
      <c r="N35" s="62"/>
      <c r="O35" s="2"/>
      <c r="P35" s="2"/>
    </row>
    <row r="36" spans="1:16" ht="12.75" customHeight="1">
      <c r="A36" s="23" t="s">
        <v>199</v>
      </c>
      <c r="B36" s="24"/>
      <c r="C36" s="25">
        <v>1840000</v>
      </c>
      <c r="D36" s="25">
        <v>0</v>
      </c>
      <c r="E36" s="51">
        <v>0</v>
      </c>
      <c r="F36" s="51">
        <v>0</v>
      </c>
      <c r="G36" s="51">
        <v>0</v>
      </c>
      <c r="H36" s="51">
        <v>0</v>
      </c>
      <c r="I36" s="51">
        <v>3541375</v>
      </c>
      <c r="J36" s="51">
        <v>0</v>
      </c>
      <c r="K36" s="19"/>
      <c r="L36" s="46">
        <f t="shared" si="4"/>
        <v>5381375</v>
      </c>
      <c r="M36" s="72">
        <f t="shared" si="5"/>
        <v>0.15357546154111118</v>
      </c>
      <c r="N36" s="62"/>
      <c r="O36" s="2"/>
      <c r="P36" s="2"/>
    </row>
    <row r="37" spans="1:16" ht="12.75" customHeight="1">
      <c r="A37" s="23" t="s">
        <v>247</v>
      </c>
      <c r="B37" s="24"/>
      <c r="C37" s="25">
        <v>0</v>
      </c>
      <c r="D37" s="25">
        <v>528000</v>
      </c>
      <c r="E37" s="51">
        <v>0</v>
      </c>
      <c r="F37" s="51">
        <v>1709570</v>
      </c>
      <c r="G37" s="51">
        <v>0</v>
      </c>
      <c r="H37" s="51">
        <v>401600</v>
      </c>
      <c r="I37" s="51">
        <v>0</v>
      </c>
      <c r="J37" s="51">
        <v>0</v>
      </c>
      <c r="K37" s="19"/>
      <c r="L37" s="46">
        <f t="shared" si="4"/>
        <v>2639170</v>
      </c>
      <c r="M37" s="72">
        <f t="shared" si="5"/>
        <v>0.07531750729794047</v>
      </c>
      <c r="N37" s="62"/>
      <c r="O37" s="2"/>
      <c r="P37" s="2"/>
    </row>
    <row r="38" spans="1:16" ht="12.75" customHeight="1">
      <c r="A38" s="23" t="s">
        <v>186</v>
      </c>
      <c r="B38" s="24"/>
      <c r="C38" s="25">
        <v>1330000</v>
      </c>
      <c r="D38" s="25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19"/>
      <c r="L38" s="46">
        <f t="shared" si="4"/>
        <v>1330000</v>
      </c>
      <c r="M38" s="72">
        <f t="shared" si="5"/>
        <v>0.037955980367411275</v>
      </c>
      <c r="N38" s="62"/>
      <c r="O38" s="2"/>
      <c r="P38" s="2"/>
    </row>
    <row r="39" spans="1:16" ht="12.75" customHeight="1">
      <c r="A39" s="23" t="s">
        <v>16</v>
      </c>
      <c r="B39" s="24"/>
      <c r="C39" s="25">
        <v>393588300</v>
      </c>
      <c r="D39" s="25">
        <f>21200000+1498400+26960000</f>
        <v>49658400</v>
      </c>
      <c r="E39" s="51">
        <v>199139361</v>
      </c>
      <c r="F39" s="51">
        <v>387138229</v>
      </c>
      <c r="G39" s="51">
        <v>171227010</v>
      </c>
      <c r="H39" s="51">
        <v>138466184</v>
      </c>
      <c r="I39" s="51">
        <v>202319775</v>
      </c>
      <c r="J39" s="51">
        <v>146605682</v>
      </c>
      <c r="K39" s="19"/>
      <c r="L39" s="46">
        <f t="shared" si="4"/>
        <v>1688142941</v>
      </c>
      <c r="M39" s="72">
        <f t="shared" si="5"/>
        <v>48.17678219998491</v>
      </c>
      <c r="N39" s="62"/>
      <c r="O39" s="2"/>
      <c r="P39" s="2"/>
    </row>
    <row r="40" spans="1:16" ht="12.75" customHeight="1">
      <c r="A40" s="23" t="s">
        <v>179</v>
      </c>
      <c r="B40" s="24"/>
      <c r="C40" s="25">
        <v>1555284</v>
      </c>
      <c r="D40" s="25">
        <v>0</v>
      </c>
      <c r="E40" s="51">
        <v>0</v>
      </c>
      <c r="F40" s="51">
        <v>1576872</v>
      </c>
      <c r="G40" s="51">
        <v>410788</v>
      </c>
      <c r="H40" s="51">
        <v>0</v>
      </c>
      <c r="I40" s="51">
        <v>1010000</v>
      </c>
      <c r="J40" s="51">
        <v>4797476</v>
      </c>
      <c r="K40" s="19"/>
      <c r="L40" s="46">
        <f t="shared" si="4"/>
        <v>9350420</v>
      </c>
      <c r="M40" s="72">
        <f t="shared" si="5"/>
        <v>0.266845381915075</v>
      </c>
      <c r="N40" s="62"/>
      <c r="O40" s="2"/>
      <c r="P40" s="2"/>
    </row>
    <row r="41" spans="1:16" ht="12.75" customHeight="1">
      <c r="A41" s="23" t="s">
        <v>17</v>
      </c>
      <c r="B41" s="24"/>
      <c r="C41" s="25">
        <v>1119822</v>
      </c>
      <c r="D41" s="25">
        <v>0</v>
      </c>
      <c r="E41" s="51">
        <v>0</v>
      </c>
      <c r="F41" s="51">
        <v>493311</v>
      </c>
      <c r="G41" s="51">
        <v>0</v>
      </c>
      <c r="H41" s="51">
        <v>0</v>
      </c>
      <c r="I41" s="51">
        <v>648925</v>
      </c>
      <c r="J41" s="51">
        <v>0</v>
      </c>
      <c r="K41" s="19"/>
      <c r="L41" s="46">
        <f t="shared" si="4"/>
        <v>2262058</v>
      </c>
      <c r="M41" s="72">
        <f t="shared" si="5"/>
        <v>0.06455536017890648</v>
      </c>
      <c r="N41" s="62"/>
      <c r="O41" s="2"/>
      <c r="P41" s="2"/>
    </row>
    <row r="42" spans="1:16" ht="12.75" customHeight="1">
      <c r="A42" s="23" t="s">
        <v>18</v>
      </c>
      <c r="B42" s="24"/>
      <c r="C42" s="25">
        <v>1550100</v>
      </c>
      <c r="D42" s="25">
        <v>0</v>
      </c>
      <c r="E42" s="51">
        <v>1400000</v>
      </c>
      <c r="F42" s="51">
        <v>0</v>
      </c>
      <c r="G42" s="51">
        <v>180000</v>
      </c>
      <c r="H42" s="51">
        <v>600000</v>
      </c>
      <c r="I42" s="51">
        <v>0</v>
      </c>
      <c r="J42" s="51">
        <v>563000</v>
      </c>
      <c r="K42" s="19"/>
      <c r="L42" s="46">
        <f t="shared" si="4"/>
        <v>4293100</v>
      </c>
      <c r="M42" s="72">
        <f t="shared" si="5"/>
        <v>0.12251790925964913</v>
      </c>
      <c r="N42" s="62"/>
      <c r="O42" s="2"/>
      <c r="P42" s="2"/>
    </row>
    <row r="43" spans="1:16" ht="12.75" customHeight="1">
      <c r="A43" s="23" t="s">
        <v>200</v>
      </c>
      <c r="B43" s="24"/>
      <c r="C43" s="25">
        <v>12086767</v>
      </c>
      <c r="D43" s="25">
        <v>331700</v>
      </c>
      <c r="E43" s="51">
        <v>440000</v>
      </c>
      <c r="F43" s="51">
        <v>4085252</v>
      </c>
      <c r="G43" s="51">
        <v>9720684</v>
      </c>
      <c r="H43" s="51">
        <v>3786920</v>
      </c>
      <c r="I43" s="51">
        <v>1775000</v>
      </c>
      <c r="J43" s="51">
        <v>442500</v>
      </c>
      <c r="K43" s="19"/>
      <c r="L43" s="46">
        <f t="shared" si="4"/>
        <v>32668823</v>
      </c>
      <c r="M43" s="72">
        <f t="shared" si="5"/>
        <v>0.9323136875296496</v>
      </c>
      <c r="N43" s="62"/>
      <c r="O43" s="2"/>
      <c r="P43" s="2"/>
    </row>
    <row r="44" spans="1:16" ht="12.75" customHeight="1">
      <c r="A44" s="23" t="s">
        <v>19</v>
      </c>
      <c r="B44" s="24"/>
      <c r="C44" s="25">
        <v>400000</v>
      </c>
      <c r="D44" s="25">
        <v>230178</v>
      </c>
      <c r="E44" s="51">
        <v>446074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19"/>
      <c r="L44" s="46">
        <f t="shared" si="4"/>
        <v>1076252</v>
      </c>
      <c r="M44" s="72">
        <f t="shared" si="5"/>
        <v>0.03071443592660686</v>
      </c>
      <c r="N44" s="62"/>
      <c r="O44" s="2"/>
      <c r="P44" s="2"/>
    </row>
    <row r="45" spans="1:16" ht="12.75" customHeight="1">
      <c r="A45" s="23" t="s">
        <v>172</v>
      </c>
      <c r="B45" s="24"/>
      <c r="C45" s="25">
        <v>6168098</v>
      </c>
      <c r="D45" s="25">
        <f>230740+1185550</f>
        <v>1416290</v>
      </c>
      <c r="E45" s="51">
        <v>0</v>
      </c>
      <c r="F45" s="51">
        <v>2878372</v>
      </c>
      <c r="G45" s="51">
        <v>4162378</v>
      </c>
      <c r="H45" s="51">
        <v>14696712</v>
      </c>
      <c r="I45" s="51">
        <v>4805389</v>
      </c>
      <c r="J45" s="51">
        <v>0</v>
      </c>
      <c r="K45" s="19"/>
      <c r="L45" s="46">
        <f t="shared" si="4"/>
        <v>34127239</v>
      </c>
      <c r="M45" s="72">
        <f t="shared" si="5"/>
        <v>0.9739344462240243</v>
      </c>
      <c r="N45" s="62"/>
      <c r="O45" s="2"/>
      <c r="P45" s="2"/>
    </row>
    <row r="46" spans="1:16" ht="12.75" customHeight="1">
      <c r="A46" s="23" t="s">
        <v>20</v>
      </c>
      <c r="B46" s="24"/>
      <c r="C46" s="25">
        <v>25401947</v>
      </c>
      <c r="D46" s="25">
        <f>708240+2776000+5884000</f>
        <v>9368240</v>
      </c>
      <c r="E46" s="51">
        <v>599959</v>
      </c>
      <c r="F46" s="51">
        <v>1601166</v>
      </c>
      <c r="G46" s="51">
        <v>148077592</v>
      </c>
      <c r="H46" s="51">
        <v>31865671</v>
      </c>
      <c r="I46" s="51">
        <v>3632600</v>
      </c>
      <c r="J46" s="51">
        <v>22904934</v>
      </c>
      <c r="K46" s="19"/>
      <c r="L46" s="46">
        <f t="shared" si="4"/>
        <v>243452109</v>
      </c>
      <c r="M46" s="72">
        <f t="shared" si="5"/>
        <v>6.94771689444276</v>
      </c>
      <c r="N46" s="62"/>
      <c r="O46" s="2"/>
      <c r="P46" s="2"/>
    </row>
    <row r="47" spans="1:16" ht="12.75" customHeight="1">
      <c r="A47" s="23" t="s">
        <v>21</v>
      </c>
      <c r="B47" s="24"/>
      <c r="C47" s="25">
        <v>25253783</v>
      </c>
      <c r="D47" s="25">
        <v>0</v>
      </c>
      <c r="E47" s="51">
        <v>7054209</v>
      </c>
      <c r="F47" s="51">
        <v>40417611</v>
      </c>
      <c r="G47" s="51">
        <v>21471155</v>
      </c>
      <c r="H47" s="51">
        <v>0</v>
      </c>
      <c r="I47" s="51">
        <v>6196357</v>
      </c>
      <c r="J47" s="51">
        <v>3482000</v>
      </c>
      <c r="K47" s="19"/>
      <c r="L47" s="46">
        <f t="shared" si="4"/>
        <v>103875115</v>
      </c>
      <c r="M47" s="72">
        <f t="shared" si="5"/>
        <v>2.9644224252651044</v>
      </c>
      <c r="N47" s="62"/>
      <c r="O47" s="2"/>
      <c r="P47" s="2"/>
    </row>
    <row r="48" spans="1:16" ht="12.75" customHeight="1">
      <c r="A48" s="23" t="s">
        <v>201</v>
      </c>
      <c r="B48" s="24"/>
      <c r="C48" s="25">
        <v>137054697</v>
      </c>
      <c r="D48" s="25">
        <f>2975830+107529+859980+515000+283000</f>
        <v>4741339</v>
      </c>
      <c r="E48" s="51">
        <v>159454525</v>
      </c>
      <c r="F48" s="51">
        <v>62546800</v>
      </c>
      <c r="G48" s="51">
        <v>74580770</v>
      </c>
      <c r="H48" s="51">
        <v>136661740</v>
      </c>
      <c r="I48" s="51">
        <v>3954389</v>
      </c>
      <c r="J48" s="51">
        <v>49947848</v>
      </c>
      <c r="K48" s="19"/>
      <c r="L48" s="46">
        <f t="shared" si="4"/>
        <v>628942108</v>
      </c>
      <c r="M48" s="72">
        <f t="shared" si="5"/>
        <v>17.948958122922</v>
      </c>
      <c r="N48" s="62"/>
      <c r="O48" s="2"/>
      <c r="P48" s="2"/>
    </row>
    <row r="49" spans="1:16" ht="12.75" customHeight="1">
      <c r="A49" s="23" t="s">
        <v>22</v>
      </c>
      <c r="B49" s="24"/>
      <c r="C49" s="25">
        <v>2248000</v>
      </c>
      <c r="D49" s="25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19"/>
      <c r="L49" s="46">
        <f t="shared" si="4"/>
        <v>2248000</v>
      </c>
      <c r="M49" s="72">
        <f t="shared" si="5"/>
        <v>0.06415416832025606</v>
      </c>
      <c r="N49" s="62"/>
      <c r="O49" s="2"/>
      <c r="P49" s="2"/>
    </row>
    <row r="50" spans="1:16" ht="12.75" customHeight="1">
      <c r="A50" s="23" t="s">
        <v>23</v>
      </c>
      <c r="B50" s="24"/>
      <c r="C50" s="25">
        <v>38829750</v>
      </c>
      <c r="D50" s="25">
        <v>0</v>
      </c>
      <c r="E50" s="51">
        <v>0</v>
      </c>
      <c r="F50" s="51">
        <v>96115320</v>
      </c>
      <c r="G50" s="51">
        <v>83118376</v>
      </c>
      <c r="H50" s="51">
        <v>23582000</v>
      </c>
      <c r="I50" s="51">
        <v>0</v>
      </c>
      <c r="J50" s="51">
        <v>2307000</v>
      </c>
      <c r="K50" s="19"/>
      <c r="L50" s="46">
        <f t="shared" si="4"/>
        <v>243952446</v>
      </c>
      <c r="M50" s="72">
        <f t="shared" si="5"/>
        <v>6.961995677412</v>
      </c>
      <c r="N50" s="62"/>
      <c r="O50" s="2"/>
      <c r="P50" s="2"/>
    </row>
    <row r="51" spans="1:16" ht="12.75" customHeight="1">
      <c r="A51" s="23" t="s">
        <v>173</v>
      </c>
      <c r="B51" s="24"/>
      <c r="C51" s="25">
        <v>468000</v>
      </c>
      <c r="D51" s="25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19"/>
      <c r="L51" s="46">
        <f t="shared" si="4"/>
        <v>468000</v>
      </c>
      <c r="M51" s="72">
        <f t="shared" si="5"/>
        <v>0.013355938956352238</v>
      </c>
      <c r="N51" s="62"/>
      <c r="O51" s="2"/>
      <c r="P51" s="2"/>
    </row>
    <row r="52" spans="1:16" ht="12.75" customHeight="1">
      <c r="A52" s="23" t="s">
        <v>24</v>
      </c>
      <c r="B52" s="24"/>
      <c r="C52" s="25">
        <v>940315</v>
      </c>
      <c r="D52" s="25">
        <v>304000</v>
      </c>
      <c r="E52" s="51">
        <v>203000</v>
      </c>
      <c r="F52" s="51">
        <v>778000</v>
      </c>
      <c r="G52" s="51">
        <v>8396200</v>
      </c>
      <c r="H52" s="51">
        <v>0</v>
      </c>
      <c r="I52" s="51">
        <v>8413000</v>
      </c>
      <c r="J52" s="51">
        <v>106000</v>
      </c>
      <c r="K52" s="19"/>
      <c r="L52" s="46">
        <f t="shared" si="4"/>
        <v>19140515</v>
      </c>
      <c r="M52" s="72">
        <f t="shared" si="5"/>
        <v>0.5462383545580007</v>
      </c>
      <c r="N52" s="62"/>
      <c r="O52" s="2"/>
      <c r="P52" s="2"/>
    </row>
    <row r="53" spans="1:16" ht="12.75" customHeight="1">
      <c r="A53" s="23" t="s">
        <v>318</v>
      </c>
      <c r="B53" s="24"/>
      <c r="C53" s="25">
        <v>0</v>
      </c>
      <c r="D53" s="25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6434223</v>
      </c>
      <c r="K53" s="19"/>
      <c r="L53" s="46">
        <f t="shared" si="4"/>
        <v>6434223</v>
      </c>
      <c r="M53" s="72">
        <f t="shared" si="5"/>
        <v>0.183621986366576</v>
      </c>
      <c r="N53" s="62"/>
      <c r="O53" s="2"/>
      <c r="P53" s="2"/>
    </row>
    <row r="54" spans="1:16" ht="12.75" customHeight="1">
      <c r="A54" s="23" t="s">
        <v>25</v>
      </c>
      <c r="B54" s="24"/>
      <c r="C54" s="25">
        <v>2847000</v>
      </c>
      <c r="D54" s="25">
        <v>0</v>
      </c>
      <c r="E54" s="51">
        <v>965000</v>
      </c>
      <c r="F54" s="51">
        <v>0</v>
      </c>
      <c r="G54" s="51">
        <v>3103000</v>
      </c>
      <c r="H54" s="51">
        <v>0</v>
      </c>
      <c r="I54" s="51">
        <v>0</v>
      </c>
      <c r="J54" s="51">
        <v>0</v>
      </c>
      <c r="K54" s="19"/>
      <c r="L54" s="46">
        <f t="shared" si="4"/>
        <v>6915000</v>
      </c>
      <c r="M54" s="72">
        <f t="shared" si="5"/>
        <v>0.1973425595794353</v>
      </c>
      <c r="N54" s="62"/>
      <c r="O54" s="2"/>
      <c r="P54" s="2"/>
    </row>
    <row r="55" spans="1:16" ht="12.75" customHeight="1">
      <c r="A55" s="23" t="s">
        <v>26</v>
      </c>
      <c r="B55" s="24"/>
      <c r="C55" s="25">
        <v>328770</v>
      </c>
      <c r="D55" s="25">
        <v>0</v>
      </c>
      <c r="E55" s="51">
        <v>190000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19"/>
      <c r="L55" s="46">
        <f t="shared" si="4"/>
        <v>518770</v>
      </c>
      <c r="M55" s="72">
        <f t="shared" si="5"/>
        <v>0.014804830026467628</v>
      </c>
      <c r="N55" s="62"/>
      <c r="O55" s="2"/>
      <c r="P55" s="2"/>
    </row>
    <row r="56" spans="1:16" ht="12.75" customHeight="1">
      <c r="A56" s="23" t="s">
        <v>27</v>
      </c>
      <c r="B56" s="24"/>
      <c r="C56" s="25">
        <v>7102750</v>
      </c>
      <c r="D56" s="25">
        <v>0</v>
      </c>
      <c r="E56" s="51">
        <v>1736000</v>
      </c>
      <c r="F56" s="51">
        <v>0</v>
      </c>
      <c r="G56" s="51">
        <v>3682000</v>
      </c>
      <c r="H56" s="51">
        <v>950000</v>
      </c>
      <c r="I56" s="51">
        <v>201000</v>
      </c>
      <c r="J56" s="51">
        <v>0</v>
      </c>
      <c r="K56" s="19"/>
      <c r="L56" s="46">
        <f t="shared" si="4"/>
        <v>13671750</v>
      </c>
      <c r="M56" s="72">
        <f t="shared" si="5"/>
        <v>0.3901689282617708</v>
      </c>
      <c r="N56" s="62"/>
      <c r="O56" s="2"/>
      <c r="P56" s="2"/>
    </row>
    <row r="57" spans="1:16" ht="12.75" customHeight="1">
      <c r="A57" s="23" t="s">
        <v>145</v>
      </c>
      <c r="B57" s="24"/>
      <c r="C57" s="25">
        <v>3287300</v>
      </c>
      <c r="D57" s="25">
        <v>1776000</v>
      </c>
      <c r="E57" s="51">
        <v>1275000</v>
      </c>
      <c r="F57" s="51">
        <v>2323000</v>
      </c>
      <c r="G57" s="51">
        <v>0</v>
      </c>
      <c r="H57" s="51">
        <v>1953000</v>
      </c>
      <c r="I57" s="51">
        <v>1949000</v>
      </c>
      <c r="J57" s="51">
        <v>0</v>
      </c>
      <c r="K57" s="19"/>
      <c r="L57" s="46">
        <f t="shared" si="4"/>
        <v>12563300</v>
      </c>
      <c r="M57" s="72">
        <f t="shared" si="5"/>
        <v>0.3585356151502993</v>
      </c>
      <c r="N57" s="62"/>
      <c r="O57" s="2"/>
      <c r="P57" s="2"/>
    </row>
    <row r="58" spans="1:16" ht="12.75" customHeight="1">
      <c r="A58" s="23" t="s">
        <v>28</v>
      </c>
      <c r="B58" s="24"/>
      <c r="C58" s="25">
        <v>539800</v>
      </c>
      <c r="D58" s="25">
        <v>1138000</v>
      </c>
      <c r="E58" s="51">
        <v>0</v>
      </c>
      <c r="F58" s="51">
        <f>291500+1994233</f>
        <v>2285733</v>
      </c>
      <c r="G58" s="51">
        <v>421015</v>
      </c>
      <c r="H58" s="51">
        <v>97400</v>
      </c>
      <c r="I58" s="51">
        <v>269000</v>
      </c>
      <c r="J58" s="51">
        <v>0</v>
      </c>
      <c r="K58" s="19"/>
      <c r="L58" s="46">
        <f t="shared" si="4"/>
        <v>4750948</v>
      </c>
      <c r="M58" s="72">
        <f t="shared" si="5"/>
        <v>0.1355841270786405</v>
      </c>
      <c r="N58" s="62"/>
      <c r="O58" s="2"/>
      <c r="P58" s="2"/>
    </row>
    <row r="59" spans="1:16" ht="12.75" customHeight="1">
      <c r="A59" s="23" t="s">
        <v>29</v>
      </c>
      <c r="B59" s="24"/>
      <c r="C59" s="25">
        <v>7610376</v>
      </c>
      <c r="D59" s="25">
        <v>964988</v>
      </c>
      <c r="E59" s="51">
        <v>0</v>
      </c>
      <c r="F59" s="51">
        <v>7148410</v>
      </c>
      <c r="G59" s="51">
        <v>4646530</v>
      </c>
      <c r="H59" s="51">
        <v>8645280</v>
      </c>
      <c r="I59" s="51">
        <v>7038600</v>
      </c>
      <c r="J59" s="51">
        <v>0</v>
      </c>
      <c r="K59" s="19"/>
      <c r="L59" s="46">
        <f t="shared" si="4"/>
        <v>36054184</v>
      </c>
      <c r="M59" s="72">
        <f t="shared" si="5"/>
        <v>1.028926240651905</v>
      </c>
      <c r="N59" s="62"/>
      <c r="O59" s="2"/>
      <c r="P59" s="2"/>
    </row>
    <row r="60" spans="1:16" ht="12.75" customHeight="1">
      <c r="A60" s="23" t="s">
        <v>284</v>
      </c>
      <c r="B60" s="24"/>
      <c r="C60" s="25">
        <v>0</v>
      </c>
      <c r="D60" s="25">
        <v>0</v>
      </c>
      <c r="E60" s="51">
        <v>0</v>
      </c>
      <c r="F60" s="51">
        <v>0</v>
      </c>
      <c r="G60" s="51">
        <v>0</v>
      </c>
      <c r="H60" s="51">
        <v>0</v>
      </c>
      <c r="I60" s="51">
        <v>1026000</v>
      </c>
      <c r="J60" s="51">
        <v>0</v>
      </c>
      <c r="K60" s="19"/>
      <c r="L60" s="46">
        <f t="shared" si="4"/>
        <v>1026000</v>
      </c>
      <c r="M60" s="72">
        <f t="shared" si="5"/>
        <v>0.029280327712002983</v>
      </c>
      <c r="N60" s="62"/>
      <c r="O60" s="2"/>
      <c r="P60" s="2"/>
    </row>
    <row r="61" spans="1:16" ht="12.75" customHeight="1">
      <c r="A61" s="23" t="s">
        <v>187</v>
      </c>
      <c r="B61" s="24"/>
      <c r="C61" s="25">
        <v>976000</v>
      </c>
      <c r="D61" s="25">
        <v>170360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19"/>
      <c r="L61" s="46">
        <f t="shared" si="4"/>
        <v>1146360</v>
      </c>
      <c r="M61" s="72">
        <f t="shared" si="5"/>
        <v>0.03271520124359819</v>
      </c>
      <c r="N61" s="62"/>
      <c r="O61" s="2"/>
      <c r="P61" s="2"/>
    </row>
    <row r="62" spans="1:16" ht="12.75" customHeight="1">
      <c r="A62" s="23" t="s">
        <v>320</v>
      </c>
      <c r="B62" s="24"/>
      <c r="C62" s="25">
        <v>0</v>
      </c>
      <c r="D62" s="25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522500</v>
      </c>
      <c r="K62" s="19"/>
      <c r="L62" s="46">
        <f t="shared" si="4"/>
        <v>522500</v>
      </c>
      <c r="M62" s="72">
        <f t="shared" si="5"/>
        <v>0.014911278001483001</v>
      </c>
      <c r="N62" s="62"/>
      <c r="O62" s="2"/>
      <c r="P62" s="2"/>
    </row>
    <row r="63" spans="1:16" ht="12.75" customHeight="1">
      <c r="A63" s="23" t="s">
        <v>285</v>
      </c>
      <c r="B63" s="24"/>
      <c r="C63" s="25">
        <v>0</v>
      </c>
      <c r="D63" s="25">
        <v>0</v>
      </c>
      <c r="E63" s="51">
        <v>0</v>
      </c>
      <c r="F63" s="51">
        <v>0</v>
      </c>
      <c r="G63" s="51">
        <v>0</v>
      </c>
      <c r="H63" s="51">
        <v>0</v>
      </c>
      <c r="I63" s="51">
        <v>805914</v>
      </c>
      <c r="J63" s="51">
        <v>950443</v>
      </c>
      <c r="K63" s="19"/>
      <c r="L63" s="46">
        <f t="shared" si="4"/>
        <v>1756357</v>
      </c>
      <c r="M63" s="72">
        <f t="shared" si="5"/>
        <v>0.0501234976016281</v>
      </c>
      <c r="N63" s="62"/>
      <c r="O63" s="2"/>
      <c r="P63" s="2"/>
    </row>
    <row r="64" spans="1:16" ht="12.75" customHeight="1">
      <c r="A64" s="23" t="s">
        <v>174</v>
      </c>
      <c r="B64" s="24"/>
      <c r="C64" s="25">
        <v>600000</v>
      </c>
      <c r="D64" s="25">
        <v>0</v>
      </c>
      <c r="E64" s="51">
        <v>0</v>
      </c>
      <c r="F64" s="51">
        <v>0</v>
      </c>
      <c r="G64" s="51">
        <v>1453000</v>
      </c>
      <c r="H64" s="51">
        <v>0</v>
      </c>
      <c r="I64" s="51">
        <v>2144000</v>
      </c>
      <c r="J64" s="51">
        <v>0</v>
      </c>
      <c r="K64" s="19"/>
      <c r="L64" s="46">
        <f t="shared" si="4"/>
        <v>4197000</v>
      </c>
      <c r="M64" s="72">
        <f t="shared" si="5"/>
        <v>0.1197753756406204</v>
      </c>
      <c r="N64" s="62"/>
      <c r="O64" s="2"/>
      <c r="P64" s="2"/>
    </row>
    <row r="65" spans="1:16" ht="12.75" customHeight="1">
      <c r="A65" s="23" t="s">
        <v>237</v>
      </c>
      <c r="B65" s="24"/>
      <c r="C65" s="25">
        <v>0</v>
      </c>
      <c r="D65" s="25">
        <v>0</v>
      </c>
      <c r="E65" s="51">
        <v>0</v>
      </c>
      <c r="F65" s="51">
        <v>0</v>
      </c>
      <c r="G65" s="51">
        <v>212288</v>
      </c>
      <c r="H65" s="51">
        <v>0</v>
      </c>
      <c r="I65" s="51">
        <v>0</v>
      </c>
      <c r="J65" s="51">
        <v>0</v>
      </c>
      <c r="K65" s="19"/>
      <c r="L65" s="46">
        <f t="shared" si="4"/>
        <v>212288</v>
      </c>
      <c r="M65" s="72">
        <f t="shared" si="5"/>
        <v>0.006058345233260906</v>
      </c>
      <c r="N65" s="62"/>
      <c r="O65" s="2"/>
      <c r="P65" s="2"/>
    </row>
    <row r="66" spans="1:16" ht="12.75" customHeight="1">
      <c r="A66" s="26" t="s">
        <v>319</v>
      </c>
      <c r="B66" s="27"/>
      <c r="C66" s="28">
        <v>710573523</v>
      </c>
      <c r="D66" s="28">
        <f aca="true" t="shared" si="6" ref="D66:J66">SUM(D28:D65)</f>
        <v>100145729</v>
      </c>
      <c r="E66" s="28">
        <f t="shared" si="6"/>
        <v>378945911</v>
      </c>
      <c r="F66" s="50">
        <f t="shared" si="6"/>
        <v>661601844</v>
      </c>
      <c r="G66" s="50">
        <f t="shared" si="6"/>
        <v>639173582</v>
      </c>
      <c r="H66" s="50">
        <f t="shared" si="6"/>
        <v>424498092</v>
      </c>
      <c r="I66" s="50">
        <f t="shared" si="6"/>
        <v>253142433</v>
      </c>
      <c r="J66" s="50">
        <f t="shared" si="6"/>
        <v>335978028</v>
      </c>
      <c r="K66" s="28"/>
      <c r="L66" s="56">
        <f>SUM(L28:L65)</f>
        <v>3504059142</v>
      </c>
      <c r="M66" s="73">
        <f>(L66/(L$403)*100)</f>
        <v>33.96924402685574</v>
      </c>
      <c r="N66" s="63"/>
      <c r="O66" s="2"/>
      <c r="P66" s="2"/>
    </row>
    <row r="67" spans="1:16" ht="12.75" customHeight="1">
      <c r="A67" s="16"/>
      <c r="B67" s="17"/>
      <c r="C67" s="25"/>
      <c r="D67" s="25"/>
      <c r="E67" s="51"/>
      <c r="F67" s="51"/>
      <c r="G67" s="51"/>
      <c r="H67" s="51"/>
      <c r="I67" s="51"/>
      <c r="J67" s="51"/>
      <c r="K67" s="19"/>
      <c r="L67" s="46"/>
      <c r="M67" s="46"/>
      <c r="N67" s="62"/>
      <c r="O67" s="2"/>
      <c r="P67" s="2"/>
    </row>
    <row r="68" spans="1:16" ht="12.75" customHeight="1">
      <c r="A68" s="23" t="s">
        <v>224</v>
      </c>
      <c r="B68" s="24"/>
      <c r="C68" s="25">
        <v>0</v>
      </c>
      <c r="D68" s="25">
        <v>0</v>
      </c>
      <c r="E68" s="51">
        <v>0</v>
      </c>
      <c r="F68" s="51">
        <v>1071000</v>
      </c>
      <c r="G68" s="51">
        <v>0</v>
      </c>
      <c r="H68" s="51">
        <v>0</v>
      </c>
      <c r="I68" s="51">
        <v>0</v>
      </c>
      <c r="J68" s="51">
        <v>0</v>
      </c>
      <c r="K68" s="19"/>
      <c r="L68" s="46">
        <f>SUM(C68:K68)</f>
        <v>1071000</v>
      </c>
      <c r="M68" s="72">
        <f>(L68/L$73)*100</f>
        <v>1.2300597946882046</v>
      </c>
      <c r="N68" s="62"/>
      <c r="O68" s="2"/>
      <c r="P68" s="2"/>
    </row>
    <row r="69" spans="1:16" ht="12.75" customHeight="1">
      <c r="A69" s="23" t="s">
        <v>146</v>
      </c>
      <c r="B69" s="24"/>
      <c r="C69" s="25">
        <v>0</v>
      </c>
      <c r="D69" s="25">
        <v>156000</v>
      </c>
      <c r="E69" s="51">
        <v>30000</v>
      </c>
      <c r="F69" s="51">
        <v>1056592</v>
      </c>
      <c r="G69" s="51">
        <v>1987881</v>
      </c>
      <c r="H69" s="51">
        <v>647007</v>
      </c>
      <c r="I69" s="51">
        <v>1057370</v>
      </c>
      <c r="J69" s="51">
        <v>2083896</v>
      </c>
      <c r="K69" s="19"/>
      <c r="L69" s="46">
        <f>SUM(C69:K69)</f>
        <v>7018746</v>
      </c>
      <c r="M69" s="72">
        <f>(L69/L$73)*100</f>
        <v>8.06113656744039</v>
      </c>
      <c r="N69" s="62"/>
      <c r="O69" s="2"/>
      <c r="P69" s="2"/>
    </row>
    <row r="70" spans="1:16" ht="12.75" customHeight="1">
      <c r="A70" s="23" t="s">
        <v>30</v>
      </c>
      <c r="B70" s="24"/>
      <c r="C70" s="25">
        <v>3396000</v>
      </c>
      <c r="D70" s="25">
        <f>2344000+6000000</f>
        <v>8344000</v>
      </c>
      <c r="E70" s="51">
        <v>3656000</v>
      </c>
      <c r="F70" s="51">
        <v>27842000</v>
      </c>
      <c r="G70" s="51">
        <v>2549000</v>
      </c>
      <c r="H70" s="51">
        <v>8162000</v>
      </c>
      <c r="I70" s="51">
        <v>13280292</v>
      </c>
      <c r="J70" s="51">
        <v>10519000</v>
      </c>
      <c r="K70" s="19"/>
      <c r="L70" s="46">
        <f>SUM(C70:K70)</f>
        <v>77748292</v>
      </c>
      <c r="M70" s="72">
        <f>(L70/L$73)*100</f>
        <v>89.29509626039082</v>
      </c>
      <c r="N70" s="62"/>
      <c r="O70" s="2"/>
      <c r="P70" s="2"/>
    </row>
    <row r="71" spans="1:16" ht="12.75" customHeight="1">
      <c r="A71" s="23" t="s">
        <v>31</v>
      </c>
      <c r="B71" s="24"/>
      <c r="C71" s="25">
        <v>0</v>
      </c>
      <c r="D71" s="25">
        <v>1000000</v>
      </c>
      <c r="E71" s="51">
        <v>20000</v>
      </c>
      <c r="F71" s="51">
        <v>0</v>
      </c>
      <c r="G71" s="51">
        <v>0</v>
      </c>
      <c r="H71" s="51">
        <v>0</v>
      </c>
      <c r="I71" s="51">
        <v>70900</v>
      </c>
      <c r="J71" s="51">
        <v>0</v>
      </c>
      <c r="K71" s="19"/>
      <c r="L71" s="46">
        <f>SUM(C71:K71)</f>
        <v>1090900</v>
      </c>
      <c r="M71" s="72">
        <f>(L71/L$73)*100</f>
        <v>1.252915247455987</v>
      </c>
      <c r="N71" s="62"/>
      <c r="O71" s="2"/>
      <c r="P71" s="2"/>
    </row>
    <row r="72" spans="1:16" ht="12.75" customHeight="1">
      <c r="A72" s="23" t="s">
        <v>166</v>
      </c>
      <c r="B72" s="24"/>
      <c r="C72" s="25">
        <v>140000</v>
      </c>
      <c r="D72" s="25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19"/>
      <c r="L72" s="46">
        <f>SUM(C72:K72)</f>
        <v>140000</v>
      </c>
      <c r="M72" s="72">
        <f>(L72/L$73)*100</f>
        <v>0.16079213002460188</v>
      </c>
      <c r="N72" s="62"/>
      <c r="O72" s="2"/>
      <c r="P72" s="2"/>
    </row>
    <row r="73" spans="1:16" ht="12.75" customHeight="1">
      <c r="A73" s="26" t="s">
        <v>262</v>
      </c>
      <c r="B73" s="27"/>
      <c r="C73" s="28">
        <v>3536000</v>
      </c>
      <c r="D73" s="28">
        <f aca="true" t="shared" si="7" ref="D73:J73">SUM(D67:D72)</f>
        <v>9500000</v>
      </c>
      <c r="E73" s="28">
        <f t="shared" si="7"/>
        <v>3706000</v>
      </c>
      <c r="F73" s="50">
        <f t="shared" si="7"/>
        <v>29969592</v>
      </c>
      <c r="G73" s="50">
        <f t="shared" si="7"/>
        <v>4536881</v>
      </c>
      <c r="H73" s="50">
        <f t="shared" si="7"/>
        <v>8809007</v>
      </c>
      <c r="I73" s="50">
        <f t="shared" si="7"/>
        <v>14408562</v>
      </c>
      <c r="J73" s="50">
        <f t="shared" si="7"/>
        <v>12602896</v>
      </c>
      <c r="K73" s="28"/>
      <c r="L73" s="56">
        <f>SUM(L67:L72)</f>
        <v>87068938</v>
      </c>
      <c r="M73" s="73">
        <f>(L73/(L$403)*100)</f>
        <v>0.8440685166041563</v>
      </c>
      <c r="N73" s="63"/>
      <c r="O73" s="2"/>
      <c r="P73" s="2"/>
    </row>
    <row r="74" spans="1:16" ht="12.75" customHeight="1">
      <c r="A74" s="16"/>
      <c r="B74" s="17"/>
      <c r="C74" s="25"/>
      <c r="D74" s="25"/>
      <c r="E74" s="51"/>
      <c r="F74" s="51"/>
      <c r="G74" s="51"/>
      <c r="H74" s="51"/>
      <c r="I74" s="51"/>
      <c r="J74" s="51"/>
      <c r="K74" s="19"/>
      <c r="L74" s="46"/>
      <c r="M74" s="46"/>
      <c r="N74" s="62"/>
      <c r="O74" s="2"/>
      <c r="P74" s="2"/>
    </row>
    <row r="75" spans="1:16" ht="12.75" customHeight="1">
      <c r="A75" s="23" t="s">
        <v>321</v>
      </c>
      <c r="B75" s="24"/>
      <c r="C75" s="25">
        <v>0</v>
      </c>
      <c r="D75" s="25">
        <v>0</v>
      </c>
      <c r="E75" s="51">
        <v>0</v>
      </c>
      <c r="F75" s="51">
        <v>10000000</v>
      </c>
      <c r="G75" s="51">
        <v>0</v>
      </c>
      <c r="H75" s="51">
        <v>1320000</v>
      </c>
      <c r="I75" s="51">
        <v>0</v>
      </c>
      <c r="J75" s="51">
        <v>2000000</v>
      </c>
      <c r="K75" s="19"/>
      <c r="L75" s="46">
        <f aca="true" t="shared" si="8" ref="L75:L80">SUM(C75:K75)</f>
        <v>13320000</v>
      </c>
      <c r="M75" s="72">
        <f aca="true" t="shared" si="9" ref="M75:M80">(L75/L$81)*100</f>
        <v>10.056347861212615</v>
      </c>
      <c r="N75" s="62"/>
      <c r="O75" s="2"/>
      <c r="P75" s="2"/>
    </row>
    <row r="76" spans="1:16" ht="12.75" customHeight="1">
      <c r="A76" s="23" t="s">
        <v>32</v>
      </c>
      <c r="B76" s="24"/>
      <c r="C76" s="25">
        <v>28437748</v>
      </c>
      <c r="D76" s="25">
        <v>0</v>
      </c>
      <c r="E76" s="51">
        <v>640000</v>
      </c>
      <c r="F76" s="51">
        <v>0</v>
      </c>
      <c r="G76" s="51">
        <v>30412400</v>
      </c>
      <c r="H76" s="51">
        <v>0</v>
      </c>
      <c r="I76" s="51">
        <v>18515556</v>
      </c>
      <c r="J76" s="51">
        <v>0</v>
      </c>
      <c r="K76" s="19"/>
      <c r="L76" s="46">
        <f t="shared" si="8"/>
        <v>78005704</v>
      </c>
      <c r="M76" s="72">
        <f t="shared" si="9"/>
        <v>58.89282992363246</v>
      </c>
      <c r="N76" s="62"/>
      <c r="O76" s="2"/>
      <c r="P76" s="2"/>
    </row>
    <row r="77" spans="1:16" ht="12.75" customHeight="1">
      <c r="A77" s="23" t="s">
        <v>202</v>
      </c>
      <c r="B77" s="24"/>
      <c r="C77" s="25">
        <v>8824232</v>
      </c>
      <c r="D77" s="25">
        <v>0</v>
      </c>
      <c r="E77" s="51">
        <v>1520000</v>
      </c>
      <c r="F77" s="51">
        <v>0</v>
      </c>
      <c r="G77" s="51">
        <v>406000</v>
      </c>
      <c r="H77" s="51">
        <v>168000</v>
      </c>
      <c r="I77" s="51">
        <v>0</v>
      </c>
      <c r="J77" s="51">
        <v>0</v>
      </c>
      <c r="K77" s="19"/>
      <c r="L77" s="46">
        <f t="shared" si="8"/>
        <v>10918232</v>
      </c>
      <c r="M77" s="72">
        <f t="shared" si="9"/>
        <v>8.243058485091828</v>
      </c>
      <c r="N77" s="62"/>
      <c r="O77" s="2"/>
      <c r="P77" s="2"/>
    </row>
    <row r="78" spans="1:16" ht="12.75" customHeight="1">
      <c r="A78" s="23" t="s">
        <v>203</v>
      </c>
      <c r="B78" s="24"/>
      <c r="C78" s="25">
        <v>120000</v>
      </c>
      <c r="D78" s="25">
        <v>0</v>
      </c>
      <c r="E78" s="51">
        <v>0</v>
      </c>
      <c r="F78" s="51">
        <v>12248000</v>
      </c>
      <c r="G78" s="51">
        <v>9545556</v>
      </c>
      <c r="H78" s="51">
        <v>320000</v>
      </c>
      <c r="I78" s="51">
        <v>0</v>
      </c>
      <c r="J78" s="51">
        <v>0</v>
      </c>
      <c r="K78" s="19"/>
      <c r="L78" s="46">
        <f t="shared" si="8"/>
        <v>22233556</v>
      </c>
      <c r="M78" s="72">
        <f t="shared" si="9"/>
        <v>16.785913913494813</v>
      </c>
      <c r="N78" s="62"/>
      <c r="O78" s="2"/>
      <c r="P78" s="2"/>
    </row>
    <row r="79" spans="1:16" ht="12.75" customHeight="1">
      <c r="A79" s="23" t="s">
        <v>33</v>
      </c>
      <c r="B79" s="24"/>
      <c r="C79" s="25">
        <v>2620000</v>
      </c>
      <c r="D79" s="25">
        <v>0</v>
      </c>
      <c r="E79" s="51">
        <v>0</v>
      </c>
      <c r="F79" s="51">
        <v>0</v>
      </c>
      <c r="G79" s="51">
        <v>0</v>
      </c>
      <c r="H79" s="51">
        <v>5236160</v>
      </c>
      <c r="I79" s="51">
        <v>0</v>
      </c>
      <c r="J79" s="51">
        <v>0</v>
      </c>
      <c r="K79" s="19"/>
      <c r="L79" s="46">
        <f t="shared" si="8"/>
        <v>7856160</v>
      </c>
      <c r="M79" s="72">
        <f t="shared" si="9"/>
        <v>5.931252088088896</v>
      </c>
      <c r="N79" s="62"/>
      <c r="O79" s="2"/>
      <c r="P79" s="2"/>
    </row>
    <row r="80" spans="1:16" ht="12.75" customHeight="1">
      <c r="A80" s="23" t="s">
        <v>238</v>
      </c>
      <c r="B80" s="24"/>
      <c r="C80" s="25">
        <v>0</v>
      </c>
      <c r="D80" s="25">
        <v>0</v>
      </c>
      <c r="E80" s="51">
        <v>0</v>
      </c>
      <c r="F80" s="51">
        <v>0</v>
      </c>
      <c r="G80" s="51">
        <v>120000</v>
      </c>
      <c r="H80" s="51">
        <v>0</v>
      </c>
      <c r="I80" s="51">
        <v>0</v>
      </c>
      <c r="J80" s="51">
        <v>0</v>
      </c>
      <c r="K80" s="19"/>
      <c r="L80" s="46">
        <f t="shared" si="8"/>
        <v>120000</v>
      </c>
      <c r="M80" s="72">
        <f t="shared" si="9"/>
        <v>0.09059772847939293</v>
      </c>
      <c r="N80" s="62"/>
      <c r="O80" s="2"/>
      <c r="P80" s="2"/>
    </row>
    <row r="81" spans="1:16" ht="12.75" customHeight="1">
      <c r="A81" s="26" t="s">
        <v>343</v>
      </c>
      <c r="B81" s="27"/>
      <c r="C81" s="28">
        <v>40001980</v>
      </c>
      <c r="D81" s="28">
        <f aca="true" t="shared" si="10" ref="D81:J81">SUM(D74:D80)</f>
        <v>0</v>
      </c>
      <c r="E81" s="28">
        <f t="shared" si="10"/>
        <v>2160000</v>
      </c>
      <c r="F81" s="50">
        <f t="shared" si="10"/>
        <v>22248000</v>
      </c>
      <c r="G81" s="50">
        <f t="shared" si="10"/>
        <v>40483956</v>
      </c>
      <c r="H81" s="50">
        <f t="shared" si="10"/>
        <v>7044160</v>
      </c>
      <c r="I81" s="50">
        <f t="shared" si="10"/>
        <v>18515556</v>
      </c>
      <c r="J81" s="50">
        <f t="shared" si="10"/>
        <v>2000000</v>
      </c>
      <c r="K81" s="28"/>
      <c r="L81" s="56">
        <f>SUM(L74:L80)</f>
        <v>132453652</v>
      </c>
      <c r="M81" s="73">
        <f>(L81/(L$403)*100)</f>
        <v>1.2840395223660948</v>
      </c>
      <c r="N81" s="63"/>
      <c r="O81" s="2"/>
      <c r="P81" s="2"/>
    </row>
    <row r="82" spans="1:16" ht="12.75" customHeight="1">
      <c r="A82" s="16"/>
      <c r="B82" s="17"/>
      <c r="C82" s="25"/>
      <c r="D82" s="25"/>
      <c r="E82" s="51"/>
      <c r="F82" s="51"/>
      <c r="G82" s="51"/>
      <c r="H82" s="51"/>
      <c r="I82" s="51"/>
      <c r="J82" s="51"/>
      <c r="K82" s="19"/>
      <c r="L82" s="46"/>
      <c r="M82" s="46"/>
      <c r="N82" s="62"/>
      <c r="O82" s="2"/>
      <c r="P82" s="2"/>
    </row>
    <row r="83" spans="1:16" ht="12.75" customHeight="1">
      <c r="A83" s="30" t="s">
        <v>147</v>
      </c>
      <c r="B83" s="31"/>
      <c r="C83" s="25">
        <v>71416439</v>
      </c>
      <c r="D83" s="25">
        <f>76000+2400000</f>
        <v>2476000</v>
      </c>
      <c r="E83" s="51">
        <v>5432400</v>
      </c>
      <c r="F83" s="51">
        <v>13330939</v>
      </c>
      <c r="G83" s="51">
        <v>0</v>
      </c>
      <c r="H83" s="51">
        <v>32770207</v>
      </c>
      <c r="I83" s="51">
        <v>5624851</v>
      </c>
      <c r="J83" s="51">
        <v>6584774</v>
      </c>
      <c r="K83" s="19"/>
      <c r="L83" s="46">
        <f>SUM(C83:K83)</f>
        <v>137635610</v>
      </c>
      <c r="M83" s="72">
        <f>(L83/L$84)*100</f>
        <v>100</v>
      </c>
      <c r="N83" s="62"/>
      <c r="O83" s="2"/>
      <c r="P83" s="2"/>
    </row>
    <row r="84" spans="1:16" ht="12.75" customHeight="1">
      <c r="A84" s="26" t="s">
        <v>263</v>
      </c>
      <c r="B84" s="27"/>
      <c r="C84" s="29">
        <v>71416439</v>
      </c>
      <c r="D84" s="29">
        <f aca="true" t="shared" si="11" ref="D84:J84">SUM(D83)</f>
        <v>2476000</v>
      </c>
      <c r="E84" s="50">
        <f t="shared" si="11"/>
        <v>5432400</v>
      </c>
      <c r="F84" s="50">
        <f t="shared" si="11"/>
        <v>13330939</v>
      </c>
      <c r="G84" s="50">
        <f t="shared" si="11"/>
        <v>0</v>
      </c>
      <c r="H84" s="50">
        <f t="shared" si="11"/>
        <v>32770207</v>
      </c>
      <c r="I84" s="50">
        <f t="shared" si="11"/>
        <v>5624851</v>
      </c>
      <c r="J84" s="50">
        <f t="shared" si="11"/>
        <v>6584774</v>
      </c>
      <c r="K84" s="28"/>
      <c r="L84" s="56">
        <f>SUM(L83)</f>
        <v>137635610</v>
      </c>
      <c r="M84" s="73">
        <f>(L84/(L$403)*100)</f>
        <v>1.3342747463464888</v>
      </c>
      <c r="N84" s="63"/>
      <c r="O84" s="2"/>
      <c r="P84" s="2"/>
    </row>
    <row r="85" spans="1:16" ht="12.75" customHeight="1">
      <c r="A85" s="16"/>
      <c r="B85" s="17"/>
      <c r="C85" s="25"/>
      <c r="D85" s="25"/>
      <c r="E85" s="51"/>
      <c r="F85" s="51"/>
      <c r="G85" s="51"/>
      <c r="H85" s="51"/>
      <c r="I85" s="51"/>
      <c r="J85" s="51"/>
      <c r="K85" s="19"/>
      <c r="L85" s="46"/>
      <c r="M85" s="46"/>
      <c r="N85" s="62"/>
      <c r="O85" s="2"/>
      <c r="P85" s="2"/>
    </row>
    <row r="86" spans="1:16" ht="12.75" customHeight="1">
      <c r="A86" s="23" t="s">
        <v>286</v>
      </c>
      <c r="B86" s="24"/>
      <c r="C86" s="25">
        <v>0</v>
      </c>
      <c r="D86" s="25">
        <v>0</v>
      </c>
      <c r="E86" s="51">
        <v>0</v>
      </c>
      <c r="F86" s="51">
        <v>0</v>
      </c>
      <c r="G86" s="51">
        <v>2250000</v>
      </c>
      <c r="H86" s="51">
        <v>0</v>
      </c>
      <c r="I86" s="51">
        <v>0</v>
      </c>
      <c r="J86" s="51">
        <v>0</v>
      </c>
      <c r="K86" s="19"/>
      <c r="L86" s="46">
        <f aca="true" t="shared" si="12" ref="L86:L95">SUM(C86:K86)</f>
        <v>2250000</v>
      </c>
      <c r="M86" s="72">
        <f aca="true" t="shared" si="13" ref="M86:M95">(L86/L$96)*100</f>
        <v>0.9172688706667199</v>
      </c>
      <c r="N86" s="62"/>
      <c r="O86" s="2"/>
      <c r="P86" s="2"/>
    </row>
    <row r="87" spans="1:16" ht="12.75" customHeight="1">
      <c r="A87" s="23" t="s">
        <v>287</v>
      </c>
      <c r="B87" s="24"/>
      <c r="C87" s="25">
        <v>633750</v>
      </c>
      <c r="D87" s="25">
        <v>0</v>
      </c>
      <c r="E87" s="51">
        <v>693000</v>
      </c>
      <c r="F87" s="51">
        <v>0</v>
      </c>
      <c r="G87" s="51">
        <v>0</v>
      </c>
      <c r="H87" s="51">
        <v>799950</v>
      </c>
      <c r="I87" s="51">
        <v>799950</v>
      </c>
      <c r="J87" s="51">
        <v>622350</v>
      </c>
      <c r="K87" s="19"/>
      <c r="L87" s="46">
        <f t="shared" si="12"/>
        <v>3549000</v>
      </c>
      <c r="M87" s="72">
        <f t="shared" si="13"/>
        <v>1.4468387653316395</v>
      </c>
      <c r="N87" s="62"/>
      <c r="O87" s="2"/>
      <c r="P87" s="2"/>
    </row>
    <row r="88" spans="1:16" ht="12.75" customHeight="1">
      <c r="A88" s="23" t="s">
        <v>225</v>
      </c>
      <c r="B88" s="24"/>
      <c r="C88" s="25">
        <v>0</v>
      </c>
      <c r="D88" s="25">
        <v>0</v>
      </c>
      <c r="E88" s="51">
        <v>0</v>
      </c>
      <c r="F88" s="51">
        <v>1875000</v>
      </c>
      <c r="G88" s="51">
        <v>0</v>
      </c>
      <c r="H88" s="51">
        <v>2000000</v>
      </c>
      <c r="I88" s="51">
        <v>0</v>
      </c>
      <c r="J88" s="51">
        <v>0</v>
      </c>
      <c r="K88" s="19"/>
      <c r="L88" s="46">
        <f t="shared" si="12"/>
        <v>3875000</v>
      </c>
      <c r="M88" s="72">
        <f t="shared" si="13"/>
        <v>1.5797408328149065</v>
      </c>
      <c r="N88" s="62"/>
      <c r="O88" s="2"/>
      <c r="P88" s="2"/>
    </row>
    <row r="89" spans="1:16" ht="12.75" customHeight="1">
      <c r="A89" s="23" t="s">
        <v>204</v>
      </c>
      <c r="B89" s="24"/>
      <c r="C89" s="25">
        <v>0</v>
      </c>
      <c r="D89" s="25">
        <v>0</v>
      </c>
      <c r="E89" s="51">
        <v>2066000</v>
      </c>
      <c r="F89" s="51">
        <v>4000000</v>
      </c>
      <c r="G89" s="51">
        <v>5000000</v>
      </c>
      <c r="H89" s="51">
        <v>3875000</v>
      </c>
      <c r="I89" s="51">
        <v>2290000</v>
      </c>
      <c r="J89" s="51">
        <v>0</v>
      </c>
      <c r="K89" s="19"/>
      <c r="L89" s="46">
        <f t="shared" si="12"/>
        <v>17231000</v>
      </c>
      <c r="M89" s="72">
        <f t="shared" si="13"/>
        <v>7.024648849092556</v>
      </c>
      <c r="N89" s="62"/>
      <c r="O89" s="2"/>
      <c r="P89" s="2"/>
    </row>
    <row r="90" spans="1:16" ht="12.75" customHeight="1">
      <c r="A90" s="23" t="s">
        <v>323</v>
      </c>
      <c r="B90" s="24"/>
      <c r="C90" s="25">
        <v>0</v>
      </c>
      <c r="D90" s="25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250000</v>
      </c>
      <c r="K90" s="19"/>
      <c r="L90" s="46">
        <f t="shared" si="12"/>
        <v>250000</v>
      </c>
      <c r="M90" s="72">
        <f t="shared" si="13"/>
        <v>0.10191876340741332</v>
      </c>
      <c r="N90" s="62"/>
      <c r="O90" s="2"/>
      <c r="P90" s="2"/>
    </row>
    <row r="91" spans="1:16" ht="12.75" customHeight="1">
      <c r="A91" s="23" t="s">
        <v>205</v>
      </c>
      <c r="B91" s="24"/>
      <c r="C91" s="25">
        <v>3962800</v>
      </c>
      <c r="D91" s="25">
        <v>8181130</v>
      </c>
      <c r="E91" s="51">
        <v>0</v>
      </c>
      <c r="F91" s="51">
        <v>26592820</v>
      </c>
      <c r="G91" s="51">
        <v>9035196</v>
      </c>
      <c r="H91" s="51">
        <v>14268131</v>
      </c>
      <c r="I91" s="51">
        <v>1518000</v>
      </c>
      <c r="J91" s="51">
        <v>15000000</v>
      </c>
      <c r="K91" s="19"/>
      <c r="L91" s="46">
        <f t="shared" si="12"/>
        <v>78558077</v>
      </c>
      <c r="M91" s="72">
        <f t="shared" si="13"/>
        <v>32.026168254017435</v>
      </c>
      <c r="N91" s="62"/>
      <c r="O91" s="2"/>
      <c r="P91" s="2"/>
    </row>
    <row r="92" spans="1:16" ht="12.75" customHeight="1">
      <c r="A92" s="23" t="s">
        <v>34</v>
      </c>
      <c r="B92" s="24"/>
      <c r="C92" s="25">
        <v>600000</v>
      </c>
      <c r="D92" s="25">
        <v>3032016</v>
      </c>
      <c r="E92" s="51">
        <v>2301318</v>
      </c>
      <c r="F92" s="51">
        <v>1536300</v>
      </c>
      <c r="G92" s="51">
        <v>1950000</v>
      </c>
      <c r="H92" s="51">
        <v>3206400</v>
      </c>
      <c r="I92" s="51">
        <v>4488960</v>
      </c>
      <c r="J92" s="51">
        <v>3492000</v>
      </c>
      <c r="K92" s="19"/>
      <c r="L92" s="46">
        <f t="shared" si="12"/>
        <v>20606994</v>
      </c>
      <c r="M92" s="72">
        <f t="shared" si="13"/>
        <v>8.400957384095944</v>
      </c>
      <c r="N92" s="62"/>
      <c r="O92" s="2"/>
      <c r="P92" s="2"/>
    </row>
    <row r="93" spans="1:16" ht="12.75" customHeight="1">
      <c r="A93" s="23" t="s">
        <v>206</v>
      </c>
      <c r="B93" s="24"/>
      <c r="C93" s="25">
        <v>0</v>
      </c>
      <c r="D93" s="25">
        <f>1325667+128945</f>
        <v>1454612</v>
      </c>
      <c r="E93" s="51">
        <v>0</v>
      </c>
      <c r="F93" s="51">
        <v>0</v>
      </c>
      <c r="G93" s="51">
        <v>0</v>
      </c>
      <c r="H93" s="51">
        <v>337500</v>
      </c>
      <c r="I93" s="51">
        <v>1875000</v>
      </c>
      <c r="J93" s="51">
        <v>0</v>
      </c>
      <c r="K93" s="19"/>
      <c r="L93" s="46">
        <f t="shared" si="12"/>
        <v>3667112</v>
      </c>
      <c r="M93" s="72">
        <f t="shared" si="13"/>
        <v>1.4949900812659451</v>
      </c>
      <c r="N93" s="62"/>
      <c r="O93" s="2"/>
      <c r="P93" s="2"/>
    </row>
    <row r="94" spans="1:16" ht="12.75" customHeight="1">
      <c r="A94" s="23" t="s">
        <v>198</v>
      </c>
      <c r="B94" s="24"/>
      <c r="C94" s="25">
        <v>22021402</v>
      </c>
      <c r="D94" s="25">
        <v>407198</v>
      </c>
      <c r="E94" s="51">
        <v>17869750</v>
      </c>
      <c r="F94" s="51">
        <v>7321250</v>
      </c>
      <c r="G94" s="51">
        <v>2700000</v>
      </c>
      <c r="H94" s="51">
        <v>6232000</v>
      </c>
      <c r="I94" s="51">
        <v>8600000</v>
      </c>
      <c r="J94" s="51">
        <v>675000</v>
      </c>
      <c r="K94" s="19"/>
      <c r="L94" s="46">
        <f t="shared" si="12"/>
        <v>65826600</v>
      </c>
      <c r="M94" s="72">
        <f t="shared" si="13"/>
        <v>26.835862685257737</v>
      </c>
      <c r="N94" s="62"/>
      <c r="O94" s="2"/>
      <c r="P94" s="2"/>
    </row>
    <row r="95" spans="1:16" ht="12.75" customHeight="1">
      <c r="A95" s="23" t="s">
        <v>207</v>
      </c>
      <c r="B95" s="24"/>
      <c r="C95" s="25">
        <v>0</v>
      </c>
      <c r="D95" s="25">
        <v>0</v>
      </c>
      <c r="E95" s="51">
        <v>48617</v>
      </c>
      <c r="F95" s="51">
        <v>4431000</v>
      </c>
      <c r="G95" s="51">
        <v>0</v>
      </c>
      <c r="H95" s="51">
        <v>45000000</v>
      </c>
      <c r="I95" s="51">
        <v>0</v>
      </c>
      <c r="J95" s="51">
        <v>0</v>
      </c>
      <c r="K95" s="19"/>
      <c r="L95" s="46">
        <f t="shared" si="12"/>
        <v>49479617</v>
      </c>
      <c r="M95" s="72">
        <f t="shared" si="13"/>
        <v>20.171605514049705</v>
      </c>
      <c r="N95" s="62"/>
      <c r="O95" s="2"/>
      <c r="P95" s="2"/>
    </row>
    <row r="96" spans="1:16" ht="12.75" customHeight="1">
      <c r="A96" s="26" t="s">
        <v>322</v>
      </c>
      <c r="B96" s="27"/>
      <c r="C96" s="28">
        <v>27217952</v>
      </c>
      <c r="D96" s="28">
        <f aca="true" t="shared" si="14" ref="D96:J96">SUM(D85:D95)</f>
        <v>13074956</v>
      </c>
      <c r="E96" s="50">
        <f t="shared" si="14"/>
        <v>22978685</v>
      </c>
      <c r="F96" s="50">
        <f t="shared" si="14"/>
        <v>45756370</v>
      </c>
      <c r="G96" s="50">
        <f t="shared" si="14"/>
        <v>20935196</v>
      </c>
      <c r="H96" s="50">
        <f t="shared" si="14"/>
        <v>75718981</v>
      </c>
      <c r="I96" s="50">
        <f t="shared" si="14"/>
        <v>19571910</v>
      </c>
      <c r="J96" s="50">
        <f t="shared" si="14"/>
        <v>20039350</v>
      </c>
      <c r="K96" s="28"/>
      <c r="L96" s="56">
        <f>SUM(L85:L95)</f>
        <v>245293400</v>
      </c>
      <c r="M96" s="73">
        <f>(L96/(L$403)*100)</f>
        <v>2.3779368512659467</v>
      </c>
      <c r="N96" s="63"/>
      <c r="O96" s="2"/>
      <c r="P96" s="2"/>
    </row>
    <row r="97" spans="1:16" ht="12.75" customHeight="1">
      <c r="A97" s="16"/>
      <c r="B97" s="17"/>
      <c r="C97" s="25"/>
      <c r="D97" s="25"/>
      <c r="E97" s="51"/>
      <c r="F97" s="51"/>
      <c r="G97" s="51"/>
      <c r="H97" s="51"/>
      <c r="I97" s="51"/>
      <c r="J97" s="51"/>
      <c r="K97" s="19"/>
      <c r="L97" s="46"/>
      <c r="M97" s="46"/>
      <c r="N97" s="62"/>
      <c r="O97" s="2"/>
      <c r="P97" s="2"/>
    </row>
    <row r="98" spans="1:16" ht="12.75" customHeight="1">
      <c r="A98" s="23" t="s">
        <v>288</v>
      </c>
      <c r="B98" s="24"/>
      <c r="C98" s="25">
        <v>110000</v>
      </c>
      <c r="D98" s="25">
        <v>0</v>
      </c>
      <c r="E98" s="51">
        <v>0</v>
      </c>
      <c r="F98" s="51">
        <v>0</v>
      </c>
      <c r="G98" s="51">
        <v>584000</v>
      </c>
      <c r="H98" s="51">
        <v>264000</v>
      </c>
      <c r="I98" s="51">
        <v>0</v>
      </c>
      <c r="J98" s="51">
        <v>0</v>
      </c>
      <c r="K98" s="19"/>
      <c r="L98" s="46">
        <f>SUM(C98:K98)</f>
        <v>958000</v>
      </c>
      <c r="M98" s="72">
        <f>(L98/L$103)*100</f>
        <v>0.41078380555940486</v>
      </c>
      <c r="N98" s="62"/>
      <c r="O98" s="2"/>
      <c r="P98" s="2"/>
    </row>
    <row r="99" spans="1:16" ht="12.75" customHeight="1">
      <c r="A99" s="23" t="s">
        <v>35</v>
      </c>
      <c r="B99" s="24"/>
      <c r="C99" s="25">
        <v>13929221</v>
      </c>
      <c r="D99" s="25">
        <f>304832+2616000+664000+300000+2895168</f>
        <v>6780000</v>
      </c>
      <c r="E99" s="51">
        <v>2950600</v>
      </c>
      <c r="F99" s="51">
        <v>57439600</v>
      </c>
      <c r="G99" s="51">
        <v>20914400</v>
      </c>
      <c r="H99" s="51">
        <v>48974338</v>
      </c>
      <c r="I99" s="51">
        <v>51154801</v>
      </c>
      <c r="J99" s="51">
        <v>27948000</v>
      </c>
      <c r="K99" s="19"/>
      <c r="L99" s="46">
        <f>SUM(C99:K99)</f>
        <v>230090960</v>
      </c>
      <c r="M99" s="72">
        <f>(L99/L$103)*100</f>
        <v>98.6614198054455</v>
      </c>
      <c r="N99" s="62"/>
      <c r="O99" s="2"/>
      <c r="P99" s="2"/>
    </row>
    <row r="100" spans="1:16" ht="12.75" customHeight="1">
      <c r="A100" s="23" t="s">
        <v>148</v>
      </c>
      <c r="B100" s="24"/>
      <c r="C100" s="25">
        <v>0</v>
      </c>
      <c r="D100" s="25">
        <v>40000</v>
      </c>
      <c r="E100" s="51">
        <v>0</v>
      </c>
      <c r="F100" s="51">
        <v>0</v>
      </c>
      <c r="G100" s="51">
        <v>320000</v>
      </c>
      <c r="H100" s="51">
        <v>0</v>
      </c>
      <c r="I100" s="51">
        <v>0</v>
      </c>
      <c r="J100" s="51">
        <v>0</v>
      </c>
      <c r="K100" s="19"/>
      <c r="L100" s="46">
        <f>SUM(C100:K100)</f>
        <v>360000</v>
      </c>
      <c r="M100" s="72">
        <f>(L100/L$103)*100</f>
        <v>0.15436552192211456</v>
      </c>
      <c r="N100" s="62"/>
      <c r="O100" s="2"/>
      <c r="P100" s="2"/>
    </row>
    <row r="101" spans="1:16" ht="12.75" customHeight="1">
      <c r="A101" s="23" t="s">
        <v>36</v>
      </c>
      <c r="B101" s="24"/>
      <c r="C101" s="25">
        <v>394955</v>
      </c>
      <c r="D101" s="25">
        <v>0</v>
      </c>
      <c r="E101" s="51">
        <v>0</v>
      </c>
      <c r="F101" s="51">
        <v>0</v>
      </c>
      <c r="G101" s="51">
        <v>0</v>
      </c>
      <c r="H101" s="51">
        <v>36000</v>
      </c>
      <c r="I101" s="51">
        <v>0</v>
      </c>
      <c r="J101" s="51">
        <v>0</v>
      </c>
      <c r="K101" s="19"/>
      <c r="L101" s="46">
        <f>SUM(C101:K101)</f>
        <v>430955</v>
      </c>
      <c r="M101" s="72">
        <f>(L101/L$103)*100</f>
        <v>0.18479053749984686</v>
      </c>
      <c r="N101" s="62"/>
      <c r="O101" s="2"/>
      <c r="P101" s="2"/>
    </row>
    <row r="102" spans="1:16" ht="12.75" customHeight="1">
      <c r="A102" s="23" t="s">
        <v>248</v>
      </c>
      <c r="B102" s="24"/>
      <c r="C102" s="25">
        <v>1372784</v>
      </c>
      <c r="D102" s="25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19"/>
      <c r="L102" s="46">
        <f>SUM(C102:K102)</f>
        <v>1372784</v>
      </c>
      <c r="M102" s="72">
        <f>(L102/L$103)*100</f>
        <v>0.5886403295731335</v>
      </c>
      <c r="N102" s="62"/>
      <c r="O102" s="2"/>
      <c r="P102" s="2"/>
    </row>
    <row r="103" spans="1:16" ht="12.75" customHeight="1">
      <c r="A103" s="26" t="s">
        <v>324</v>
      </c>
      <c r="B103" s="27"/>
      <c r="C103" s="28">
        <v>15806960</v>
      </c>
      <c r="D103" s="28">
        <f aca="true" t="shared" si="15" ref="D103:J103">SUM(D97:D102)</f>
        <v>6820000</v>
      </c>
      <c r="E103" s="28">
        <f t="shared" si="15"/>
        <v>2950600</v>
      </c>
      <c r="F103" s="50">
        <f t="shared" si="15"/>
        <v>57439600</v>
      </c>
      <c r="G103" s="50">
        <f t="shared" si="15"/>
        <v>21818400</v>
      </c>
      <c r="H103" s="50">
        <f t="shared" si="15"/>
        <v>49274338</v>
      </c>
      <c r="I103" s="50">
        <f t="shared" si="15"/>
        <v>51154801</v>
      </c>
      <c r="J103" s="50">
        <f t="shared" si="15"/>
        <v>27948000</v>
      </c>
      <c r="K103" s="28"/>
      <c r="L103" s="56">
        <f>SUM(L97:L102)</f>
        <v>233212699</v>
      </c>
      <c r="M103" s="73">
        <f>(L103/(L$403)*100)</f>
        <v>2.2608234511621306</v>
      </c>
      <c r="N103" s="63"/>
      <c r="O103" s="2"/>
      <c r="P103" s="2"/>
    </row>
    <row r="104" spans="1:16" ht="12.75" customHeight="1">
      <c r="A104" s="16"/>
      <c r="B104" s="17"/>
      <c r="C104" s="25"/>
      <c r="D104" s="25"/>
      <c r="E104" s="51"/>
      <c r="F104" s="51"/>
      <c r="G104" s="51"/>
      <c r="H104" s="51"/>
      <c r="I104" s="51"/>
      <c r="J104" s="51"/>
      <c r="K104" s="19"/>
      <c r="L104" s="46"/>
      <c r="M104" s="46"/>
      <c r="N104" s="62"/>
      <c r="O104" s="2"/>
      <c r="P104" s="2"/>
    </row>
    <row r="105" spans="1:16" ht="12.75" customHeight="1">
      <c r="A105" s="23" t="s">
        <v>37</v>
      </c>
      <c r="B105" s="24"/>
      <c r="C105" s="25">
        <v>4652000</v>
      </c>
      <c r="D105" s="25">
        <v>0</v>
      </c>
      <c r="E105" s="51">
        <v>0</v>
      </c>
      <c r="F105" s="51">
        <v>0</v>
      </c>
      <c r="G105" s="51">
        <v>0</v>
      </c>
      <c r="H105" s="51">
        <v>500000</v>
      </c>
      <c r="I105" s="51">
        <v>0</v>
      </c>
      <c r="J105" s="51">
        <v>0</v>
      </c>
      <c r="K105" s="19"/>
      <c r="L105" s="46">
        <f>SUM(C105:K105)</f>
        <v>5152000</v>
      </c>
      <c r="M105" s="72">
        <f>(L105/L$106)*100</f>
        <v>100</v>
      </c>
      <c r="N105" s="62"/>
      <c r="O105" s="2"/>
      <c r="P105" s="2"/>
    </row>
    <row r="106" spans="1:16" ht="12.75" customHeight="1">
      <c r="A106" s="26" t="s">
        <v>264</v>
      </c>
      <c r="B106" s="27"/>
      <c r="C106" s="28">
        <v>4652000</v>
      </c>
      <c r="D106" s="28">
        <f aca="true" t="shared" si="16" ref="D106:J106">SUM(D104:D105)</f>
        <v>0</v>
      </c>
      <c r="E106" s="28">
        <f t="shared" si="16"/>
        <v>0</v>
      </c>
      <c r="F106" s="50">
        <f t="shared" si="16"/>
        <v>0</v>
      </c>
      <c r="G106" s="50">
        <f t="shared" si="16"/>
        <v>0</v>
      </c>
      <c r="H106" s="50">
        <f t="shared" si="16"/>
        <v>500000</v>
      </c>
      <c r="I106" s="50">
        <f t="shared" si="16"/>
        <v>0</v>
      </c>
      <c r="J106" s="50">
        <f t="shared" si="16"/>
        <v>0</v>
      </c>
      <c r="K106" s="28"/>
      <c r="L106" s="56">
        <f>SUM(L104:L105)</f>
        <v>5152000</v>
      </c>
      <c r="M106" s="73">
        <f>(L106/(L$403)*100)</f>
        <v>0.0499448034791077</v>
      </c>
      <c r="N106" s="63"/>
      <c r="O106" s="2"/>
      <c r="P106" s="2"/>
    </row>
    <row r="107" spans="1:16" ht="12.75" customHeight="1">
      <c r="A107" s="16"/>
      <c r="B107" s="17"/>
      <c r="C107" s="25"/>
      <c r="D107" s="25"/>
      <c r="E107" s="51"/>
      <c r="F107" s="51"/>
      <c r="G107" s="51"/>
      <c r="H107" s="51"/>
      <c r="I107" s="51"/>
      <c r="J107" s="51"/>
      <c r="K107" s="19"/>
      <c r="L107" s="46"/>
      <c r="M107" s="46"/>
      <c r="N107" s="62"/>
      <c r="O107" s="2"/>
      <c r="P107" s="2"/>
    </row>
    <row r="108" spans="1:16" ht="12.75" customHeight="1">
      <c r="A108" s="23" t="s">
        <v>188</v>
      </c>
      <c r="B108" s="24"/>
      <c r="C108" s="25">
        <v>92000</v>
      </c>
      <c r="D108" s="25">
        <v>0</v>
      </c>
      <c r="E108" s="51">
        <v>0</v>
      </c>
      <c r="F108" s="51">
        <v>350000</v>
      </c>
      <c r="G108" s="51">
        <v>0</v>
      </c>
      <c r="H108" s="51">
        <v>0</v>
      </c>
      <c r="I108" s="51">
        <v>0</v>
      </c>
      <c r="J108" s="51">
        <v>0</v>
      </c>
      <c r="K108" s="19"/>
      <c r="L108" s="46">
        <f aca="true" t="shared" si="17" ref="L108:L114">SUM(C108:K108)</f>
        <v>442000</v>
      </c>
      <c r="M108" s="72">
        <f aca="true" t="shared" si="18" ref="M108:M114">(L108/L$115)*100</f>
        <v>2.838641593112454</v>
      </c>
      <c r="N108" s="62"/>
      <c r="O108" s="2"/>
      <c r="P108" s="2"/>
    </row>
    <row r="109" spans="1:16" ht="12.75" customHeight="1">
      <c r="A109" s="23" t="s">
        <v>326</v>
      </c>
      <c r="B109" s="24"/>
      <c r="C109" s="25">
        <v>0</v>
      </c>
      <c r="D109" s="25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272343</v>
      </c>
      <c r="K109" s="19"/>
      <c r="L109" s="46">
        <f t="shared" si="17"/>
        <v>272343</v>
      </c>
      <c r="M109" s="72">
        <f t="shared" si="18"/>
        <v>1.749059202246663</v>
      </c>
      <c r="N109" s="62"/>
      <c r="O109" s="2"/>
      <c r="P109" s="2"/>
    </row>
    <row r="110" spans="1:16" ht="12.75" customHeight="1">
      <c r="A110" s="23" t="s">
        <v>38</v>
      </c>
      <c r="B110" s="24"/>
      <c r="C110" s="25">
        <v>2104706</v>
      </c>
      <c r="D110" s="25">
        <v>369240</v>
      </c>
      <c r="E110" s="51">
        <v>400000</v>
      </c>
      <c r="F110" s="51">
        <v>960000</v>
      </c>
      <c r="G110" s="51">
        <v>2423084</v>
      </c>
      <c r="H110" s="51">
        <v>511800</v>
      </c>
      <c r="I110" s="51">
        <v>316000</v>
      </c>
      <c r="J110" s="51">
        <v>1188800</v>
      </c>
      <c r="K110" s="19"/>
      <c r="L110" s="46">
        <f t="shared" si="17"/>
        <v>8273630</v>
      </c>
      <c r="M110" s="72">
        <f t="shared" si="18"/>
        <v>53.13545304077599</v>
      </c>
      <c r="N110" s="62"/>
      <c r="O110" s="2"/>
      <c r="P110" s="2"/>
    </row>
    <row r="111" spans="1:16" ht="12.75" customHeight="1">
      <c r="A111" s="23" t="s">
        <v>39</v>
      </c>
      <c r="B111" s="24"/>
      <c r="C111" s="25">
        <v>693405</v>
      </c>
      <c r="D111" s="25">
        <v>715883</v>
      </c>
      <c r="E111" s="51">
        <v>319640</v>
      </c>
      <c r="F111" s="51">
        <f>883964-350000</f>
        <v>533964</v>
      </c>
      <c r="G111" s="51">
        <v>741740</v>
      </c>
      <c r="H111" s="51">
        <v>570322</v>
      </c>
      <c r="I111" s="51">
        <v>239300</v>
      </c>
      <c r="J111" s="51">
        <v>1168046</v>
      </c>
      <c r="K111" s="19"/>
      <c r="L111" s="46">
        <f t="shared" si="17"/>
        <v>4982300</v>
      </c>
      <c r="M111" s="72">
        <f t="shared" si="18"/>
        <v>31.99765612978321</v>
      </c>
      <c r="N111" s="62"/>
      <c r="O111" s="2"/>
      <c r="P111" s="2"/>
    </row>
    <row r="112" spans="1:16" ht="12.75" customHeight="1">
      <c r="A112" s="23" t="s">
        <v>149</v>
      </c>
      <c r="B112" s="24"/>
      <c r="C112" s="25">
        <v>0</v>
      </c>
      <c r="D112" s="25">
        <v>28000</v>
      </c>
      <c r="E112" s="51">
        <v>0</v>
      </c>
      <c r="F112" s="51">
        <v>0</v>
      </c>
      <c r="G112" s="51">
        <v>16800</v>
      </c>
      <c r="H112" s="51">
        <v>0</v>
      </c>
      <c r="I112" s="51">
        <v>0</v>
      </c>
      <c r="J112" s="51">
        <v>0</v>
      </c>
      <c r="K112" s="19"/>
      <c r="L112" s="46">
        <f t="shared" si="17"/>
        <v>44800</v>
      </c>
      <c r="M112" s="72">
        <f t="shared" si="18"/>
        <v>0.2877175189399048</v>
      </c>
      <c r="N112" s="62"/>
      <c r="O112" s="2"/>
      <c r="P112" s="2"/>
    </row>
    <row r="113" spans="1:16" ht="12.75" customHeight="1">
      <c r="A113" s="23" t="s">
        <v>40</v>
      </c>
      <c r="B113" s="24"/>
      <c r="C113" s="25">
        <v>527705</v>
      </c>
      <c r="D113" s="25">
        <v>0</v>
      </c>
      <c r="E113" s="51">
        <v>0</v>
      </c>
      <c r="F113" s="51">
        <v>0</v>
      </c>
      <c r="G113" s="51">
        <v>72000</v>
      </c>
      <c r="H113" s="51">
        <v>778054</v>
      </c>
      <c r="I113" s="51">
        <v>0</v>
      </c>
      <c r="J113" s="51">
        <v>0</v>
      </c>
      <c r="K113" s="19"/>
      <c r="L113" s="46">
        <f t="shared" si="17"/>
        <v>1377759</v>
      </c>
      <c r="M113" s="72">
        <f t="shared" si="18"/>
        <v>8.848334847703669</v>
      </c>
      <c r="N113" s="62"/>
      <c r="O113" s="2"/>
      <c r="P113" s="2"/>
    </row>
    <row r="114" spans="1:16" ht="12.75" customHeight="1">
      <c r="A114" s="23" t="s">
        <v>208</v>
      </c>
      <c r="B114" s="24"/>
      <c r="C114" s="25">
        <v>107996</v>
      </c>
      <c r="D114" s="25">
        <v>0</v>
      </c>
      <c r="E114" s="51">
        <v>0</v>
      </c>
      <c r="F114" s="51">
        <v>70000</v>
      </c>
      <c r="G114" s="51">
        <v>0</v>
      </c>
      <c r="H114" s="51">
        <v>0</v>
      </c>
      <c r="I114" s="51">
        <v>0</v>
      </c>
      <c r="J114" s="51">
        <v>0</v>
      </c>
      <c r="K114" s="19"/>
      <c r="L114" s="46">
        <f t="shared" si="17"/>
        <v>177996</v>
      </c>
      <c r="M114" s="72">
        <f t="shared" si="18"/>
        <v>1.1431376674381093</v>
      </c>
      <c r="N114" s="62"/>
      <c r="O114" s="2"/>
      <c r="P114" s="2"/>
    </row>
    <row r="115" spans="1:16" ht="12.75" customHeight="1">
      <c r="A115" s="26" t="s">
        <v>325</v>
      </c>
      <c r="B115" s="27"/>
      <c r="C115" s="28">
        <v>3525812</v>
      </c>
      <c r="D115" s="28">
        <f aca="true" t="shared" si="19" ref="D115:J115">SUM(D107:D114)</f>
        <v>1113123</v>
      </c>
      <c r="E115" s="28">
        <f t="shared" si="19"/>
        <v>719640</v>
      </c>
      <c r="F115" s="50">
        <f t="shared" si="19"/>
        <v>1913964</v>
      </c>
      <c r="G115" s="50">
        <f t="shared" si="19"/>
        <v>3253624</v>
      </c>
      <c r="H115" s="50">
        <f t="shared" si="19"/>
        <v>1860176</v>
      </c>
      <c r="I115" s="50">
        <f t="shared" si="19"/>
        <v>555300</v>
      </c>
      <c r="J115" s="50">
        <f t="shared" si="19"/>
        <v>2629189</v>
      </c>
      <c r="K115" s="28"/>
      <c r="L115" s="56">
        <f>SUM(L107:L114)</f>
        <v>15570828</v>
      </c>
      <c r="M115" s="73">
        <f>(L115/(L$403)*100)</f>
        <v>0.15094758238877864</v>
      </c>
      <c r="N115" s="63"/>
      <c r="O115" s="2"/>
      <c r="P115" s="2"/>
    </row>
    <row r="116" spans="1:16" ht="12.75" customHeight="1">
      <c r="A116" s="23"/>
      <c r="B116" s="24"/>
      <c r="C116" s="25"/>
      <c r="D116" s="25"/>
      <c r="E116" s="51"/>
      <c r="F116" s="51"/>
      <c r="G116" s="51"/>
      <c r="H116" s="51"/>
      <c r="I116" s="51"/>
      <c r="J116" s="51"/>
      <c r="K116" s="19"/>
      <c r="L116" s="46"/>
      <c r="M116" s="46"/>
      <c r="N116" s="62"/>
      <c r="O116" s="2"/>
      <c r="P116" s="2"/>
    </row>
    <row r="117" spans="1:16" ht="12.75" customHeight="1">
      <c r="A117" s="23" t="s">
        <v>41</v>
      </c>
      <c r="B117" s="24"/>
      <c r="C117" s="25">
        <v>5241200</v>
      </c>
      <c r="D117" s="25">
        <v>0</v>
      </c>
      <c r="E117" s="51">
        <v>986088</v>
      </c>
      <c r="F117" s="51">
        <v>531600</v>
      </c>
      <c r="G117" s="51">
        <v>150000</v>
      </c>
      <c r="H117" s="51">
        <v>0</v>
      </c>
      <c r="I117" s="51">
        <v>0</v>
      </c>
      <c r="J117" s="51">
        <v>602290</v>
      </c>
      <c r="K117" s="19"/>
      <c r="L117" s="46">
        <f>SUM(C117:K117)</f>
        <v>7511178</v>
      </c>
      <c r="M117" s="72">
        <f>(L117/L$120)*100</f>
        <v>62.65873280700467</v>
      </c>
      <c r="N117" s="62"/>
      <c r="O117" s="2"/>
      <c r="P117" s="2"/>
    </row>
    <row r="118" spans="1:16" ht="12.75" customHeight="1">
      <c r="A118" s="23" t="s">
        <v>42</v>
      </c>
      <c r="B118" s="24"/>
      <c r="C118" s="25">
        <v>2185866</v>
      </c>
      <c r="D118" s="25">
        <v>0</v>
      </c>
      <c r="E118" s="51">
        <v>0</v>
      </c>
      <c r="F118" s="51">
        <v>90000</v>
      </c>
      <c r="G118" s="51">
        <v>101926</v>
      </c>
      <c r="H118" s="51">
        <v>286724</v>
      </c>
      <c r="I118" s="51">
        <v>129724</v>
      </c>
      <c r="J118" s="51">
        <v>18025</v>
      </c>
      <c r="K118" s="19"/>
      <c r="L118" s="46">
        <f>SUM(C118:K118)</f>
        <v>2812265</v>
      </c>
      <c r="M118" s="72">
        <f>(L118/L$120)*100</f>
        <v>23.4600965677409</v>
      </c>
      <c r="N118" s="62"/>
      <c r="O118" s="2"/>
      <c r="P118" s="2"/>
    </row>
    <row r="119" spans="1:16" ht="12.75" customHeight="1">
      <c r="A119" s="23" t="s">
        <v>43</v>
      </c>
      <c r="B119" s="24"/>
      <c r="C119" s="25">
        <v>1055945</v>
      </c>
      <c r="D119" s="25">
        <v>0</v>
      </c>
      <c r="E119" s="51">
        <v>0</v>
      </c>
      <c r="F119" s="51">
        <v>148256</v>
      </c>
      <c r="G119" s="51">
        <v>263796</v>
      </c>
      <c r="H119" s="51">
        <v>0</v>
      </c>
      <c r="I119" s="51">
        <v>0</v>
      </c>
      <c r="J119" s="51">
        <v>196000</v>
      </c>
      <c r="K119" s="19"/>
      <c r="L119" s="46">
        <f>SUM(C119:K119)</f>
        <v>1663997</v>
      </c>
      <c r="M119" s="72">
        <f>(L119/L$120)*100</f>
        <v>13.881170625254432</v>
      </c>
      <c r="N119" s="62"/>
      <c r="O119" s="2"/>
      <c r="P119" s="2"/>
    </row>
    <row r="120" spans="1:16" ht="12.75" customHeight="1">
      <c r="A120" s="26" t="s">
        <v>265</v>
      </c>
      <c r="B120" s="27"/>
      <c r="C120" s="28">
        <v>8483011</v>
      </c>
      <c r="D120" s="28">
        <f aca="true" t="shared" si="20" ref="D120:J120">SUM(D116:D119)</f>
        <v>0</v>
      </c>
      <c r="E120" s="28">
        <f t="shared" si="20"/>
        <v>986088</v>
      </c>
      <c r="F120" s="50">
        <f t="shared" si="20"/>
        <v>769856</v>
      </c>
      <c r="G120" s="50">
        <f t="shared" si="20"/>
        <v>515722</v>
      </c>
      <c r="H120" s="50">
        <f t="shared" si="20"/>
        <v>286724</v>
      </c>
      <c r="I120" s="50">
        <f t="shared" si="20"/>
        <v>129724</v>
      </c>
      <c r="J120" s="50">
        <f t="shared" si="20"/>
        <v>816315</v>
      </c>
      <c r="K120" s="28"/>
      <c r="L120" s="56">
        <f>SUM(L116:L119)</f>
        <v>11987440</v>
      </c>
      <c r="M120" s="73">
        <f>(L120/(L$403)*100)</f>
        <v>0.11620930415714185</v>
      </c>
      <c r="N120" s="63"/>
      <c r="O120" s="2"/>
      <c r="P120" s="2"/>
    </row>
    <row r="121" spans="1:16" ht="12.75" customHeight="1">
      <c r="A121" s="16"/>
      <c r="B121" s="17"/>
      <c r="C121" s="25"/>
      <c r="D121" s="25"/>
      <c r="E121" s="51"/>
      <c r="F121" s="51"/>
      <c r="G121" s="51"/>
      <c r="H121" s="51"/>
      <c r="I121" s="51"/>
      <c r="J121" s="51"/>
      <c r="K121" s="19"/>
      <c r="L121" s="46"/>
      <c r="M121" s="46"/>
      <c r="N121" s="62"/>
      <c r="O121" s="2"/>
      <c r="P121" s="2"/>
    </row>
    <row r="122" spans="1:16" ht="12.75" customHeight="1">
      <c r="A122" s="23" t="s">
        <v>44</v>
      </c>
      <c r="B122" s="24"/>
      <c r="C122" s="25">
        <v>154911376</v>
      </c>
      <c r="D122" s="25">
        <f>400000+80000+300000+396000+1607200+56000+160000+1012000+480000+80000</f>
        <v>4571200</v>
      </c>
      <c r="E122" s="51">
        <v>35171000</v>
      </c>
      <c r="F122" s="51">
        <v>33735800</v>
      </c>
      <c r="G122" s="51">
        <v>15587450</v>
      </c>
      <c r="H122" s="51">
        <v>31132067</v>
      </c>
      <c r="I122" s="51">
        <v>47328141</v>
      </c>
      <c r="J122" s="51">
        <v>30451600</v>
      </c>
      <c r="K122" s="19"/>
      <c r="L122" s="46">
        <f>SUM(C122:K122)</f>
        <v>352888634</v>
      </c>
      <c r="M122" s="72">
        <f>(L122/L$126)*100</f>
        <v>97.60749519596752</v>
      </c>
      <c r="N122" s="62"/>
      <c r="O122" s="2"/>
      <c r="P122" s="2"/>
    </row>
    <row r="123" spans="1:16" ht="12.75" customHeight="1">
      <c r="A123" s="23" t="s">
        <v>45</v>
      </c>
      <c r="B123" s="24"/>
      <c r="C123" s="25">
        <v>930000</v>
      </c>
      <c r="D123" s="25">
        <v>108625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19"/>
      <c r="L123" s="46">
        <f>SUM(C123:K123)</f>
        <v>1038625</v>
      </c>
      <c r="M123" s="72">
        <f>(L123/L$126)*100</f>
        <v>0.28727925733621607</v>
      </c>
      <c r="N123" s="62"/>
      <c r="O123" s="2"/>
      <c r="P123" s="2"/>
    </row>
    <row r="124" spans="1:16" ht="12.75" customHeight="1">
      <c r="A124" s="23" t="s">
        <v>239</v>
      </c>
      <c r="B124" s="24"/>
      <c r="C124" s="25">
        <v>0</v>
      </c>
      <c r="D124" s="25">
        <v>0</v>
      </c>
      <c r="E124" s="51">
        <v>0</v>
      </c>
      <c r="F124" s="51">
        <v>0</v>
      </c>
      <c r="G124" s="51">
        <v>500000</v>
      </c>
      <c r="H124" s="51">
        <v>0</v>
      </c>
      <c r="I124" s="51">
        <v>0</v>
      </c>
      <c r="J124" s="51">
        <v>0</v>
      </c>
      <c r="K124" s="19"/>
      <c r="L124" s="46">
        <f>SUM(C124:K124)</f>
        <v>500000</v>
      </c>
      <c r="M124" s="72">
        <f>(L124/L$126)*100</f>
        <v>0.13829787331145316</v>
      </c>
      <c r="N124" s="62"/>
      <c r="O124" s="2"/>
      <c r="P124" s="2"/>
    </row>
    <row r="125" spans="1:16" ht="12.75" customHeight="1">
      <c r="A125" s="23" t="s">
        <v>46</v>
      </c>
      <c r="B125" s="24"/>
      <c r="C125" s="25">
        <v>3511200</v>
      </c>
      <c r="D125" s="25">
        <v>0</v>
      </c>
      <c r="E125" s="51">
        <v>0</v>
      </c>
      <c r="F125" s="51">
        <v>1200000</v>
      </c>
      <c r="G125" s="51">
        <v>0</v>
      </c>
      <c r="H125" s="51">
        <v>2400000</v>
      </c>
      <c r="I125" s="51">
        <v>0</v>
      </c>
      <c r="J125" s="51">
        <v>0</v>
      </c>
      <c r="K125" s="19"/>
      <c r="L125" s="46">
        <f>SUM(C125:K125)</f>
        <v>7111200</v>
      </c>
      <c r="M125" s="72">
        <f>(L125/L$126)*100</f>
        <v>1.9669276733848113</v>
      </c>
      <c r="N125" s="62"/>
      <c r="O125" s="2"/>
      <c r="P125" s="2"/>
    </row>
    <row r="126" spans="1:16" ht="12.75" customHeight="1">
      <c r="A126" s="26" t="s">
        <v>266</v>
      </c>
      <c r="B126" s="27"/>
      <c r="C126" s="28">
        <v>159352576</v>
      </c>
      <c r="D126" s="28">
        <f aca="true" t="shared" si="21" ref="D126:J126">SUM(D121:D125)</f>
        <v>4679825</v>
      </c>
      <c r="E126" s="28">
        <f t="shared" si="21"/>
        <v>35171000</v>
      </c>
      <c r="F126" s="50">
        <f t="shared" si="21"/>
        <v>34935800</v>
      </c>
      <c r="G126" s="50">
        <f t="shared" si="21"/>
        <v>16087450</v>
      </c>
      <c r="H126" s="50">
        <f t="shared" si="21"/>
        <v>33532067</v>
      </c>
      <c r="I126" s="50">
        <f t="shared" si="21"/>
        <v>47328141</v>
      </c>
      <c r="J126" s="50">
        <f t="shared" si="21"/>
        <v>30451600</v>
      </c>
      <c r="K126" s="28"/>
      <c r="L126" s="56">
        <f>SUM(L121:L125)</f>
        <v>361538459</v>
      </c>
      <c r="M126" s="73">
        <f>(L126/(L$403)*100)</f>
        <v>3.5048461344903794</v>
      </c>
      <c r="N126" s="63"/>
      <c r="O126" s="2"/>
      <c r="P126" s="2"/>
    </row>
    <row r="127" spans="1:16" ht="12.75" customHeight="1">
      <c r="A127" s="16"/>
      <c r="B127" s="17"/>
      <c r="C127" s="25"/>
      <c r="D127" s="25"/>
      <c r="E127" s="51"/>
      <c r="F127" s="51"/>
      <c r="G127" s="51"/>
      <c r="H127" s="51"/>
      <c r="I127" s="51"/>
      <c r="J127" s="51"/>
      <c r="K127" s="19"/>
      <c r="L127" s="46"/>
      <c r="M127" s="46"/>
      <c r="N127" s="62"/>
      <c r="O127" s="2"/>
      <c r="P127" s="2"/>
    </row>
    <row r="128" spans="1:16" ht="12.75" customHeight="1">
      <c r="A128" s="23" t="s">
        <v>255</v>
      </c>
      <c r="B128" s="24"/>
      <c r="C128" s="25">
        <v>0</v>
      </c>
      <c r="D128" s="25">
        <v>0</v>
      </c>
      <c r="E128" s="51">
        <v>0</v>
      </c>
      <c r="F128" s="51">
        <v>0</v>
      </c>
      <c r="G128" s="51">
        <v>0</v>
      </c>
      <c r="H128" s="51">
        <v>315000</v>
      </c>
      <c r="I128" s="51">
        <v>267000</v>
      </c>
      <c r="J128" s="51">
        <v>0</v>
      </c>
      <c r="K128" s="19"/>
      <c r="L128" s="46">
        <f>SUM(C128:K128)</f>
        <v>582000</v>
      </c>
      <c r="M128" s="72">
        <f>(L128/L$132)*100</f>
        <v>1.3226167440507302</v>
      </c>
      <c r="N128" s="62"/>
      <c r="O128" s="2"/>
      <c r="P128" s="2"/>
    </row>
    <row r="129" spans="1:16" ht="12.75" customHeight="1">
      <c r="A129" s="23" t="s">
        <v>47</v>
      </c>
      <c r="B129" s="24"/>
      <c r="C129" s="25">
        <v>0</v>
      </c>
      <c r="D129" s="25">
        <f>100000+100000</f>
        <v>200000</v>
      </c>
      <c r="E129" s="51">
        <v>900000</v>
      </c>
      <c r="F129" s="51">
        <v>880000</v>
      </c>
      <c r="G129" s="51">
        <v>4111074</v>
      </c>
      <c r="H129" s="51">
        <v>2080000</v>
      </c>
      <c r="I129" s="51">
        <v>0</v>
      </c>
      <c r="J129" s="51">
        <v>2525200</v>
      </c>
      <c r="K129" s="19"/>
      <c r="L129" s="46">
        <f>SUM(C129:K129)</f>
        <v>10696274</v>
      </c>
      <c r="M129" s="72">
        <f>(L129/L$132)*100</f>
        <v>24.30768228755065</v>
      </c>
      <c r="N129" s="62"/>
      <c r="O129" s="2"/>
      <c r="P129" s="2"/>
    </row>
    <row r="130" spans="1:16" ht="12.75" customHeight="1">
      <c r="A130" s="23" t="s">
        <v>48</v>
      </c>
      <c r="B130" s="24"/>
      <c r="C130" s="25">
        <v>8097826</v>
      </c>
      <c r="D130" s="25">
        <f>235616+46132+3000000</f>
        <v>3281748</v>
      </c>
      <c r="E130" s="51">
        <v>293600</v>
      </c>
      <c r="F130" s="51">
        <v>4779575</v>
      </c>
      <c r="G130" s="51">
        <v>2770000</v>
      </c>
      <c r="H130" s="51">
        <v>2250000</v>
      </c>
      <c r="I130" s="51">
        <v>6669715</v>
      </c>
      <c r="J130" s="51">
        <v>3306528</v>
      </c>
      <c r="K130" s="19"/>
      <c r="L130" s="46">
        <f>SUM(C130:K130)</f>
        <v>31448992</v>
      </c>
      <c r="M130" s="72">
        <f>(L130/L$132)*100</f>
        <v>71.46900928301969</v>
      </c>
      <c r="N130" s="62"/>
      <c r="O130" s="2"/>
      <c r="P130" s="2"/>
    </row>
    <row r="131" spans="1:16" ht="12.75" customHeight="1">
      <c r="A131" s="23" t="s">
        <v>209</v>
      </c>
      <c r="B131" s="24"/>
      <c r="C131" s="25">
        <v>471411</v>
      </c>
      <c r="D131" s="25">
        <v>250000</v>
      </c>
      <c r="E131" s="51">
        <v>0</v>
      </c>
      <c r="F131" s="51">
        <v>0</v>
      </c>
      <c r="G131" s="51">
        <v>288000</v>
      </c>
      <c r="H131" s="51">
        <v>0</v>
      </c>
      <c r="I131" s="51">
        <v>267000</v>
      </c>
      <c r="J131" s="51">
        <v>0</v>
      </c>
      <c r="K131" s="19"/>
      <c r="L131" s="46">
        <f>SUM(C131:K131)</f>
        <v>1276411</v>
      </c>
      <c r="M131" s="72">
        <f>(L131/L$132)*100</f>
        <v>2.900691685378929</v>
      </c>
      <c r="N131" s="62"/>
      <c r="O131" s="2"/>
      <c r="P131" s="2"/>
    </row>
    <row r="132" spans="1:16" ht="12.75" customHeight="1">
      <c r="A132" s="26" t="s">
        <v>347</v>
      </c>
      <c r="B132" s="27"/>
      <c r="C132" s="28">
        <v>8569237</v>
      </c>
      <c r="D132" s="28">
        <f aca="true" t="shared" si="22" ref="D132:J132">SUM(D127:D131)</f>
        <v>3731748</v>
      </c>
      <c r="E132" s="28">
        <f t="shared" si="22"/>
        <v>1193600</v>
      </c>
      <c r="F132" s="50">
        <f t="shared" si="22"/>
        <v>5659575</v>
      </c>
      <c r="G132" s="50">
        <f t="shared" si="22"/>
        <v>7169074</v>
      </c>
      <c r="H132" s="50">
        <f t="shared" si="22"/>
        <v>4645000</v>
      </c>
      <c r="I132" s="50">
        <f t="shared" si="22"/>
        <v>7203715</v>
      </c>
      <c r="J132" s="50">
        <f t="shared" si="22"/>
        <v>5831728</v>
      </c>
      <c r="K132" s="28"/>
      <c r="L132" s="56">
        <f>SUM(L127:L131)</f>
        <v>44003677</v>
      </c>
      <c r="M132" s="73">
        <f>(L132/(L$403)*100)</f>
        <v>0.42658288045868237</v>
      </c>
      <c r="N132" s="63"/>
      <c r="O132" s="2"/>
      <c r="P132" s="2"/>
    </row>
    <row r="133" spans="1:16" ht="12.75" customHeight="1">
      <c r="A133" s="16"/>
      <c r="B133" s="17"/>
      <c r="C133" s="25"/>
      <c r="D133" s="25"/>
      <c r="E133" s="51"/>
      <c r="F133" s="51"/>
      <c r="G133" s="51"/>
      <c r="H133" s="51"/>
      <c r="I133" s="51"/>
      <c r="J133" s="51"/>
      <c r="K133" s="19"/>
      <c r="L133" s="46"/>
      <c r="M133" s="46"/>
      <c r="N133" s="62"/>
      <c r="O133" s="2"/>
      <c r="P133" s="2"/>
    </row>
    <row r="134" spans="1:16" ht="12.75" customHeight="1">
      <c r="A134" s="23" t="s">
        <v>327</v>
      </c>
      <c r="B134" s="24"/>
      <c r="C134" s="25">
        <v>0</v>
      </c>
      <c r="D134" s="25">
        <v>0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1071000</v>
      </c>
      <c r="K134" s="19"/>
      <c r="L134" s="46">
        <f>SUM(C134:K134)</f>
        <v>1071000</v>
      </c>
      <c r="M134" s="72">
        <f>(L134/L$106)*100</f>
        <v>20.78804347826087</v>
      </c>
      <c r="N134" s="62"/>
      <c r="O134" s="2"/>
      <c r="P134" s="2"/>
    </row>
    <row r="135" spans="1:16" ht="12.75" customHeight="1">
      <c r="A135" s="26" t="s">
        <v>348</v>
      </c>
      <c r="B135" s="27"/>
      <c r="C135" s="28">
        <v>0</v>
      </c>
      <c r="D135" s="28">
        <f aca="true" t="shared" si="23" ref="D135:J135">SUM(D133:D134)</f>
        <v>0</v>
      </c>
      <c r="E135" s="28">
        <f t="shared" si="23"/>
        <v>0</v>
      </c>
      <c r="F135" s="50">
        <f t="shared" si="23"/>
        <v>0</v>
      </c>
      <c r="G135" s="50">
        <f t="shared" si="23"/>
        <v>0</v>
      </c>
      <c r="H135" s="50">
        <f t="shared" si="23"/>
        <v>0</v>
      </c>
      <c r="I135" s="50">
        <f t="shared" si="23"/>
        <v>0</v>
      </c>
      <c r="J135" s="50">
        <f t="shared" si="23"/>
        <v>1071000</v>
      </c>
      <c r="K135" s="28"/>
      <c r="L135" s="56">
        <f>SUM(L133:L134)</f>
        <v>1071000</v>
      </c>
      <c r="M135" s="73">
        <f>(L135/(L$403)*100)</f>
        <v>0.010382547462368857</v>
      </c>
      <c r="N135" s="62"/>
      <c r="O135" s="2"/>
      <c r="P135" s="2"/>
    </row>
    <row r="136" spans="1:16" ht="12.75" customHeight="1">
      <c r="A136" s="23"/>
      <c r="B136" s="24"/>
      <c r="C136" s="25"/>
      <c r="D136" s="25"/>
      <c r="E136" s="51"/>
      <c r="F136" s="51"/>
      <c r="G136" s="51"/>
      <c r="H136" s="51"/>
      <c r="I136" s="51"/>
      <c r="J136" s="51"/>
      <c r="K136" s="19"/>
      <c r="L136" s="46"/>
      <c r="M136" s="46"/>
      <c r="N136" s="62"/>
      <c r="O136" s="2"/>
      <c r="P136" s="2"/>
    </row>
    <row r="137" spans="1:16" ht="12.75" customHeight="1">
      <c r="A137" s="23" t="s">
        <v>210</v>
      </c>
      <c r="B137" s="24"/>
      <c r="C137" s="25">
        <v>344000</v>
      </c>
      <c r="D137" s="25">
        <v>0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19"/>
      <c r="L137" s="46">
        <f>SUM(C137:K137)</f>
        <v>344000</v>
      </c>
      <c r="M137" s="72">
        <f>(L137/L$139)*100</f>
        <v>2.73651091040536</v>
      </c>
      <c r="N137" s="62"/>
      <c r="O137" s="2"/>
      <c r="P137" s="2"/>
    </row>
    <row r="138" spans="1:16" ht="12.75" customHeight="1">
      <c r="A138" s="30" t="s">
        <v>49</v>
      </c>
      <c r="B138" s="24"/>
      <c r="C138" s="25">
        <v>5982752</v>
      </c>
      <c r="D138" s="25">
        <v>0</v>
      </c>
      <c r="E138" s="51">
        <v>480000</v>
      </c>
      <c r="F138" s="51">
        <v>0</v>
      </c>
      <c r="G138" s="51">
        <v>2560000</v>
      </c>
      <c r="H138" s="51">
        <v>2660000</v>
      </c>
      <c r="I138" s="51">
        <v>0</v>
      </c>
      <c r="J138" s="51">
        <v>544000</v>
      </c>
      <c r="K138" s="19"/>
      <c r="L138" s="46">
        <f>SUM(C138:K138)</f>
        <v>12226752</v>
      </c>
      <c r="M138" s="72">
        <f>(L138/L$139)*100</f>
        <v>97.26348908959463</v>
      </c>
      <c r="N138" s="62"/>
      <c r="O138" s="2"/>
      <c r="P138" s="2"/>
    </row>
    <row r="139" spans="1:16" ht="12.75" customHeight="1">
      <c r="A139" s="26" t="s">
        <v>349</v>
      </c>
      <c r="B139" s="27"/>
      <c r="C139" s="28">
        <v>6326752</v>
      </c>
      <c r="D139" s="28">
        <f aca="true" t="shared" si="24" ref="D139:J139">SUM(D136:D138)</f>
        <v>0</v>
      </c>
      <c r="E139" s="28">
        <f t="shared" si="24"/>
        <v>480000</v>
      </c>
      <c r="F139" s="50">
        <f t="shared" si="24"/>
        <v>0</v>
      </c>
      <c r="G139" s="50">
        <f t="shared" si="24"/>
        <v>2560000</v>
      </c>
      <c r="H139" s="50">
        <f t="shared" si="24"/>
        <v>2660000</v>
      </c>
      <c r="I139" s="50">
        <f t="shared" si="24"/>
        <v>0</v>
      </c>
      <c r="J139" s="50">
        <f t="shared" si="24"/>
        <v>544000</v>
      </c>
      <c r="K139" s="28"/>
      <c r="L139" s="56">
        <f>SUM(L136:L138)</f>
        <v>12570752</v>
      </c>
      <c r="M139" s="73">
        <f>(L139/(L$403)*100)</f>
        <v>0.12186407962434008</v>
      </c>
      <c r="N139" s="63"/>
      <c r="O139" s="2"/>
      <c r="P139" s="2"/>
    </row>
    <row r="140" spans="1:16" ht="12.75" customHeight="1">
      <c r="A140" s="23"/>
      <c r="B140" s="24"/>
      <c r="C140" s="25"/>
      <c r="D140" s="25"/>
      <c r="E140" s="51"/>
      <c r="F140" s="51"/>
      <c r="G140" s="51"/>
      <c r="H140" s="51"/>
      <c r="I140" s="51"/>
      <c r="J140" s="51"/>
      <c r="K140" s="19"/>
      <c r="L140" s="46"/>
      <c r="M140" s="46"/>
      <c r="N140" s="62"/>
      <c r="O140" s="2"/>
      <c r="P140" s="2"/>
    </row>
    <row r="141" spans="1:16" ht="12.75" customHeight="1">
      <c r="A141" s="23" t="s">
        <v>189</v>
      </c>
      <c r="B141" s="24"/>
      <c r="C141" s="25">
        <v>40000</v>
      </c>
      <c r="D141" s="25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19"/>
      <c r="L141" s="46">
        <f>SUM(C141:K141)</f>
        <v>40000</v>
      </c>
      <c r="M141" s="72">
        <f>(L141/L$145)*100</f>
        <v>0.17449575307873763</v>
      </c>
      <c r="N141" s="62"/>
      <c r="O141" s="2"/>
      <c r="P141" s="2"/>
    </row>
    <row r="142" spans="1:16" ht="12.75" customHeight="1">
      <c r="A142" s="23" t="s">
        <v>50</v>
      </c>
      <c r="B142" s="24"/>
      <c r="C142" s="25">
        <v>1300000</v>
      </c>
      <c r="D142" s="25">
        <v>477000</v>
      </c>
      <c r="E142" s="51">
        <v>1480000</v>
      </c>
      <c r="F142" s="51">
        <v>926000</v>
      </c>
      <c r="G142" s="51">
        <v>953000</v>
      </c>
      <c r="H142" s="51">
        <v>981000</v>
      </c>
      <c r="I142" s="51">
        <v>1318146</v>
      </c>
      <c r="J142" s="51">
        <v>2180000</v>
      </c>
      <c r="K142" s="19"/>
      <c r="L142" s="46">
        <f>SUM(C142:K142)</f>
        <v>9615146</v>
      </c>
      <c r="M142" s="72">
        <f>(L142/L$145)*100</f>
        <v>41.94505355580029</v>
      </c>
      <c r="N142" s="62"/>
      <c r="O142" s="2"/>
      <c r="P142" s="2"/>
    </row>
    <row r="143" spans="1:16" ht="12.75" customHeight="1">
      <c r="A143" s="23" t="s">
        <v>51</v>
      </c>
      <c r="B143" s="24"/>
      <c r="C143" s="25">
        <v>10200000</v>
      </c>
      <c r="D143" s="25">
        <v>0</v>
      </c>
      <c r="E143" s="51">
        <v>0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19"/>
      <c r="L143" s="46">
        <f>SUM(C143:K143)</f>
        <v>10200000</v>
      </c>
      <c r="M143" s="72">
        <f>(L143/L$145)*100</f>
        <v>44.496417035078096</v>
      </c>
      <c r="N143" s="62"/>
      <c r="O143" s="2"/>
      <c r="P143" s="2"/>
    </row>
    <row r="144" spans="1:16" ht="12.75" customHeight="1">
      <c r="A144" s="23" t="s">
        <v>52</v>
      </c>
      <c r="B144" s="24"/>
      <c r="C144" s="25">
        <v>3068048</v>
      </c>
      <c r="D144" s="25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19"/>
      <c r="L144" s="46">
        <f>SUM(C144:K144)</f>
        <v>3068048</v>
      </c>
      <c r="M144" s="72">
        <f>(L144/L$145)*100</f>
        <v>13.38403365604287</v>
      </c>
      <c r="N144" s="62"/>
      <c r="O144" s="2"/>
      <c r="P144" s="2"/>
    </row>
    <row r="145" spans="1:16" ht="12.75" customHeight="1">
      <c r="A145" s="26" t="s">
        <v>350</v>
      </c>
      <c r="B145" s="27"/>
      <c r="C145" s="28">
        <v>14608048</v>
      </c>
      <c r="D145" s="28">
        <f aca="true" t="shared" si="25" ref="D145:J145">SUM(D140:D144)</f>
        <v>477000</v>
      </c>
      <c r="E145" s="28">
        <f t="shared" si="25"/>
        <v>1480000</v>
      </c>
      <c r="F145" s="50">
        <f t="shared" si="25"/>
        <v>926000</v>
      </c>
      <c r="G145" s="50">
        <f t="shared" si="25"/>
        <v>953000</v>
      </c>
      <c r="H145" s="50">
        <f t="shared" si="25"/>
        <v>981000</v>
      </c>
      <c r="I145" s="50">
        <f t="shared" si="25"/>
        <v>1318146</v>
      </c>
      <c r="J145" s="50">
        <f t="shared" si="25"/>
        <v>2180000</v>
      </c>
      <c r="K145" s="28"/>
      <c r="L145" s="56">
        <f>SUM(L140:L144)</f>
        <v>22923194</v>
      </c>
      <c r="M145" s="73">
        <f>(L145/(L$403)*100)</f>
        <v>0.22222329569942953</v>
      </c>
      <c r="N145" s="63"/>
      <c r="O145" s="2"/>
      <c r="P145" s="2"/>
    </row>
    <row r="146" spans="1:16" ht="12.75" customHeight="1">
      <c r="A146" s="23"/>
      <c r="B146" s="24"/>
      <c r="C146" s="25"/>
      <c r="D146" s="25"/>
      <c r="E146" s="51"/>
      <c r="F146" s="51"/>
      <c r="G146" s="51"/>
      <c r="H146" s="51"/>
      <c r="I146" s="51"/>
      <c r="J146" s="51"/>
      <c r="K146" s="19"/>
      <c r="L146" s="46"/>
      <c r="M146" s="46"/>
      <c r="N146" s="62"/>
      <c r="O146" s="2"/>
      <c r="P146" s="2"/>
    </row>
    <row r="147" spans="1:16" ht="12.75" customHeight="1">
      <c r="A147" s="23" t="s">
        <v>289</v>
      </c>
      <c r="B147" s="24"/>
      <c r="C147" s="25">
        <v>2107653</v>
      </c>
      <c r="D147" s="25">
        <f>540400+577560+160000</f>
        <v>1277960</v>
      </c>
      <c r="E147" s="51">
        <v>502569</v>
      </c>
      <c r="F147" s="51">
        <v>0</v>
      </c>
      <c r="G147" s="51">
        <v>1831077</v>
      </c>
      <c r="H147" s="51">
        <v>716125</v>
      </c>
      <c r="I147" s="51">
        <v>453036</v>
      </c>
      <c r="J147" s="51">
        <v>0</v>
      </c>
      <c r="K147" s="19"/>
      <c r="L147" s="46">
        <f aca="true" t="shared" si="26" ref="L147:L159">SUM(C147:K147)</f>
        <v>6888420</v>
      </c>
      <c r="M147" s="72">
        <f aca="true" t="shared" si="27" ref="M147:M159">(L147/L$160)*100</f>
        <v>2.5622999587590827</v>
      </c>
      <c r="N147" s="62"/>
      <c r="O147" s="2"/>
      <c r="P147" s="2"/>
    </row>
    <row r="148" spans="1:16" ht="12.75" customHeight="1">
      <c r="A148" s="23" t="s">
        <v>53</v>
      </c>
      <c r="B148" s="24"/>
      <c r="C148" s="25">
        <v>125876296</v>
      </c>
      <c r="D148" s="25">
        <f>220000+2400000+263000+800000+2745600+11786480+4480000+1600000+80000</f>
        <v>24375080</v>
      </c>
      <c r="E148" s="51">
        <v>10726469</v>
      </c>
      <c r="F148" s="51">
        <v>703920</v>
      </c>
      <c r="G148" s="51">
        <v>7705688</v>
      </c>
      <c r="H148" s="51">
        <v>2663040</v>
      </c>
      <c r="I148" s="51">
        <v>8076687</v>
      </c>
      <c r="J148" s="51">
        <v>10068253</v>
      </c>
      <c r="K148" s="19"/>
      <c r="L148" s="46">
        <f t="shared" si="26"/>
        <v>190195433</v>
      </c>
      <c r="M148" s="72">
        <f t="shared" si="27"/>
        <v>70.74739201907924</v>
      </c>
      <c r="N148" s="62"/>
      <c r="O148" s="2"/>
      <c r="P148" s="2"/>
    </row>
    <row r="149" spans="1:16" ht="12.75" customHeight="1">
      <c r="A149" s="23" t="s">
        <v>54</v>
      </c>
      <c r="B149" s="24"/>
      <c r="C149" s="25">
        <v>4997372</v>
      </c>
      <c r="D149" s="25">
        <v>0</v>
      </c>
      <c r="E149" s="51">
        <v>187900</v>
      </c>
      <c r="F149" s="51">
        <v>72000</v>
      </c>
      <c r="G149" s="51">
        <v>0</v>
      </c>
      <c r="H149" s="51">
        <v>0</v>
      </c>
      <c r="I149" s="51">
        <v>0</v>
      </c>
      <c r="J149" s="51">
        <v>0</v>
      </c>
      <c r="K149" s="19"/>
      <c r="L149" s="46">
        <f t="shared" si="26"/>
        <v>5257272</v>
      </c>
      <c r="M149" s="72">
        <f t="shared" si="27"/>
        <v>1.9555584341235408</v>
      </c>
      <c r="N149" s="62"/>
      <c r="O149" s="2"/>
      <c r="P149" s="2"/>
    </row>
    <row r="150" spans="1:16" ht="12.75" customHeight="1">
      <c r="A150" s="23" t="s">
        <v>55</v>
      </c>
      <c r="B150" s="24"/>
      <c r="C150" s="25">
        <v>1051235</v>
      </c>
      <c r="D150" s="25">
        <f>483352+237000+180000</f>
        <v>900352</v>
      </c>
      <c r="E150" s="51">
        <v>1693680</v>
      </c>
      <c r="F150" s="51">
        <f>548364-72000-400000</f>
        <v>76364</v>
      </c>
      <c r="G150" s="51">
        <v>684984</v>
      </c>
      <c r="H150" s="51">
        <v>1086756</v>
      </c>
      <c r="I150" s="51">
        <v>136000</v>
      </c>
      <c r="J150" s="51">
        <v>0</v>
      </c>
      <c r="K150" s="19"/>
      <c r="L150" s="46">
        <f t="shared" si="26"/>
        <v>5629371</v>
      </c>
      <c r="M150" s="72">
        <f t="shared" si="27"/>
        <v>2.093968875466301</v>
      </c>
      <c r="N150" s="62"/>
      <c r="O150" s="2"/>
      <c r="P150" s="2"/>
    </row>
    <row r="151" spans="1:16" ht="12.75" customHeight="1">
      <c r="A151" s="23" t="s">
        <v>211</v>
      </c>
      <c r="B151" s="24"/>
      <c r="C151" s="25">
        <v>2078200</v>
      </c>
      <c r="D151" s="25">
        <v>560000</v>
      </c>
      <c r="E151" s="51">
        <v>0</v>
      </c>
      <c r="F151" s="51">
        <v>400000</v>
      </c>
      <c r="G151" s="51">
        <v>707200</v>
      </c>
      <c r="H151" s="51">
        <v>0</v>
      </c>
      <c r="I151" s="51">
        <v>500000</v>
      </c>
      <c r="J151" s="51">
        <v>0</v>
      </c>
      <c r="K151" s="19"/>
      <c r="L151" s="46">
        <f t="shared" si="26"/>
        <v>4245400</v>
      </c>
      <c r="M151" s="72">
        <f t="shared" si="27"/>
        <v>1.5791702952078719</v>
      </c>
      <c r="N151" s="62"/>
      <c r="O151" s="2"/>
      <c r="P151" s="2"/>
    </row>
    <row r="152" spans="1:16" ht="12.75" customHeight="1">
      <c r="A152" s="23" t="s">
        <v>212</v>
      </c>
      <c r="B152" s="24"/>
      <c r="C152" s="25">
        <v>272600</v>
      </c>
      <c r="D152" s="25">
        <f>1440000+1734693</f>
        <v>3174693</v>
      </c>
      <c r="E152" s="51">
        <v>427732</v>
      </c>
      <c r="F152" s="51">
        <v>0</v>
      </c>
      <c r="G152" s="51">
        <v>263856</v>
      </c>
      <c r="H152" s="51">
        <v>0</v>
      </c>
      <c r="I152" s="51">
        <v>753000</v>
      </c>
      <c r="J152" s="51">
        <v>0</v>
      </c>
      <c r="K152" s="19"/>
      <c r="L152" s="46">
        <f t="shared" si="26"/>
        <v>4891881</v>
      </c>
      <c r="M152" s="72">
        <f t="shared" si="27"/>
        <v>1.8196431815357281</v>
      </c>
      <c r="N152" s="62"/>
      <c r="O152" s="2"/>
      <c r="P152" s="2"/>
    </row>
    <row r="153" spans="1:16" ht="12.75" customHeight="1">
      <c r="A153" s="23" t="s">
        <v>150</v>
      </c>
      <c r="B153" s="24"/>
      <c r="C153" s="25">
        <v>230000</v>
      </c>
      <c r="D153" s="25">
        <f>509800+800000+800000+415056</f>
        <v>2524856</v>
      </c>
      <c r="E153" s="51">
        <v>166400</v>
      </c>
      <c r="F153" s="51">
        <v>0</v>
      </c>
      <c r="G153" s="51">
        <v>3145600</v>
      </c>
      <c r="H153" s="51">
        <v>0</v>
      </c>
      <c r="I153" s="51">
        <v>0</v>
      </c>
      <c r="J153" s="51">
        <v>0</v>
      </c>
      <c r="K153" s="19"/>
      <c r="L153" s="46">
        <f t="shared" si="26"/>
        <v>6066856</v>
      </c>
      <c r="M153" s="72">
        <f t="shared" si="27"/>
        <v>2.2567010836443324</v>
      </c>
      <c r="N153" s="62"/>
      <c r="O153" s="2"/>
      <c r="P153" s="2"/>
    </row>
    <row r="154" spans="1:16" ht="12.75" customHeight="1">
      <c r="A154" s="23" t="s">
        <v>190</v>
      </c>
      <c r="B154" s="24"/>
      <c r="C154" s="25">
        <v>2108400</v>
      </c>
      <c r="D154" s="25">
        <v>0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19"/>
      <c r="L154" s="46">
        <f t="shared" si="26"/>
        <v>2108400</v>
      </c>
      <c r="M154" s="72">
        <f t="shared" si="27"/>
        <v>0.7842659467697456</v>
      </c>
      <c r="N154" s="62"/>
      <c r="O154" s="2"/>
      <c r="P154" s="2"/>
    </row>
    <row r="155" spans="1:16" ht="12.75" customHeight="1">
      <c r="A155" s="23" t="s">
        <v>180</v>
      </c>
      <c r="B155" s="24"/>
      <c r="C155" s="25">
        <v>375800</v>
      </c>
      <c r="D155" s="25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19"/>
      <c r="L155" s="46">
        <f t="shared" si="26"/>
        <v>375800</v>
      </c>
      <c r="M155" s="72">
        <f t="shared" si="27"/>
        <v>0.13978711003418248</v>
      </c>
      <c r="N155" s="62"/>
      <c r="O155" s="2"/>
      <c r="P155" s="2"/>
    </row>
    <row r="156" spans="1:16" ht="12.75" customHeight="1">
      <c r="A156" s="23" t="s">
        <v>328</v>
      </c>
      <c r="B156" s="24"/>
      <c r="C156" s="25">
        <v>0</v>
      </c>
      <c r="D156" s="25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275500</v>
      </c>
      <c r="K156" s="19"/>
      <c r="L156" s="46">
        <f t="shared" si="26"/>
        <v>275500</v>
      </c>
      <c r="M156" s="72">
        <f t="shared" si="27"/>
        <v>0.1024783097775872</v>
      </c>
      <c r="N156" s="62"/>
      <c r="O156" s="2"/>
      <c r="P156" s="2"/>
    </row>
    <row r="157" spans="1:16" ht="12.75" customHeight="1">
      <c r="A157" s="23" t="s">
        <v>56</v>
      </c>
      <c r="B157" s="24"/>
      <c r="C157" s="25">
        <v>5379980</v>
      </c>
      <c r="D157" s="25">
        <f>34400+2500000</f>
        <v>2534400</v>
      </c>
      <c r="E157" s="51">
        <v>3036800</v>
      </c>
      <c r="F157" s="51">
        <v>960000</v>
      </c>
      <c r="G157" s="51">
        <v>289412</v>
      </c>
      <c r="H157" s="51">
        <v>7253556</v>
      </c>
      <c r="I157" s="51">
        <v>527280</v>
      </c>
      <c r="J157" s="51">
        <v>0</v>
      </c>
      <c r="K157" s="19"/>
      <c r="L157" s="46">
        <f t="shared" si="26"/>
        <v>19981428</v>
      </c>
      <c r="M157" s="72">
        <f t="shared" si="27"/>
        <v>7.432533460553739</v>
      </c>
      <c r="N157" s="62"/>
      <c r="O157" s="2"/>
      <c r="P157" s="2"/>
    </row>
    <row r="158" spans="1:16" ht="12.75" customHeight="1">
      <c r="A158" s="23" t="s">
        <v>151</v>
      </c>
      <c r="B158" s="24"/>
      <c r="C158" s="25">
        <v>247040</v>
      </c>
      <c r="D158" s="25">
        <f>80000+98400</f>
        <v>178400</v>
      </c>
      <c r="E158" s="51">
        <v>157800</v>
      </c>
      <c r="F158" s="51">
        <v>80000</v>
      </c>
      <c r="G158" s="51">
        <v>78200</v>
      </c>
      <c r="H158" s="51">
        <v>114000</v>
      </c>
      <c r="I158" s="51">
        <v>0</v>
      </c>
      <c r="J158" s="51">
        <v>0</v>
      </c>
      <c r="K158" s="19"/>
      <c r="L158" s="46">
        <f t="shared" si="26"/>
        <v>855440</v>
      </c>
      <c r="M158" s="72">
        <f t="shared" si="27"/>
        <v>0.31819980151048716</v>
      </c>
      <c r="N158" s="62"/>
      <c r="O158" s="2"/>
      <c r="P158" s="2"/>
    </row>
    <row r="159" spans="1:16" ht="12.75" customHeight="1">
      <c r="A159" s="23" t="s">
        <v>57</v>
      </c>
      <c r="B159" s="24"/>
      <c r="C159" s="25">
        <v>11101320</v>
      </c>
      <c r="D159" s="25">
        <f>4400000+1440000</f>
        <v>5840000</v>
      </c>
      <c r="E159" s="51">
        <v>162060</v>
      </c>
      <c r="F159" s="51">
        <v>4962796</v>
      </c>
      <c r="G159" s="51">
        <v>0</v>
      </c>
      <c r="H159" s="51">
        <v>0</v>
      </c>
      <c r="I159" s="51">
        <v>0</v>
      </c>
      <c r="J159" s="51">
        <v>0</v>
      </c>
      <c r="K159" s="19"/>
      <c r="L159" s="46">
        <f t="shared" si="26"/>
        <v>22066176</v>
      </c>
      <c r="M159" s="72">
        <f t="shared" si="27"/>
        <v>8.20800152353815</v>
      </c>
      <c r="N159" s="62"/>
      <c r="O159" s="2"/>
      <c r="P159" s="2"/>
    </row>
    <row r="160" spans="1:16" ht="12.75" customHeight="1">
      <c r="A160" s="26" t="s">
        <v>290</v>
      </c>
      <c r="B160" s="27"/>
      <c r="C160" s="28">
        <v>155825896</v>
      </c>
      <c r="D160" s="28">
        <f aca="true" t="shared" si="28" ref="D160:J160">SUM(D146:D159)</f>
        <v>41365741</v>
      </c>
      <c r="E160" s="28">
        <f t="shared" si="28"/>
        <v>17061410</v>
      </c>
      <c r="F160" s="50">
        <f t="shared" si="28"/>
        <v>7255080</v>
      </c>
      <c r="G160" s="50">
        <f t="shared" si="28"/>
        <v>14706017</v>
      </c>
      <c r="H160" s="50">
        <f t="shared" si="28"/>
        <v>11833477</v>
      </c>
      <c r="I160" s="50">
        <f t="shared" si="28"/>
        <v>10446003</v>
      </c>
      <c r="J160" s="50">
        <f t="shared" si="28"/>
        <v>10343753</v>
      </c>
      <c r="K160" s="28"/>
      <c r="L160" s="56">
        <f>SUM(L146:L159)</f>
        <v>268837377</v>
      </c>
      <c r="M160" s="73">
        <f>(L160/(L$403)*100)</f>
        <v>2.6061781758741827</v>
      </c>
      <c r="N160" s="63"/>
      <c r="O160" s="2"/>
      <c r="P160" s="2"/>
    </row>
    <row r="161" spans="1:16" ht="12.75" customHeight="1">
      <c r="A161" s="16"/>
      <c r="B161" s="17"/>
      <c r="C161" s="25"/>
      <c r="D161" s="25"/>
      <c r="E161" s="51"/>
      <c r="F161" s="51"/>
      <c r="G161" s="51"/>
      <c r="H161" s="51"/>
      <c r="I161" s="51"/>
      <c r="J161" s="51"/>
      <c r="K161" s="19"/>
      <c r="L161" s="46"/>
      <c r="M161" s="46"/>
      <c r="N161" s="62"/>
      <c r="O161" s="2"/>
      <c r="P161" s="2"/>
    </row>
    <row r="162" spans="1:16" ht="12.75" customHeight="1">
      <c r="A162" s="23" t="s">
        <v>58</v>
      </c>
      <c r="B162" s="24"/>
      <c r="C162" s="25">
        <v>23712000</v>
      </c>
      <c r="D162" s="25">
        <v>11102000</v>
      </c>
      <c r="E162" s="51">
        <v>0</v>
      </c>
      <c r="F162" s="51">
        <v>10794000</v>
      </c>
      <c r="G162" s="51">
        <v>11035000</v>
      </c>
      <c r="H162" s="51">
        <v>14250000</v>
      </c>
      <c r="I162" s="51">
        <v>0</v>
      </c>
      <c r="J162" s="51">
        <v>0</v>
      </c>
      <c r="K162" s="19"/>
      <c r="L162" s="46">
        <f>SUM(C162:K162)</f>
        <v>70893000</v>
      </c>
      <c r="M162" s="72">
        <f>(L162/L$164)*100</f>
        <v>62.54743906470611</v>
      </c>
      <c r="N162" s="62"/>
      <c r="O162" s="2"/>
      <c r="P162" s="2"/>
    </row>
    <row r="163" spans="1:16" ht="12.75" customHeight="1">
      <c r="A163" s="23" t="s">
        <v>240</v>
      </c>
      <c r="B163" s="24"/>
      <c r="C163" s="25">
        <v>0</v>
      </c>
      <c r="D163" s="25">
        <v>0</v>
      </c>
      <c r="E163" s="51">
        <v>0</v>
      </c>
      <c r="F163" s="51">
        <v>0</v>
      </c>
      <c r="G163" s="51">
        <v>15667000</v>
      </c>
      <c r="H163" s="51">
        <v>12439770</v>
      </c>
      <c r="I163" s="51">
        <v>14343000</v>
      </c>
      <c r="J163" s="51">
        <v>0</v>
      </c>
      <c r="K163" s="19"/>
      <c r="L163" s="46">
        <f>SUM(C163:K163)</f>
        <v>42449770</v>
      </c>
      <c r="M163" s="72">
        <f>(L163/L$164)*100</f>
        <v>37.45256093529389</v>
      </c>
      <c r="N163" s="62"/>
      <c r="O163" s="2"/>
      <c r="P163" s="2"/>
    </row>
    <row r="164" spans="1:16" ht="12.75" customHeight="1">
      <c r="A164" s="26" t="s">
        <v>267</v>
      </c>
      <c r="B164" s="27"/>
      <c r="C164" s="28">
        <v>23712000</v>
      </c>
      <c r="D164" s="28">
        <f aca="true" t="shared" si="29" ref="D164:J164">SUM(D161:D163)</f>
        <v>11102000</v>
      </c>
      <c r="E164" s="28">
        <f t="shared" si="29"/>
        <v>0</v>
      </c>
      <c r="F164" s="50">
        <f t="shared" si="29"/>
        <v>10794000</v>
      </c>
      <c r="G164" s="50">
        <f t="shared" si="29"/>
        <v>26702000</v>
      </c>
      <c r="H164" s="50">
        <f t="shared" si="29"/>
        <v>26689770</v>
      </c>
      <c r="I164" s="50">
        <f t="shared" si="29"/>
        <v>14343000</v>
      </c>
      <c r="J164" s="50">
        <f t="shared" si="29"/>
        <v>0</v>
      </c>
      <c r="K164" s="28"/>
      <c r="L164" s="56">
        <f>SUM(L161:L163)</f>
        <v>113342770</v>
      </c>
      <c r="M164" s="73">
        <f>(L164/(L$403)*100)</f>
        <v>1.098773752606309</v>
      </c>
      <c r="N164" s="63"/>
      <c r="O164" s="2"/>
      <c r="P164" s="2"/>
    </row>
    <row r="165" spans="1:16" ht="12.75" customHeight="1">
      <c r="A165" s="16"/>
      <c r="B165" s="17"/>
      <c r="C165" s="25"/>
      <c r="D165" s="25"/>
      <c r="E165" s="51"/>
      <c r="F165" s="51"/>
      <c r="G165" s="51"/>
      <c r="H165" s="51"/>
      <c r="I165" s="51"/>
      <c r="J165" s="51"/>
      <c r="K165" s="19"/>
      <c r="L165" s="46"/>
      <c r="M165" s="46"/>
      <c r="N165" s="62"/>
      <c r="O165" s="2"/>
      <c r="P165" s="2"/>
    </row>
    <row r="166" spans="1:16" ht="12.75" customHeight="1">
      <c r="A166" s="23" t="s">
        <v>59</v>
      </c>
      <c r="B166" s="24"/>
      <c r="C166" s="25">
        <v>3802216</v>
      </c>
      <c r="D166" s="25">
        <f>84000+628000+50000+213496</f>
        <v>975496</v>
      </c>
      <c r="E166" s="51">
        <v>346000</v>
      </c>
      <c r="F166" s="51">
        <v>9471244</v>
      </c>
      <c r="G166" s="51">
        <v>5311200</v>
      </c>
      <c r="H166" s="51">
        <v>3614000</v>
      </c>
      <c r="I166" s="51">
        <v>0</v>
      </c>
      <c r="J166" s="51">
        <v>0</v>
      </c>
      <c r="K166" s="19"/>
      <c r="L166" s="46">
        <f>SUM(C166:K166)</f>
        <v>23520156</v>
      </c>
      <c r="M166" s="72">
        <f>(L166/L$170)*100</f>
        <v>70.27241434635286</v>
      </c>
      <c r="N166" s="62"/>
      <c r="O166" s="2"/>
      <c r="P166" s="2"/>
    </row>
    <row r="167" spans="1:16" ht="12.75" customHeight="1">
      <c r="A167" s="23" t="s">
        <v>291</v>
      </c>
      <c r="B167" s="24"/>
      <c r="C167" s="25">
        <v>0</v>
      </c>
      <c r="D167" s="25">
        <v>0</v>
      </c>
      <c r="E167" s="51">
        <v>0</v>
      </c>
      <c r="F167" s="51">
        <v>0</v>
      </c>
      <c r="G167" s="51">
        <v>0</v>
      </c>
      <c r="H167" s="51">
        <v>0</v>
      </c>
      <c r="I167" s="51">
        <v>3563000</v>
      </c>
      <c r="J167" s="51">
        <v>0</v>
      </c>
      <c r="K167" s="19"/>
      <c r="L167" s="46">
        <f>SUM(C167:K167)</f>
        <v>3563000</v>
      </c>
      <c r="M167" s="72">
        <f>(L167/L$170)*100</f>
        <v>10.64536359010779</v>
      </c>
      <c r="N167" s="62"/>
      <c r="O167" s="2"/>
      <c r="P167" s="2"/>
    </row>
    <row r="168" spans="1:16" ht="12.75" customHeight="1">
      <c r="A168" s="23" t="s">
        <v>330</v>
      </c>
      <c r="B168" s="24"/>
      <c r="C168" s="25">
        <v>0</v>
      </c>
      <c r="D168" s="25">
        <v>0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v>269741</v>
      </c>
      <c r="K168" s="19"/>
      <c r="L168" s="46">
        <f>SUM(C168:K168)</f>
        <v>269741</v>
      </c>
      <c r="M168" s="72">
        <f>(L168/L$170)*100</f>
        <v>0.8059194555597152</v>
      </c>
      <c r="N168" s="62"/>
      <c r="O168" s="2"/>
      <c r="P168" s="2"/>
    </row>
    <row r="169" spans="1:16" ht="12.75" customHeight="1">
      <c r="A169" s="23" t="s">
        <v>60</v>
      </c>
      <c r="B169" s="24"/>
      <c r="C169" s="25">
        <v>2348240</v>
      </c>
      <c r="D169" s="25">
        <v>0</v>
      </c>
      <c r="E169" s="51">
        <v>0</v>
      </c>
      <c r="F169" s="51">
        <v>0</v>
      </c>
      <c r="G169" s="51">
        <v>49200</v>
      </c>
      <c r="H169" s="51">
        <v>383200</v>
      </c>
      <c r="I169" s="51">
        <v>325200</v>
      </c>
      <c r="J169" s="51">
        <v>3011233</v>
      </c>
      <c r="K169" s="19"/>
      <c r="L169" s="46">
        <f>SUM(C169:K169)</f>
        <v>6117073</v>
      </c>
      <c r="M169" s="72">
        <f>(L169/L$170)*100</f>
        <v>18.27630260797963</v>
      </c>
      <c r="N169" s="62"/>
      <c r="O169" s="2"/>
      <c r="P169" s="2"/>
    </row>
    <row r="170" spans="1:16" ht="12.75" customHeight="1">
      <c r="A170" s="26" t="s">
        <v>329</v>
      </c>
      <c r="B170" s="27"/>
      <c r="C170" s="28">
        <v>6150456</v>
      </c>
      <c r="D170" s="28">
        <f aca="true" t="shared" si="30" ref="D170:J170">SUM(D165:D169)</f>
        <v>975496</v>
      </c>
      <c r="E170" s="28">
        <f t="shared" si="30"/>
        <v>346000</v>
      </c>
      <c r="F170" s="50">
        <f t="shared" si="30"/>
        <v>9471244</v>
      </c>
      <c r="G170" s="50">
        <f t="shared" si="30"/>
        <v>5360400</v>
      </c>
      <c r="H170" s="50">
        <f t="shared" si="30"/>
        <v>3997200</v>
      </c>
      <c r="I170" s="50">
        <f t="shared" si="30"/>
        <v>3888200</v>
      </c>
      <c r="J170" s="50">
        <f t="shared" si="30"/>
        <v>3280974</v>
      </c>
      <c r="K170" s="28"/>
      <c r="L170" s="56">
        <f>SUM(L165:L169)</f>
        <v>33469970</v>
      </c>
      <c r="M170" s="73">
        <f>(L170/(L$403)*100)</f>
        <v>0.32446643519053386</v>
      </c>
      <c r="N170" s="63"/>
      <c r="O170" s="2"/>
      <c r="P170" s="2"/>
    </row>
    <row r="171" spans="1:16" ht="12.75" customHeight="1">
      <c r="A171" s="16"/>
      <c r="B171" s="17"/>
      <c r="C171" s="25"/>
      <c r="D171" s="25"/>
      <c r="E171" s="51"/>
      <c r="F171" s="51"/>
      <c r="G171" s="51"/>
      <c r="H171" s="51"/>
      <c r="I171" s="51"/>
      <c r="J171" s="51"/>
      <c r="K171" s="19"/>
      <c r="L171" s="46"/>
      <c r="M171" s="46"/>
      <c r="N171" s="62"/>
      <c r="O171" s="2"/>
      <c r="P171" s="2"/>
    </row>
    <row r="172" spans="1:16" ht="12.75" customHeight="1">
      <c r="A172" s="23" t="s">
        <v>61</v>
      </c>
      <c r="B172" s="24"/>
      <c r="C172" s="25">
        <v>568000</v>
      </c>
      <c r="D172" s="25">
        <v>0</v>
      </c>
      <c r="E172" s="51">
        <v>166000</v>
      </c>
      <c r="F172" s="51">
        <v>252000</v>
      </c>
      <c r="G172" s="51">
        <v>308000</v>
      </c>
      <c r="H172" s="51">
        <v>308000</v>
      </c>
      <c r="I172" s="51">
        <v>1177000</v>
      </c>
      <c r="J172" s="51">
        <v>956000</v>
      </c>
      <c r="K172" s="19"/>
      <c r="L172" s="46">
        <f aca="true" t="shared" si="31" ref="L172:L184">SUM(C172:K172)</f>
        <v>3735000</v>
      </c>
      <c r="M172" s="72">
        <f>(L172/L$185)*100</f>
        <v>2.4487627696586087</v>
      </c>
      <c r="N172" s="62"/>
      <c r="O172" s="2"/>
      <c r="P172" s="2"/>
    </row>
    <row r="173" spans="1:16" ht="12.75" customHeight="1">
      <c r="A173" s="23" t="s">
        <v>191</v>
      </c>
      <c r="B173" s="24"/>
      <c r="C173" s="25">
        <v>150000</v>
      </c>
      <c r="D173" s="25">
        <v>0</v>
      </c>
      <c r="E173" s="51">
        <v>120800</v>
      </c>
      <c r="F173" s="51">
        <v>0</v>
      </c>
      <c r="G173" s="51">
        <v>80000</v>
      </c>
      <c r="H173" s="51">
        <v>224560</v>
      </c>
      <c r="I173" s="51">
        <v>152000</v>
      </c>
      <c r="J173" s="51">
        <v>0</v>
      </c>
      <c r="K173" s="19"/>
      <c r="L173" s="46">
        <f t="shared" si="31"/>
        <v>727360</v>
      </c>
      <c r="M173" s="72">
        <f aca="true" t="shared" si="32" ref="M173:M184">(L173/L$185)*100</f>
        <v>0.47687606108136155</v>
      </c>
      <c r="N173" s="62"/>
      <c r="O173" s="2"/>
      <c r="P173" s="2"/>
    </row>
    <row r="174" spans="1:16" ht="12.75" customHeight="1">
      <c r="A174" s="23" t="s">
        <v>62</v>
      </c>
      <c r="B174" s="24"/>
      <c r="C174" s="25">
        <v>131840</v>
      </c>
      <c r="D174" s="25">
        <v>0</v>
      </c>
      <c r="E174" s="51">
        <v>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19"/>
      <c r="L174" s="46">
        <f t="shared" si="31"/>
        <v>131840</v>
      </c>
      <c r="M174" s="72">
        <f t="shared" si="32"/>
        <v>0.08643771982645006</v>
      </c>
      <c r="N174" s="62"/>
      <c r="O174" s="2"/>
      <c r="P174" s="2"/>
    </row>
    <row r="175" spans="1:16" ht="12.75" customHeight="1">
      <c r="A175" s="23" t="s">
        <v>63</v>
      </c>
      <c r="B175" s="24"/>
      <c r="C175" s="25">
        <v>36600477</v>
      </c>
      <c r="D175" s="25">
        <f>39000+200000+2400000+80000</f>
        <v>2719000</v>
      </c>
      <c r="E175" s="51">
        <v>2400000</v>
      </c>
      <c r="F175" s="51">
        <v>9027525</v>
      </c>
      <c r="G175" s="51">
        <v>12164171</v>
      </c>
      <c r="H175" s="51">
        <v>7583840</v>
      </c>
      <c r="I175" s="51">
        <v>6621899</v>
      </c>
      <c r="J175" s="51">
        <v>5914726</v>
      </c>
      <c r="K175" s="19"/>
      <c r="L175" s="46">
        <f t="shared" si="31"/>
        <v>83031638</v>
      </c>
      <c r="M175" s="72">
        <f t="shared" si="32"/>
        <v>54.43769312936304</v>
      </c>
      <c r="N175" s="62"/>
      <c r="O175" s="2"/>
      <c r="P175" s="2"/>
    </row>
    <row r="176" spans="1:16" ht="12.75" customHeight="1">
      <c r="A176" s="23" t="s">
        <v>64</v>
      </c>
      <c r="B176" s="24"/>
      <c r="C176" s="25">
        <v>4623093</v>
      </c>
      <c r="D176" s="25">
        <f>60500+1267356</f>
        <v>1327856</v>
      </c>
      <c r="E176" s="51">
        <v>2054903</v>
      </c>
      <c r="F176" s="51">
        <f>2680346-65800-29192-832240-384000</f>
        <v>1369114</v>
      </c>
      <c r="G176" s="51">
        <v>2098880</v>
      </c>
      <c r="H176" s="51">
        <v>2047250</v>
      </c>
      <c r="I176" s="51">
        <v>356252</v>
      </c>
      <c r="J176" s="51">
        <v>4226516</v>
      </c>
      <c r="K176" s="19"/>
      <c r="L176" s="46">
        <f t="shared" si="31"/>
        <v>18103864</v>
      </c>
      <c r="M176" s="72">
        <f t="shared" si="32"/>
        <v>11.869362289200208</v>
      </c>
      <c r="N176" s="62"/>
      <c r="O176" s="2"/>
      <c r="P176" s="2"/>
    </row>
    <row r="177" spans="1:16" ht="12.75" customHeight="1">
      <c r="A177" s="23" t="s">
        <v>65</v>
      </c>
      <c r="B177" s="24"/>
      <c r="C177" s="25">
        <v>4762807</v>
      </c>
      <c r="D177" s="25">
        <v>0</v>
      </c>
      <c r="E177" s="51">
        <v>3680000</v>
      </c>
      <c r="F177" s="51">
        <v>2988295</v>
      </c>
      <c r="G177" s="51">
        <v>1363347</v>
      </c>
      <c r="H177" s="51">
        <v>1180000</v>
      </c>
      <c r="I177" s="51">
        <v>4617869</v>
      </c>
      <c r="J177" s="51">
        <v>0</v>
      </c>
      <c r="K177" s="19"/>
      <c r="L177" s="46">
        <f t="shared" si="31"/>
        <v>18592318</v>
      </c>
      <c r="M177" s="72">
        <f t="shared" si="32"/>
        <v>12.189605386895208</v>
      </c>
      <c r="N177" s="62"/>
      <c r="O177" s="2"/>
      <c r="P177" s="2"/>
    </row>
    <row r="178" spans="1:16" ht="12.75" customHeight="1">
      <c r="A178" s="23" t="s">
        <v>66</v>
      </c>
      <c r="B178" s="24"/>
      <c r="C178" s="25">
        <v>5190240</v>
      </c>
      <c r="D178" s="25">
        <f>1940000+2999831+100000</f>
        <v>5039831</v>
      </c>
      <c r="E178" s="51">
        <v>608000</v>
      </c>
      <c r="F178" s="51">
        <v>1072000</v>
      </c>
      <c r="G178" s="51">
        <v>900000</v>
      </c>
      <c r="H178" s="51">
        <v>1680000</v>
      </c>
      <c r="I178" s="51">
        <v>1032000</v>
      </c>
      <c r="J178" s="51">
        <v>0</v>
      </c>
      <c r="K178" s="19"/>
      <c r="L178" s="46">
        <f t="shared" si="31"/>
        <v>15522071</v>
      </c>
      <c r="M178" s="72">
        <f t="shared" si="32"/>
        <v>10.176671907040848</v>
      </c>
      <c r="N178" s="62"/>
      <c r="O178" s="2"/>
      <c r="P178" s="2"/>
    </row>
    <row r="179" spans="1:16" ht="12.75" customHeight="1">
      <c r="A179" s="23" t="s">
        <v>175</v>
      </c>
      <c r="B179" s="24"/>
      <c r="C179" s="25">
        <v>310000</v>
      </c>
      <c r="D179" s="25">
        <v>0</v>
      </c>
      <c r="E179" s="51">
        <v>0</v>
      </c>
      <c r="F179" s="51">
        <v>480000</v>
      </c>
      <c r="G179" s="51">
        <v>320000</v>
      </c>
      <c r="H179" s="51">
        <v>394971</v>
      </c>
      <c r="I179" s="51">
        <v>164000</v>
      </c>
      <c r="J179" s="51">
        <v>0</v>
      </c>
      <c r="K179" s="19"/>
      <c r="L179" s="46">
        <f t="shared" si="31"/>
        <v>1668971</v>
      </c>
      <c r="M179" s="72">
        <f t="shared" si="32"/>
        <v>1.0942206287657021</v>
      </c>
      <c r="N179" s="62"/>
      <c r="O179" s="2"/>
      <c r="P179" s="2"/>
    </row>
    <row r="180" spans="1:16" ht="12.75" customHeight="1">
      <c r="A180" s="23" t="s">
        <v>67</v>
      </c>
      <c r="B180" s="24"/>
      <c r="C180" s="25">
        <v>302804</v>
      </c>
      <c r="D180" s="25">
        <v>0</v>
      </c>
      <c r="E180" s="51">
        <v>0</v>
      </c>
      <c r="F180" s="51">
        <f>91200+65800</f>
        <v>157000</v>
      </c>
      <c r="G180" s="51">
        <v>88490</v>
      </c>
      <c r="H180" s="51">
        <v>0</v>
      </c>
      <c r="I180" s="51">
        <v>144000</v>
      </c>
      <c r="J180" s="51">
        <v>72000</v>
      </c>
      <c r="K180" s="19"/>
      <c r="L180" s="46">
        <f t="shared" si="31"/>
        <v>764294</v>
      </c>
      <c r="M180" s="72">
        <f t="shared" si="32"/>
        <v>0.5010909483998546</v>
      </c>
      <c r="N180" s="62"/>
      <c r="O180" s="2"/>
      <c r="P180" s="2"/>
    </row>
    <row r="181" spans="1:16" ht="12.75" customHeight="1">
      <c r="A181" s="23" t="s">
        <v>68</v>
      </c>
      <c r="B181" s="24"/>
      <c r="C181" s="25">
        <v>100000</v>
      </c>
      <c r="D181" s="25">
        <v>0</v>
      </c>
      <c r="E181" s="51">
        <v>265000</v>
      </c>
      <c r="F181" s="51">
        <v>29192</v>
      </c>
      <c r="G181" s="51">
        <v>0</v>
      </c>
      <c r="H181" s="51">
        <v>20000</v>
      </c>
      <c r="I181" s="51">
        <v>60000</v>
      </c>
      <c r="J181" s="51">
        <v>196800</v>
      </c>
      <c r="K181" s="19"/>
      <c r="L181" s="46">
        <f t="shared" si="31"/>
        <v>670992</v>
      </c>
      <c r="M181" s="72">
        <f t="shared" si="32"/>
        <v>0.43991973984973737</v>
      </c>
      <c r="N181" s="62"/>
      <c r="O181" s="2"/>
      <c r="P181" s="2"/>
    </row>
    <row r="182" spans="1:16" ht="12.75" customHeight="1">
      <c r="A182" s="23" t="s">
        <v>69</v>
      </c>
      <c r="B182" s="24"/>
      <c r="C182" s="25">
        <v>69600</v>
      </c>
      <c r="D182" s="25">
        <v>0</v>
      </c>
      <c r="E182" s="51">
        <v>37848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19"/>
      <c r="L182" s="46">
        <f t="shared" si="31"/>
        <v>107448</v>
      </c>
      <c r="M182" s="72">
        <f t="shared" si="32"/>
        <v>0.07044569265710258</v>
      </c>
      <c r="N182" s="62"/>
      <c r="O182" s="2"/>
      <c r="P182" s="2"/>
    </row>
    <row r="183" spans="1:16" ht="12.75" customHeight="1">
      <c r="A183" s="23" t="s">
        <v>70</v>
      </c>
      <c r="B183" s="24"/>
      <c r="C183" s="25">
        <v>1193680</v>
      </c>
      <c r="D183" s="25">
        <v>0</v>
      </c>
      <c r="E183" s="51">
        <v>496000</v>
      </c>
      <c r="F183" s="51">
        <f>465000+832240</f>
        <v>1297240</v>
      </c>
      <c r="G183" s="51">
        <v>784040</v>
      </c>
      <c r="H183" s="51">
        <v>327512</v>
      </c>
      <c r="I183" s="51">
        <v>759200</v>
      </c>
      <c r="J183" s="51">
        <v>480000</v>
      </c>
      <c r="K183" s="19"/>
      <c r="L183" s="46">
        <f t="shared" si="31"/>
        <v>5337672</v>
      </c>
      <c r="M183" s="72">
        <f t="shared" si="32"/>
        <v>3.499516056291621</v>
      </c>
      <c r="N183" s="62"/>
      <c r="O183" s="2"/>
      <c r="P183" s="2"/>
    </row>
    <row r="184" spans="1:16" ht="12.75" customHeight="1">
      <c r="A184" s="23" t="s">
        <v>152</v>
      </c>
      <c r="B184" s="24"/>
      <c r="C184" s="25">
        <v>545336</v>
      </c>
      <c r="D184" s="25">
        <v>543200</v>
      </c>
      <c r="E184" s="51">
        <v>384000</v>
      </c>
      <c r="F184" s="51">
        <v>384000</v>
      </c>
      <c r="G184" s="51">
        <v>392000</v>
      </c>
      <c r="H184" s="51">
        <v>832000</v>
      </c>
      <c r="I184" s="51">
        <v>416000</v>
      </c>
      <c r="J184" s="51">
        <v>636000</v>
      </c>
      <c r="K184" s="19"/>
      <c r="L184" s="46">
        <f t="shared" si="31"/>
        <v>4132536</v>
      </c>
      <c r="M184" s="72">
        <f t="shared" si="32"/>
        <v>2.7093976709702563</v>
      </c>
      <c r="N184" s="62"/>
      <c r="O184" s="2"/>
      <c r="P184" s="2"/>
    </row>
    <row r="185" spans="1:16" ht="12.75" customHeight="1">
      <c r="A185" s="26" t="s">
        <v>268</v>
      </c>
      <c r="B185" s="27"/>
      <c r="C185" s="28">
        <v>54547877</v>
      </c>
      <c r="D185" s="28">
        <f aca="true" t="shared" si="33" ref="D185:J185">SUM(D171:D184)</f>
        <v>9629887</v>
      </c>
      <c r="E185" s="28">
        <f t="shared" si="33"/>
        <v>10212551</v>
      </c>
      <c r="F185" s="50">
        <f t="shared" si="33"/>
        <v>17056366</v>
      </c>
      <c r="G185" s="50">
        <f t="shared" si="33"/>
        <v>18498928</v>
      </c>
      <c r="H185" s="50">
        <f t="shared" si="33"/>
        <v>14598133</v>
      </c>
      <c r="I185" s="50">
        <f t="shared" si="33"/>
        <v>15500220</v>
      </c>
      <c r="J185" s="50">
        <f t="shared" si="33"/>
        <v>12482042</v>
      </c>
      <c r="K185" s="28"/>
      <c r="L185" s="56">
        <f>SUM(L171:L184)</f>
        <v>152526004</v>
      </c>
      <c r="M185" s="73">
        <f>(L185/(L$403)*100)</f>
        <v>1.478626027801552</v>
      </c>
      <c r="N185" s="63"/>
      <c r="O185" s="2"/>
      <c r="P185" s="2"/>
    </row>
    <row r="186" spans="1:16" ht="12.75" customHeight="1">
      <c r="A186" s="16"/>
      <c r="B186" s="17"/>
      <c r="C186" s="25"/>
      <c r="D186" s="25"/>
      <c r="E186" s="51"/>
      <c r="F186" s="51"/>
      <c r="G186" s="51"/>
      <c r="H186" s="51"/>
      <c r="I186" s="51"/>
      <c r="J186" s="51"/>
      <c r="K186" s="19"/>
      <c r="L186" s="46"/>
      <c r="M186" s="46"/>
      <c r="N186" s="62"/>
      <c r="O186" s="2"/>
      <c r="P186" s="2"/>
    </row>
    <row r="187" spans="1:16" ht="12.75" customHeight="1">
      <c r="A187" s="23" t="s">
        <v>71</v>
      </c>
      <c r="B187" s="24"/>
      <c r="C187" s="25">
        <v>6640000</v>
      </c>
      <c r="D187" s="25">
        <v>1607400</v>
      </c>
      <c r="E187" s="51">
        <v>2765281</v>
      </c>
      <c r="F187" s="51">
        <v>0</v>
      </c>
      <c r="G187" s="51">
        <v>2308917</v>
      </c>
      <c r="H187" s="51">
        <v>2106971</v>
      </c>
      <c r="I187" s="51">
        <v>1004000</v>
      </c>
      <c r="J187" s="51">
        <v>2063480</v>
      </c>
      <c r="K187" s="19"/>
      <c r="L187" s="46">
        <f aca="true" t="shared" si="34" ref="L187:L193">SUM(C187:K187)</f>
        <v>18496049</v>
      </c>
      <c r="M187" s="72">
        <f aca="true" t="shared" si="35" ref="M187:M193">(L187/L$194)*100</f>
        <v>10.713287965860845</v>
      </c>
      <c r="N187" s="62"/>
      <c r="O187" s="2"/>
      <c r="P187" s="2"/>
    </row>
    <row r="188" spans="1:16" ht="12.75" customHeight="1">
      <c r="A188" s="23" t="s">
        <v>72</v>
      </c>
      <c r="B188" s="24"/>
      <c r="C188" s="25">
        <v>6003704</v>
      </c>
      <c r="D188" s="25">
        <v>1044000</v>
      </c>
      <c r="E188" s="51">
        <v>200000</v>
      </c>
      <c r="F188" s="51">
        <v>0</v>
      </c>
      <c r="G188" s="51">
        <v>312000</v>
      </c>
      <c r="H188" s="51">
        <v>2880000</v>
      </c>
      <c r="I188" s="51">
        <v>80000</v>
      </c>
      <c r="J188" s="51">
        <v>0</v>
      </c>
      <c r="K188" s="19"/>
      <c r="L188" s="46">
        <f t="shared" si="34"/>
        <v>10519704</v>
      </c>
      <c r="M188" s="72">
        <f t="shared" si="35"/>
        <v>6.093226627352587</v>
      </c>
      <c r="N188" s="62"/>
      <c r="O188" s="2"/>
      <c r="P188" s="2"/>
    </row>
    <row r="189" spans="1:16" ht="12.75" customHeight="1">
      <c r="A189" s="23" t="s">
        <v>181</v>
      </c>
      <c r="B189" s="24"/>
      <c r="C189" s="25">
        <v>726000</v>
      </c>
      <c r="D189" s="25">
        <v>59000</v>
      </c>
      <c r="E189" s="51">
        <v>144000</v>
      </c>
      <c r="F189" s="51">
        <v>0</v>
      </c>
      <c r="G189" s="51">
        <v>0</v>
      </c>
      <c r="H189" s="51">
        <v>31000</v>
      </c>
      <c r="I189" s="51">
        <v>0</v>
      </c>
      <c r="J189" s="51">
        <v>210400</v>
      </c>
      <c r="K189" s="19"/>
      <c r="L189" s="46">
        <f t="shared" si="34"/>
        <v>1170400</v>
      </c>
      <c r="M189" s="72">
        <f t="shared" si="35"/>
        <v>0.6779194970365581</v>
      </c>
      <c r="N189" s="62"/>
      <c r="O189" s="2"/>
      <c r="P189" s="2"/>
    </row>
    <row r="190" spans="1:16" ht="12.75" customHeight="1">
      <c r="A190" s="23" t="s">
        <v>292</v>
      </c>
      <c r="B190" s="24"/>
      <c r="C190" s="25">
        <v>0</v>
      </c>
      <c r="D190" s="25">
        <v>0</v>
      </c>
      <c r="E190" s="51">
        <v>0</v>
      </c>
      <c r="F190" s="51">
        <v>0</v>
      </c>
      <c r="G190" s="51">
        <v>0</v>
      </c>
      <c r="H190" s="51">
        <v>0</v>
      </c>
      <c r="I190" s="51">
        <v>49092</v>
      </c>
      <c r="J190" s="51">
        <v>0</v>
      </c>
      <c r="K190" s="19"/>
      <c r="L190" s="46">
        <f t="shared" si="34"/>
        <v>49092</v>
      </c>
      <c r="M190" s="72">
        <f t="shared" si="35"/>
        <v>0.02843508539688885</v>
      </c>
      <c r="N190" s="62"/>
      <c r="O190" s="2"/>
      <c r="P190" s="2"/>
    </row>
    <row r="191" spans="1:16" ht="12.75" customHeight="1">
      <c r="A191" s="23" t="s">
        <v>169</v>
      </c>
      <c r="B191" s="24"/>
      <c r="C191" s="25">
        <v>17330667</v>
      </c>
      <c r="D191" s="25">
        <v>0</v>
      </c>
      <c r="E191" s="51">
        <v>5600000</v>
      </c>
      <c r="F191" s="51">
        <f>8508682+7635285</f>
        <v>16143967</v>
      </c>
      <c r="G191" s="51">
        <v>35847265</v>
      </c>
      <c r="H191" s="51">
        <v>30761875</v>
      </c>
      <c r="I191" s="51">
        <v>20247194</v>
      </c>
      <c r="J191" s="51">
        <v>13010983</v>
      </c>
      <c r="K191" s="19"/>
      <c r="L191" s="46">
        <f t="shared" si="34"/>
        <v>138941951</v>
      </c>
      <c r="M191" s="72">
        <f t="shared" si="35"/>
        <v>80.47800541626631</v>
      </c>
      <c r="N191" s="62"/>
      <c r="O191" s="2"/>
      <c r="P191" s="2"/>
    </row>
    <row r="192" spans="1:16" ht="12.75" customHeight="1">
      <c r="A192" s="23" t="s">
        <v>73</v>
      </c>
      <c r="B192" s="24"/>
      <c r="C192" s="25">
        <v>448000</v>
      </c>
      <c r="D192" s="25">
        <v>588000</v>
      </c>
      <c r="E192" s="51">
        <v>0</v>
      </c>
      <c r="F192" s="51">
        <v>0</v>
      </c>
      <c r="G192" s="51">
        <v>733400</v>
      </c>
      <c r="H192" s="51">
        <v>0</v>
      </c>
      <c r="I192" s="51">
        <v>364506</v>
      </c>
      <c r="J192" s="51">
        <v>467966</v>
      </c>
      <c r="K192" s="19"/>
      <c r="L192" s="46">
        <f t="shared" si="34"/>
        <v>2601872</v>
      </c>
      <c r="M192" s="72">
        <f t="shared" si="35"/>
        <v>1.507057209153711</v>
      </c>
      <c r="N192" s="62"/>
      <c r="O192" s="2"/>
      <c r="P192" s="2"/>
    </row>
    <row r="193" spans="1:16" ht="12.75" customHeight="1">
      <c r="A193" s="23" t="s">
        <v>182</v>
      </c>
      <c r="B193" s="24"/>
      <c r="C193" s="25">
        <v>398000</v>
      </c>
      <c r="D193" s="25">
        <v>0</v>
      </c>
      <c r="E193" s="51">
        <v>224000</v>
      </c>
      <c r="F193" s="51">
        <v>0</v>
      </c>
      <c r="G193" s="51">
        <v>244800</v>
      </c>
      <c r="H193" s="51">
        <v>0</v>
      </c>
      <c r="I193" s="51">
        <v>0</v>
      </c>
      <c r="J193" s="51">
        <v>0</v>
      </c>
      <c r="K193" s="19"/>
      <c r="L193" s="46">
        <f t="shared" si="34"/>
        <v>866800</v>
      </c>
      <c r="M193" s="72">
        <f t="shared" si="35"/>
        <v>0.50206819893309</v>
      </c>
      <c r="N193" s="62"/>
      <c r="O193" s="2"/>
      <c r="P193" s="2"/>
    </row>
    <row r="194" spans="1:16" ht="12.75" customHeight="1">
      <c r="A194" s="26" t="s">
        <v>351</v>
      </c>
      <c r="B194" s="27"/>
      <c r="C194" s="28">
        <v>31546371</v>
      </c>
      <c r="D194" s="28">
        <f aca="true" t="shared" si="36" ref="D194:J194">SUM(D186:D193)</f>
        <v>3298400</v>
      </c>
      <c r="E194" s="28">
        <f t="shared" si="36"/>
        <v>8933281</v>
      </c>
      <c r="F194" s="50">
        <f t="shared" si="36"/>
        <v>16143967</v>
      </c>
      <c r="G194" s="50">
        <f t="shared" si="36"/>
        <v>39446382</v>
      </c>
      <c r="H194" s="50">
        <f t="shared" si="36"/>
        <v>35779846</v>
      </c>
      <c r="I194" s="50">
        <f t="shared" si="36"/>
        <v>21744792</v>
      </c>
      <c r="J194" s="50">
        <f t="shared" si="36"/>
        <v>15752829</v>
      </c>
      <c r="K194" s="28"/>
      <c r="L194" s="56">
        <f>SUM(L186:L193)</f>
        <v>172645868</v>
      </c>
      <c r="M194" s="73">
        <f>(L194/(L$403)*100)</f>
        <v>1.6736731266964227</v>
      </c>
      <c r="N194" s="63"/>
      <c r="O194" s="2"/>
      <c r="P194" s="2"/>
    </row>
    <row r="195" spans="1:16" ht="12.75" customHeight="1">
      <c r="A195" s="16"/>
      <c r="B195" s="17"/>
      <c r="C195" s="25"/>
      <c r="D195" s="25"/>
      <c r="E195" s="51"/>
      <c r="F195" s="51"/>
      <c r="G195" s="51"/>
      <c r="H195" s="51"/>
      <c r="I195" s="51"/>
      <c r="J195" s="51"/>
      <c r="K195" s="19"/>
      <c r="L195" s="46"/>
      <c r="M195" s="46"/>
      <c r="N195" s="62"/>
      <c r="O195" s="2"/>
      <c r="P195" s="2"/>
    </row>
    <row r="196" spans="1:16" ht="12.75" customHeight="1">
      <c r="A196" s="23" t="s">
        <v>332</v>
      </c>
      <c r="B196" s="24"/>
      <c r="C196" s="25">
        <v>0</v>
      </c>
      <c r="D196" s="25">
        <v>0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>
        <v>436805</v>
      </c>
      <c r="K196" s="19"/>
      <c r="L196" s="46">
        <f aca="true" t="shared" si="37" ref="L196:L201">SUM(C196:K196)</f>
        <v>436805</v>
      </c>
      <c r="M196" s="72">
        <f aca="true" t="shared" si="38" ref="M196:M201">(L196/L$202)*100</f>
        <v>0.3293405570683501</v>
      </c>
      <c r="N196" s="62"/>
      <c r="O196" s="2"/>
      <c r="P196" s="2"/>
    </row>
    <row r="197" spans="1:16" ht="12.75" customHeight="1">
      <c r="A197" s="23" t="s">
        <v>256</v>
      </c>
      <c r="B197" s="24"/>
      <c r="C197" s="25">
        <v>0</v>
      </c>
      <c r="D197" s="25">
        <v>0</v>
      </c>
      <c r="E197" s="51">
        <v>0</v>
      </c>
      <c r="F197" s="51">
        <v>0</v>
      </c>
      <c r="G197" s="51">
        <v>0</v>
      </c>
      <c r="H197" s="51">
        <v>143000</v>
      </c>
      <c r="I197" s="51">
        <v>0</v>
      </c>
      <c r="J197" s="51">
        <v>0</v>
      </c>
      <c r="K197" s="19"/>
      <c r="L197" s="46">
        <f t="shared" si="37"/>
        <v>143000</v>
      </c>
      <c r="M197" s="72">
        <f t="shared" si="38"/>
        <v>0.1078185910435413</v>
      </c>
      <c r="N197" s="62"/>
      <c r="O197" s="2"/>
      <c r="P197" s="2"/>
    </row>
    <row r="198" spans="1:16" ht="12.75" customHeight="1">
      <c r="A198" s="23" t="s">
        <v>161</v>
      </c>
      <c r="B198" s="24"/>
      <c r="C198" s="25">
        <v>0</v>
      </c>
      <c r="D198" s="25">
        <v>0</v>
      </c>
      <c r="E198" s="51">
        <v>4500000</v>
      </c>
      <c r="F198" s="51">
        <v>7741266</v>
      </c>
      <c r="G198" s="51">
        <v>4996127</v>
      </c>
      <c r="H198" s="51">
        <v>328620</v>
      </c>
      <c r="I198" s="51">
        <v>9822693</v>
      </c>
      <c r="J198" s="51">
        <v>885208</v>
      </c>
      <c r="K198" s="19"/>
      <c r="L198" s="46">
        <f t="shared" si="37"/>
        <v>28273914</v>
      </c>
      <c r="M198" s="72">
        <f t="shared" si="38"/>
        <v>21.317857138225573</v>
      </c>
      <c r="N198" s="62"/>
      <c r="O198" s="2"/>
      <c r="P198" s="2"/>
    </row>
    <row r="199" spans="1:16" ht="12.75" customHeight="1">
      <c r="A199" s="23" t="s">
        <v>257</v>
      </c>
      <c r="B199" s="24"/>
      <c r="C199" s="25">
        <v>0</v>
      </c>
      <c r="D199" s="25">
        <v>0</v>
      </c>
      <c r="E199" s="51">
        <v>0</v>
      </c>
      <c r="F199" s="51">
        <v>0</v>
      </c>
      <c r="G199" s="51">
        <v>0</v>
      </c>
      <c r="H199" s="51">
        <v>799790</v>
      </c>
      <c r="I199" s="51">
        <v>0</v>
      </c>
      <c r="J199" s="51">
        <v>0</v>
      </c>
      <c r="K199" s="19"/>
      <c r="L199" s="46">
        <f t="shared" si="37"/>
        <v>799790</v>
      </c>
      <c r="M199" s="72">
        <f t="shared" si="38"/>
        <v>0.6030225939210763</v>
      </c>
      <c r="N199" s="62"/>
      <c r="O199" s="2"/>
      <c r="P199" s="2"/>
    </row>
    <row r="200" spans="1:16" ht="12.75" customHeight="1">
      <c r="A200" s="23" t="s">
        <v>74</v>
      </c>
      <c r="B200" s="24"/>
      <c r="C200" s="25">
        <v>14651090</v>
      </c>
      <c r="D200" s="25">
        <f>44000+221520+142000+807000+950000</f>
        <v>2164520</v>
      </c>
      <c r="E200" s="51">
        <v>8502690</v>
      </c>
      <c r="F200" s="51">
        <v>42888988</v>
      </c>
      <c r="G200" s="51">
        <v>11317318</v>
      </c>
      <c r="H200" s="51">
        <v>7427405</v>
      </c>
      <c r="I200" s="51">
        <v>13148954</v>
      </c>
      <c r="J200" s="51">
        <v>2675714</v>
      </c>
      <c r="K200" s="19"/>
      <c r="L200" s="46">
        <f t="shared" si="37"/>
        <v>102776679</v>
      </c>
      <c r="M200" s="72">
        <f t="shared" si="38"/>
        <v>77.49116588751272</v>
      </c>
      <c r="N200" s="62"/>
      <c r="O200" s="2"/>
      <c r="P200" s="2"/>
    </row>
    <row r="201" spans="1:16" ht="12.75" customHeight="1">
      <c r="A201" s="23" t="s">
        <v>153</v>
      </c>
      <c r="B201" s="24"/>
      <c r="C201" s="25">
        <v>0</v>
      </c>
      <c r="D201" s="25">
        <v>200000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19"/>
      <c r="L201" s="46">
        <f t="shared" si="37"/>
        <v>200000</v>
      </c>
      <c r="M201" s="72">
        <f t="shared" si="38"/>
        <v>0.1507952322287291</v>
      </c>
      <c r="N201" s="62"/>
      <c r="O201" s="2"/>
      <c r="P201" s="2"/>
    </row>
    <row r="202" spans="1:16" ht="12.75" customHeight="1">
      <c r="A202" s="26" t="s">
        <v>331</v>
      </c>
      <c r="B202" s="27"/>
      <c r="C202" s="28">
        <v>14651090</v>
      </c>
      <c r="D202" s="28">
        <f aca="true" t="shared" si="39" ref="D202:J202">SUM(D195:D201)</f>
        <v>2364520</v>
      </c>
      <c r="E202" s="50">
        <f t="shared" si="39"/>
        <v>13002690</v>
      </c>
      <c r="F202" s="50">
        <f t="shared" si="39"/>
        <v>50630254</v>
      </c>
      <c r="G202" s="50">
        <f t="shared" si="39"/>
        <v>16313445</v>
      </c>
      <c r="H202" s="50">
        <f t="shared" si="39"/>
        <v>8698815</v>
      </c>
      <c r="I202" s="50">
        <f t="shared" si="39"/>
        <v>22971647</v>
      </c>
      <c r="J202" s="50">
        <f t="shared" si="39"/>
        <v>3997727</v>
      </c>
      <c r="K202" s="28"/>
      <c r="L202" s="56">
        <f>SUM(L195:L201)</f>
        <v>132630188</v>
      </c>
      <c r="M202" s="73">
        <f>(L202/(L$403)*100)</f>
        <v>1.285750907425681</v>
      </c>
      <c r="N202" s="63"/>
      <c r="O202" s="2"/>
      <c r="P202" s="2"/>
    </row>
    <row r="203" spans="1:16" ht="12.75" customHeight="1">
      <c r="A203" s="23"/>
      <c r="B203" s="24"/>
      <c r="C203" s="25"/>
      <c r="D203" s="25"/>
      <c r="E203" s="51"/>
      <c r="F203" s="51"/>
      <c r="G203" s="51"/>
      <c r="H203" s="51"/>
      <c r="I203" s="51"/>
      <c r="J203" s="51"/>
      <c r="K203" s="19"/>
      <c r="L203" s="46"/>
      <c r="M203" s="46"/>
      <c r="N203" s="62"/>
      <c r="O203" s="2"/>
      <c r="P203" s="2"/>
    </row>
    <row r="204" spans="1:16" ht="12.75" customHeight="1">
      <c r="A204" s="23" t="s">
        <v>249</v>
      </c>
      <c r="B204" s="24"/>
      <c r="C204" s="25">
        <v>0</v>
      </c>
      <c r="D204" s="25">
        <v>0</v>
      </c>
      <c r="E204" s="51">
        <v>0</v>
      </c>
      <c r="F204" s="51">
        <v>250000</v>
      </c>
      <c r="G204" s="51">
        <v>0</v>
      </c>
      <c r="H204" s="51">
        <v>0</v>
      </c>
      <c r="I204" s="51">
        <v>0</v>
      </c>
      <c r="J204" s="51">
        <v>0</v>
      </c>
      <c r="K204" s="19"/>
      <c r="L204" s="46">
        <f>SUM(C204:K204)</f>
        <v>250000</v>
      </c>
      <c r="M204" s="72">
        <f>(L204/L$210)*100</f>
        <v>4.236931946060127</v>
      </c>
      <c r="N204" s="62"/>
      <c r="O204" s="2"/>
      <c r="P204" s="2"/>
    </row>
    <row r="205" spans="1:16" ht="12.75" customHeight="1">
      <c r="A205" s="26" t="s">
        <v>352</v>
      </c>
      <c r="B205" s="27"/>
      <c r="C205" s="28">
        <v>0</v>
      </c>
      <c r="D205" s="28">
        <f aca="true" t="shared" si="40" ref="D205:J205">SUM(D203:D204)</f>
        <v>0</v>
      </c>
      <c r="E205" s="28">
        <f t="shared" si="40"/>
        <v>0</v>
      </c>
      <c r="F205" s="50">
        <f t="shared" si="40"/>
        <v>250000</v>
      </c>
      <c r="G205" s="50">
        <f t="shared" si="40"/>
        <v>0</v>
      </c>
      <c r="H205" s="50">
        <f t="shared" si="40"/>
        <v>0</v>
      </c>
      <c r="I205" s="50">
        <f t="shared" si="40"/>
        <v>0</v>
      </c>
      <c r="J205" s="50">
        <f t="shared" si="40"/>
        <v>0</v>
      </c>
      <c r="K205" s="28"/>
      <c r="L205" s="56">
        <f>SUM(L203:L204)</f>
        <v>250000</v>
      </c>
      <c r="M205" s="73">
        <f>(L205/(L$403)*100)</f>
        <v>0.0024235638334194343</v>
      </c>
      <c r="N205" s="62"/>
      <c r="O205" s="2"/>
      <c r="P205" s="2"/>
    </row>
    <row r="206" spans="1:16" ht="12.75" customHeight="1">
      <c r="A206" s="23"/>
      <c r="B206" s="24"/>
      <c r="C206" s="25"/>
      <c r="D206" s="25"/>
      <c r="E206" s="51"/>
      <c r="F206" s="51"/>
      <c r="G206" s="51"/>
      <c r="H206" s="51"/>
      <c r="I206" s="51"/>
      <c r="J206" s="51"/>
      <c r="K206" s="19"/>
      <c r="L206" s="46"/>
      <c r="M206" s="46"/>
      <c r="N206" s="62"/>
      <c r="O206" s="2"/>
      <c r="P206" s="2"/>
    </row>
    <row r="207" spans="1:16" ht="12.75" customHeight="1">
      <c r="A207" s="23" t="s">
        <v>241</v>
      </c>
      <c r="B207" s="24"/>
      <c r="C207" s="25">
        <v>0</v>
      </c>
      <c r="D207" s="25">
        <v>0</v>
      </c>
      <c r="E207" s="51">
        <v>0</v>
      </c>
      <c r="F207" s="51">
        <v>0</v>
      </c>
      <c r="G207" s="51">
        <v>300000</v>
      </c>
      <c r="H207" s="51">
        <v>0</v>
      </c>
      <c r="I207" s="51">
        <v>0</v>
      </c>
      <c r="J207" s="51">
        <v>0</v>
      </c>
      <c r="K207" s="19"/>
      <c r="L207" s="46">
        <f>SUM(C207:K207)</f>
        <v>300000</v>
      </c>
      <c r="M207" s="72">
        <f>(L207/L$210)*100</f>
        <v>5.084318335272153</v>
      </c>
      <c r="N207" s="62"/>
      <c r="O207" s="2"/>
      <c r="P207" s="2"/>
    </row>
    <row r="208" spans="1:16" ht="12.75" customHeight="1">
      <c r="A208" s="23" t="s">
        <v>226</v>
      </c>
      <c r="B208" s="24"/>
      <c r="C208" s="25">
        <v>0</v>
      </c>
      <c r="D208" s="25">
        <v>0</v>
      </c>
      <c r="E208" s="51">
        <v>0</v>
      </c>
      <c r="F208" s="51">
        <v>500000</v>
      </c>
      <c r="G208" s="51">
        <v>0</v>
      </c>
      <c r="H208" s="51">
        <v>45713</v>
      </c>
      <c r="I208" s="51">
        <v>0</v>
      </c>
      <c r="J208" s="51">
        <v>0</v>
      </c>
      <c r="K208" s="19"/>
      <c r="L208" s="46">
        <f>SUM(C208:K208)</f>
        <v>545713</v>
      </c>
      <c r="M208" s="72">
        <f>(L208/L$210)*100</f>
        <v>9.248595372321242</v>
      </c>
      <c r="N208" s="62"/>
      <c r="O208" s="2"/>
      <c r="P208" s="2"/>
    </row>
    <row r="209" spans="1:16" ht="12.75" customHeight="1">
      <c r="A209" s="23" t="s">
        <v>75</v>
      </c>
      <c r="B209" s="24"/>
      <c r="C209" s="25">
        <v>3061194</v>
      </c>
      <c r="D209" s="25">
        <v>458659</v>
      </c>
      <c r="E209" s="51">
        <v>370000</v>
      </c>
      <c r="F209" s="51">
        <v>597402</v>
      </c>
      <c r="G209" s="51">
        <v>200948</v>
      </c>
      <c r="H209" s="51">
        <v>222580</v>
      </c>
      <c r="I209" s="51">
        <v>144000</v>
      </c>
      <c r="J209" s="51">
        <v>0</v>
      </c>
      <c r="K209" s="19"/>
      <c r="L209" s="46">
        <f>SUM(C209:K209)</f>
        <v>5054783</v>
      </c>
      <c r="M209" s="72">
        <f>(L209/L$210)*100</f>
        <v>85.66708629240661</v>
      </c>
      <c r="N209" s="62"/>
      <c r="O209" s="2"/>
      <c r="P209" s="2"/>
    </row>
    <row r="210" spans="1:16" ht="12.75" customHeight="1">
      <c r="A210" s="26" t="s">
        <v>269</v>
      </c>
      <c r="B210" s="27"/>
      <c r="C210" s="28">
        <v>3061194</v>
      </c>
      <c r="D210" s="28">
        <f aca="true" t="shared" si="41" ref="D210:J210">SUM(D206:D209)</f>
        <v>458659</v>
      </c>
      <c r="E210" s="28">
        <f t="shared" si="41"/>
        <v>370000</v>
      </c>
      <c r="F210" s="50">
        <f t="shared" si="41"/>
        <v>1097402</v>
      </c>
      <c r="G210" s="50">
        <f t="shared" si="41"/>
        <v>500948</v>
      </c>
      <c r="H210" s="50">
        <f t="shared" si="41"/>
        <v>268293</v>
      </c>
      <c r="I210" s="50">
        <f t="shared" si="41"/>
        <v>144000</v>
      </c>
      <c r="J210" s="50">
        <f t="shared" si="41"/>
        <v>0</v>
      </c>
      <c r="K210" s="28"/>
      <c r="L210" s="56">
        <f>SUM(L206:L209)</f>
        <v>5900496</v>
      </c>
      <c r="M210" s="73">
        <f>(L210/(L$403)*100)</f>
        <v>0.057200914819344154</v>
      </c>
      <c r="N210" s="63"/>
      <c r="O210" s="2"/>
      <c r="P210" s="2"/>
    </row>
    <row r="211" spans="1:16" ht="12.75" customHeight="1">
      <c r="A211" s="23"/>
      <c r="B211" s="24"/>
      <c r="C211" s="25"/>
      <c r="D211" s="25"/>
      <c r="E211" s="51"/>
      <c r="F211" s="51"/>
      <c r="G211" s="51"/>
      <c r="H211" s="51"/>
      <c r="I211" s="51"/>
      <c r="J211" s="51"/>
      <c r="K211" s="19"/>
      <c r="L211" s="46"/>
      <c r="M211" s="46"/>
      <c r="N211" s="62"/>
      <c r="O211" s="2"/>
      <c r="P211" s="2"/>
    </row>
    <row r="212" spans="1:16" ht="12.75" customHeight="1">
      <c r="A212" s="23" t="s">
        <v>233</v>
      </c>
      <c r="B212" s="24"/>
      <c r="C212" s="25">
        <v>164000</v>
      </c>
      <c r="D212" s="25">
        <v>0</v>
      </c>
      <c r="E212" s="51">
        <v>0</v>
      </c>
      <c r="F212" s="51">
        <v>0</v>
      </c>
      <c r="G212" s="51">
        <v>9871174</v>
      </c>
      <c r="H212" s="51">
        <v>3219000</v>
      </c>
      <c r="I212" s="51">
        <v>636000</v>
      </c>
      <c r="J212" s="51">
        <v>0</v>
      </c>
      <c r="K212" s="19"/>
      <c r="L212" s="46">
        <f>SUM(C212:K212)</f>
        <v>13890174</v>
      </c>
      <c r="M212" s="72">
        <f>(L212/L$217)*100</f>
        <v>30.525054690587282</v>
      </c>
      <c r="N212" s="62"/>
      <c r="O212" s="2"/>
      <c r="P212" s="2"/>
    </row>
    <row r="213" spans="1:16" ht="12.75" customHeight="1">
      <c r="A213" s="23" t="s">
        <v>227</v>
      </c>
      <c r="B213" s="24"/>
      <c r="C213" s="25">
        <v>0</v>
      </c>
      <c r="D213" s="25">
        <v>0</v>
      </c>
      <c r="E213" s="51">
        <v>0</v>
      </c>
      <c r="F213" s="51">
        <v>1491600</v>
      </c>
      <c r="G213" s="51">
        <v>0</v>
      </c>
      <c r="H213" s="51">
        <v>4055640</v>
      </c>
      <c r="I213" s="51">
        <v>0</v>
      </c>
      <c r="J213" s="51">
        <v>0</v>
      </c>
      <c r="K213" s="19"/>
      <c r="L213" s="46">
        <f>SUM(C213:K213)</f>
        <v>5547240</v>
      </c>
      <c r="M213" s="72">
        <f>(L213/L$217)*100</f>
        <v>12.190617941993628</v>
      </c>
      <c r="N213" s="62"/>
      <c r="O213" s="2"/>
      <c r="P213" s="2"/>
    </row>
    <row r="214" spans="1:16" ht="12.75" customHeight="1">
      <c r="A214" s="23" t="s">
        <v>193</v>
      </c>
      <c r="B214" s="24"/>
      <c r="C214" s="25">
        <v>0</v>
      </c>
      <c r="D214" s="25">
        <v>0</v>
      </c>
      <c r="E214" s="51">
        <v>5600000</v>
      </c>
      <c r="F214" s="51">
        <v>0</v>
      </c>
      <c r="G214" s="51">
        <v>0</v>
      </c>
      <c r="H214" s="51">
        <v>0</v>
      </c>
      <c r="I214" s="51">
        <v>0</v>
      </c>
      <c r="J214" s="51">
        <v>2080000</v>
      </c>
      <c r="K214" s="19"/>
      <c r="L214" s="46">
        <f>SUM(C214:K214)</f>
        <v>7680000</v>
      </c>
      <c r="M214" s="72">
        <f>(L214/L$217)*100</f>
        <v>16.877572593670198</v>
      </c>
      <c r="N214" s="62"/>
      <c r="O214" s="2"/>
      <c r="P214" s="2"/>
    </row>
    <row r="215" spans="1:16" ht="12.75" customHeight="1">
      <c r="A215" s="23" t="s">
        <v>228</v>
      </c>
      <c r="B215" s="24"/>
      <c r="C215" s="25">
        <v>0</v>
      </c>
      <c r="D215" s="25">
        <v>0</v>
      </c>
      <c r="E215" s="51">
        <v>0</v>
      </c>
      <c r="F215" s="51">
        <v>4738000</v>
      </c>
      <c r="G215" s="51">
        <v>0</v>
      </c>
      <c r="H215" s="51">
        <v>3064360</v>
      </c>
      <c r="I215" s="51">
        <v>0</v>
      </c>
      <c r="J215" s="51">
        <v>0</v>
      </c>
      <c r="K215" s="19"/>
      <c r="L215" s="46">
        <f>SUM(C215:K215)</f>
        <v>7802360</v>
      </c>
      <c r="M215" s="72">
        <f>(L215/L$217)*100</f>
        <v>17.14647100285789</v>
      </c>
      <c r="N215" s="62"/>
      <c r="O215" s="2"/>
      <c r="P215" s="2"/>
    </row>
    <row r="216" spans="1:16" ht="12.75" customHeight="1">
      <c r="A216" s="23" t="s">
        <v>194</v>
      </c>
      <c r="B216" s="24"/>
      <c r="C216" s="25">
        <v>0</v>
      </c>
      <c r="D216" s="25">
        <v>0</v>
      </c>
      <c r="E216" s="51">
        <v>4238400</v>
      </c>
      <c r="F216" s="51">
        <f>4296000+360000</f>
        <v>4656000</v>
      </c>
      <c r="G216" s="51">
        <v>0</v>
      </c>
      <c r="H216" s="51">
        <v>0</v>
      </c>
      <c r="I216" s="51">
        <v>170000</v>
      </c>
      <c r="J216" s="51">
        <v>1520000</v>
      </c>
      <c r="K216" s="19"/>
      <c r="L216" s="46">
        <f>SUM(C216:K216)</f>
        <v>10584400</v>
      </c>
      <c r="M216" s="72">
        <f>(L216/L$217)*100</f>
        <v>23.260283770890997</v>
      </c>
      <c r="N216" s="62"/>
      <c r="O216" s="2"/>
      <c r="P216" s="2"/>
    </row>
    <row r="217" spans="1:16" ht="12.75" customHeight="1">
      <c r="A217" s="26" t="s">
        <v>353</v>
      </c>
      <c r="B217" s="27"/>
      <c r="C217" s="28">
        <v>164000</v>
      </c>
      <c r="D217" s="28">
        <f aca="true" t="shared" si="42" ref="D217:J217">SUM(D211:D216)</f>
        <v>0</v>
      </c>
      <c r="E217" s="50">
        <f t="shared" si="42"/>
        <v>9838400</v>
      </c>
      <c r="F217" s="50">
        <f t="shared" si="42"/>
        <v>10885600</v>
      </c>
      <c r="G217" s="50">
        <f t="shared" si="42"/>
        <v>9871174</v>
      </c>
      <c r="H217" s="50">
        <f t="shared" si="42"/>
        <v>10339000</v>
      </c>
      <c r="I217" s="50">
        <f t="shared" si="42"/>
        <v>806000</v>
      </c>
      <c r="J217" s="50">
        <f t="shared" si="42"/>
        <v>3600000</v>
      </c>
      <c r="K217" s="28"/>
      <c r="L217" s="56">
        <f>SUM(L211:L216)</f>
        <v>45504174</v>
      </c>
      <c r="M217" s="73">
        <f>(L217/(L$403)*100)</f>
        <v>0.4411290815040998</v>
      </c>
      <c r="N217" s="63"/>
      <c r="O217" s="2"/>
      <c r="P217" s="2"/>
    </row>
    <row r="218" spans="1:16" ht="12.75" customHeight="1">
      <c r="A218" s="23"/>
      <c r="B218" s="24"/>
      <c r="C218" s="25"/>
      <c r="D218" s="25"/>
      <c r="E218" s="51"/>
      <c r="F218" s="51"/>
      <c r="G218" s="51"/>
      <c r="H218" s="51"/>
      <c r="I218" s="51"/>
      <c r="J218" s="51"/>
      <c r="K218" s="19"/>
      <c r="L218" s="46"/>
      <c r="M218" s="46"/>
      <c r="N218" s="62"/>
      <c r="O218" s="2"/>
      <c r="P218" s="2"/>
    </row>
    <row r="219" spans="1:16" ht="12.75" customHeight="1">
      <c r="A219" s="23" t="s">
        <v>250</v>
      </c>
      <c r="B219" s="24"/>
      <c r="C219" s="25">
        <v>0</v>
      </c>
      <c r="D219" s="25">
        <v>0</v>
      </c>
      <c r="E219" s="51">
        <v>0</v>
      </c>
      <c r="F219" s="51">
        <v>100000</v>
      </c>
      <c r="G219" s="51">
        <v>0</v>
      </c>
      <c r="H219" s="51">
        <v>0</v>
      </c>
      <c r="I219" s="51">
        <v>0</v>
      </c>
      <c r="J219" s="51">
        <v>0</v>
      </c>
      <c r="K219" s="19"/>
      <c r="L219" s="46">
        <f>SUM(C219:K219)</f>
        <v>100000</v>
      </c>
      <c r="M219" s="72">
        <f>(L219/L$221)*100</f>
        <v>19.414610659397834</v>
      </c>
      <c r="N219" s="62"/>
      <c r="O219" s="2"/>
      <c r="P219" s="2"/>
    </row>
    <row r="220" spans="1:16" ht="12.75" customHeight="1">
      <c r="A220" s="23" t="s">
        <v>76</v>
      </c>
      <c r="B220" s="24"/>
      <c r="C220" s="25">
        <v>415076</v>
      </c>
      <c r="D220" s="25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19"/>
      <c r="L220" s="46">
        <f>SUM(C220:K220)</f>
        <v>415076</v>
      </c>
      <c r="M220" s="72">
        <f>(L220/L$221)*100</f>
        <v>80.58538934060216</v>
      </c>
      <c r="N220" s="62"/>
      <c r="O220" s="2"/>
      <c r="P220" s="2"/>
    </row>
    <row r="221" spans="1:16" ht="12.75" customHeight="1">
      <c r="A221" s="26" t="s">
        <v>354</v>
      </c>
      <c r="B221" s="27"/>
      <c r="C221" s="28">
        <v>415076</v>
      </c>
      <c r="D221" s="28">
        <f aca="true" t="shared" si="43" ref="D221:J221">SUM(D218:D220)</f>
        <v>0</v>
      </c>
      <c r="E221" s="28">
        <f t="shared" si="43"/>
        <v>0</v>
      </c>
      <c r="F221" s="50">
        <f t="shared" si="43"/>
        <v>100000</v>
      </c>
      <c r="G221" s="50">
        <f t="shared" si="43"/>
        <v>0</v>
      </c>
      <c r="H221" s="50">
        <f t="shared" si="43"/>
        <v>0</v>
      </c>
      <c r="I221" s="50">
        <f t="shared" si="43"/>
        <v>0</v>
      </c>
      <c r="J221" s="50">
        <f t="shared" si="43"/>
        <v>0</v>
      </c>
      <c r="K221" s="28"/>
      <c r="L221" s="56">
        <f>SUM(L218:L220)</f>
        <v>515076</v>
      </c>
      <c r="M221" s="73">
        <f>(L221/(L$403)*100)</f>
        <v>0.004993278260249394</v>
      </c>
      <c r="N221" s="63"/>
      <c r="O221" s="2"/>
      <c r="P221" s="2"/>
    </row>
    <row r="222" spans="1:16" ht="12.75" customHeight="1">
      <c r="A222" s="23"/>
      <c r="B222" s="24"/>
      <c r="C222" s="25"/>
      <c r="D222" s="25"/>
      <c r="E222" s="51"/>
      <c r="F222" s="51"/>
      <c r="G222" s="51"/>
      <c r="H222" s="51"/>
      <c r="I222" s="51"/>
      <c r="J222" s="51"/>
      <c r="K222" s="19"/>
      <c r="L222" s="46"/>
      <c r="M222" s="46"/>
      <c r="N222" s="62"/>
      <c r="O222" s="2"/>
      <c r="P222" s="2"/>
    </row>
    <row r="223" spans="1:16" ht="12.75" customHeight="1">
      <c r="A223" s="23" t="s">
        <v>77</v>
      </c>
      <c r="B223" s="24"/>
      <c r="C223" s="25">
        <v>1323572</v>
      </c>
      <c r="D223" s="25">
        <f>126400+1818000</f>
        <v>1944400</v>
      </c>
      <c r="E223" s="51">
        <v>0</v>
      </c>
      <c r="F223" s="51">
        <v>92000</v>
      </c>
      <c r="G223" s="51">
        <v>1239136</v>
      </c>
      <c r="H223" s="51">
        <v>0</v>
      </c>
      <c r="I223" s="51">
        <v>202384</v>
      </c>
      <c r="J223" s="51">
        <v>0</v>
      </c>
      <c r="K223" s="19"/>
      <c r="L223" s="46">
        <f>SUM(C223:K223)</f>
        <v>4801492</v>
      </c>
      <c r="M223" s="72">
        <f>(L223/L$227)*100</f>
        <v>40.95963862986176</v>
      </c>
      <c r="N223" s="62"/>
      <c r="O223" s="2"/>
      <c r="P223" s="2"/>
    </row>
    <row r="224" spans="1:16" ht="12.75" customHeight="1">
      <c r="A224" s="23" t="s">
        <v>183</v>
      </c>
      <c r="B224" s="24"/>
      <c r="C224" s="25">
        <v>360000</v>
      </c>
      <c r="D224" s="25">
        <v>180000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19"/>
      <c r="L224" s="46">
        <f>SUM(C224:K224)</f>
        <v>540000</v>
      </c>
      <c r="M224" s="72">
        <f>(L224/L$227)*100</f>
        <v>4.60652748356664</v>
      </c>
      <c r="N224" s="62"/>
      <c r="O224" s="2"/>
      <c r="P224" s="2"/>
    </row>
    <row r="225" spans="1:16" ht="12.75" customHeight="1">
      <c r="A225" s="23" t="s">
        <v>176</v>
      </c>
      <c r="B225" s="24"/>
      <c r="C225" s="25">
        <v>364244</v>
      </c>
      <c r="D225" s="25">
        <v>0</v>
      </c>
      <c r="E225" s="51">
        <v>0</v>
      </c>
      <c r="F225" s="51">
        <v>0</v>
      </c>
      <c r="G225" s="51">
        <v>1528200</v>
      </c>
      <c r="H225" s="51">
        <v>0</v>
      </c>
      <c r="I225" s="51">
        <v>90240</v>
      </c>
      <c r="J225" s="51">
        <v>96000</v>
      </c>
      <c r="K225" s="19"/>
      <c r="L225" s="46">
        <f>SUM(C225:K225)</f>
        <v>2078684</v>
      </c>
      <c r="M225" s="72">
        <f>(L225/L$227)*100</f>
        <v>17.73243514009303</v>
      </c>
      <c r="N225" s="62"/>
      <c r="O225" s="2"/>
      <c r="P225" s="2"/>
    </row>
    <row r="226" spans="1:16" ht="12.75" customHeight="1">
      <c r="A226" s="23" t="s">
        <v>235</v>
      </c>
      <c r="B226" s="24"/>
      <c r="C226" s="25">
        <v>0</v>
      </c>
      <c r="D226" s="25">
        <v>0</v>
      </c>
      <c r="E226" s="51">
        <v>3015200</v>
      </c>
      <c r="F226" s="51">
        <v>119200</v>
      </c>
      <c r="G226" s="51">
        <v>0</v>
      </c>
      <c r="H226" s="51">
        <v>987920</v>
      </c>
      <c r="I226" s="51">
        <v>180000</v>
      </c>
      <c r="J226" s="51">
        <v>0</v>
      </c>
      <c r="K226" s="19"/>
      <c r="L226" s="46">
        <f>SUM(C226:K226)</f>
        <v>4302320</v>
      </c>
      <c r="M226" s="72">
        <f>(L226/L$227)*100</f>
        <v>36.70139874647857</v>
      </c>
      <c r="N226" s="62"/>
      <c r="O226" s="2"/>
      <c r="P226" s="2"/>
    </row>
    <row r="227" spans="1:16" ht="12.75" customHeight="1">
      <c r="A227" s="26" t="s">
        <v>270</v>
      </c>
      <c r="B227" s="27"/>
      <c r="C227" s="28">
        <v>2047816</v>
      </c>
      <c r="D227" s="28">
        <f aca="true" t="shared" si="44" ref="D227:L227">SUM(D222:D226)</f>
        <v>2124400</v>
      </c>
      <c r="E227" s="28">
        <f t="shared" si="44"/>
        <v>3015200</v>
      </c>
      <c r="F227" s="50">
        <f t="shared" si="44"/>
        <v>211200</v>
      </c>
      <c r="G227" s="50">
        <f t="shared" si="44"/>
        <v>2767336</v>
      </c>
      <c r="H227" s="50">
        <f t="shared" si="44"/>
        <v>987920</v>
      </c>
      <c r="I227" s="50">
        <f t="shared" si="44"/>
        <v>472624</v>
      </c>
      <c r="J227" s="50">
        <f t="shared" si="44"/>
        <v>96000</v>
      </c>
      <c r="K227" s="28"/>
      <c r="L227" s="50">
        <f t="shared" si="44"/>
        <v>11722496</v>
      </c>
      <c r="M227" s="73">
        <f>(L227/(L$403)*100)</f>
        <v>0.11364086937201594</v>
      </c>
      <c r="N227" s="63"/>
      <c r="O227" s="2"/>
      <c r="P227" s="2"/>
    </row>
    <row r="228" spans="1:16" ht="12.75" customHeight="1">
      <c r="A228" s="16"/>
      <c r="B228" s="17"/>
      <c r="C228" s="25"/>
      <c r="D228" s="25"/>
      <c r="E228" s="51"/>
      <c r="F228" s="51"/>
      <c r="G228" s="51"/>
      <c r="H228" s="51"/>
      <c r="I228" s="51"/>
      <c r="J228" s="51"/>
      <c r="K228" s="19"/>
      <c r="L228" s="46"/>
      <c r="M228" s="46"/>
      <c r="N228" s="62"/>
      <c r="O228" s="2"/>
      <c r="P228" s="2"/>
    </row>
    <row r="229" spans="1:16" ht="12.75" customHeight="1">
      <c r="A229" s="23" t="s">
        <v>78</v>
      </c>
      <c r="B229" s="24"/>
      <c r="C229" s="25">
        <v>1060000</v>
      </c>
      <c r="D229" s="25">
        <v>0</v>
      </c>
      <c r="E229" s="51">
        <v>400000</v>
      </c>
      <c r="F229" s="51">
        <v>354000</v>
      </c>
      <c r="G229" s="51">
        <v>356000</v>
      </c>
      <c r="H229" s="51">
        <v>0</v>
      </c>
      <c r="I229" s="51">
        <v>120000</v>
      </c>
      <c r="J229" s="51">
        <v>0</v>
      </c>
      <c r="K229" s="19"/>
      <c r="L229" s="46">
        <f>SUM(C229:K229)</f>
        <v>2290000</v>
      </c>
      <c r="M229" s="72">
        <f>(L229/L$231)*100</f>
        <v>0.6294442474567978</v>
      </c>
      <c r="N229" s="62"/>
      <c r="O229" s="2"/>
      <c r="P229" s="2"/>
    </row>
    <row r="230" spans="1:16" ht="12.75" customHeight="1">
      <c r="A230" s="23" t="s">
        <v>79</v>
      </c>
      <c r="B230" s="24"/>
      <c r="C230" s="25">
        <v>163354000</v>
      </c>
      <c r="D230" s="25">
        <f>3375000</f>
        <v>3375000</v>
      </c>
      <c r="E230" s="51">
        <v>4440000</v>
      </c>
      <c r="F230" s="51">
        <v>10000000</v>
      </c>
      <c r="G230" s="51">
        <v>22500000</v>
      </c>
      <c r="H230" s="51">
        <v>21000000</v>
      </c>
      <c r="I230" s="51">
        <v>34530000</v>
      </c>
      <c r="J230" s="51">
        <v>102324000</v>
      </c>
      <c r="K230" s="19"/>
      <c r="L230" s="46">
        <f>SUM(C230:K230)</f>
        <v>361523000</v>
      </c>
      <c r="M230" s="72">
        <f>(L230/L$231)*100</f>
        <v>99.3705557525432</v>
      </c>
      <c r="N230" s="62"/>
      <c r="O230" s="2"/>
      <c r="P230" s="2"/>
    </row>
    <row r="231" spans="1:16" ht="12.75" customHeight="1">
      <c r="A231" s="26" t="s">
        <v>271</v>
      </c>
      <c r="B231" s="27"/>
      <c r="C231" s="28">
        <v>164414000</v>
      </c>
      <c r="D231" s="28">
        <f aca="true" t="shared" si="45" ref="D231:J231">SUM(D228:D230)</f>
        <v>3375000</v>
      </c>
      <c r="E231" s="28">
        <f t="shared" si="45"/>
        <v>4840000</v>
      </c>
      <c r="F231" s="50">
        <f t="shared" si="45"/>
        <v>10354000</v>
      </c>
      <c r="G231" s="50">
        <f t="shared" si="45"/>
        <v>22856000</v>
      </c>
      <c r="H231" s="50">
        <f t="shared" si="45"/>
        <v>21000000</v>
      </c>
      <c r="I231" s="50">
        <f t="shared" si="45"/>
        <v>34650000</v>
      </c>
      <c r="J231" s="50">
        <f t="shared" si="45"/>
        <v>102324000</v>
      </c>
      <c r="K231" s="28"/>
      <c r="L231" s="56">
        <f>SUM(L228:L230)</f>
        <v>363813000</v>
      </c>
      <c r="M231" s="73">
        <f>(L231/(L$403)*100)</f>
        <v>3.5268961157112986</v>
      </c>
      <c r="N231" s="63"/>
      <c r="O231" s="2"/>
      <c r="P231" s="2"/>
    </row>
    <row r="232" spans="1:16" ht="12.75" customHeight="1">
      <c r="A232" s="16"/>
      <c r="B232" s="17"/>
      <c r="C232" s="25"/>
      <c r="D232" s="25"/>
      <c r="E232" s="51"/>
      <c r="F232" s="51"/>
      <c r="G232" s="51"/>
      <c r="H232" s="51"/>
      <c r="I232" s="51"/>
      <c r="J232" s="51"/>
      <c r="K232" s="19"/>
      <c r="L232" s="46"/>
      <c r="M232" s="46"/>
      <c r="N232" s="62"/>
      <c r="O232" s="2"/>
      <c r="P232" s="2"/>
    </row>
    <row r="233" spans="1:16" ht="12.75" customHeight="1">
      <c r="A233" s="23" t="s">
        <v>80</v>
      </c>
      <c r="B233" s="24"/>
      <c r="C233" s="25">
        <v>8390600</v>
      </c>
      <c r="D233" s="25">
        <f>943000+150000</f>
        <v>1093000</v>
      </c>
      <c r="E233" s="51">
        <v>1667000</v>
      </c>
      <c r="F233" s="51">
        <v>0</v>
      </c>
      <c r="G233" s="51">
        <v>6397000</v>
      </c>
      <c r="H233" s="51">
        <v>2250000</v>
      </c>
      <c r="I233" s="51">
        <v>0</v>
      </c>
      <c r="J233" s="51">
        <v>555000</v>
      </c>
      <c r="K233" s="19"/>
      <c r="L233" s="46">
        <f>SUM(C233:K233)</f>
        <v>20352600</v>
      </c>
      <c r="M233" s="72">
        <f>(L233/L$236)*100</f>
        <v>87.96407547952666</v>
      </c>
      <c r="N233" s="62"/>
      <c r="O233" s="2"/>
      <c r="P233" s="2"/>
    </row>
    <row r="234" spans="1:16" ht="12.75" customHeight="1">
      <c r="A234" s="23" t="s">
        <v>81</v>
      </c>
      <c r="B234" s="24"/>
      <c r="C234" s="25">
        <v>400000</v>
      </c>
      <c r="D234" s="25">
        <v>214000</v>
      </c>
      <c r="E234" s="51">
        <v>213600</v>
      </c>
      <c r="F234" s="51">
        <v>0</v>
      </c>
      <c r="G234" s="51">
        <v>550000</v>
      </c>
      <c r="H234" s="51">
        <v>550000</v>
      </c>
      <c r="I234" s="51">
        <v>0</v>
      </c>
      <c r="J234" s="51">
        <v>750000</v>
      </c>
      <c r="K234" s="19"/>
      <c r="L234" s="46">
        <f>SUM(C234:K234)</f>
        <v>2677600</v>
      </c>
      <c r="M234" s="72">
        <f>(L234/L$236)*100</f>
        <v>11.572605392135676</v>
      </c>
      <c r="N234" s="62"/>
      <c r="O234" s="2"/>
      <c r="P234" s="2"/>
    </row>
    <row r="235" spans="1:16" ht="12.75" customHeight="1">
      <c r="A235" s="23" t="s">
        <v>170</v>
      </c>
      <c r="B235" s="24"/>
      <c r="C235" s="25">
        <v>107200</v>
      </c>
      <c r="D235" s="25">
        <v>0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19"/>
      <c r="L235" s="46">
        <f>SUM(C235:K235)</f>
        <v>107200</v>
      </c>
      <c r="M235" s="72">
        <f>(L235/L$236)*100</f>
        <v>0.4633191283376697</v>
      </c>
      <c r="N235" s="62"/>
      <c r="O235" s="2"/>
      <c r="P235" s="2"/>
    </row>
    <row r="236" spans="1:16" ht="12.75" customHeight="1">
      <c r="A236" s="26" t="s">
        <v>272</v>
      </c>
      <c r="B236" s="27"/>
      <c r="C236" s="28">
        <v>8897800</v>
      </c>
      <c r="D236" s="28">
        <f aca="true" t="shared" si="46" ref="D236:J236">SUM(D232:D235)</f>
        <v>1307000</v>
      </c>
      <c r="E236" s="28">
        <f t="shared" si="46"/>
        <v>1880600</v>
      </c>
      <c r="F236" s="50">
        <f t="shared" si="46"/>
        <v>0</v>
      </c>
      <c r="G236" s="50">
        <f t="shared" si="46"/>
        <v>6947000</v>
      </c>
      <c r="H236" s="50">
        <f t="shared" si="46"/>
        <v>2800000</v>
      </c>
      <c r="I236" s="50">
        <f t="shared" si="46"/>
        <v>0</v>
      </c>
      <c r="J236" s="50">
        <f t="shared" si="46"/>
        <v>1305000</v>
      </c>
      <c r="K236" s="28"/>
      <c r="L236" s="56">
        <f>SUM(L232:L235)</f>
        <v>23137400</v>
      </c>
      <c r="M236" s="73">
        <f>(L236/(L$403)*100)</f>
        <v>0.22429986335743526</v>
      </c>
      <c r="N236" s="63"/>
      <c r="O236" s="2"/>
      <c r="P236" s="2"/>
    </row>
    <row r="237" spans="1:16" ht="12.75" customHeight="1">
      <c r="A237" s="16"/>
      <c r="B237" s="17"/>
      <c r="C237" s="25"/>
      <c r="D237" s="25"/>
      <c r="E237" s="51"/>
      <c r="F237" s="51"/>
      <c r="G237" s="51"/>
      <c r="H237" s="51"/>
      <c r="I237" s="51"/>
      <c r="J237" s="51"/>
      <c r="K237" s="19"/>
      <c r="L237" s="46"/>
      <c r="M237" s="46"/>
      <c r="N237" s="62"/>
      <c r="O237" s="2"/>
      <c r="P237" s="2"/>
    </row>
    <row r="238" spans="1:16" ht="12.75" customHeight="1">
      <c r="A238" s="23" t="s">
        <v>154</v>
      </c>
      <c r="B238" s="18"/>
      <c r="C238" s="25">
        <v>0</v>
      </c>
      <c r="D238" s="25">
        <v>1400000</v>
      </c>
      <c r="E238" s="51">
        <v>0</v>
      </c>
      <c r="F238" s="51">
        <v>1766000</v>
      </c>
      <c r="G238" s="51">
        <v>4577500</v>
      </c>
      <c r="H238" s="51">
        <v>3061467</v>
      </c>
      <c r="I238" s="51">
        <v>3350000</v>
      </c>
      <c r="J238" s="51">
        <v>4950000</v>
      </c>
      <c r="K238" s="19"/>
      <c r="L238" s="46">
        <f>SUM(C238:K238)</f>
        <v>19104967</v>
      </c>
      <c r="M238" s="72">
        <f>(L238/L$240)*100</f>
        <v>53.23274477310942</v>
      </c>
      <c r="N238" s="62"/>
      <c r="O238" s="2"/>
      <c r="P238" s="2"/>
    </row>
    <row r="239" spans="1:16" ht="12.75" customHeight="1">
      <c r="A239" s="23" t="s">
        <v>82</v>
      </c>
      <c r="B239" s="18"/>
      <c r="C239" s="25">
        <v>4873500</v>
      </c>
      <c r="D239" s="25">
        <v>0</v>
      </c>
      <c r="E239" s="51">
        <v>684000</v>
      </c>
      <c r="F239" s="51">
        <v>250000</v>
      </c>
      <c r="G239" s="51">
        <v>1349000</v>
      </c>
      <c r="H239" s="51">
        <v>5044000</v>
      </c>
      <c r="I239" s="51">
        <v>2156500</v>
      </c>
      <c r="J239" s="51">
        <v>2427535</v>
      </c>
      <c r="K239" s="19"/>
      <c r="L239" s="46">
        <f>SUM(C239:K239)</f>
        <v>16784535</v>
      </c>
      <c r="M239" s="72">
        <f>(L239/L$240)*100</f>
        <v>46.76725522689058</v>
      </c>
      <c r="N239" s="62"/>
      <c r="O239" s="2"/>
      <c r="P239" s="2"/>
    </row>
    <row r="240" spans="1:16" ht="12.75" customHeight="1">
      <c r="A240" s="26" t="s">
        <v>355</v>
      </c>
      <c r="B240" s="27"/>
      <c r="C240" s="28">
        <v>4873500</v>
      </c>
      <c r="D240" s="28">
        <f aca="true" t="shared" si="47" ref="D240:J240">SUM(D237:D239)</f>
        <v>1400000</v>
      </c>
      <c r="E240" s="28">
        <f t="shared" si="47"/>
        <v>684000</v>
      </c>
      <c r="F240" s="50">
        <f t="shared" si="47"/>
        <v>2016000</v>
      </c>
      <c r="G240" s="50">
        <f t="shared" si="47"/>
        <v>5926500</v>
      </c>
      <c r="H240" s="50">
        <f t="shared" si="47"/>
        <v>8105467</v>
      </c>
      <c r="I240" s="50">
        <f t="shared" si="47"/>
        <v>5506500</v>
      </c>
      <c r="J240" s="50">
        <f t="shared" si="47"/>
        <v>7377535</v>
      </c>
      <c r="K240" s="28"/>
      <c r="L240" s="56">
        <f>SUM(L237:L239)</f>
        <v>35889502</v>
      </c>
      <c r="M240" s="73">
        <f>(L240/(L$403)*100)</f>
        <v>0.3479219961865378</v>
      </c>
      <c r="N240" s="63"/>
      <c r="O240" s="2"/>
      <c r="P240" s="2"/>
    </row>
    <row r="241" spans="1:16" ht="12.75" customHeight="1">
      <c r="A241" s="16"/>
      <c r="B241" s="17"/>
      <c r="C241" s="25"/>
      <c r="D241" s="25"/>
      <c r="E241" s="51"/>
      <c r="F241" s="51"/>
      <c r="G241" s="51"/>
      <c r="H241" s="51"/>
      <c r="I241" s="51"/>
      <c r="J241" s="51"/>
      <c r="K241" s="19"/>
      <c r="L241" s="46"/>
      <c r="M241" s="46"/>
      <c r="N241" s="62"/>
      <c r="O241" s="2"/>
      <c r="P241" s="2"/>
    </row>
    <row r="242" spans="1:16" ht="12.75" customHeight="1">
      <c r="A242" s="23" t="s">
        <v>213</v>
      </c>
      <c r="B242" s="24"/>
      <c r="C242" s="25">
        <v>10748000</v>
      </c>
      <c r="D242" s="25">
        <v>3816000</v>
      </c>
      <c r="E242" s="51">
        <v>1576050</v>
      </c>
      <c r="F242" s="51">
        <v>10840800</v>
      </c>
      <c r="G242" s="51">
        <v>1948000</v>
      </c>
      <c r="H242" s="51">
        <v>3280800</v>
      </c>
      <c r="I242" s="51">
        <v>129600</v>
      </c>
      <c r="J242" s="51">
        <v>0</v>
      </c>
      <c r="K242" s="19"/>
      <c r="L242" s="46">
        <f aca="true" t="shared" si="48" ref="L242:L253">SUM(C242:K242)</f>
        <v>32339250</v>
      </c>
      <c r="M242" s="72">
        <f>(L242/L$254)*100</f>
        <v>2.101978942660065</v>
      </c>
      <c r="N242" s="62"/>
      <c r="O242" s="2"/>
      <c r="P242" s="2"/>
    </row>
    <row r="243" spans="1:16" ht="12.75" customHeight="1">
      <c r="A243" s="23" t="s">
        <v>195</v>
      </c>
      <c r="B243" s="24"/>
      <c r="C243" s="25">
        <v>1616368</v>
      </c>
      <c r="D243" s="25">
        <v>0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19"/>
      <c r="L243" s="46">
        <f t="shared" si="48"/>
        <v>1616368</v>
      </c>
      <c r="M243" s="72">
        <f aca="true" t="shared" si="49" ref="M243:M253">(L243/L$254)*100</f>
        <v>0.105060305962246</v>
      </c>
      <c r="N243" s="62"/>
      <c r="O243" s="2"/>
      <c r="P243" s="2"/>
    </row>
    <row r="244" spans="1:16" ht="12.75" customHeight="1">
      <c r="A244" s="23" t="s">
        <v>167</v>
      </c>
      <c r="B244" s="24"/>
      <c r="C244" s="25">
        <v>21135200</v>
      </c>
      <c r="D244" s="25">
        <v>1836000</v>
      </c>
      <c r="E244" s="51">
        <v>0</v>
      </c>
      <c r="F244" s="51">
        <v>14736832</v>
      </c>
      <c r="G244" s="51">
        <v>933000</v>
      </c>
      <c r="H244" s="51">
        <v>256000</v>
      </c>
      <c r="I244" s="51">
        <v>980000</v>
      </c>
      <c r="J244" s="51">
        <v>1700000</v>
      </c>
      <c r="K244" s="19"/>
      <c r="L244" s="46">
        <f t="shared" si="48"/>
        <v>41577032</v>
      </c>
      <c r="M244" s="72">
        <f t="shared" si="49"/>
        <v>2.7024141179001893</v>
      </c>
      <c r="N244" s="62"/>
      <c r="O244" s="2"/>
      <c r="P244" s="2"/>
    </row>
    <row r="245" spans="1:16" ht="12.75" customHeight="1">
      <c r="A245" s="23" t="s">
        <v>83</v>
      </c>
      <c r="B245" s="24"/>
      <c r="C245" s="25">
        <v>4387315</v>
      </c>
      <c r="D245" s="25">
        <v>750000</v>
      </c>
      <c r="E245" s="51">
        <v>0</v>
      </c>
      <c r="F245" s="51">
        <f>2158404-334404</f>
        <v>1824000</v>
      </c>
      <c r="G245" s="51">
        <v>720000</v>
      </c>
      <c r="H245" s="51">
        <v>685200</v>
      </c>
      <c r="I245" s="51">
        <v>856000</v>
      </c>
      <c r="J245" s="51">
        <v>0</v>
      </c>
      <c r="K245" s="19"/>
      <c r="L245" s="46">
        <f t="shared" si="48"/>
        <v>9222515</v>
      </c>
      <c r="M245" s="72">
        <f t="shared" si="49"/>
        <v>0.5994428543756145</v>
      </c>
      <c r="N245" s="62"/>
      <c r="O245" s="2"/>
      <c r="P245" s="2"/>
    </row>
    <row r="246" spans="1:16" ht="12.75" customHeight="1">
      <c r="A246" s="23" t="s">
        <v>155</v>
      </c>
      <c r="B246" s="24"/>
      <c r="C246" s="25">
        <v>2460000</v>
      </c>
      <c r="D246" s="25">
        <v>264000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v>1000000</v>
      </c>
      <c r="K246" s="19"/>
      <c r="L246" s="46">
        <f t="shared" si="48"/>
        <v>3724000</v>
      </c>
      <c r="M246" s="72">
        <f t="shared" si="49"/>
        <v>0.24205167350714943</v>
      </c>
      <c r="N246" s="62"/>
      <c r="O246" s="2"/>
      <c r="P246" s="2"/>
    </row>
    <row r="247" spans="1:16" ht="12.75" customHeight="1">
      <c r="A247" s="23" t="s">
        <v>84</v>
      </c>
      <c r="B247" s="24"/>
      <c r="C247" s="25">
        <v>302228</v>
      </c>
      <c r="D247" s="25">
        <v>240000</v>
      </c>
      <c r="E247" s="51">
        <v>0</v>
      </c>
      <c r="F247" s="51">
        <v>0</v>
      </c>
      <c r="G247" s="51">
        <v>20000</v>
      </c>
      <c r="H247" s="51">
        <v>0</v>
      </c>
      <c r="I247" s="51">
        <v>0</v>
      </c>
      <c r="J247" s="51">
        <v>0</v>
      </c>
      <c r="K247" s="19"/>
      <c r="L247" s="46">
        <f t="shared" si="48"/>
        <v>562228</v>
      </c>
      <c r="M247" s="72">
        <f t="shared" si="49"/>
        <v>0.036543562914226</v>
      </c>
      <c r="N247" s="62"/>
      <c r="O247" s="2"/>
      <c r="P247" s="2"/>
    </row>
    <row r="248" spans="1:16" ht="12.75" customHeight="1">
      <c r="A248" s="23" t="s">
        <v>294</v>
      </c>
      <c r="B248" s="24"/>
      <c r="C248" s="25">
        <v>0</v>
      </c>
      <c r="D248" s="25">
        <v>0</v>
      </c>
      <c r="E248" s="51">
        <v>0</v>
      </c>
      <c r="F248" s="51">
        <v>0</v>
      </c>
      <c r="G248" s="51">
        <v>0</v>
      </c>
      <c r="H248" s="51">
        <v>0</v>
      </c>
      <c r="I248" s="51">
        <v>3300000</v>
      </c>
      <c r="J248" s="51">
        <v>0</v>
      </c>
      <c r="K248" s="19"/>
      <c r="L248" s="46">
        <f t="shared" si="48"/>
        <v>3300000</v>
      </c>
      <c r="M248" s="72">
        <f t="shared" si="49"/>
        <v>0.21449262152889184</v>
      </c>
      <c r="N248" s="62"/>
      <c r="O248" s="2"/>
      <c r="P248" s="2"/>
    </row>
    <row r="249" spans="1:16" ht="12.75" customHeight="1">
      <c r="A249" s="23" t="s">
        <v>230</v>
      </c>
      <c r="B249" s="24"/>
      <c r="C249" s="25">
        <v>807805155</v>
      </c>
      <c r="D249" s="25">
        <f>16000000+12880000+5073897+1295796</f>
        <v>35249693</v>
      </c>
      <c r="E249" s="51">
        <v>69194000</v>
      </c>
      <c r="F249" s="51">
        <v>34805940</v>
      </c>
      <c r="G249" s="51">
        <v>190943907</v>
      </c>
      <c r="H249" s="51">
        <v>88297091</v>
      </c>
      <c r="I249" s="51">
        <v>77826290</v>
      </c>
      <c r="J249" s="51">
        <v>92672268</v>
      </c>
      <c r="K249" s="19"/>
      <c r="L249" s="46">
        <f t="shared" si="48"/>
        <v>1396794344</v>
      </c>
      <c r="M249" s="72">
        <f t="shared" si="49"/>
        <v>90.7885092670572</v>
      </c>
      <c r="N249" s="62"/>
      <c r="O249" s="2"/>
      <c r="P249" s="2"/>
    </row>
    <row r="250" spans="1:16" ht="12.75" customHeight="1">
      <c r="A250" s="23" t="s">
        <v>85</v>
      </c>
      <c r="B250" s="24"/>
      <c r="C250" s="25">
        <v>5647600</v>
      </c>
      <c r="D250" s="25">
        <v>1140000</v>
      </c>
      <c r="E250" s="51">
        <v>0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19"/>
      <c r="L250" s="46">
        <f t="shared" si="48"/>
        <v>6787600</v>
      </c>
      <c r="M250" s="72">
        <f t="shared" si="49"/>
        <v>0.44117882360288063</v>
      </c>
      <c r="N250" s="62"/>
      <c r="O250" s="2"/>
      <c r="P250" s="2"/>
    </row>
    <row r="251" spans="1:16" ht="12.75" customHeight="1">
      <c r="A251" s="23" t="s">
        <v>86</v>
      </c>
      <c r="B251" s="24"/>
      <c r="C251" s="25">
        <v>9131384</v>
      </c>
      <c r="D251" s="25">
        <v>0</v>
      </c>
      <c r="E251" s="51">
        <v>0</v>
      </c>
      <c r="F251" s="51">
        <v>1387200</v>
      </c>
      <c r="G251" s="51">
        <v>96000</v>
      </c>
      <c r="H251" s="51">
        <v>3402712</v>
      </c>
      <c r="I251" s="51">
        <v>2503720</v>
      </c>
      <c r="J251" s="51">
        <v>304800</v>
      </c>
      <c r="K251" s="19"/>
      <c r="L251" s="46">
        <f t="shared" si="48"/>
        <v>16825816</v>
      </c>
      <c r="M251" s="72">
        <f t="shared" si="49"/>
        <v>1.0936404191523552</v>
      </c>
      <c r="N251" s="62"/>
      <c r="O251" s="2"/>
      <c r="P251" s="2"/>
    </row>
    <row r="252" spans="1:16" ht="12.75" customHeight="1">
      <c r="A252" s="23" t="s">
        <v>87</v>
      </c>
      <c r="B252" s="24"/>
      <c r="C252" s="25">
        <v>6884028</v>
      </c>
      <c r="D252" s="25">
        <v>8860000</v>
      </c>
      <c r="E252" s="51">
        <v>1600640</v>
      </c>
      <c r="F252" s="51">
        <v>1266560</v>
      </c>
      <c r="G252" s="51">
        <v>33280</v>
      </c>
      <c r="H252" s="51">
        <v>330000</v>
      </c>
      <c r="I252" s="51">
        <v>3610000</v>
      </c>
      <c r="J252" s="51">
        <v>0</v>
      </c>
      <c r="K252" s="19"/>
      <c r="L252" s="46">
        <f t="shared" si="48"/>
        <v>22584508</v>
      </c>
      <c r="M252" s="72">
        <f t="shared" si="49"/>
        <v>1.4679425232909786</v>
      </c>
      <c r="N252" s="62"/>
      <c r="O252" s="2"/>
      <c r="P252" s="2"/>
    </row>
    <row r="253" spans="1:16" ht="12.75" customHeight="1">
      <c r="A253" s="23" t="s">
        <v>168</v>
      </c>
      <c r="B253" s="24"/>
      <c r="C253" s="25">
        <v>2708800</v>
      </c>
      <c r="D253" s="25">
        <v>0</v>
      </c>
      <c r="E253" s="51">
        <v>0</v>
      </c>
      <c r="F253" s="51">
        <v>334404</v>
      </c>
      <c r="G253" s="51">
        <v>0</v>
      </c>
      <c r="H253" s="51">
        <v>0</v>
      </c>
      <c r="I253" s="51">
        <v>137596</v>
      </c>
      <c r="J253" s="51">
        <v>0</v>
      </c>
      <c r="K253" s="19"/>
      <c r="L253" s="46">
        <f t="shared" si="48"/>
        <v>3180800</v>
      </c>
      <c r="M253" s="72">
        <f t="shared" si="49"/>
        <v>0.20674488804821187</v>
      </c>
      <c r="N253" s="62"/>
      <c r="O253" s="2"/>
      <c r="P253" s="2"/>
    </row>
    <row r="254" spans="1:16" ht="12.75" customHeight="1">
      <c r="A254" s="26" t="s">
        <v>293</v>
      </c>
      <c r="B254" s="27"/>
      <c r="C254" s="28">
        <v>872826078</v>
      </c>
      <c r="D254" s="28">
        <f aca="true" t="shared" si="50" ref="D254:J254">SUM(D241:D253)</f>
        <v>52155693</v>
      </c>
      <c r="E254" s="28">
        <f t="shared" si="50"/>
        <v>72370690</v>
      </c>
      <c r="F254" s="50">
        <f t="shared" si="50"/>
        <v>65195736</v>
      </c>
      <c r="G254" s="50">
        <f t="shared" si="50"/>
        <v>194694187</v>
      </c>
      <c r="H254" s="50">
        <f t="shared" si="50"/>
        <v>96251803</v>
      </c>
      <c r="I254" s="50">
        <f t="shared" si="50"/>
        <v>89343206</v>
      </c>
      <c r="J254" s="50">
        <f t="shared" si="50"/>
        <v>95677068</v>
      </c>
      <c r="K254" s="28"/>
      <c r="L254" s="56">
        <f>SUM(L241:L253)</f>
        <v>1538514461</v>
      </c>
      <c r="M254" s="73">
        <f>(L254/(L$403)*100)</f>
        <v>14.91475201948958</v>
      </c>
      <c r="N254" s="63"/>
      <c r="O254" s="2"/>
      <c r="P254" s="2"/>
    </row>
    <row r="255" spans="1:16" ht="12.75" customHeight="1">
      <c r="A255" s="16"/>
      <c r="B255" s="17"/>
      <c r="C255" s="33"/>
      <c r="D255" s="33"/>
      <c r="E255" s="52"/>
      <c r="F255" s="52"/>
      <c r="G255" s="52"/>
      <c r="H255" s="52"/>
      <c r="I255" s="52"/>
      <c r="J255" s="52"/>
      <c r="K255" s="32"/>
      <c r="L255" s="52"/>
      <c r="M255" s="46"/>
      <c r="N255" s="62"/>
      <c r="O255" s="2"/>
      <c r="P255" s="2"/>
    </row>
    <row r="256" spans="1:16" ht="12.75" customHeight="1">
      <c r="A256" s="23" t="s">
        <v>88</v>
      </c>
      <c r="B256" s="24"/>
      <c r="C256" s="25">
        <v>10395358</v>
      </c>
      <c r="D256" s="25">
        <v>0</v>
      </c>
      <c r="E256" s="51">
        <v>0</v>
      </c>
      <c r="F256" s="51">
        <v>1105000</v>
      </c>
      <c r="G256" s="51">
        <v>0</v>
      </c>
      <c r="H256" s="51">
        <v>406443</v>
      </c>
      <c r="I256" s="51">
        <v>0</v>
      </c>
      <c r="J256" s="51">
        <v>0</v>
      </c>
      <c r="K256" s="19"/>
      <c r="L256" s="46">
        <f aca="true" t="shared" si="51" ref="L256:L270">SUM(C256:K256)</f>
        <v>11906801</v>
      </c>
      <c r="M256" s="72">
        <f>(L256/L$271)*100</f>
        <v>5.494624974525732</v>
      </c>
      <c r="N256" s="62"/>
      <c r="O256" s="2"/>
      <c r="P256" s="2"/>
    </row>
    <row r="257" spans="1:16" ht="12.75" customHeight="1">
      <c r="A257" s="23" t="s">
        <v>89</v>
      </c>
      <c r="B257" s="24"/>
      <c r="C257" s="25">
        <v>597778</v>
      </c>
      <c r="D257" s="25">
        <v>0</v>
      </c>
      <c r="E257" s="51">
        <v>0</v>
      </c>
      <c r="F257" s="51">
        <v>0</v>
      </c>
      <c r="G257" s="51">
        <v>320000</v>
      </c>
      <c r="H257" s="51">
        <v>264000</v>
      </c>
      <c r="I257" s="51">
        <v>0</v>
      </c>
      <c r="J257" s="51">
        <v>0</v>
      </c>
      <c r="K257" s="19"/>
      <c r="L257" s="46">
        <f t="shared" si="51"/>
        <v>1181778</v>
      </c>
      <c r="M257" s="72">
        <f aca="true" t="shared" si="52" ref="M257:M270">(L257/L$271)*100</f>
        <v>0.5453544502125357</v>
      </c>
      <c r="N257" s="62"/>
      <c r="O257" s="2"/>
      <c r="P257" s="2"/>
    </row>
    <row r="258" spans="1:16" ht="12.75" customHeight="1">
      <c r="A258" s="23" t="s">
        <v>90</v>
      </c>
      <c r="B258" s="24"/>
      <c r="C258" s="25">
        <v>35696600</v>
      </c>
      <c r="D258" s="25">
        <f>130000+1096000</f>
        <v>1226000</v>
      </c>
      <c r="E258" s="51">
        <v>1381000</v>
      </c>
      <c r="F258" s="51">
        <f>4677737+2214139</f>
        <v>6891876</v>
      </c>
      <c r="G258" s="51">
        <v>1283750</v>
      </c>
      <c r="H258" s="51">
        <v>4038399</v>
      </c>
      <c r="I258" s="51">
        <v>5689409</v>
      </c>
      <c r="J258" s="51">
        <v>4107566</v>
      </c>
      <c r="K258" s="19"/>
      <c r="L258" s="46">
        <f t="shared" si="51"/>
        <v>60314600</v>
      </c>
      <c r="M258" s="72">
        <f t="shared" si="52"/>
        <v>27.833345622264932</v>
      </c>
      <c r="N258" s="62"/>
      <c r="O258" s="2"/>
      <c r="P258" s="2"/>
    </row>
    <row r="259" spans="1:16" ht="12.75" customHeight="1">
      <c r="A259" s="23" t="s">
        <v>91</v>
      </c>
      <c r="B259" s="24"/>
      <c r="C259" s="25">
        <v>42139734</v>
      </c>
      <c r="D259" s="25">
        <v>0</v>
      </c>
      <c r="E259" s="51">
        <v>8620000</v>
      </c>
      <c r="F259" s="51">
        <v>3700000</v>
      </c>
      <c r="G259" s="51">
        <v>3623750</v>
      </c>
      <c r="H259" s="51">
        <v>3796000</v>
      </c>
      <c r="I259" s="51">
        <v>13448651</v>
      </c>
      <c r="J259" s="51">
        <v>5141800</v>
      </c>
      <c r="K259" s="19"/>
      <c r="L259" s="46">
        <f t="shared" si="51"/>
        <v>80469935</v>
      </c>
      <c r="M259" s="72">
        <f t="shared" si="52"/>
        <v>37.13441709065788</v>
      </c>
      <c r="N259" s="62"/>
      <c r="O259" s="2"/>
      <c r="P259" s="2"/>
    </row>
    <row r="260" spans="1:16" ht="12.75" customHeight="1">
      <c r="A260" s="23" t="s">
        <v>92</v>
      </c>
      <c r="B260" s="24"/>
      <c r="C260" s="25">
        <v>4943600</v>
      </c>
      <c r="D260" s="25">
        <v>1125000</v>
      </c>
      <c r="E260" s="51">
        <v>0</v>
      </c>
      <c r="F260" s="51">
        <v>7839268</v>
      </c>
      <c r="G260" s="51">
        <v>3714000</v>
      </c>
      <c r="H260" s="51">
        <v>5557000</v>
      </c>
      <c r="I260" s="51">
        <v>5645294</v>
      </c>
      <c r="J260" s="51">
        <v>4594616</v>
      </c>
      <c r="K260" s="19"/>
      <c r="L260" s="46">
        <f t="shared" si="51"/>
        <v>33418778</v>
      </c>
      <c r="M260" s="72">
        <f t="shared" si="52"/>
        <v>15.421745288002302</v>
      </c>
      <c r="N260" s="62"/>
      <c r="O260" s="2"/>
      <c r="P260" s="2"/>
    </row>
    <row r="261" spans="1:16" ht="12.75" customHeight="1">
      <c r="A261" s="23" t="s">
        <v>93</v>
      </c>
      <c r="B261" s="24"/>
      <c r="C261" s="25">
        <v>7454158</v>
      </c>
      <c r="D261" s="25">
        <v>151400</v>
      </c>
      <c r="E261" s="51">
        <v>212867</v>
      </c>
      <c r="F261" s="51">
        <v>1670699</v>
      </c>
      <c r="G261" s="51">
        <v>210000</v>
      </c>
      <c r="H261" s="51">
        <v>1677000</v>
      </c>
      <c r="I261" s="51">
        <v>2531942</v>
      </c>
      <c r="J261" s="51">
        <v>241203</v>
      </c>
      <c r="K261" s="19"/>
      <c r="L261" s="46">
        <f t="shared" si="51"/>
        <v>14149269</v>
      </c>
      <c r="M261" s="72">
        <f t="shared" si="52"/>
        <v>6.529455461520079</v>
      </c>
      <c r="N261" s="62"/>
      <c r="O261" s="2"/>
      <c r="P261" s="2"/>
    </row>
    <row r="262" spans="1:16" ht="12.75" customHeight="1">
      <c r="A262" s="23" t="s">
        <v>94</v>
      </c>
      <c r="B262" s="24"/>
      <c r="C262" s="25">
        <v>2520165</v>
      </c>
      <c r="D262" s="25">
        <v>0</v>
      </c>
      <c r="E262" s="51">
        <v>0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19"/>
      <c r="L262" s="46">
        <f t="shared" si="51"/>
        <v>2520165</v>
      </c>
      <c r="M262" s="72">
        <f t="shared" si="52"/>
        <v>1.1629791703855337</v>
      </c>
      <c r="N262" s="62"/>
      <c r="O262" s="2"/>
      <c r="P262" s="2"/>
    </row>
    <row r="263" spans="1:16" ht="12.75" customHeight="1">
      <c r="A263" s="23" t="s">
        <v>184</v>
      </c>
      <c r="B263" s="24"/>
      <c r="C263" s="25">
        <v>205800</v>
      </c>
      <c r="D263" s="25">
        <v>0</v>
      </c>
      <c r="E263" s="51">
        <v>0</v>
      </c>
      <c r="F263" s="51">
        <v>0</v>
      </c>
      <c r="G263" s="51">
        <v>47583</v>
      </c>
      <c r="H263" s="51">
        <v>3494</v>
      </c>
      <c r="I263" s="51">
        <v>30500</v>
      </c>
      <c r="J263" s="51">
        <v>0</v>
      </c>
      <c r="K263" s="19"/>
      <c r="L263" s="46">
        <f t="shared" si="51"/>
        <v>287377</v>
      </c>
      <c r="M263" s="72">
        <f t="shared" si="52"/>
        <v>0.1326157077206784</v>
      </c>
      <c r="N263" s="62"/>
      <c r="O263" s="2"/>
      <c r="P263" s="2"/>
    </row>
    <row r="264" spans="1:16" ht="12.75" customHeight="1">
      <c r="A264" s="23" t="s">
        <v>156</v>
      </c>
      <c r="B264" s="24"/>
      <c r="C264" s="25">
        <v>0</v>
      </c>
      <c r="D264" s="25">
        <v>65850</v>
      </c>
      <c r="E264" s="51">
        <v>0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19"/>
      <c r="L264" s="46">
        <f t="shared" si="51"/>
        <v>65850</v>
      </c>
      <c r="M264" s="72">
        <f t="shared" si="52"/>
        <v>0.03038776364638323</v>
      </c>
      <c r="N264" s="62"/>
      <c r="O264" s="2"/>
      <c r="P264" s="2"/>
    </row>
    <row r="265" spans="1:16" ht="12.75" customHeight="1">
      <c r="A265" s="23" t="s">
        <v>295</v>
      </c>
      <c r="B265" s="24"/>
      <c r="C265" s="25">
        <v>0</v>
      </c>
      <c r="D265" s="25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24000</v>
      </c>
      <c r="J265" s="51">
        <v>0</v>
      </c>
      <c r="K265" s="19"/>
      <c r="L265" s="46">
        <f t="shared" si="51"/>
        <v>24000</v>
      </c>
      <c r="M265" s="72">
        <f t="shared" si="52"/>
        <v>0.011075266932622589</v>
      </c>
      <c r="N265" s="62"/>
      <c r="O265" s="2"/>
      <c r="P265" s="2"/>
    </row>
    <row r="266" spans="1:16" ht="12.75" customHeight="1">
      <c r="A266" s="23" t="s">
        <v>297</v>
      </c>
      <c r="B266" s="24"/>
      <c r="C266" s="25">
        <v>0</v>
      </c>
      <c r="D266" s="25">
        <v>0</v>
      </c>
      <c r="E266" s="51">
        <v>0</v>
      </c>
      <c r="F266" s="51">
        <v>0</v>
      </c>
      <c r="G266" s="51">
        <v>0</v>
      </c>
      <c r="H266" s="51">
        <v>0</v>
      </c>
      <c r="I266" s="51">
        <v>65937</v>
      </c>
      <c r="J266" s="51">
        <v>0</v>
      </c>
      <c r="K266" s="19"/>
      <c r="L266" s="46">
        <f t="shared" si="51"/>
        <v>65937</v>
      </c>
      <c r="M266" s="72">
        <f t="shared" si="52"/>
        <v>0.030427911489013984</v>
      </c>
      <c r="N266" s="62"/>
      <c r="O266" s="2"/>
      <c r="P266" s="2"/>
    </row>
    <row r="267" spans="1:16" ht="12.75" customHeight="1">
      <c r="A267" s="23" t="s">
        <v>177</v>
      </c>
      <c r="B267" s="24"/>
      <c r="C267" s="25">
        <v>110190</v>
      </c>
      <c r="D267" s="25">
        <v>0</v>
      </c>
      <c r="E267" s="51">
        <v>0</v>
      </c>
      <c r="F267" s="51">
        <v>0</v>
      </c>
      <c r="G267" s="51">
        <v>0</v>
      </c>
      <c r="H267" s="51">
        <v>0</v>
      </c>
      <c r="I267" s="51">
        <v>0</v>
      </c>
      <c r="J267" s="51">
        <v>120000</v>
      </c>
      <c r="K267" s="19"/>
      <c r="L267" s="46">
        <f t="shared" si="51"/>
        <v>230190</v>
      </c>
      <c r="M267" s="72">
        <f t="shared" si="52"/>
        <v>0.1062256539675164</v>
      </c>
      <c r="N267" s="62"/>
      <c r="O267" s="2"/>
      <c r="P267" s="2"/>
    </row>
    <row r="268" spans="1:16" ht="12.75" customHeight="1">
      <c r="A268" s="23" t="s">
        <v>242</v>
      </c>
      <c r="B268" s="24"/>
      <c r="C268" s="25">
        <v>0</v>
      </c>
      <c r="D268" s="25">
        <v>0</v>
      </c>
      <c r="E268" s="51">
        <v>0</v>
      </c>
      <c r="F268" s="51">
        <v>0</v>
      </c>
      <c r="G268" s="51">
        <v>43200</v>
      </c>
      <c r="H268" s="51">
        <v>0</v>
      </c>
      <c r="I268" s="51">
        <v>0</v>
      </c>
      <c r="J268" s="51">
        <v>0</v>
      </c>
      <c r="K268" s="19"/>
      <c r="L268" s="46">
        <f t="shared" si="51"/>
        <v>43200</v>
      </c>
      <c r="M268" s="72">
        <f t="shared" si="52"/>
        <v>0.01993548047872066</v>
      </c>
      <c r="N268" s="62"/>
      <c r="O268" s="2"/>
      <c r="P268" s="2"/>
    </row>
    <row r="269" spans="1:16" ht="12.75" customHeight="1">
      <c r="A269" s="23" t="s">
        <v>95</v>
      </c>
      <c r="B269" s="24"/>
      <c r="C269" s="25">
        <v>7140000</v>
      </c>
      <c r="D269" s="25">
        <v>0</v>
      </c>
      <c r="E269" s="51">
        <v>1258380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19"/>
      <c r="L269" s="46">
        <f t="shared" si="51"/>
        <v>8398380</v>
      </c>
      <c r="M269" s="72">
        <f t="shared" si="52"/>
        <v>3.875595845899954</v>
      </c>
      <c r="N269" s="62"/>
      <c r="O269" s="2"/>
      <c r="P269" s="2"/>
    </row>
    <row r="270" spans="1:16" ht="12.75" customHeight="1">
      <c r="A270" s="23" t="s">
        <v>214</v>
      </c>
      <c r="B270" s="24"/>
      <c r="C270" s="25">
        <v>84400</v>
      </c>
      <c r="D270" s="25">
        <v>0</v>
      </c>
      <c r="E270" s="51">
        <v>0</v>
      </c>
      <c r="F270" s="51">
        <v>2889906</v>
      </c>
      <c r="G270" s="51">
        <v>400000</v>
      </c>
      <c r="H270" s="51">
        <v>248500</v>
      </c>
      <c r="I270" s="51">
        <v>0</v>
      </c>
      <c r="J270" s="51">
        <v>0</v>
      </c>
      <c r="K270" s="19"/>
      <c r="L270" s="46">
        <f t="shared" si="51"/>
        <v>3622806</v>
      </c>
      <c r="M270" s="72">
        <f t="shared" si="52"/>
        <v>1.6718143122961129</v>
      </c>
      <c r="N270" s="62"/>
      <c r="O270" s="2"/>
      <c r="P270" s="2"/>
    </row>
    <row r="271" spans="1:16" ht="12.75" customHeight="1">
      <c r="A271" s="26" t="s">
        <v>296</v>
      </c>
      <c r="B271" s="27"/>
      <c r="C271" s="28">
        <v>111287783</v>
      </c>
      <c r="D271" s="28">
        <f aca="true" t="shared" si="53" ref="D271:J271">SUM(D255:D270)</f>
        <v>2568250</v>
      </c>
      <c r="E271" s="28">
        <f t="shared" si="53"/>
        <v>11472247</v>
      </c>
      <c r="F271" s="50">
        <f t="shared" si="53"/>
        <v>24096749</v>
      </c>
      <c r="G271" s="50">
        <f t="shared" si="53"/>
        <v>9642283</v>
      </c>
      <c r="H271" s="50">
        <f t="shared" si="53"/>
        <v>15990836</v>
      </c>
      <c r="I271" s="50">
        <f t="shared" si="53"/>
        <v>27435733</v>
      </c>
      <c r="J271" s="50">
        <f t="shared" si="53"/>
        <v>14205185</v>
      </c>
      <c r="K271" s="28"/>
      <c r="L271" s="56">
        <f>SUM(L255:L270)</f>
        <v>216699066</v>
      </c>
      <c r="M271" s="73">
        <f>(L271/(L$403)*100)</f>
        <v>2.100736076373484</v>
      </c>
      <c r="N271" s="63"/>
      <c r="O271" s="2"/>
      <c r="P271" s="2"/>
    </row>
    <row r="272" spans="1:16" ht="12.75" customHeight="1">
      <c r="A272" s="23"/>
      <c r="B272" s="17"/>
      <c r="C272" s="25"/>
      <c r="D272" s="25"/>
      <c r="E272" s="51"/>
      <c r="F272" s="51"/>
      <c r="G272" s="51"/>
      <c r="H272" s="51"/>
      <c r="I272" s="51"/>
      <c r="J272" s="51"/>
      <c r="K272" s="19"/>
      <c r="L272" s="46"/>
      <c r="M272" s="46"/>
      <c r="N272" s="62"/>
      <c r="O272" s="2"/>
      <c r="P272" s="2"/>
    </row>
    <row r="273" spans="1:16" ht="12.75" customHeight="1">
      <c r="A273" s="23" t="s">
        <v>96</v>
      </c>
      <c r="B273" s="24"/>
      <c r="C273" s="25">
        <v>1550000</v>
      </c>
      <c r="D273" s="25">
        <v>0</v>
      </c>
      <c r="E273" s="51">
        <v>0</v>
      </c>
      <c r="F273" s="51">
        <v>723300</v>
      </c>
      <c r="G273" s="51">
        <v>400000</v>
      </c>
      <c r="H273" s="51">
        <v>400000</v>
      </c>
      <c r="I273" s="51">
        <v>671200</v>
      </c>
      <c r="J273" s="51">
        <v>0</v>
      </c>
      <c r="K273" s="19"/>
      <c r="L273" s="46">
        <f>SUM(C273:K273)</f>
        <v>3744500</v>
      </c>
      <c r="M273" s="72">
        <f>(L273/L$275)*100</f>
        <v>62.00122296977661</v>
      </c>
      <c r="N273" s="62"/>
      <c r="O273" s="2"/>
      <c r="P273" s="2"/>
    </row>
    <row r="274" spans="1:16" ht="12.75" customHeight="1">
      <c r="A274" s="23" t="s">
        <v>97</v>
      </c>
      <c r="B274" s="24"/>
      <c r="C274" s="25">
        <v>1180160</v>
      </c>
      <c r="D274" s="25">
        <v>150000</v>
      </c>
      <c r="E274" s="51">
        <v>140000</v>
      </c>
      <c r="F274" s="51">
        <v>232800</v>
      </c>
      <c r="G274" s="51">
        <v>279617</v>
      </c>
      <c r="H274" s="51">
        <v>200000</v>
      </c>
      <c r="I274" s="51">
        <v>112320</v>
      </c>
      <c r="J274" s="51">
        <v>0</v>
      </c>
      <c r="K274" s="19"/>
      <c r="L274" s="46">
        <f>SUM(C274:K274)</f>
        <v>2294897</v>
      </c>
      <c r="M274" s="72">
        <f>(L274/L$275)*100</f>
        <v>37.99877703022338</v>
      </c>
      <c r="N274" s="62"/>
      <c r="O274" s="2"/>
      <c r="P274" s="2"/>
    </row>
    <row r="275" spans="1:16" ht="12.75" customHeight="1">
      <c r="A275" s="26" t="s">
        <v>356</v>
      </c>
      <c r="B275" s="27"/>
      <c r="C275" s="28">
        <v>2730160</v>
      </c>
      <c r="D275" s="28">
        <f aca="true" t="shared" si="54" ref="D275:J275">SUM(D272:D274)</f>
        <v>150000</v>
      </c>
      <c r="E275" s="28">
        <f t="shared" si="54"/>
        <v>140000</v>
      </c>
      <c r="F275" s="50">
        <f t="shared" si="54"/>
        <v>956100</v>
      </c>
      <c r="G275" s="50">
        <f t="shared" si="54"/>
        <v>679617</v>
      </c>
      <c r="H275" s="50">
        <f t="shared" si="54"/>
        <v>600000</v>
      </c>
      <c r="I275" s="50">
        <f t="shared" si="54"/>
        <v>783520</v>
      </c>
      <c r="J275" s="50">
        <f t="shared" si="54"/>
        <v>0</v>
      </c>
      <c r="K275" s="28"/>
      <c r="L275" s="56">
        <f>SUM(L272:L274)</f>
        <v>6039397</v>
      </c>
      <c r="M275" s="73">
        <f>(L275/(L$403)*100)</f>
        <v>0.05854745657944732</v>
      </c>
      <c r="N275" s="63"/>
      <c r="O275" s="2"/>
      <c r="P275" s="2"/>
    </row>
    <row r="276" spans="1:16" ht="12.75" customHeight="1">
      <c r="A276" s="23"/>
      <c r="B276" s="17"/>
      <c r="C276" s="25"/>
      <c r="D276" s="25"/>
      <c r="E276" s="51"/>
      <c r="F276" s="51"/>
      <c r="G276" s="51"/>
      <c r="H276" s="51"/>
      <c r="I276" s="51"/>
      <c r="J276" s="51"/>
      <c r="K276" s="19"/>
      <c r="L276" s="46"/>
      <c r="M276" s="46"/>
      <c r="N276" s="62"/>
      <c r="O276" s="2"/>
      <c r="P276" s="2"/>
    </row>
    <row r="277" spans="1:16" ht="12.75" customHeight="1">
      <c r="A277" s="23" t="s">
        <v>98</v>
      </c>
      <c r="B277" s="24"/>
      <c r="C277" s="25">
        <v>1017028</v>
      </c>
      <c r="D277" s="25">
        <f>484079+1078120</f>
        <v>1562199</v>
      </c>
      <c r="E277" s="51">
        <v>982624</v>
      </c>
      <c r="F277" s="51">
        <v>4931994</v>
      </c>
      <c r="G277" s="51">
        <v>7981335</v>
      </c>
      <c r="H277" s="51">
        <v>7794244</v>
      </c>
      <c r="I277" s="51">
        <v>812056</v>
      </c>
      <c r="J277" s="51">
        <v>294314</v>
      </c>
      <c r="K277" s="19"/>
      <c r="L277" s="46">
        <f>SUM(C277:K277)</f>
        <v>25375794</v>
      </c>
      <c r="M277" s="72">
        <f>(L277/L$282)*100</f>
        <v>11.181018748269942</v>
      </c>
      <c r="N277" s="62"/>
      <c r="O277" s="2"/>
      <c r="P277" s="2"/>
    </row>
    <row r="278" spans="1:16" ht="12.75" customHeight="1">
      <c r="A278" s="23" t="s">
        <v>215</v>
      </c>
      <c r="B278" s="24"/>
      <c r="C278" s="25">
        <v>2683110</v>
      </c>
      <c r="D278" s="25">
        <v>0</v>
      </c>
      <c r="E278" s="51">
        <v>795000</v>
      </c>
      <c r="F278" s="51">
        <v>1229300</v>
      </c>
      <c r="G278" s="51">
        <v>187535</v>
      </c>
      <c r="H278" s="51">
        <v>177655</v>
      </c>
      <c r="I278" s="51">
        <v>679256</v>
      </c>
      <c r="J278" s="51">
        <v>0</v>
      </c>
      <c r="K278" s="19"/>
      <c r="L278" s="46">
        <f>SUM(C278:K278)</f>
        <v>5751856</v>
      </c>
      <c r="M278" s="72">
        <f>(L278/L$282)*100</f>
        <v>2.534368373787593</v>
      </c>
      <c r="N278" s="62"/>
      <c r="O278" s="2"/>
      <c r="P278" s="2"/>
    </row>
    <row r="279" spans="1:16" ht="12.75" customHeight="1">
      <c r="A279" s="23" t="s">
        <v>192</v>
      </c>
      <c r="B279" s="24"/>
      <c r="C279" s="25">
        <v>1505000</v>
      </c>
      <c r="D279" s="25">
        <v>0</v>
      </c>
      <c r="E279" s="51">
        <v>0</v>
      </c>
      <c r="F279" s="51">
        <v>0</v>
      </c>
      <c r="G279" s="51">
        <v>0</v>
      </c>
      <c r="H279" s="51">
        <v>0</v>
      </c>
      <c r="I279" s="51">
        <v>0</v>
      </c>
      <c r="J279" s="51">
        <v>365325</v>
      </c>
      <c r="K279" s="19"/>
      <c r="L279" s="46">
        <f>SUM(C279:K279)</f>
        <v>1870325</v>
      </c>
      <c r="M279" s="72">
        <f>(L279/L$282)*100</f>
        <v>0.824097913561167</v>
      </c>
      <c r="N279" s="62"/>
      <c r="O279" s="2"/>
      <c r="P279" s="2"/>
    </row>
    <row r="280" spans="1:16" ht="12.75" customHeight="1">
      <c r="A280" s="23" t="s">
        <v>221</v>
      </c>
      <c r="B280" s="24"/>
      <c r="C280" s="25">
        <v>74293109</v>
      </c>
      <c r="D280" s="25">
        <f>3369660+80756</f>
        <v>3450416</v>
      </c>
      <c r="E280" s="51">
        <v>5883000</v>
      </c>
      <c r="F280" s="51">
        <v>24912745</v>
      </c>
      <c r="G280" s="51">
        <v>21494547</v>
      </c>
      <c r="H280" s="51">
        <v>35264344</v>
      </c>
      <c r="I280" s="51">
        <v>7847749</v>
      </c>
      <c r="J280" s="51">
        <v>19178386</v>
      </c>
      <c r="K280" s="19"/>
      <c r="L280" s="46">
        <f>SUM(C280:K280)</f>
        <v>192324296</v>
      </c>
      <c r="M280" s="72">
        <f>(L280/L$282)*100</f>
        <v>84.74144924583712</v>
      </c>
      <c r="N280" s="62"/>
      <c r="O280" s="2"/>
      <c r="P280" s="2"/>
    </row>
    <row r="281" spans="1:16" ht="12.75" customHeight="1">
      <c r="A281" s="23" t="s">
        <v>99</v>
      </c>
      <c r="B281" s="24"/>
      <c r="C281" s="25">
        <v>121920</v>
      </c>
      <c r="D281" s="25">
        <v>0</v>
      </c>
      <c r="E281" s="51">
        <v>0</v>
      </c>
      <c r="F281" s="51">
        <v>0</v>
      </c>
      <c r="G281" s="51">
        <v>0</v>
      </c>
      <c r="H281" s="51">
        <v>0</v>
      </c>
      <c r="I281" s="51">
        <v>1510030</v>
      </c>
      <c r="J281" s="51">
        <v>0</v>
      </c>
      <c r="K281" s="19"/>
      <c r="L281" s="46">
        <f>SUM(C281:K281)</f>
        <v>1631950</v>
      </c>
      <c r="M281" s="72">
        <f>(L281/L$282)*100</f>
        <v>0.7190657185441817</v>
      </c>
      <c r="N281" s="62"/>
      <c r="O281" s="2"/>
      <c r="P281" s="2"/>
    </row>
    <row r="282" spans="1:16" ht="12.75" customHeight="1">
      <c r="A282" s="26" t="s">
        <v>273</v>
      </c>
      <c r="B282" s="27"/>
      <c r="C282" s="28">
        <v>79620167</v>
      </c>
      <c r="D282" s="28">
        <f aca="true" t="shared" si="55" ref="D282:J282">SUM(D276:D281)</f>
        <v>5012615</v>
      </c>
      <c r="E282" s="28">
        <f t="shared" si="55"/>
        <v>7660624</v>
      </c>
      <c r="F282" s="50">
        <f t="shared" si="55"/>
        <v>31074039</v>
      </c>
      <c r="G282" s="50">
        <f t="shared" si="55"/>
        <v>29663417</v>
      </c>
      <c r="H282" s="50">
        <f t="shared" si="55"/>
        <v>43236243</v>
      </c>
      <c r="I282" s="50">
        <f t="shared" si="55"/>
        <v>10849091</v>
      </c>
      <c r="J282" s="50">
        <f t="shared" si="55"/>
        <v>19838025</v>
      </c>
      <c r="K282" s="28"/>
      <c r="L282" s="56">
        <f>SUM(L276:L281)</f>
        <v>226954221</v>
      </c>
      <c r="M282" s="73">
        <f>(L282/(L$403)*100)</f>
        <v>2.200152167429926</v>
      </c>
      <c r="N282" s="63"/>
      <c r="O282" s="2"/>
      <c r="P282" s="2"/>
    </row>
    <row r="283" spans="1:16" ht="12.75" customHeight="1">
      <c r="A283" s="23"/>
      <c r="B283" s="17"/>
      <c r="C283" s="25"/>
      <c r="D283" s="25"/>
      <c r="E283" s="51"/>
      <c r="F283" s="51"/>
      <c r="G283" s="51"/>
      <c r="H283" s="51"/>
      <c r="I283" s="51"/>
      <c r="J283" s="51"/>
      <c r="K283" s="19"/>
      <c r="L283" s="46"/>
      <c r="M283" s="46"/>
      <c r="N283" s="62"/>
      <c r="O283" s="2"/>
      <c r="P283" s="2"/>
    </row>
    <row r="284" spans="1:16" ht="12.75" customHeight="1">
      <c r="A284" s="23" t="s">
        <v>216</v>
      </c>
      <c r="B284" s="24"/>
      <c r="C284" s="25">
        <v>1706000</v>
      </c>
      <c r="D284" s="25">
        <v>0</v>
      </c>
      <c r="E284" s="51">
        <v>1907140</v>
      </c>
      <c r="F284" s="51">
        <v>0</v>
      </c>
      <c r="G284" s="51">
        <v>0</v>
      </c>
      <c r="H284" s="51">
        <v>0</v>
      </c>
      <c r="I284" s="51">
        <v>300000</v>
      </c>
      <c r="J284" s="51">
        <v>600000</v>
      </c>
      <c r="K284" s="19"/>
      <c r="L284" s="46">
        <f aca="true" t="shared" si="56" ref="L284:L299">SUM(C284:K284)</f>
        <v>4513140</v>
      </c>
      <c r="M284" s="72">
        <f>(L284/L$300)*100</f>
        <v>0.7781769333579464</v>
      </c>
      <c r="N284" s="62"/>
      <c r="O284" s="2"/>
      <c r="P284" s="2"/>
    </row>
    <row r="285" spans="1:16" ht="12.75" customHeight="1">
      <c r="A285" s="23" t="s">
        <v>100</v>
      </c>
      <c r="B285" s="24"/>
      <c r="C285" s="25">
        <v>20000</v>
      </c>
      <c r="D285" s="25">
        <v>0</v>
      </c>
      <c r="E285" s="51">
        <v>0</v>
      </c>
      <c r="F285" s="51">
        <v>0</v>
      </c>
      <c r="G285" s="51">
        <v>0</v>
      </c>
      <c r="H285" s="51">
        <v>0</v>
      </c>
      <c r="I285" s="51">
        <v>110000</v>
      </c>
      <c r="J285" s="51">
        <v>0</v>
      </c>
      <c r="K285" s="19"/>
      <c r="L285" s="46">
        <f t="shared" si="56"/>
        <v>130000</v>
      </c>
      <c r="M285" s="72">
        <f aca="true" t="shared" si="57" ref="M285:M299">(L285/L$300)*100</f>
        <v>0.02241521453722531</v>
      </c>
      <c r="N285" s="62"/>
      <c r="O285" s="2"/>
      <c r="P285" s="2"/>
    </row>
    <row r="286" spans="1:16" ht="12.75" customHeight="1">
      <c r="A286" s="23" t="s">
        <v>101</v>
      </c>
      <c r="B286" s="24"/>
      <c r="C286" s="25">
        <v>0</v>
      </c>
      <c r="D286" s="25">
        <v>0</v>
      </c>
      <c r="E286" s="51">
        <v>390000</v>
      </c>
      <c r="F286" s="51">
        <v>20000</v>
      </c>
      <c r="G286" s="51">
        <v>672000</v>
      </c>
      <c r="H286" s="51">
        <v>885000</v>
      </c>
      <c r="I286" s="51">
        <v>120000</v>
      </c>
      <c r="J286" s="51">
        <v>1668000</v>
      </c>
      <c r="K286" s="19"/>
      <c r="L286" s="46">
        <f t="shared" si="56"/>
        <v>3755000</v>
      </c>
      <c r="M286" s="72">
        <f t="shared" si="57"/>
        <v>0.6474548506713926</v>
      </c>
      <c r="N286" s="62"/>
      <c r="O286" s="2"/>
      <c r="P286" s="2"/>
    </row>
    <row r="287" spans="1:16" ht="12.75" customHeight="1">
      <c r="A287" s="23" t="s">
        <v>102</v>
      </c>
      <c r="B287" s="24"/>
      <c r="C287" s="25">
        <v>800000</v>
      </c>
      <c r="D287" s="25">
        <v>0</v>
      </c>
      <c r="E287" s="51">
        <v>665000</v>
      </c>
      <c r="F287" s="51">
        <v>0</v>
      </c>
      <c r="G287" s="51">
        <v>0</v>
      </c>
      <c r="H287" s="51">
        <v>320000</v>
      </c>
      <c r="I287" s="51">
        <v>0</v>
      </c>
      <c r="J287" s="51">
        <v>0</v>
      </c>
      <c r="K287" s="19"/>
      <c r="L287" s="46">
        <f t="shared" si="56"/>
        <v>1785000</v>
      </c>
      <c r="M287" s="72">
        <f t="shared" si="57"/>
        <v>0.3077781380688244</v>
      </c>
      <c r="N287" s="62"/>
      <c r="O287" s="2"/>
      <c r="P287" s="2"/>
    </row>
    <row r="288" spans="1:16" ht="12.75" customHeight="1">
      <c r="A288" s="23" t="s">
        <v>103</v>
      </c>
      <c r="B288" s="24"/>
      <c r="C288" s="25">
        <v>740000</v>
      </c>
      <c r="D288" s="25">
        <v>0</v>
      </c>
      <c r="E288" s="51">
        <v>1060000</v>
      </c>
      <c r="F288" s="51">
        <v>0</v>
      </c>
      <c r="G288" s="51">
        <v>0</v>
      </c>
      <c r="H288" s="51">
        <v>0</v>
      </c>
      <c r="I288" s="51">
        <v>1223000</v>
      </c>
      <c r="J288" s="51">
        <v>1583000</v>
      </c>
      <c r="K288" s="19"/>
      <c r="L288" s="46">
        <f t="shared" si="56"/>
        <v>4606000</v>
      </c>
      <c r="M288" s="72">
        <f t="shared" si="57"/>
        <v>0.7941882935266136</v>
      </c>
      <c r="N288" s="62"/>
      <c r="O288" s="2"/>
      <c r="P288" s="2"/>
    </row>
    <row r="289" spans="1:16" ht="12.75" customHeight="1">
      <c r="A289" s="23" t="s">
        <v>104</v>
      </c>
      <c r="B289" s="24"/>
      <c r="C289" s="25">
        <v>738400</v>
      </c>
      <c r="D289" s="25">
        <v>0</v>
      </c>
      <c r="E289" s="51">
        <v>0</v>
      </c>
      <c r="F289" s="51">
        <v>568000</v>
      </c>
      <c r="G289" s="51">
        <v>195000</v>
      </c>
      <c r="H289" s="51">
        <v>0</v>
      </c>
      <c r="I289" s="51">
        <v>0</v>
      </c>
      <c r="J289" s="51">
        <v>0</v>
      </c>
      <c r="K289" s="19"/>
      <c r="L289" s="46">
        <f t="shared" si="56"/>
        <v>1501400</v>
      </c>
      <c r="M289" s="72">
        <f t="shared" si="57"/>
        <v>0.25887848543223135</v>
      </c>
      <c r="N289" s="62"/>
      <c r="O289" s="2"/>
      <c r="P289" s="2"/>
    </row>
    <row r="290" spans="1:16" ht="12.75" customHeight="1">
      <c r="A290" s="23" t="s">
        <v>105</v>
      </c>
      <c r="B290" s="24"/>
      <c r="C290" s="25">
        <v>48000</v>
      </c>
      <c r="D290" s="25">
        <v>0</v>
      </c>
      <c r="E290" s="51">
        <v>0</v>
      </c>
      <c r="F290" s="51">
        <v>0</v>
      </c>
      <c r="G290" s="51">
        <v>0</v>
      </c>
      <c r="H290" s="51">
        <v>549600</v>
      </c>
      <c r="I290" s="51">
        <v>0</v>
      </c>
      <c r="J290" s="51">
        <v>1743280</v>
      </c>
      <c r="K290" s="19"/>
      <c r="L290" s="46">
        <f t="shared" si="56"/>
        <v>2340880</v>
      </c>
      <c r="M290" s="72">
        <f t="shared" si="57"/>
        <v>0.4036255954299998</v>
      </c>
      <c r="N290" s="62"/>
      <c r="O290" s="2"/>
      <c r="P290" s="2"/>
    </row>
    <row r="291" spans="1:16" ht="12.75" customHeight="1">
      <c r="A291" s="23" t="s">
        <v>106</v>
      </c>
      <c r="B291" s="24"/>
      <c r="C291" s="25">
        <v>1210000</v>
      </c>
      <c r="D291" s="25">
        <v>0</v>
      </c>
      <c r="E291" s="51">
        <v>0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19"/>
      <c r="L291" s="46">
        <f t="shared" si="56"/>
        <v>1210000</v>
      </c>
      <c r="M291" s="72">
        <f t="shared" si="57"/>
        <v>0.2086339199234048</v>
      </c>
      <c r="N291" s="62"/>
      <c r="O291" s="2"/>
      <c r="P291" s="2"/>
    </row>
    <row r="292" spans="1:16" ht="12.75" customHeight="1">
      <c r="A292" s="23" t="s">
        <v>107</v>
      </c>
      <c r="B292" s="24"/>
      <c r="C292" s="25">
        <v>139538611</v>
      </c>
      <c r="D292" s="25">
        <f>19120000+17083000</f>
        <v>36203000</v>
      </c>
      <c r="E292" s="51">
        <v>23476518</v>
      </c>
      <c r="F292" s="51">
        <v>20499828</v>
      </c>
      <c r="G292" s="51">
        <v>26730900</v>
      </c>
      <c r="H292" s="51">
        <v>41095835</v>
      </c>
      <c r="I292" s="51">
        <v>17082900</v>
      </c>
      <c r="J292" s="51">
        <v>37779788</v>
      </c>
      <c r="K292" s="19"/>
      <c r="L292" s="46">
        <f t="shared" si="56"/>
        <v>342407380</v>
      </c>
      <c r="M292" s="72">
        <f t="shared" si="57"/>
        <v>59.039499090994084</v>
      </c>
      <c r="N292" s="62"/>
      <c r="O292" s="2"/>
      <c r="P292" s="2"/>
    </row>
    <row r="293" spans="1:16" ht="12.75" customHeight="1">
      <c r="A293" s="23" t="s">
        <v>108</v>
      </c>
      <c r="B293" s="24"/>
      <c r="C293" s="25">
        <v>125815154</v>
      </c>
      <c r="D293" s="25">
        <v>0</v>
      </c>
      <c r="E293" s="51">
        <v>5686200</v>
      </c>
      <c r="F293" s="51">
        <v>24528200</v>
      </c>
      <c r="G293" s="51">
        <v>3946452</v>
      </c>
      <c r="H293" s="51">
        <v>17485836</v>
      </c>
      <c r="I293" s="51">
        <v>6172200</v>
      </c>
      <c r="J293" s="51">
        <v>17413812</v>
      </c>
      <c r="K293" s="19"/>
      <c r="L293" s="46">
        <f t="shared" si="56"/>
        <v>201047854</v>
      </c>
      <c r="M293" s="72">
        <f t="shared" si="57"/>
        <v>34.6656213819904</v>
      </c>
      <c r="N293" s="62"/>
      <c r="O293" s="2"/>
      <c r="P293" s="2"/>
    </row>
    <row r="294" spans="1:16" ht="12.75" customHeight="1">
      <c r="A294" s="23" t="s">
        <v>109</v>
      </c>
      <c r="B294" s="24"/>
      <c r="C294" s="25">
        <v>6680000</v>
      </c>
      <c r="D294" s="25">
        <v>0</v>
      </c>
      <c r="E294" s="51">
        <v>280000</v>
      </c>
      <c r="F294" s="51">
        <v>0</v>
      </c>
      <c r="G294" s="51">
        <v>485000</v>
      </c>
      <c r="H294" s="51">
        <v>0</v>
      </c>
      <c r="I294" s="51">
        <v>295000</v>
      </c>
      <c r="J294" s="51">
        <v>938166</v>
      </c>
      <c r="K294" s="19"/>
      <c r="L294" s="46">
        <f t="shared" si="56"/>
        <v>8678166</v>
      </c>
      <c r="M294" s="72">
        <f t="shared" si="57"/>
        <v>1.4963304052281108</v>
      </c>
      <c r="N294" s="62"/>
      <c r="O294" s="2"/>
      <c r="P294" s="2"/>
    </row>
    <row r="295" spans="1:16" ht="12.75" customHeight="1">
      <c r="A295" s="23" t="s">
        <v>217</v>
      </c>
      <c r="B295" s="24"/>
      <c r="C295" s="25">
        <v>374400</v>
      </c>
      <c r="D295" s="25">
        <v>0</v>
      </c>
      <c r="E295" s="51">
        <v>0</v>
      </c>
      <c r="F295" s="51">
        <v>0</v>
      </c>
      <c r="G295" s="51">
        <v>0</v>
      </c>
      <c r="H295" s="51">
        <v>215000</v>
      </c>
      <c r="I295" s="51">
        <v>0</v>
      </c>
      <c r="J295" s="51">
        <v>0</v>
      </c>
      <c r="K295" s="19"/>
      <c r="L295" s="46">
        <f t="shared" si="56"/>
        <v>589400</v>
      </c>
      <c r="M295" s="72">
        <f t="shared" si="57"/>
        <v>0.10162713421723536</v>
      </c>
      <c r="N295" s="62"/>
      <c r="O295" s="2"/>
      <c r="P295" s="2"/>
    </row>
    <row r="296" spans="1:16" ht="12.75" customHeight="1">
      <c r="A296" s="23" t="s">
        <v>110</v>
      </c>
      <c r="B296" s="24"/>
      <c r="C296" s="25">
        <v>480000</v>
      </c>
      <c r="D296" s="25">
        <v>0</v>
      </c>
      <c r="E296" s="51">
        <v>0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19"/>
      <c r="L296" s="46">
        <f t="shared" si="56"/>
        <v>480000</v>
      </c>
      <c r="M296" s="72">
        <f t="shared" si="57"/>
        <v>0.08276386906052421</v>
      </c>
      <c r="N296" s="62"/>
      <c r="O296" s="2"/>
      <c r="P296" s="2"/>
    </row>
    <row r="297" spans="1:16" ht="12.75" customHeight="1">
      <c r="A297" s="23" t="s">
        <v>111</v>
      </c>
      <c r="B297" s="24"/>
      <c r="C297" s="25">
        <v>2132000</v>
      </c>
      <c r="D297" s="25">
        <v>2480000</v>
      </c>
      <c r="E297" s="51">
        <v>120000</v>
      </c>
      <c r="F297" s="51">
        <v>35000</v>
      </c>
      <c r="G297" s="51">
        <v>18000</v>
      </c>
      <c r="H297" s="51">
        <v>0</v>
      </c>
      <c r="I297" s="51">
        <v>0</v>
      </c>
      <c r="J297" s="51">
        <v>0</v>
      </c>
      <c r="K297" s="19"/>
      <c r="L297" s="46">
        <f t="shared" si="56"/>
        <v>4785000</v>
      </c>
      <c r="M297" s="72">
        <f t="shared" si="57"/>
        <v>0.8250523196971008</v>
      </c>
      <c r="N297" s="62"/>
      <c r="O297" s="2"/>
      <c r="P297" s="2"/>
    </row>
    <row r="298" spans="1:16" ht="12.75" customHeight="1">
      <c r="A298" s="23" t="s">
        <v>112</v>
      </c>
      <c r="B298" s="24"/>
      <c r="C298" s="25">
        <v>1000000</v>
      </c>
      <c r="D298" s="25">
        <v>0</v>
      </c>
      <c r="E298" s="51">
        <v>800000</v>
      </c>
      <c r="F298" s="51">
        <v>35000</v>
      </c>
      <c r="G298" s="51">
        <v>0</v>
      </c>
      <c r="H298" s="51">
        <v>0</v>
      </c>
      <c r="I298" s="51">
        <v>0</v>
      </c>
      <c r="J298" s="51">
        <v>0</v>
      </c>
      <c r="K298" s="19"/>
      <c r="L298" s="46">
        <f t="shared" si="56"/>
        <v>1835000</v>
      </c>
      <c r="M298" s="72">
        <f t="shared" si="57"/>
        <v>0.3163993744292957</v>
      </c>
      <c r="N298" s="62"/>
      <c r="O298" s="2"/>
      <c r="P298" s="2"/>
    </row>
    <row r="299" spans="1:16" ht="12.75" customHeight="1">
      <c r="A299" s="23" t="s">
        <v>258</v>
      </c>
      <c r="B299" s="24"/>
      <c r="C299" s="25">
        <v>0</v>
      </c>
      <c r="D299" s="25">
        <v>0</v>
      </c>
      <c r="E299" s="51">
        <v>0</v>
      </c>
      <c r="F299" s="51">
        <v>0</v>
      </c>
      <c r="G299" s="51">
        <v>0</v>
      </c>
      <c r="H299" s="51">
        <v>241000</v>
      </c>
      <c r="I299" s="51">
        <v>10000</v>
      </c>
      <c r="J299" s="51">
        <v>48000</v>
      </c>
      <c r="K299" s="19"/>
      <c r="L299" s="46">
        <f t="shared" si="56"/>
        <v>299000</v>
      </c>
      <c r="M299" s="72">
        <f t="shared" si="57"/>
        <v>0.05155499343561821</v>
      </c>
      <c r="N299" s="62"/>
      <c r="O299" s="2"/>
      <c r="P299" s="2"/>
    </row>
    <row r="300" spans="1:16" ht="12.75" customHeight="1">
      <c r="A300" s="26" t="s">
        <v>274</v>
      </c>
      <c r="B300" s="27"/>
      <c r="C300" s="28">
        <v>281282565</v>
      </c>
      <c r="D300" s="28">
        <f aca="true" t="shared" si="58" ref="D300:J300">SUM(D283:D299)</f>
        <v>38683000</v>
      </c>
      <c r="E300" s="28">
        <f t="shared" si="58"/>
        <v>34384858</v>
      </c>
      <c r="F300" s="50">
        <f t="shared" si="58"/>
        <v>45686028</v>
      </c>
      <c r="G300" s="50">
        <f t="shared" si="58"/>
        <v>32047352</v>
      </c>
      <c r="H300" s="50">
        <f t="shared" si="58"/>
        <v>60792271</v>
      </c>
      <c r="I300" s="50">
        <f t="shared" si="58"/>
        <v>25313100</v>
      </c>
      <c r="J300" s="50">
        <f t="shared" si="58"/>
        <v>61774046</v>
      </c>
      <c r="K300" s="28"/>
      <c r="L300" s="56">
        <f>SUM(L283:L299)</f>
        <v>579963220</v>
      </c>
      <c r="M300" s="73">
        <f>(L300/(L$403)*100)</f>
        <v>5.622311538821915</v>
      </c>
      <c r="N300" s="63"/>
      <c r="O300" s="2"/>
      <c r="P300" s="2"/>
    </row>
    <row r="301" spans="1:16" ht="12.75" customHeight="1">
      <c r="A301" s="23"/>
      <c r="B301" s="17"/>
      <c r="C301" s="25"/>
      <c r="D301" s="25"/>
      <c r="E301" s="51"/>
      <c r="F301" s="51"/>
      <c r="G301" s="51"/>
      <c r="H301" s="51"/>
      <c r="I301" s="51"/>
      <c r="J301" s="51"/>
      <c r="K301" s="19"/>
      <c r="L301" s="46"/>
      <c r="M301" s="46"/>
      <c r="N301" s="62"/>
      <c r="O301" s="2"/>
      <c r="P301" s="2"/>
    </row>
    <row r="302" spans="1:16" ht="12.75" customHeight="1">
      <c r="A302" s="23" t="s">
        <v>298</v>
      </c>
      <c r="B302" s="24"/>
      <c r="C302" s="25">
        <v>0</v>
      </c>
      <c r="D302" s="25">
        <v>0</v>
      </c>
      <c r="E302" s="51">
        <v>0</v>
      </c>
      <c r="F302" s="51">
        <v>0</v>
      </c>
      <c r="G302" s="51">
        <v>0</v>
      </c>
      <c r="H302" s="51">
        <v>0</v>
      </c>
      <c r="I302" s="51">
        <v>1500000</v>
      </c>
      <c r="J302" s="51">
        <v>0</v>
      </c>
      <c r="K302" s="19"/>
      <c r="L302" s="46">
        <f>SUM(C302:K302)</f>
        <v>1500000</v>
      </c>
      <c r="M302" s="72">
        <f>(L302/L$304)*100</f>
        <v>0.5738579054142839</v>
      </c>
      <c r="N302" s="62"/>
      <c r="O302" s="2"/>
      <c r="P302" s="2"/>
    </row>
    <row r="303" spans="1:16" ht="12.75" customHeight="1">
      <c r="A303" s="23" t="s">
        <v>162</v>
      </c>
      <c r="B303" s="24"/>
      <c r="C303" s="25">
        <v>0</v>
      </c>
      <c r="D303" s="25">
        <v>0</v>
      </c>
      <c r="E303" s="51">
        <v>31718232</v>
      </c>
      <c r="F303" s="51">
        <v>108170517</v>
      </c>
      <c r="G303" s="51">
        <v>40000000</v>
      </c>
      <c r="H303" s="51">
        <v>40000000</v>
      </c>
      <c r="I303" s="51">
        <v>40000000</v>
      </c>
      <c r="J303" s="51">
        <v>0</v>
      </c>
      <c r="K303" s="19"/>
      <c r="L303" s="46">
        <f>SUM(C303:K303)</f>
        <v>259888749</v>
      </c>
      <c r="M303" s="72">
        <f>(L303/L$304)*100</f>
        <v>99.42614209458571</v>
      </c>
      <c r="N303" s="62"/>
      <c r="O303" s="2"/>
      <c r="P303" s="2"/>
    </row>
    <row r="304" spans="1:16" ht="12.75" customHeight="1">
      <c r="A304" s="26" t="s">
        <v>299</v>
      </c>
      <c r="B304" s="27"/>
      <c r="C304" s="28">
        <v>0</v>
      </c>
      <c r="D304" s="28">
        <f aca="true" t="shared" si="59" ref="D304:J304">SUM(D301:D303)</f>
        <v>0</v>
      </c>
      <c r="E304" s="28">
        <f t="shared" si="59"/>
        <v>31718232</v>
      </c>
      <c r="F304" s="50">
        <f t="shared" si="59"/>
        <v>108170517</v>
      </c>
      <c r="G304" s="50">
        <f t="shared" si="59"/>
        <v>40000000</v>
      </c>
      <c r="H304" s="50">
        <f t="shared" si="59"/>
        <v>40000000</v>
      </c>
      <c r="I304" s="50">
        <f t="shared" si="59"/>
        <v>41500000</v>
      </c>
      <c r="J304" s="50">
        <f t="shared" si="59"/>
        <v>0</v>
      </c>
      <c r="K304" s="28"/>
      <c r="L304" s="56">
        <f>SUM(L301:L303)</f>
        <v>261388749</v>
      </c>
      <c r="M304" s="73">
        <f>(L304/(L$403)*100)</f>
        <v>2.5339692741566013</v>
      </c>
      <c r="N304" s="63"/>
      <c r="O304" s="2"/>
      <c r="P304" s="2"/>
    </row>
    <row r="305" spans="1:16" ht="12.75" customHeight="1">
      <c r="A305" s="23"/>
      <c r="B305" s="24"/>
      <c r="C305" s="25"/>
      <c r="D305" s="25"/>
      <c r="E305" s="51"/>
      <c r="F305" s="51"/>
      <c r="G305" s="51"/>
      <c r="H305" s="51"/>
      <c r="I305" s="51"/>
      <c r="J305" s="51"/>
      <c r="K305" s="19"/>
      <c r="L305" s="46"/>
      <c r="M305" s="46"/>
      <c r="N305" s="62"/>
      <c r="O305" s="2"/>
      <c r="P305" s="2"/>
    </row>
    <row r="306" spans="1:16" ht="12.75" customHeight="1">
      <c r="A306" s="23" t="s">
        <v>113</v>
      </c>
      <c r="B306" s="24"/>
      <c r="C306" s="25">
        <v>33905526</v>
      </c>
      <c r="D306" s="25">
        <f>640000+3640000+400000+1271200+240000+2293560</f>
        <v>8484760</v>
      </c>
      <c r="E306" s="51">
        <v>5020000</v>
      </c>
      <c r="F306" s="51">
        <v>8480000</v>
      </c>
      <c r="G306" s="51">
        <v>1680000</v>
      </c>
      <c r="H306" s="51">
        <v>2158400</v>
      </c>
      <c r="I306" s="51">
        <v>800000</v>
      </c>
      <c r="J306" s="51">
        <v>1068000</v>
      </c>
      <c r="K306" s="19"/>
      <c r="L306" s="46">
        <f>SUM(C306:K306)</f>
        <v>61596686</v>
      </c>
      <c r="M306" s="72">
        <f>(L306/L$308)*100</f>
        <v>96.79853672968224</v>
      </c>
      <c r="N306" s="62"/>
      <c r="O306" s="2"/>
      <c r="P306" s="2"/>
    </row>
    <row r="307" spans="1:16" ht="12.75" customHeight="1">
      <c r="A307" s="23" t="s">
        <v>243</v>
      </c>
      <c r="B307" s="24"/>
      <c r="C307" s="25">
        <v>0</v>
      </c>
      <c r="D307" s="25">
        <v>0</v>
      </c>
      <c r="E307" s="51">
        <v>0</v>
      </c>
      <c r="F307" s="51">
        <v>0</v>
      </c>
      <c r="G307" s="51">
        <v>64000</v>
      </c>
      <c r="H307" s="51">
        <v>0</v>
      </c>
      <c r="I307" s="51">
        <v>1973216</v>
      </c>
      <c r="J307" s="51">
        <v>0</v>
      </c>
      <c r="K307" s="19"/>
      <c r="L307" s="46">
        <f>SUM(C307:K307)</f>
        <v>2037216</v>
      </c>
      <c r="M307" s="72">
        <f>(L307/L$308)*100</f>
        <v>3.2014632703177623</v>
      </c>
      <c r="N307" s="62"/>
      <c r="O307" s="2"/>
      <c r="P307" s="2"/>
    </row>
    <row r="308" spans="1:16" ht="12.75" customHeight="1">
      <c r="A308" s="26" t="s">
        <v>275</v>
      </c>
      <c r="B308" s="27"/>
      <c r="C308" s="28">
        <v>33905526</v>
      </c>
      <c r="D308" s="28">
        <f aca="true" t="shared" si="60" ref="D308:J308">SUM(D305:D307)</f>
        <v>8484760</v>
      </c>
      <c r="E308" s="28">
        <f t="shared" si="60"/>
        <v>5020000</v>
      </c>
      <c r="F308" s="50">
        <f t="shared" si="60"/>
        <v>8480000</v>
      </c>
      <c r="G308" s="50">
        <f t="shared" si="60"/>
        <v>1744000</v>
      </c>
      <c r="H308" s="50">
        <f t="shared" si="60"/>
        <v>2158400</v>
      </c>
      <c r="I308" s="50">
        <f t="shared" si="60"/>
        <v>2773216</v>
      </c>
      <c r="J308" s="50">
        <f t="shared" si="60"/>
        <v>1068000</v>
      </c>
      <c r="K308" s="28"/>
      <c r="L308" s="56">
        <f>SUM(L305:L307)</f>
        <v>63633902</v>
      </c>
      <c r="M308" s="73">
        <f>(L308/(L$403)*100)</f>
        <v>0.6168832938662264</v>
      </c>
      <c r="N308" s="63"/>
      <c r="O308" s="2"/>
      <c r="P308" s="2"/>
    </row>
    <row r="309" spans="1:16" ht="12.75" customHeight="1">
      <c r="A309" s="23"/>
      <c r="B309" s="17"/>
      <c r="C309" s="25"/>
      <c r="D309" s="25"/>
      <c r="E309" s="51"/>
      <c r="F309" s="51"/>
      <c r="G309" s="51"/>
      <c r="H309" s="51"/>
      <c r="I309" s="51"/>
      <c r="J309" s="51"/>
      <c r="K309" s="19"/>
      <c r="L309" s="46"/>
      <c r="M309" s="46"/>
      <c r="N309" s="62"/>
      <c r="O309" s="2"/>
      <c r="P309" s="2"/>
    </row>
    <row r="310" spans="1:16" ht="12.75" customHeight="1">
      <c r="A310" s="23" t="s">
        <v>157</v>
      </c>
      <c r="B310" s="24"/>
      <c r="C310" s="25">
        <v>0</v>
      </c>
      <c r="D310" s="25">
        <v>160000</v>
      </c>
      <c r="E310" s="51">
        <v>0</v>
      </c>
      <c r="F310" s="51">
        <v>2500000</v>
      </c>
      <c r="G310" s="51">
        <v>0</v>
      </c>
      <c r="H310" s="51">
        <v>2180803</v>
      </c>
      <c r="I310" s="51">
        <v>0</v>
      </c>
      <c r="J310" s="51">
        <v>0</v>
      </c>
      <c r="K310" s="19"/>
      <c r="L310" s="46">
        <f>SUM(C310:K310)</f>
        <v>4840803</v>
      </c>
      <c r="M310" s="72">
        <f>(L310/L$312)*100</f>
        <v>82.09203296703296</v>
      </c>
      <c r="N310" s="62"/>
      <c r="O310" s="2"/>
      <c r="P310" s="2"/>
    </row>
    <row r="311" spans="1:16" ht="12.75" customHeight="1">
      <c r="A311" s="23" t="s">
        <v>334</v>
      </c>
      <c r="B311" s="24"/>
      <c r="C311" s="25">
        <v>0</v>
      </c>
      <c r="D311" s="25">
        <v>0</v>
      </c>
      <c r="E311" s="51">
        <v>0</v>
      </c>
      <c r="F311" s="51">
        <v>0</v>
      </c>
      <c r="G311" s="51">
        <v>0</v>
      </c>
      <c r="H311" s="51">
        <v>0</v>
      </c>
      <c r="I311" s="51">
        <v>0</v>
      </c>
      <c r="J311" s="51">
        <v>1055997</v>
      </c>
      <c r="K311" s="19"/>
      <c r="L311" s="46">
        <f>SUM(C311:K311)</f>
        <v>1055997</v>
      </c>
      <c r="M311" s="72">
        <f>(L311/L$312)*100</f>
        <v>17.907967032967033</v>
      </c>
      <c r="N311" s="62"/>
      <c r="O311" s="2"/>
      <c r="P311" s="2"/>
    </row>
    <row r="312" spans="1:16" ht="12.75" customHeight="1">
      <c r="A312" s="26" t="s">
        <v>333</v>
      </c>
      <c r="B312" s="27"/>
      <c r="C312" s="28">
        <v>0</v>
      </c>
      <c r="D312" s="28">
        <f aca="true" t="shared" si="61" ref="D312:J312">SUM(D309:D311)</f>
        <v>160000</v>
      </c>
      <c r="E312" s="28">
        <f t="shared" si="61"/>
        <v>0</v>
      </c>
      <c r="F312" s="50">
        <f t="shared" si="61"/>
        <v>2500000</v>
      </c>
      <c r="G312" s="50">
        <f t="shared" si="61"/>
        <v>0</v>
      </c>
      <c r="H312" s="50">
        <f t="shared" si="61"/>
        <v>2180803</v>
      </c>
      <c r="I312" s="50">
        <f t="shared" si="61"/>
        <v>0</v>
      </c>
      <c r="J312" s="50">
        <f t="shared" si="61"/>
        <v>1055997</v>
      </c>
      <c r="K312" s="28"/>
      <c r="L312" s="56">
        <f>SUM(L309:L311)</f>
        <v>5896800</v>
      </c>
      <c r="M312" s="73">
        <f>(L312/(L$403)*100)</f>
        <v>0.05716508485163088</v>
      </c>
      <c r="N312" s="63"/>
      <c r="O312" s="2"/>
      <c r="P312" s="2"/>
    </row>
    <row r="313" spans="1:16" ht="12.75" customHeight="1">
      <c r="A313" s="23"/>
      <c r="B313" s="24"/>
      <c r="C313" s="25"/>
      <c r="D313" s="25"/>
      <c r="E313" s="51"/>
      <c r="F313" s="51"/>
      <c r="G313" s="51"/>
      <c r="H313" s="51"/>
      <c r="I313" s="51"/>
      <c r="J313" s="51"/>
      <c r="K313" s="19"/>
      <c r="L313" s="46"/>
      <c r="M313" s="46"/>
      <c r="N313" s="62"/>
      <c r="O313" s="2"/>
      <c r="P313" s="2"/>
    </row>
    <row r="314" spans="1:16" ht="12.75" customHeight="1">
      <c r="A314" s="23" t="s">
        <v>114</v>
      </c>
      <c r="B314" s="24"/>
      <c r="C314" s="25">
        <v>776000</v>
      </c>
      <c r="D314" s="25">
        <v>840000</v>
      </c>
      <c r="E314" s="51">
        <v>0</v>
      </c>
      <c r="F314" s="51">
        <v>0</v>
      </c>
      <c r="G314" s="51">
        <v>2400000</v>
      </c>
      <c r="H314" s="51">
        <v>0</v>
      </c>
      <c r="I314" s="51">
        <v>0</v>
      </c>
      <c r="J314" s="51">
        <v>0</v>
      </c>
      <c r="K314" s="19"/>
      <c r="L314" s="46">
        <f aca="true" t="shared" si="62" ref="L314:L321">SUM(C314:K314)</f>
        <v>4016000</v>
      </c>
      <c r="M314" s="72">
        <f aca="true" t="shared" si="63" ref="M314:M321">(L314/L$322)*100</f>
        <v>14.242497385033504</v>
      </c>
      <c r="N314" s="62"/>
      <c r="O314" s="2"/>
      <c r="P314" s="2"/>
    </row>
    <row r="315" spans="1:16" ht="12.75" customHeight="1">
      <c r="A315" s="23" t="s">
        <v>251</v>
      </c>
      <c r="B315" s="24"/>
      <c r="C315" s="25">
        <v>0</v>
      </c>
      <c r="D315" s="25">
        <v>0</v>
      </c>
      <c r="E315" s="51">
        <v>0</v>
      </c>
      <c r="F315" s="51">
        <v>275000</v>
      </c>
      <c r="G315" s="51">
        <v>0</v>
      </c>
      <c r="H315" s="51">
        <v>0</v>
      </c>
      <c r="I315" s="51">
        <v>0</v>
      </c>
      <c r="J315" s="51">
        <v>0</v>
      </c>
      <c r="K315" s="19"/>
      <c r="L315" s="46">
        <f t="shared" si="62"/>
        <v>275000</v>
      </c>
      <c r="M315" s="72">
        <f t="shared" si="63"/>
        <v>0.9752706127699736</v>
      </c>
      <c r="N315" s="62"/>
      <c r="O315" s="2"/>
      <c r="P315" s="2"/>
    </row>
    <row r="316" spans="1:16" ht="12.75" customHeight="1">
      <c r="A316" s="23" t="s">
        <v>115</v>
      </c>
      <c r="B316" s="24"/>
      <c r="C316" s="25">
        <v>533112</v>
      </c>
      <c r="D316" s="25">
        <v>69741</v>
      </c>
      <c r="E316" s="51">
        <v>263000</v>
      </c>
      <c r="F316" s="51">
        <f>536532-275000</f>
        <v>261532</v>
      </c>
      <c r="G316" s="51">
        <v>0</v>
      </c>
      <c r="H316" s="51">
        <v>0</v>
      </c>
      <c r="I316" s="51">
        <v>0</v>
      </c>
      <c r="J316" s="51">
        <v>98397</v>
      </c>
      <c r="K316" s="19"/>
      <c r="L316" s="46">
        <f t="shared" si="62"/>
        <v>1225782</v>
      </c>
      <c r="M316" s="72">
        <f t="shared" si="63"/>
        <v>4.347160590045104</v>
      </c>
      <c r="N316" s="62"/>
      <c r="O316" s="2"/>
      <c r="P316" s="2"/>
    </row>
    <row r="317" spans="1:16" ht="12.75" customHeight="1">
      <c r="A317" s="23" t="s">
        <v>158</v>
      </c>
      <c r="B317" s="24"/>
      <c r="C317" s="25">
        <v>0</v>
      </c>
      <c r="D317" s="25">
        <v>352000</v>
      </c>
      <c r="E317" s="51">
        <v>0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19"/>
      <c r="L317" s="46">
        <f t="shared" si="62"/>
        <v>352000</v>
      </c>
      <c r="M317" s="72">
        <f t="shared" si="63"/>
        <v>1.2483463843455662</v>
      </c>
      <c r="N317" s="62"/>
      <c r="O317" s="2"/>
      <c r="P317" s="2"/>
    </row>
    <row r="318" spans="1:16" ht="12.75" customHeight="1">
      <c r="A318" s="23" t="s">
        <v>259</v>
      </c>
      <c r="B318" s="24"/>
      <c r="C318" s="25">
        <v>0</v>
      </c>
      <c r="D318" s="25">
        <v>0</v>
      </c>
      <c r="E318" s="51">
        <v>0</v>
      </c>
      <c r="F318" s="51">
        <v>0</v>
      </c>
      <c r="G318" s="51">
        <v>0</v>
      </c>
      <c r="H318" s="51">
        <v>198000</v>
      </c>
      <c r="I318" s="51">
        <v>0</v>
      </c>
      <c r="J318" s="51">
        <v>0</v>
      </c>
      <c r="K318" s="19"/>
      <c r="L318" s="46">
        <f t="shared" si="62"/>
        <v>198000</v>
      </c>
      <c r="M318" s="72">
        <f t="shared" si="63"/>
        <v>0.7021948411943809</v>
      </c>
      <c r="N318" s="62"/>
      <c r="O318" s="2"/>
      <c r="P318" s="2"/>
    </row>
    <row r="319" spans="1:16" ht="12.75" customHeight="1">
      <c r="A319" s="23" t="s">
        <v>116</v>
      </c>
      <c r="B319" s="24"/>
      <c r="C319" s="25">
        <v>516000</v>
      </c>
      <c r="D319" s="25">
        <v>0</v>
      </c>
      <c r="E319" s="51">
        <v>600000</v>
      </c>
      <c r="F319" s="51">
        <v>56100</v>
      </c>
      <c r="G319" s="51">
        <v>1001376</v>
      </c>
      <c r="H319" s="51">
        <v>0</v>
      </c>
      <c r="I319" s="51">
        <v>434180</v>
      </c>
      <c r="J319" s="51">
        <v>403478</v>
      </c>
      <c r="K319" s="19"/>
      <c r="L319" s="46">
        <f t="shared" si="62"/>
        <v>3011134</v>
      </c>
      <c r="M319" s="72">
        <f t="shared" si="63"/>
        <v>10.67880182295455</v>
      </c>
      <c r="N319" s="62"/>
      <c r="O319" s="2"/>
      <c r="P319" s="2"/>
    </row>
    <row r="320" spans="1:16" ht="12.75" customHeight="1">
      <c r="A320" s="23" t="s">
        <v>117</v>
      </c>
      <c r="B320" s="24"/>
      <c r="C320" s="25">
        <v>1420000</v>
      </c>
      <c r="D320" s="25">
        <f>700000+320000</f>
        <v>1020000</v>
      </c>
      <c r="E320" s="51">
        <v>1900000</v>
      </c>
      <c r="F320" s="51">
        <v>2698000</v>
      </c>
      <c r="G320" s="51">
        <v>2560000</v>
      </c>
      <c r="H320" s="51">
        <v>0</v>
      </c>
      <c r="I320" s="51">
        <v>250000</v>
      </c>
      <c r="J320" s="51">
        <v>800000</v>
      </c>
      <c r="K320" s="19"/>
      <c r="L320" s="46">
        <f t="shared" si="62"/>
        <v>10648000</v>
      </c>
      <c r="M320" s="72">
        <f t="shared" si="63"/>
        <v>37.762478126453374</v>
      </c>
      <c r="N320" s="62"/>
      <c r="O320" s="2"/>
      <c r="P320" s="2"/>
    </row>
    <row r="321" spans="1:16" ht="12.75" customHeight="1">
      <c r="A321" s="23" t="s">
        <v>163</v>
      </c>
      <c r="B321" s="24"/>
      <c r="C321" s="25">
        <v>0</v>
      </c>
      <c r="D321" s="25">
        <v>0</v>
      </c>
      <c r="E321" s="51">
        <v>2400000</v>
      </c>
      <c r="F321" s="51">
        <v>0</v>
      </c>
      <c r="G321" s="51">
        <v>0</v>
      </c>
      <c r="H321" s="51">
        <v>0</v>
      </c>
      <c r="I321" s="51">
        <v>2525548</v>
      </c>
      <c r="J321" s="51">
        <v>3545838</v>
      </c>
      <c r="K321" s="19"/>
      <c r="L321" s="46">
        <f t="shared" si="62"/>
        <v>8471386</v>
      </c>
      <c r="M321" s="72">
        <f t="shared" si="63"/>
        <v>30.043250237203544</v>
      </c>
      <c r="N321" s="62"/>
      <c r="O321" s="2"/>
      <c r="P321" s="2"/>
    </row>
    <row r="322" spans="1:16" ht="12.75" customHeight="1">
      <c r="A322" s="26" t="s">
        <v>276</v>
      </c>
      <c r="B322" s="27"/>
      <c r="C322" s="28">
        <v>3245112</v>
      </c>
      <c r="D322" s="28">
        <f aca="true" t="shared" si="64" ref="D322:J322">SUM(D313:D321)</f>
        <v>2281741</v>
      </c>
      <c r="E322" s="28">
        <f t="shared" si="64"/>
        <v>5163000</v>
      </c>
      <c r="F322" s="50">
        <f t="shared" si="64"/>
        <v>3290632</v>
      </c>
      <c r="G322" s="50">
        <f t="shared" si="64"/>
        <v>5961376</v>
      </c>
      <c r="H322" s="50">
        <f t="shared" si="64"/>
        <v>198000</v>
      </c>
      <c r="I322" s="50">
        <f t="shared" si="64"/>
        <v>3209728</v>
      </c>
      <c r="J322" s="50">
        <f t="shared" si="64"/>
        <v>4847713</v>
      </c>
      <c r="K322" s="28"/>
      <c r="L322" s="56">
        <f>SUM(L313:L321)</f>
        <v>28197302</v>
      </c>
      <c r="M322" s="73">
        <f>(L322/(L$403)*100)</f>
        <v>0.2733518453088219</v>
      </c>
      <c r="N322" s="63"/>
      <c r="O322" s="2"/>
      <c r="P322" s="2"/>
    </row>
    <row r="323" spans="1:16" ht="12.75" customHeight="1">
      <c r="A323" s="23"/>
      <c r="B323" s="17"/>
      <c r="C323" s="25"/>
      <c r="D323" s="25"/>
      <c r="E323" s="51"/>
      <c r="F323" s="51"/>
      <c r="G323" s="51"/>
      <c r="H323" s="51"/>
      <c r="I323" s="51"/>
      <c r="J323" s="51"/>
      <c r="K323" s="19"/>
      <c r="L323" s="46"/>
      <c r="M323" s="46"/>
      <c r="N323" s="62"/>
      <c r="O323" s="2"/>
      <c r="P323" s="2"/>
    </row>
    <row r="324" spans="1:16" ht="12.75" customHeight="1">
      <c r="A324" s="23" t="s">
        <v>300</v>
      </c>
      <c r="B324" s="24"/>
      <c r="C324" s="25">
        <v>0</v>
      </c>
      <c r="D324" s="25">
        <v>0</v>
      </c>
      <c r="E324" s="51">
        <v>0</v>
      </c>
      <c r="F324" s="51">
        <v>0</v>
      </c>
      <c r="G324" s="51">
        <v>0</v>
      </c>
      <c r="H324" s="51">
        <v>0</v>
      </c>
      <c r="I324" s="51">
        <v>66663</v>
      </c>
      <c r="J324" s="51">
        <v>0</v>
      </c>
      <c r="K324" s="19"/>
      <c r="L324" s="46">
        <f aca="true" t="shared" si="65" ref="L324:L344">SUM(C324:K324)</f>
        <v>66663</v>
      </c>
      <c r="M324" s="72">
        <f>(L324/L$345)*100</f>
        <v>0.02269465809084596</v>
      </c>
      <c r="N324" s="62"/>
      <c r="O324" s="2"/>
      <c r="P324" s="2"/>
    </row>
    <row r="325" spans="1:16" ht="12.75" customHeight="1">
      <c r="A325" s="23" t="s">
        <v>118</v>
      </c>
      <c r="B325" s="24"/>
      <c r="C325" s="25">
        <v>132000</v>
      </c>
      <c r="D325" s="25">
        <v>0</v>
      </c>
      <c r="E325" s="51">
        <v>0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19"/>
      <c r="L325" s="46">
        <f t="shared" si="65"/>
        <v>132000</v>
      </c>
      <c r="M325" s="72">
        <f>(L325/L$345)*100</f>
        <v>0.04493789460407822</v>
      </c>
      <c r="N325" s="62"/>
      <c r="O325" s="2"/>
      <c r="P325" s="2"/>
    </row>
    <row r="326" spans="1:16" ht="12.75" customHeight="1">
      <c r="A326" s="23" t="s">
        <v>301</v>
      </c>
      <c r="B326" s="24"/>
      <c r="C326" s="25">
        <v>0</v>
      </c>
      <c r="D326" s="25">
        <v>0</v>
      </c>
      <c r="E326" s="51">
        <v>0</v>
      </c>
      <c r="F326" s="51">
        <v>0</v>
      </c>
      <c r="G326" s="51">
        <v>0</v>
      </c>
      <c r="H326" s="51">
        <v>0</v>
      </c>
      <c r="I326" s="51">
        <v>249678</v>
      </c>
      <c r="J326" s="51">
        <v>281252</v>
      </c>
      <c r="K326" s="19"/>
      <c r="L326" s="46">
        <f t="shared" si="65"/>
        <v>530930</v>
      </c>
      <c r="M326" s="72">
        <f>(L326/L$345)*100</f>
        <v>0.18074906350108522</v>
      </c>
      <c r="N326" s="62"/>
      <c r="O326" s="2"/>
      <c r="P326" s="2"/>
    </row>
    <row r="327" spans="1:16" ht="12.75" customHeight="1">
      <c r="A327" s="23" t="s">
        <v>302</v>
      </c>
      <c r="B327" s="24"/>
      <c r="C327" s="25">
        <v>0</v>
      </c>
      <c r="D327" s="25">
        <v>0</v>
      </c>
      <c r="E327" s="51">
        <v>0</v>
      </c>
      <c r="F327" s="51">
        <v>0</v>
      </c>
      <c r="G327" s="51">
        <v>0</v>
      </c>
      <c r="H327" s="51">
        <v>0</v>
      </c>
      <c r="I327" s="51">
        <v>335000</v>
      </c>
      <c r="J327" s="51">
        <v>6264000</v>
      </c>
      <c r="K327" s="19"/>
      <c r="L327" s="46">
        <f t="shared" si="65"/>
        <v>6599000</v>
      </c>
      <c r="M327" s="72">
        <f>(L327/L$345)*100</f>
        <v>2.2465542916084256</v>
      </c>
      <c r="N327" s="62"/>
      <c r="O327" s="2"/>
      <c r="P327" s="2"/>
    </row>
    <row r="328" spans="1:16" ht="12.75" customHeight="1">
      <c r="A328" s="23" t="s">
        <v>218</v>
      </c>
      <c r="B328" s="24"/>
      <c r="C328" s="25">
        <v>65541530</v>
      </c>
      <c r="D328" s="25">
        <f>2176000+690000+246000+320000+90000</f>
        <v>3522000</v>
      </c>
      <c r="E328" s="51">
        <v>7067543</v>
      </c>
      <c r="F328" s="51">
        <v>19770162</v>
      </c>
      <c r="G328" s="51">
        <v>12430823</v>
      </c>
      <c r="H328" s="51">
        <v>4731334</v>
      </c>
      <c r="I328" s="51">
        <v>24052558</v>
      </c>
      <c r="J328" s="51">
        <v>19651213</v>
      </c>
      <c r="K328" s="19"/>
      <c r="L328" s="46">
        <f t="shared" si="65"/>
        <v>156767163</v>
      </c>
      <c r="M328" s="72">
        <f aca="true" t="shared" si="66" ref="M328:M344">(L328/L$345)*100</f>
        <v>53.369592789957196</v>
      </c>
      <c r="N328" s="62"/>
      <c r="O328" s="2"/>
      <c r="P328" s="2"/>
    </row>
    <row r="329" spans="1:16" ht="12.75" customHeight="1">
      <c r="A329" s="23" t="s">
        <v>119</v>
      </c>
      <c r="B329" s="24"/>
      <c r="C329" s="25">
        <v>15456</v>
      </c>
      <c r="D329" s="25">
        <v>0</v>
      </c>
      <c r="E329" s="51">
        <v>0</v>
      </c>
      <c r="F329" s="51">
        <v>0</v>
      </c>
      <c r="G329" s="51">
        <v>0</v>
      </c>
      <c r="H329" s="51">
        <v>0</v>
      </c>
      <c r="I329" s="51">
        <v>0</v>
      </c>
      <c r="J329" s="51">
        <v>64182</v>
      </c>
      <c r="K329" s="19"/>
      <c r="L329" s="46">
        <f t="shared" si="65"/>
        <v>79638</v>
      </c>
      <c r="M329" s="72">
        <f t="shared" si="66"/>
        <v>0.027111848867269556</v>
      </c>
      <c r="N329" s="62"/>
      <c r="O329" s="2"/>
      <c r="P329" s="2"/>
    </row>
    <row r="330" spans="1:16" ht="12.75" customHeight="1">
      <c r="A330" s="23" t="s">
        <v>120</v>
      </c>
      <c r="B330" s="24"/>
      <c r="C330" s="25">
        <v>8340080</v>
      </c>
      <c r="D330" s="25">
        <v>0</v>
      </c>
      <c r="E330" s="51">
        <v>4856000</v>
      </c>
      <c r="F330" s="51">
        <v>0</v>
      </c>
      <c r="G330" s="51">
        <v>5000000</v>
      </c>
      <c r="H330" s="51">
        <v>5000000</v>
      </c>
      <c r="I330" s="51">
        <v>2874240</v>
      </c>
      <c r="J330" s="51">
        <v>3136327</v>
      </c>
      <c r="K330" s="19"/>
      <c r="L330" s="46">
        <f t="shared" si="65"/>
        <v>29206647</v>
      </c>
      <c r="M330" s="72">
        <f t="shared" si="66"/>
        <v>9.94306988351907</v>
      </c>
      <c r="N330" s="62"/>
      <c r="O330" s="2"/>
      <c r="P330" s="2"/>
    </row>
    <row r="331" spans="1:16" ht="12.75" customHeight="1">
      <c r="A331" s="23" t="s">
        <v>121</v>
      </c>
      <c r="B331" s="24"/>
      <c r="C331" s="25">
        <v>12745528</v>
      </c>
      <c r="D331" s="25">
        <f>3185761+1200000+720000</f>
        <v>5105761</v>
      </c>
      <c r="E331" s="51">
        <v>0</v>
      </c>
      <c r="F331" s="51">
        <v>720000</v>
      </c>
      <c r="G331" s="51">
        <v>240000</v>
      </c>
      <c r="H331" s="51">
        <v>4288320</v>
      </c>
      <c r="I331" s="51">
        <v>0</v>
      </c>
      <c r="J331" s="51">
        <v>4933000</v>
      </c>
      <c r="K331" s="19"/>
      <c r="L331" s="46">
        <f t="shared" si="65"/>
        <v>28032609</v>
      </c>
      <c r="M331" s="72">
        <f t="shared" si="66"/>
        <v>9.543382035752535</v>
      </c>
      <c r="N331" s="62"/>
      <c r="O331" s="2"/>
      <c r="P331" s="2"/>
    </row>
    <row r="332" spans="1:16" ht="12.75" customHeight="1">
      <c r="A332" s="23" t="s">
        <v>122</v>
      </c>
      <c r="B332" s="24"/>
      <c r="C332" s="25">
        <v>634013</v>
      </c>
      <c r="D332" s="25">
        <v>0</v>
      </c>
      <c r="E332" s="51">
        <v>560000</v>
      </c>
      <c r="F332" s="51">
        <v>0</v>
      </c>
      <c r="G332" s="51">
        <v>788000</v>
      </c>
      <c r="H332" s="51">
        <v>0</v>
      </c>
      <c r="I332" s="51">
        <v>216662</v>
      </c>
      <c r="J332" s="51">
        <v>152889</v>
      </c>
      <c r="K332" s="19"/>
      <c r="L332" s="46">
        <f t="shared" si="65"/>
        <v>2351564</v>
      </c>
      <c r="M332" s="72">
        <f t="shared" si="66"/>
        <v>0.8005631453541258</v>
      </c>
      <c r="N332" s="62"/>
      <c r="O332" s="2"/>
      <c r="P332" s="2"/>
    </row>
    <row r="333" spans="1:16" ht="12.75" customHeight="1">
      <c r="A333" s="23" t="s">
        <v>164</v>
      </c>
      <c r="B333" s="24"/>
      <c r="C333" s="25">
        <v>0</v>
      </c>
      <c r="D333" s="25">
        <v>0</v>
      </c>
      <c r="E333" s="51">
        <v>8059600</v>
      </c>
      <c r="F333" s="51">
        <v>9454280</v>
      </c>
      <c r="G333" s="51">
        <v>19310343</v>
      </c>
      <c r="H333" s="51">
        <v>8596689</v>
      </c>
      <c r="I333" s="51">
        <v>10878094</v>
      </c>
      <c r="J333" s="51">
        <v>7707006</v>
      </c>
      <c r="K333" s="19"/>
      <c r="L333" s="46">
        <f t="shared" si="65"/>
        <v>64006012</v>
      </c>
      <c r="M333" s="72">
        <f t="shared" si="66"/>
        <v>21.790116827904285</v>
      </c>
      <c r="N333" s="62"/>
      <c r="O333" s="2"/>
      <c r="P333" s="2"/>
    </row>
    <row r="334" spans="1:16" ht="12.75" customHeight="1">
      <c r="A334" s="23" t="s">
        <v>335</v>
      </c>
      <c r="B334" s="24"/>
      <c r="C334" s="25">
        <v>0</v>
      </c>
      <c r="D334" s="25">
        <v>0</v>
      </c>
      <c r="E334" s="51">
        <v>0</v>
      </c>
      <c r="F334" s="51">
        <v>0</v>
      </c>
      <c r="G334" s="51">
        <v>0</v>
      </c>
      <c r="H334" s="51">
        <v>0</v>
      </c>
      <c r="I334" s="51">
        <v>0</v>
      </c>
      <c r="J334" s="51">
        <v>152889</v>
      </c>
      <c r="K334" s="19"/>
      <c r="L334" s="46">
        <f t="shared" si="65"/>
        <v>152889</v>
      </c>
      <c r="M334" s="72">
        <f t="shared" si="66"/>
        <v>0.0520493164251736</v>
      </c>
      <c r="N334" s="62"/>
      <c r="O334" s="2"/>
      <c r="P334" s="2"/>
    </row>
    <row r="335" spans="1:16" ht="12.75" customHeight="1">
      <c r="A335" s="23" t="s">
        <v>303</v>
      </c>
      <c r="B335" s="24"/>
      <c r="C335" s="25">
        <v>0</v>
      </c>
      <c r="D335" s="25">
        <v>0</v>
      </c>
      <c r="E335" s="51">
        <v>0</v>
      </c>
      <c r="F335" s="51">
        <v>0</v>
      </c>
      <c r="G335" s="51">
        <v>0</v>
      </c>
      <c r="H335" s="51">
        <v>0</v>
      </c>
      <c r="I335" s="51">
        <v>499355</v>
      </c>
      <c r="J335" s="51">
        <v>610300</v>
      </c>
      <c r="K335" s="19"/>
      <c r="L335" s="46">
        <f t="shared" si="65"/>
        <v>1109655</v>
      </c>
      <c r="M335" s="72">
        <f t="shared" si="66"/>
        <v>0.37776938967339707</v>
      </c>
      <c r="N335" s="62"/>
      <c r="O335" s="2"/>
      <c r="P335" s="2"/>
    </row>
    <row r="336" spans="1:16" ht="12.75" customHeight="1">
      <c r="A336" s="23" t="s">
        <v>304</v>
      </c>
      <c r="B336" s="24"/>
      <c r="C336" s="25">
        <v>0</v>
      </c>
      <c r="D336" s="25">
        <v>0</v>
      </c>
      <c r="E336" s="51">
        <v>0</v>
      </c>
      <c r="F336" s="51">
        <v>0</v>
      </c>
      <c r="G336" s="51">
        <v>0</v>
      </c>
      <c r="H336" s="51">
        <v>0</v>
      </c>
      <c r="I336" s="51">
        <v>66662</v>
      </c>
      <c r="J336" s="51">
        <v>64182</v>
      </c>
      <c r="K336" s="19"/>
      <c r="L336" s="46">
        <f t="shared" si="65"/>
        <v>130844</v>
      </c>
      <c r="M336" s="72">
        <f t="shared" si="66"/>
        <v>0.04454434758769705</v>
      </c>
      <c r="N336" s="62"/>
      <c r="O336" s="2"/>
      <c r="P336" s="2"/>
    </row>
    <row r="337" spans="1:16" ht="12.75" customHeight="1">
      <c r="A337" s="23" t="s">
        <v>305</v>
      </c>
      <c r="B337" s="24"/>
      <c r="C337" s="25">
        <v>0</v>
      </c>
      <c r="D337" s="25">
        <v>0</v>
      </c>
      <c r="E337" s="51">
        <v>0</v>
      </c>
      <c r="F337" s="51">
        <v>0</v>
      </c>
      <c r="G337" s="51">
        <v>0</v>
      </c>
      <c r="H337" s="51">
        <v>0</v>
      </c>
      <c r="I337" s="51">
        <v>499355</v>
      </c>
      <c r="J337" s="51">
        <v>0</v>
      </c>
      <c r="K337" s="19"/>
      <c r="L337" s="46">
        <f t="shared" si="65"/>
        <v>499355</v>
      </c>
      <c r="M337" s="72">
        <f t="shared" si="66"/>
        <v>0.1699997148486324</v>
      </c>
      <c r="N337" s="62"/>
      <c r="O337" s="2"/>
      <c r="P337" s="2"/>
    </row>
    <row r="338" spans="1:16" ht="12.75" customHeight="1">
      <c r="A338" s="23" t="s">
        <v>306</v>
      </c>
      <c r="B338" s="24"/>
      <c r="C338" s="25">
        <v>0</v>
      </c>
      <c r="D338" s="25">
        <v>0</v>
      </c>
      <c r="E338" s="51">
        <v>0</v>
      </c>
      <c r="F338" s="51">
        <v>0</v>
      </c>
      <c r="G338" s="51">
        <v>0</v>
      </c>
      <c r="H338" s="51">
        <v>0</v>
      </c>
      <c r="I338" s="51">
        <v>66662</v>
      </c>
      <c r="J338" s="51">
        <v>3064182</v>
      </c>
      <c r="K338" s="19"/>
      <c r="L338" s="46">
        <f t="shared" si="65"/>
        <v>3130844</v>
      </c>
      <c r="M338" s="72">
        <f t="shared" si="66"/>
        <v>1.0658601340440201</v>
      </c>
      <c r="N338" s="62"/>
      <c r="O338" s="2"/>
      <c r="P338" s="2"/>
    </row>
    <row r="339" spans="1:16" ht="12.75" customHeight="1">
      <c r="A339" s="23" t="s">
        <v>307</v>
      </c>
      <c r="B339" s="24"/>
      <c r="C339" s="25">
        <v>0</v>
      </c>
      <c r="D339" s="25">
        <v>0</v>
      </c>
      <c r="E339" s="51">
        <v>0</v>
      </c>
      <c r="F339" s="51">
        <v>0</v>
      </c>
      <c r="G339" s="51">
        <v>0</v>
      </c>
      <c r="H339" s="51">
        <v>0</v>
      </c>
      <c r="I339" s="51">
        <v>66663</v>
      </c>
      <c r="J339" s="51">
        <v>64182</v>
      </c>
      <c r="K339" s="19"/>
      <c r="L339" s="46">
        <f t="shared" si="65"/>
        <v>130845</v>
      </c>
      <c r="M339" s="72">
        <f t="shared" si="66"/>
        <v>0.04454468802629254</v>
      </c>
      <c r="N339" s="62"/>
      <c r="O339" s="2"/>
      <c r="P339" s="2"/>
    </row>
    <row r="340" spans="1:16" ht="12.75" customHeight="1">
      <c r="A340" s="23" t="s">
        <v>308</v>
      </c>
      <c r="B340" s="24"/>
      <c r="C340" s="25">
        <v>0</v>
      </c>
      <c r="D340" s="25">
        <v>0</v>
      </c>
      <c r="E340" s="51">
        <v>0</v>
      </c>
      <c r="F340" s="51">
        <v>0</v>
      </c>
      <c r="G340" s="51">
        <v>0</v>
      </c>
      <c r="H340" s="51">
        <v>0</v>
      </c>
      <c r="I340" s="51">
        <v>66662</v>
      </c>
      <c r="J340" s="51">
        <v>64182</v>
      </c>
      <c r="K340" s="19"/>
      <c r="L340" s="46">
        <f t="shared" si="65"/>
        <v>130844</v>
      </c>
      <c r="M340" s="72">
        <f t="shared" si="66"/>
        <v>0.04454434758769705</v>
      </c>
      <c r="N340" s="62"/>
      <c r="O340" s="2"/>
      <c r="P340" s="2"/>
    </row>
    <row r="341" spans="1:16" ht="12.75" customHeight="1">
      <c r="A341" s="23" t="s">
        <v>337</v>
      </c>
      <c r="B341" s="24"/>
      <c r="C341" s="25">
        <v>0</v>
      </c>
      <c r="D341" s="25">
        <v>0</v>
      </c>
      <c r="E341" s="51">
        <v>0</v>
      </c>
      <c r="F341" s="51">
        <v>0</v>
      </c>
      <c r="G341" s="51">
        <v>0</v>
      </c>
      <c r="H341" s="51">
        <v>0</v>
      </c>
      <c r="I341" s="51">
        <v>0</v>
      </c>
      <c r="J341" s="51">
        <v>128363</v>
      </c>
      <c r="K341" s="19"/>
      <c r="L341" s="46">
        <f t="shared" si="65"/>
        <v>128363</v>
      </c>
      <c r="M341" s="72">
        <f t="shared" si="66"/>
        <v>0.04369971943229767</v>
      </c>
      <c r="N341" s="62"/>
      <c r="O341" s="2"/>
      <c r="P341" s="2"/>
    </row>
    <row r="342" spans="1:16" ht="12.75" customHeight="1">
      <c r="A342" s="23" t="s">
        <v>309</v>
      </c>
      <c r="B342" s="24"/>
      <c r="C342" s="25">
        <v>0</v>
      </c>
      <c r="D342" s="25">
        <v>0</v>
      </c>
      <c r="E342" s="51">
        <v>0</v>
      </c>
      <c r="F342" s="51">
        <v>0</v>
      </c>
      <c r="G342" s="51">
        <v>0</v>
      </c>
      <c r="H342" s="51">
        <v>0</v>
      </c>
      <c r="I342" s="51">
        <v>133325</v>
      </c>
      <c r="J342" s="51">
        <v>0</v>
      </c>
      <c r="K342" s="19"/>
      <c r="L342" s="46">
        <f t="shared" si="65"/>
        <v>133325</v>
      </c>
      <c r="M342" s="72">
        <f t="shared" si="66"/>
        <v>0.04538897574309643</v>
      </c>
      <c r="N342" s="62"/>
      <c r="O342" s="2"/>
      <c r="P342" s="2"/>
    </row>
    <row r="343" spans="1:16" ht="12.75" customHeight="1">
      <c r="A343" s="23" t="s">
        <v>310</v>
      </c>
      <c r="B343" s="24"/>
      <c r="C343" s="25">
        <v>0</v>
      </c>
      <c r="D343" s="25">
        <v>0</v>
      </c>
      <c r="E343" s="51">
        <v>0</v>
      </c>
      <c r="F343" s="51">
        <v>0</v>
      </c>
      <c r="G343" s="51">
        <v>0</v>
      </c>
      <c r="H343" s="51">
        <v>0</v>
      </c>
      <c r="I343" s="51">
        <v>66663</v>
      </c>
      <c r="J343" s="51">
        <v>152888</v>
      </c>
      <c r="K343" s="19"/>
      <c r="L343" s="46">
        <f t="shared" si="65"/>
        <v>219551</v>
      </c>
      <c r="M343" s="72">
        <f t="shared" si="66"/>
        <v>0.07474363407742407</v>
      </c>
      <c r="N343" s="62"/>
      <c r="O343" s="2"/>
      <c r="P343" s="2"/>
    </row>
    <row r="344" spans="1:16" ht="12.75" customHeight="1">
      <c r="A344" s="23" t="s">
        <v>311</v>
      </c>
      <c r="B344" s="24"/>
      <c r="C344" s="25">
        <v>0</v>
      </c>
      <c r="D344" s="25">
        <v>0</v>
      </c>
      <c r="E344" s="51">
        <v>0</v>
      </c>
      <c r="F344" s="51">
        <v>0</v>
      </c>
      <c r="G344" s="51">
        <v>0</v>
      </c>
      <c r="H344" s="51">
        <v>0</v>
      </c>
      <c r="I344" s="51">
        <v>199987</v>
      </c>
      <c r="J344" s="51">
        <v>0</v>
      </c>
      <c r="K344" s="19"/>
      <c r="L344" s="46">
        <f t="shared" si="65"/>
        <v>199987</v>
      </c>
      <c r="M344" s="72">
        <f t="shared" si="66"/>
        <v>0.06808329339534691</v>
      </c>
      <c r="N344" s="62"/>
      <c r="O344" s="2"/>
      <c r="P344" s="2"/>
    </row>
    <row r="345" spans="1:16" ht="12.75" customHeight="1">
      <c r="A345" s="26" t="s">
        <v>336</v>
      </c>
      <c r="B345" s="27"/>
      <c r="C345" s="28">
        <v>87408607</v>
      </c>
      <c r="D345" s="28">
        <f aca="true" t="shared" si="67" ref="D345:J345">SUM(D323:D344)</f>
        <v>8627761</v>
      </c>
      <c r="E345" s="28">
        <f t="shared" si="67"/>
        <v>20543143</v>
      </c>
      <c r="F345" s="50">
        <f t="shared" si="67"/>
        <v>29944442</v>
      </c>
      <c r="G345" s="50">
        <f t="shared" si="67"/>
        <v>37769166</v>
      </c>
      <c r="H345" s="50">
        <f t="shared" si="67"/>
        <v>22616343</v>
      </c>
      <c r="I345" s="50">
        <f t="shared" si="67"/>
        <v>40338229</v>
      </c>
      <c r="J345" s="50">
        <f t="shared" si="67"/>
        <v>46491037</v>
      </c>
      <c r="K345" s="28"/>
      <c r="L345" s="56">
        <f>SUM(L323:L344)</f>
        <v>293738728</v>
      </c>
      <c r="M345" s="73">
        <f>(L345/(L$403)*100)</f>
        <v>2.847578230621714</v>
      </c>
      <c r="N345" s="63"/>
      <c r="O345" s="2"/>
      <c r="P345" s="2"/>
    </row>
    <row r="346" spans="1:16" ht="12.75" customHeight="1">
      <c r="A346" s="23"/>
      <c r="B346" s="34"/>
      <c r="C346" s="33"/>
      <c r="D346" s="33"/>
      <c r="E346" s="52"/>
      <c r="F346" s="52"/>
      <c r="G346" s="52"/>
      <c r="H346" s="52"/>
      <c r="I346" s="52"/>
      <c r="J346" s="52"/>
      <c r="K346" s="32"/>
      <c r="L346" s="57"/>
      <c r="M346" s="46"/>
      <c r="N346" s="62"/>
      <c r="O346" s="2"/>
      <c r="P346" s="2"/>
    </row>
    <row r="347" spans="1:16" ht="12.75" customHeight="1">
      <c r="A347" s="23" t="s">
        <v>229</v>
      </c>
      <c r="B347" s="18"/>
      <c r="C347" s="25">
        <v>0</v>
      </c>
      <c r="D347" s="25">
        <v>0</v>
      </c>
      <c r="E347" s="51">
        <v>0</v>
      </c>
      <c r="F347" s="51">
        <v>1355205</v>
      </c>
      <c r="G347" s="51">
        <v>490354</v>
      </c>
      <c r="H347" s="51">
        <v>612000</v>
      </c>
      <c r="I347" s="51">
        <v>2620000</v>
      </c>
      <c r="J347" s="51">
        <v>308000</v>
      </c>
      <c r="K347" s="19"/>
      <c r="L347" s="46">
        <f>SUM(C347:K347)</f>
        <v>5385559</v>
      </c>
      <c r="M347" s="72">
        <f>(L347/L$350)*100</f>
        <v>15.50905887004922</v>
      </c>
      <c r="N347" s="62"/>
      <c r="O347" s="2"/>
      <c r="P347" s="2"/>
    </row>
    <row r="348" spans="1:16" ht="12.75" customHeight="1">
      <c r="A348" s="23" t="s">
        <v>231</v>
      </c>
      <c r="B348" s="18"/>
      <c r="C348" s="25">
        <v>0</v>
      </c>
      <c r="D348" s="25">
        <v>0</v>
      </c>
      <c r="E348" s="51">
        <v>0</v>
      </c>
      <c r="F348" s="51">
        <v>977000</v>
      </c>
      <c r="G348" s="51">
        <v>563112</v>
      </c>
      <c r="H348" s="51">
        <v>407000</v>
      </c>
      <c r="I348" s="51">
        <v>239713</v>
      </c>
      <c r="J348" s="51">
        <v>454356</v>
      </c>
      <c r="K348" s="19"/>
      <c r="L348" s="46">
        <f>SUM(C348:K348)</f>
        <v>2641181</v>
      </c>
      <c r="M348" s="72">
        <f>(L348/L$350)*100</f>
        <v>7.605938699298524</v>
      </c>
      <c r="N348" s="62"/>
      <c r="O348" s="2"/>
      <c r="P348" s="2"/>
    </row>
    <row r="349" spans="1:16" ht="12.75" customHeight="1">
      <c r="A349" s="23" t="s">
        <v>123</v>
      </c>
      <c r="B349" s="24"/>
      <c r="C349" s="25">
        <v>5228020</v>
      </c>
      <c r="D349" s="25">
        <v>360000</v>
      </c>
      <c r="E349" s="51">
        <v>1500000</v>
      </c>
      <c r="F349" s="51">
        <v>5280070</v>
      </c>
      <c r="G349" s="51">
        <v>6265417</v>
      </c>
      <c r="H349" s="51">
        <v>4586000</v>
      </c>
      <c r="I349" s="51">
        <v>746000</v>
      </c>
      <c r="J349" s="51">
        <v>2733000</v>
      </c>
      <c r="K349" s="19"/>
      <c r="L349" s="46">
        <f>SUM(C349:K349)</f>
        <v>26698507</v>
      </c>
      <c r="M349" s="72">
        <f>(L349/L$350)*100</f>
        <v>76.88500243065226</v>
      </c>
      <c r="N349" s="62"/>
      <c r="O349" s="2"/>
      <c r="P349" s="2"/>
    </row>
    <row r="350" spans="1:16" ht="12.75" customHeight="1">
      <c r="A350" s="26" t="s">
        <v>357</v>
      </c>
      <c r="B350" s="27"/>
      <c r="C350" s="28">
        <v>5228020</v>
      </c>
      <c r="D350" s="28">
        <f aca="true" t="shared" si="68" ref="D350:J350">SUM(D346:D349)</f>
        <v>360000</v>
      </c>
      <c r="E350" s="28">
        <f t="shared" si="68"/>
        <v>1500000</v>
      </c>
      <c r="F350" s="50">
        <f t="shared" si="68"/>
        <v>7612275</v>
      </c>
      <c r="G350" s="50">
        <f t="shared" si="68"/>
        <v>7318883</v>
      </c>
      <c r="H350" s="50">
        <f t="shared" si="68"/>
        <v>5605000</v>
      </c>
      <c r="I350" s="50">
        <f t="shared" si="68"/>
        <v>3605713</v>
      </c>
      <c r="J350" s="50">
        <f t="shared" si="68"/>
        <v>3495356</v>
      </c>
      <c r="K350" s="28"/>
      <c r="L350" s="56">
        <f>SUM(L346:L349)</f>
        <v>34725247</v>
      </c>
      <c r="M350" s="73">
        <f>(L350/(L$403)*100)</f>
        <v>0.33663541094302685</v>
      </c>
      <c r="N350" s="63"/>
      <c r="O350" s="2"/>
      <c r="P350" s="2"/>
    </row>
    <row r="351" spans="1:16" ht="12.75" customHeight="1">
      <c r="A351" s="16"/>
      <c r="B351" s="17"/>
      <c r="C351" s="25"/>
      <c r="D351" s="25"/>
      <c r="E351" s="51"/>
      <c r="F351" s="51"/>
      <c r="G351" s="51"/>
      <c r="H351" s="51"/>
      <c r="I351" s="51"/>
      <c r="J351" s="51"/>
      <c r="K351" s="19"/>
      <c r="L351" s="46"/>
      <c r="M351" s="46"/>
      <c r="N351" s="62"/>
      <c r="O351" s="2"/>
      <c r="P351" s="2"/>
    </row>
    <row r="352" spans="1:16" ht="12.75" customHeight="1">
      <c r="A352" s="23" t="s">
        <v>312</v>
      </c>
      <c r="B352" s="24"/>
      <c r="C352" s="25">
        <v>0</v>
      </c>
      <c r="D352" s="25">
        <v>0</v>
      </c>
      <c r="E352" s="51">
        <v>0</v>
      </c>
      <c r="F352" s="51">
        <v>0</v>
      </c>
      <c r="G352" s="51">
        <v>0</v>
      </c>
      <c r="H352" s="51">
        <v>0</v>
      </c>
      <c r="I352" s="51">
        <v>78800</v>
      </c>
      <c r="J352" s="51">
        <v>1242932</v>
      </c>
      <c r="K352" s="19"/>
      <c r="L352" s="46">
        <f aca="true" t="shared" si="69" ref="L352:L364">SUM(C352:K352)</f>
        <v>1321732</v>
      </c>
      <c r="M352" s="72">
        <f aca="true" t="shared" si="70" ref="M352:M364">(L352/L$365)*100</f>
        <v>0.4764182221949978</v>
      </c>
      <c r="N352" s="62"/>
      <c r="O352" s="2"/>
      <c r="P352" s="2"/>
    </row>
    <row r="353" spans="1:16" ht="12.75" customHeight="1">
      <c r="A353" s="23" t="s">
        <v>124</v>
      </c>
      <c r="B353" s="24"/>
      <c r="C353" s="25">
        <v>2727373</v>
      </c>
      <c r="D353" s="25">
        <v>0</v>
      </c>
      <c r="E353" s="51">
        <v>456000</v>
      </c>
      <c r="F353" s="51">
        <v>0</v>
      </c>
      <c r="G353" s="51">
        <v>2146960</v>
      </c>
      <c r="H353" s="51">
        <v>324564</v>
      </c>
      <c r="I353" s="51">
        <v>943695</v>
      </c>
      <c r="J353" s="51">
        <v>8775150</v>
      </c>
      <c r="K353" s="19"/>
      <c r="L353" s="46">
        <f t="shared" si="69"/>
        <v>15373742</v>
      </c>
      <c r="M353" s="72">
        <f t="shared" si="70"/>
        <v>5.5414644058890685</v>
      </c>
      <c r="N353" s="62"/>
      <c r="O353" s="2"/>
      <c r="P353" s="2"/>
    </row>
    <row r="354" spans="1:16" ht="12.75" customHeight="1">
      <c r="A354" s="23" t="s">
        <v>125</v>
      </c>
      <c r="B354" s="24"/>
      <c r="C354" s="25">
        <v>192820</v>
      </c>
      <c r="D354" s="25">
        <v>136000</v>
      </c>
      <c r="E354" s="51">
        <v>120000</v>
      </c>
      <c r="F354" s="51">
        <v>0</v>
      </c>
      <c r="G354" s="51">
        <v>0</v>
      </c>
      <c r="H354" s="51">
        <v>64000</v>
      </c>
      <c r="I354" s="51">
        <v>54032</v>
      </c>
      <c r="J354" s="51">
        <v>150000</v>
      </c>
      <c r="K354" s="19"/>
      <c r="L354" s="46">
        <f t="shared" si="69"/>
        <v>716852</v>
      </c>
      <c r="M354" s="72">
        <f t="shared" si="70"/>
        <v>0.258389261527245</v>
      </c>
      <c r="N354" s="62"/>
      <c r="O354" s="2"/>
      <c r="P354" s="2"/>
    </row>
    <row r="355" spans="1:16" ht="12.75" customHeight="1">
      <c r="A355" s="23" t="s">
        <v>126</v>
      </c>
      <c r="B355" s="24"/>
      <c r="C355" s="25">
        <v>3588437</v>
      </c>
      <c r="D355" s="25">
        <v>1064000</v>
      </c>
      <c r="E355" s="51">
        <v>1812000</v>
      </c>
      <c r="F355" s="51">
        <v>34365</v>
      </c>
      <c r="G355" s="51">
        <v>4247640</v>
      </c>
      <c r="H355" s="51">
        <v>2088200</v>
      </c>
      <c r="I355" s="51">
        <v>6237020</v>
      </c>
      <c r="J355" s="51">
        <v>1910482</v>
      </c>
      <c r="K355" s="19"/>
      <c r="L355" s="46">
        <f t="shared" si="69"/>
        <v>20982144</v>
      </c>
      <c r="M355" s="72">
        <f t="shared" si="70"/>
        <v>7.563012579191122</v>
      </c>
      <c r="N355" s="62"/>
      <c r="O355" s="2"/>
      <c r="P355" s="2"/>
    </row>
    <row r="356" spans="1:16" ht="12.75" customHeight="1">
      <c r="A356" s="23" t="s">
        <v>314</v>
      </c>
      <c r="B356" s="24"/>
      <c r="C356" s="25">
        <v>0</v>
      </c>
      <c r="D356" s="25">
        <v>0</v>
      </c>
      <c r="E356" s="51">
        <v>0</v>
      </c>
      <c r="F356" s="51">
        <v>0</v>
      </c>
      <c r="G356" s="51">
        <v>0</v>
      </c>
      <c r="H356" s="51">
        <v>0</v>
      </c>
      <c r="I356" s="51">
        <v>196240</v>
      </c>
      <c r="J356" s="51">
        <v>499000</v>
      </c>
      <c r="K356" s="19"/>
      <c r="L356" s="46">
        <f t="shared" si="69"/>
        <v>695240</v>
      </c>
      <c r="M356" s="72">
        <f t="shared" si="70"/>
        <v>0.250599217389645</v>
      </c>
      <c r="N356" s="62"/>
      <c r="O356" s="2"/>
      <c r="P356" s="2"/>
    </row>
    <row r="357" spans="1:16" ht="12.75" customHeight="1">
      <c r="A357" s="23" t="s">
        <v>338</v>
      </c>
      <c r="B357" s="24"/>
      <c r="C357" s="25">
        <v>0</v>
      </c>
      <c r="D357" s="25">
        <v>0</v>
      </c>
      <c r="E357" s="51">
        <v>0</v>
      </c>
      <c r="F357" s="51">
        <v>0</v>
      </c>
      <c r="G357" s="51">
        <v>0</v>
      </c>
      <c r="H357" s="51">
        <v>0</v>
      </c>
      <c r="I357" s="51">
        <v>0</v>
      </c>
      <c r="J357" s="51">
        <v>1248000</v>
      </c>
      <c r="K357" s="19"/>
      <c r="L357" s="46">
        <f t="shared" si="69"/>
        <v>1248000</v>
      </c>
      <c r="M357" s="72">
        <f t="shared" si="70"/>
        <v>0.44984152710183095</v>
      </c>
      <c r="N357" s="62"/>
      <c r="O357" s="2"/>
      <c r="P357" s="2"/>
    </row>
    <row r="358" spans="1:16" ht="12.75" customHeight="1">
      <c r="A358" s="23" t="s">
        <v>127</v>
      </c>
      <c r="B358" s="24"/>
      <c r="C358" s="25">
        <v>240000</v>
      </c>
      <c r="D358" s="25">
        <v>0</v>
      </c>
      <c r="E358" s="51">
        <v>0</v>
      </c>
      <c r="F358" s="51">
        <v>0</v>
      </c>
      <c r="G358" s="51">
        <v>1264733</v>
      </c>
      <c r="H358" s="51">
        <v>0</v>
      </c>
      <c r="I358" s="51">
        <v>347805</v>
      </c>
      <c r="J358" s="51">
        <v>0</v>
      </c>
      <c r="K358" s="19"/>
      <c r="L358" s="46">
        <f t="shared" si="69"/>
        <v>1852538</v>
      </c>
      <c r="M358" s="72">
        <f t="shared" si="70"/>
        <v>0.6677472138895607</v>
      </c>
      <c r="N358" s="62"/>
      <c r="O358" s="2"/>
      <c r="P358" s="2"/>
    </row>
    <row r="359" spans="1:16" ht="12.75" customHeight="1">
      <c r="A359" s="23" t="s">
        <v>128</v>
      </c>
      <c r="B359" s="24"/>
      <c r="C359" s="25">
        <v>48000</v>
      </c>
      <c r="D359" s="25">
        <v>0</v>
      </c>
      <c r="E359" s="51">
        <v>0</v>
      </c>
      <c r="F359" s="51">
        <v>0</v>
      </c>
      <c r="G359" s="51">
        <v>0</v>
      </c>
      <c r="H359" s="51">
        <v>264000</v>
      </c>
      <c r="I359" s="51">
        <v>0</v>
      </c>
      <c r="J359" s="51">
        <v>0</v>
      </c>
      <c r="K359" s="19"/>
      <c r="L359" s="46">
        <f t="shared" si="69"/>
        <v>312000</v>
      </c>
      <c r="M359" s="72">
        <f t="shared" si="70"/>
        <v>0.11246038177545774</v>
      </c>
      <c r="N359" s="62"/>
      <c r="O359" s="2"/>
      <c r="P359" s="2"/>
    </row>
    <row r="360" spans="1:16" ht="12.75" customHeight="1">
      <c r="A360" s="23" t="s">
        <v>129</v>
      </c>
      <c r="B360" s="24"/>
      <c r="C360" s="25">
        <v>6876200</v>
      </c>
      <c r="D360" s="25">
        <v>778400</v>
      </c>
      <c r="E360" s="51">
        <v>5053000</v>
      </c>
      <c r="F360" s="51">
        <v>4432000</v>
      </c>
      <c r="G360" s="51">
        <v>3411693</v>
      </c>
      <c r="H360" s="51">
        <v>5782000</v>
      </c>
      <c r="I360" s="51">
        <v>5314000</v>
      </c>
      <c r="J360" s="51">
        <v>2629637</v>
      </c>
      <c r="K360" s="19"/>
      <c r="L360" s="46">
        <f t="shared" si="69"/>
        <v>34276930</v>
      </c>
      <c r="M360" s="72">
        <f t="shared" si="70"/>
        <v>12.355117416316157</v>
      </c>
      <c r="N360" s="62"/>
      <c r="O360" s="2"/>
      <c r="P360" s="2"/>
    </row>
    <row r="361" spans="1:16" ht="12.75" customHeight="1">
      <c r="A361" s="23" t="s">
        <v>130</v>
      </c>
      <c r="B361" s="24"/>
      <c r="C361" s="25">
        <v>3288000</v>
      </c>
      <c r="D361" s="25">
        <v>0</v>
      </c>
      <c r="E361" s="51">
        <v>1112000</v>
      </c>
      <c r="F361" s="51">
        <v>0</v>
      </c>
      <c r="G361" s="51">
        <v>884000</v>
      </c>
      <c r="H361" s="51">
        <v>580000</v>
      </c>
      <c r="I361" s="51">
        <v>2484000</v>
      </c>
      <c r="J361" s="51">
        <v>1034400</v>
      </c>
      <c r="K361" s="19"/>
      <c r="L361" s="46">
        <f t="shared" si="69"/>
        <v>9382400</v>
      </c>
      <c r="M361" s="72">
        <f t="shared" si="70"/>
        <v>3.381885531955304</v>
      </c>
      <c r="N361" s="62"/>
      <c r="O361" s="2"/>
      <c r="P361" s="2"/>
    </row>
    <row r="362" spans="1:16" ht="12.75" customHeight="1">
      <c r="A362" s="23" t="s">
        <v>313</v>
      </c>
      <c r="B362" s="24"/>
      <c r="C362" s="25">
        <v>22977480</v>
      </c>
      <c r="D362" s="25">
        <f>3109600+4520800</f>
        <v>7630400</v>
      </c>
      <c r="E362" s="51">
        <v>10891576</v>
      </c>
      <c r="F362" s="51">
        <v>8137880</v>
      </c>
      <c r="G362" s="51">
        <v>11416400</v>
      </c>
      <c r="H362" s="51">
        <v>10796240</v>
      </c>
      <c r="I362" s="51">
        <v>8655876</v>
      </c>
      <c r="J362" s="51">
        <v>4362560</v>
      </c>
      <c r="K362" s="19"/>
      <c r="L362" s="46">
        <f t="shared" si="69"/>
        <v>84868412</v>
      </c>
      <c r="M362" s="72">
        <f t="shared" si="70"/>
        <v>30.590814148066798</v>
      </c>
      <c r="N362" s="62"/>
      <c r="O362" s="2"/>
      <c r="P362" s="2"/>
    </row>
    <row r="363" spans="1:16" ht="12.75" customHeight="1">
      <c r="A363" s="23" t="s">
        <v>131</v>
      </c>
      <c r="B363" s="24"/>
      <c r="C363" s="25">
        <v>35288000</v>
      </c>
      <c r="D363" s="25">
        <f>2200000+500000+800000+4200000</f>
        <v>7700000</v>
      </c>
      <c r="E363" s="51">
        <v>14640000</v>
      </c>
      <c r="F363" s="51">
        <v>5364000</v>
      </c>
      <c r="G363" s="51">
        <v>9841347</v>
      </c>
      <c r="H363" s="51">
        <v>1710000</v>
      </c>
      <c r="I363" s="51">
        <v>9796830</v>
      </c>
      <c r="J363" s="51">
        <v>21636867</v>
      </c>
      <c r="K363" s="19"/>
      <c r="L363" s="46">
        <f t="shared" si="69"/>
        <v>105977044</v>
      </c>
      <c r="M363" s="72">
        <f t="shared" si="70"/>
        <v>38.1994193194695</v>
      </c>
      <c r="N363" s="62"/>
      <c r="O363" s="2"/>
      <c r="P363" s="2"/>
    </row>
    <row r="364" spans="1:16" ht="12.75" customHeight="1">
      <c r="A364" s="23" t="s">
        <v>340</v>
      </c>
      <c r="B364" s="24"/>
      <c r="C364" s="25">
        <v>0</v>
      </c>
      <c r="D364" s="25">
        <v>0</v>
      </c>
      <c r="E364" s="51">
        <v>0</v>
      </c>
      <c r="F364" s="51">
        <v>0</v>
      </c>
      <c r="G364" s="51">
        <v>0</v>
      </c>
      <c r="H364" s="51">
        <v>0</v>
      </c>
      <c r="I364" s="51">
        <v>0</v>
      </c>
      <c r="J364" s="51">
        <v>424000</v>
      </c>
      <c r="K364" s="19"/>
      <c r="L364" s="46">
        <f t="shared" si="69"/>
        <v>424000</v>
      </c>
      <c r="M364" s="72">
        <f t="shared" si="70"/>
        <v>0.15283077523331437</v>
      </c>
      <c r="N364" s="62"/>
      <c r="O364" s="2"/>
      <c r="P364" s="2"/>
    </row>
    <row r="365" spans="1:16" ht="12.75" customHeight="1">
      <c r="A365" s="26" t="s">
        <v>339</v>
      </c>
      <c r="B365" s="27"/>
      <c r="C365" s="28">
        <v>75226310</v>
      </c>
      <c r="D365" s="28">
        <f aca="true" t="shared" si="71" ref="D365:J365">SUM(D351:D364)</f>
        <v>17308800</v>
      </c>
      <c r="E365" s="28">
        <f t="shared" si="71"/>
        <v>34084576</v>
      </c>
      <c r="F365" s="50">
        <f t="shared" si="71"/>
        <v>17968245</v>
      </c>
      <c r="G365" s="50">
        <f t="shared" si="71"/>
        <v>33212773</v>
      </c>
      <c r="H365" s="50">
        <f t="shared" si="71"/>
        <v>21609004</v>
      </c>
      <c r="I365" s="50">
        <f t="shared" si="71"/>
        <v>34108298</v>
      </c>
      <c r="J365" s="50">
        <f t="shared" si="71"/>
        <v>43913028</v>
      </c>
      <c r="K365" s="28"/>
      <c r="L365" s="56">
        <f>SUM(L351:L364)</f>
        <v>277431034</v>
      </c>
      <c r="M365" s="73">
        <f>(L365/(L$403)*100)</f>
        <v>2.6894872810822297</v>
      </c>
      <c r="N365" s="63"/>
      <c r="O365" s="2"/>
      <c r="P365" s="2"/>
    </row>
    <row r="366" spans="1:16" ht="12.75" customHeight="1">
      <c r="A366" s="16"/>
      <c r="B366" s="17"/>
      <c r="C366" s="25"/>
      <c r="D366" s="25"/>
      <c r="E366" s="51"/>
      <c r="F366" s="51"/>
      <c r="G366" s="51"/>
      <c r="H366" s="51"/>
      <c r="I366" s="51"/>
      <c r="J366" s="51"/>
      <c r="K366" s="19"/>
      <c r="L366" s="46"/>
      <c r="M366" s="46"/>
      <c r="N366" s="62"/>
      <c r="O366" s="2"/>
      <c r="P366" s="2"/>
    </row>
    <row r="367" spans="1:16" ht="12.75" customHeight="1">
      <c r="A367" s="23" t="s">
        <v>132</v>
      </c>
      <c r="B367" s="24"/>
      <c r="C367" s="25">
        <v>11584947</v>
      </c>
      <c r="D367" s="25">
        <v>0</v>
      </c>
      <c r="E367" s="51">
        <v>0</v>
      </c>
      <c r="F367" s="51">
        <v>0</v>
      </c>
      <c r="G367" s="51">
        <v>0</v>
      </c>
      <c r="H367" s="51">
        <v>0</v>
      </c>
      <c r="I367" s="51">
        <v>1000000</v>
      </c>
      <c r="J367" s="51">
        <v>0</v>
      </c>
      <c r="K367" s="19"/>
      <c r="L367" s="46">
        <f>SUM(C367:K367)</f>
        <v>12584947</v>
      </c>
      <c r="M367" s="72">
        <f>(L367/L$368)*100</f>
        <v>100</v>
      </c>
      <c r="N367" s="62"/>
      <c r="O367" s="2"/>
      <c r="P367" s="2"/>
    </row>
    <row r="368" spans="1:16" ht="12.75" customHeight="1">
      <c r="A368" s="26" t="s">
        <v>277</v>
      </c>
      <c r="B368" s="27"/>
      <c r="C368" s="28">
        <v>11584947</v>
      </c>
      <c r="D368" s="28">
        <f aca="true" t="shared" si="72" ref="D368:J368">SUM(D366:D367)</f>
        <v>0</v>
      </c>
      <c r="E368" s="28">
        <f t="shared" si="72"/>
        <v>0</v>
      </c>
      <c r="F368" s="50">
        <f t="shared" si="72"/>
        <v>0</v>
      </c>
      <c r="G368" s="50">
        <f t="shared" si="72"/>
        <v>0</v>
      </c>
      <c r="H368" s="50">
        <f t="shared" si="72"/>
        <v>0</v>
      </c>
      <c r="I368" s="50">
        <f t="shared" si="72"/>
        <v>1000000</v>
      </c>
      <c r="J368" s="50">
        <f t="shared" si="72"/>
        <v>0</v>
      </c>
      <c r="K368" s="28"/>
      <c r="L368" s="56">
        <f>SUM(L367:L367)</f>
        <v>12584947</v>
      </c>
      <c r="M368" s="73">
        <f>(L368/(L$403)*100)</f>
        <v>0.12200168957880164</v>
      </c>
      <c r="N368" s="63"/>
      <c r="O368" s="2"/>
      <c r="P368" s="2"/>
    </row>
    <row r="369" spans="1:16" ht="12.75" customHeight="1">
      <c r="A369" s="23"/>
      <c r="B369" s="24"/>
      <c r="C369" s="25"/>
      <c r="D369" s="25"/>
      <c r="E369" s="51"/>
      <c r="F369" s="51"/>
      <c r="G369" s="51"/>
      <c r="H369" s="51"/>
      <c r="I369" s="51"/>
      <c r="J369" s="51"/>
      <c r="K369" s="19"/>
      <c r="L369" s="46"/>
      <c r="M369" s="46"/>
      <c r="N369" s="62"/>
      <c r="O369" s="2"/>
      <c r="P369" s="2"/>
    </row>
    <row r="370" spans="1:16" ht="12.75" customHeight="1">
      <c r="A370" s="23" t="s">
        <v>133</v>
      </c>
      <c r="B370" s="24"/>
      <c r="C370" s="25">
        <v>2678539</v>
      </c>
      <c r="D370" s="25">
        <v>0</v>
      </c>
      <c r="E370" s="51">
        <v>364385</v>
      </c>
      <c r="F370" s="51">
        <v>340000</v>
      </c>
      <c r="G370" s="51">
        <v>4663912</v>
      </c>
      <c r="H370" s="51">
        <v>1756221</v>
      </c>
      <c r="I370" s="51">
        <v>2418000</v>
      </c>
      <c r="J370" s="51">
        <v>600000</v>
      </c>
      <c r="K370" s="19"/>
      <c r="L370" s="46">
        <f>SUM(C370:K370)</f>
        <v>12821057</v>
      </c>
      <c r="M370" s="72">
        <f>(L370/L$372)*100</f>
        <v>19.57960016621435</v>
      </c>
      <c r="N370" s="62"/>
      <c r="O370" s="2"/>
      <c r="P370" s="2"/>
    </row>
    <row r="371" spans="1:16" ht="12.75" customHeight="1">
      <c r="A371" s="23" t="s">
        <v>134</v>
      </c>
      <c r="B371" s="24"/>
      <c r="C371" s="25">
        <v>18401741</v>
      </c>
      <c r="D371" s="25">
        <v>5926888</v>
      </c>
      <c r="E371" s="51">
        <v>9393834</v>
      </c>
      <c r="F371" s="51">
        <f>6349780-340000</f>
        <v>6009780</v>
      </c>
      <c r="G371" s="51">
        <v>4698926</v>
      </c>
      <c r="H371" s="51">
        <v>3026704</v>
      </c>
      <c r="I371" s="51">
        <v>2235605</v>
      </c>
      <c r="J371" s="51">
        <v>2967175</v>
      </c>
      <c r="K371" s="19"/>
      <c r="L371" s="46">
        <f>SUM(C371:K371)</f>
        <v>52660653</v>
      </c>
      <c r="M371" s="72">
        <f>(L371/L$372)*100</f>
        <v>80.42039983378565</v>
      </c>
      <c r="N371" s="62"/>
      <c r="O371" s="2"/>
      <c r="P371" s="2"/>
    </row>
    <row r="372" spans="1:16" ht="12.75" customHeight="1">
      <c r="A372" s="26" t="s">
        <v>278</v>
      </c>
      <c r="B372" s="27"/>
      <c r="C372" s="28">
        <v>21080280</v>
      </c>
      <c r="D372" s="28">
        <f aca="true" t="shared" si="73" ref="D372:J372">SUM(D369:D371)</f>
        <v>5926888</v>
      </c>
      <c r="E372" s="28">
        <f t="shared" si="73"/>
        <v>9758219</v>
      </c>
      <c r="F372" s="50">
        <f t="shared" si="73"/>
        <v>6349780</v>
      </c>
      <c r="G372" s="50">
        <f t="shared" si="73"/>
        <v>9362838</v>
      </c>
      <c r="H372" s="50">
        <f t="shared" si="73"/>
        <v>4782925</v>
      </c>
      <c r="I372" s="50">
        <f t="shared" si="73"/>
        <v>4653605</v>
      </c>
      <c r="J372" s="50">
        <f t="shared" si="73"/>
        <v>3567175</v>
      </c>
      <c r="K372" s="28"/>
      <c r="L372" s="56">
        <f>SUM(L369:L371)</f>
        <v>65481710</v>
      </c>
      <c r="M372" s="73">
        <f>(L372/(L$403)*100)</f>
        <v>0.6347964164258388</v>
      </c>
      <c r="N372" s="63"/>
      <c r="O372" s="2"/>
      <c r="P372" s="2"/>
    </row>
    <row r="373" spans="1:16" ht="12.75" customHeight="1">
      <c r="A373" s="16"/>
      <c r="B373" s="17"/>
      <c r="C373" s="33"/>
      <c r="D373" s="33"/>
      <c r="E373" s="52"/>
      <c r="F373" s="52"/>
      <c r="G373" s="52"/>
      <c r="H373" s="52"/>
      <c r="I373" s="52"/>
      <c r="J373" s="52"/>
      <c r="K373" s="32"/>
      <c r="L373" s="52"/>
      <c r="M373" s="46"/>
      <c r="N373" s="62"/>
      <c r="O373" s="2"/>
      <c r="P373" s="2"/>
    </row>
    <row r="374" spans="1:16" ht="12.75" customHeight="1">
      <c r="A374" s="23" t="s">
        <v>185</v>
      </c>
      <c r="B374" s="24"/>
      <c r="C374" s="25">
        <v>600000</v>
      </c>
      <c r="D374" s="25">
        <v>0</v>
      </c>
      <c r="E374" s="51">
        <v>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19"/>
      <c r="L374" s="46">
        <f aca="true" t="shared" si="74" ref="L374:L382">SUM(C374:K374)</f>
        <v>600000</v>
      </c>
      <c r="M374" s="72">
        <f aca="true" t="shared" si="75" ref="M374:M382">(L374/L$383)*100</f>
        <v>0.23933021715551467</v>
      </c>
      <c r="N374" s="62"/>
      <c r="O374" s="2"/>
      <c r="P374" s="2"/>
    </row>
    <row r="375" spans="1:16" ht="12.75" customHeight="1">
      <c r="A375" s="23" t="s">
        <v>159</v>
      </c>
      <c r="B375" s="24"/>
      <c r="C375" s="25">
        <v>686469</v>
      </c>
      <c r="D375" s="25">
        <f>24500+4500000</f>
        <v>4524500</v>
      </c>
      <c r="E375" s="51">
        <v>0</v>
      </c>
      <c r="F375" s="51">
        <v>0</v>
      </c>
      <c r="G375" s="51">
        <v>2950000</v>
      </c>
      <c r="H375" s="51">
        <v>3300000</v>
      </c>
      <c r="I375" s="51">
        <v>51000</v>
      </c>
      <c r="J375" s="51">
        <v>6850821</v>
      </c>
      <c r="K375" s="19"/>
      <c r="L375" s="46">
        <f t="shared" si="74"/>
        <v>18362790</v>
      </c>
      <c r="M375" s="72">
        <f t="shared" si="75"/>
        <v>7.3246175304685215</v>
      </c>
      <c r="N375" s="62"/>
      <c r="O375" s="2"/>
      <c r="P375" s="2"/>
    </row>
    <row r="376" spans="1:16" ht="12.75" customHeight="1">
      <c r="A376" s="23" t="s">
        <v>135</v>
      </c>
      <c r="B376" s="24"/>
      <c r="C376" s="25">
        <v>1196225</v>
      </c>
      <c r="D376" s="25">
        <v>3000000</v>
      </c>
      <c r="E376" s="51">
        <v>94714</v>
      </c>
      <c r="F376" s="51">
        <v>530885</v>
      </c>
      <c r="G376" s="51">
        <v>402391</v>
      </c>
      <c r="H376" s="51">
        <v>249000</v>
      </c>
      <c r="I376" s="51">
        <v>0</v>
      </c>
      <c r="J376" s="51">
        <v>215000</v>
      </c>
      <c r="K376" s="19"/>
      <c r="L376" s="46">
        <f t="shared" si="74"/>
        <v>5688215</v>
      </c>
      <c r="M376" s="72">
        <f t="shared" si="75"/>
        <v>2.2689362186287596</v>
      </c>
      <c r="N376" s="62"/>
      <c r="O376" s="2"/>
      <c r="P376" s="2"/>
    </row>
    <row r="377" spans="1:16" ht="12.75" customHeight="1">
      <c r="A377" s="23" t="s">
        <v>136</v>
      </c>
      <c r="B377" s="24"/>
      <c r="C377" s="25">
        <v>355675</v>
      </c>
      <c r="D377" s="25">
        <v>0</v>
      </c>
      <c r="E377" s="51">
        <v>0</v>
      </c>
      <c r="F377" s="51">
        <v>21000</v>
      </c>
      <c r="G377" s="51">
        <v>0</v>
      </c>
      <c r="H377" s="51">
        <v>0</v>
      </c>
      <c r="I377" s="51">
        <v>373469</v>
      </c>
      <c r="J377" s="51">
        <v>0</v>
      </c>
      <c r="K377" s="19"/>
      <c r="L377" s="46">
        <f t="shared" si="74"/>
        <v>750144</v>
      </c>
      <c r="M377" s="72">
        <f t="shared" si="75"/>
        <v>0.2992202106965106</v>
      </c>
      <c r="N377" s="62"/>
      <c r="O377" s="2"/>
      <c r="P377" s="2"/>
    </row>
    <row r="378" spans="1:16" ht="12.75" customHeight="1">
      <c r="A378" s="23" t="s">
        <v>219</v>
      </c>
      <c r="B378" s="24"/>
      <c r="C378" s="25">
        <v>6387155</v>
      </c>
      <c r="D378" s="25">
        <v>0</v>
      </c>
      <c r="E378" s="51">
        <v>0</v>
      </c>
      <c r="F378" s="51">
        <v>0</v>
      </c>
      <c r="G378" s="51">
        <v>3310000</v>
      </c>
      <c r="H378" s="51">
        <v>923600</v>
      </c>
      <c r="I378" s="51">
        <v>965000</v>
      </c>
      <c r="J378" s="51">
        <v>0</v>
      </c>
      <c r="K378" s="19"/>
      <c r="L378" s="46">
        <f t="shared" si="74"/>
        <v>11585755</v>
      </c>
      <c r="M378" s="72">
        <f t="shared" si="75"/>
        <v>4.62136876676765</v>
      </c>
      <c r="N378" s="62"/>
      <c r="O378" s="2"/>
      <c r="P378" s="2"/>
    </row>
    <row r="379" spans="1:16" ht="12.75" customHeight="1">
      <c r="A379" s="23" t="s">
        <v>220</v>
      </c>
      <c r="B379" s="24"/>
      <c r="C379" s="25">
        <v>203898</v>
      </c>
      <c r="D379" s="25">
        <v>20534</v>
      </c>
      <c r="E379" s="51">
        <v>0</v>
      </c>
      <c r="F379" s="51">
        <v>0</v>
      </c>
      <c r="G379" s="51">
        <v>186712</v>
      </c>
      <c r="H379" s="51">
        <v>123000</v>
      </c>
      <c r="I379" s="51">
        <v>0</v>
      </c>
      <c r="J379" s="51">
        <v>209636</v>
      </c>
      <c r="K379" s="19"/>
      <c r="L379" s="46">
        <f t="shared" si="74"/>
        <v>743780</v>
      </c>
      <c r="M379" s="72">
        <f t="shared" si="75"/>
        <v>0.29668171485988115</v>
      </c>
      <c r="N379" s="62"/>
      <c r="O379" s="2"/>
      <c r="P379" s="2"/>
    </row>
    <row r="380" spans="1:16" ht="12.75" customHeight="1">
      <c r="A380" s="23" t="s">
        <v>137</v>
      </c>
      <c r="B380" s="24"/>
      <c r="C380" s="25">
        <v>33276110</v>
      </c>
      <c r="D380" s="25">
        <f>3732048+3022580+148000</f>
        <v>6902628</v>
      </c>
      <c r="E380" s="51">
        <v>0</v>
      </c>
      <c r="F380" s="51">
        <v>89191440</v>
      </c>
      <c r="G380" s="51">
        <v>28029000</v>
      </c>
      <c r="H380" s="51">
        <v>4249019</v>
      </c>
      <c r="I380" s="51">
        <v>15176529</v>
      </c>
      <c r="J380" s="51">
        <v>4529525</v>
      </c>
      <c r="K380" s="19"/>
      <c r="L380" s="46">
        <f t="shared" si="74"/>
        <v>181354251</v>
      </c>
      <c r="M380" s="72">
        <f t="shared" si="75"/>
        <v>72.33925378984284</v>
      </c>
      <c r="N380" s="62"/>
      <c r="O380" s="2"/>
      <c r="P380" s="2"/>
    </row>
    <row r="381" spans="1:16" ht="12.75" customHeight="1">
      <c r="A381" s="23" t="s">
        <v>138</v>
      </c>
      <c r="B381" s="24"/>
      <c r="C381" s="25">
        <v>433797</v>
      </c>
      <c r="D381" s="25">
        <v>0</v>
      </c>
      <c r="E381" s="51">
        <v>0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19"/>
      <c r="L381" s="46">
        <f t="shared" si="74"/>
        <v>433797</v>
      </c>
      <c r="M381" s="72">
        <f t="shared" si="75"/>
        <v>0.17303455035235132</v>
      </c>
      <c r="N381" s="62"/>
      <c r="O381" s="2"/>
      <c r="P381" s="2"/>
    </row>
    <row r="382" spans="1:16" ht="12.75" customHeight="1">
      <c r="A382" s="23" t="s">
        <v>139</v>
      </c>
      <c r="B382" s="24"/>
      <c r="C382" s="25">
        <v>17046182</v>
      </c>
      <c r="D382" s="25">
        <v>0</v>
      </c>
      <c r="E382" s="51">
        <v>899500</v>
      </c>
      <c r="F382" s="51">
        <v>4685545</v>
      </c>
      <c r="G382" s="51">
        <v>0</v>
      </c>
      <c r="H382" s="51">
        <v>8117237</v>
      </c>
      <c r="I382" s="51">
        <v>432447</v>
      </c>
      <c r="J382" s="51">
        <v>0</v>
      </c>
      <c r="K382" s="19"/>
      <c r="L382" s="46">
        <f t="shared" si="74"/>
        <v>31180911</v>
      </c>
      <c r="M382" s="72">
        <f t="shared" si="75"/>
        <v>12.43755700122796</v>
      </c>
      <c r="N382" s="62"/>
      <c r="O382" s="2"/>
      <c r="P382" s="2"/>
    </row>
    <row r="383" spans="1:16" ht="12.75" customHeight="1">
      <c r="A383" s="26" t="s">
        <v>279</v>
      </c>
      <c r="B383" s="27"/>
      <c r="C383" s="28">
        <v>60185511</v>
      </c>
      <c r="D383" s="28">
        <f aca="true" t="shared" si="76" ref="D383:J383">SUM(D373:D382)</f>
        <v>14447662</v>
      </c>
      <c r="E383" s="28">
        <f t="shared" si="76"/>
        <v>994214</v>
      </c>
      <c r="F383" s="50">
        <f t="shared" si="76"/>
        <v>94428870</v>
      </c>
      <c r="G383" s="50">
        <f t="shared" si="76"/>
        <v>34878103</v>
      </c>
      <c r="H383" s="50">
        <f t="shared" si="76"/>
        <v>16961856</v>
      </c>
      <c r="I383" s="50">
        <f t="shared" si="76"/>
        <v>16998445</v>
      </c>
      <c r="J383" s="50">
        <f t="shared" si="76"/>
        <v>11804982</v>
      </c>
      <c r="K383" s="28"/>
      <c r="L383" s="56">
        <f>SUM(L373:L382)</f>
        <v>250699643</v>
      </c>
      <c r="M383" s="73">
        <f>(L383/(L$403)*100)</f>
        <v>2.4303463513038546</v>
      </c>
      <c r="N383" s="63"/>
      <c r="O383" s="2"/>
      <c r="P383" s="2"/>
    </row>
    <row r="384" spans="1:16" ht="12.75" customHeight="1">
      <c r="A384" s="16"/>
      <c r="B384" s="17"/>
      <c r="C384" s="33"/>
      <c r="D384" s="33"/>
      <c r="E384" s="52"/>
      <c r="F384" s="52"/>
      <c r="G384" s="52"/>
      <c r="H384" s="52"/>
      <c r="I384" s="52"/>
      <c r="J384" s="52"/>
      <c r="K384" s="32"/>
      <c r="L384" s="52"/>
      <c r="M384" s="46"/>
      <c r="N384" s="62"/>
      <c r="O384" s="2"/>
      <c r="P384" s="2"/>
    </row>
    <row r="385" spans="1:16" ht="12.75" customHeight="1">
      <c r="A385" s="23" t="s">
        <v>342</v>
      </c>
      <c r="B385" s="24"/>
      <c r="C385" s="25">
        <v>0</v>
      </c>
      <c r="D385" s="25">
        <v>0</v>
      </c>
      <c r="E385" s="51">
        <v>0</v>
      </c>
      <c r="F385" s="51">
        <v>0</v>
      </c>
      <c r="G385" s="51">
        <v>0</v>
      </c>
      <c r="H385" s="51">
        <v>0</v>
      </c>
      <c r="I385" s="51">
        <v>0</v>
      </c>
      <c r="J385" s="51">
        <v>880000</v>
      </c>
      <c r="K385" s="19"/>
      <c r="L385" s="46">
        <f aca="true" t="shared" si="77" ref="L385:L392">SUM(C385:K385)</f>
        <v>880000</v>
      </c>
      <c r="M385" s="72">
        <f aca="true" t="shared" si="78" ref="M385:M392">(L385/L$393)*100</f>
        <v>1.5715927467422934</v>
      </c>
      <c r="N385" s="62"/>
      <c r="O385" s="2"/>
      <c r="P385" s="2"/>
    </row>
    <row r="386" spans="1:16" ht="12.75" customHeight="1">
      <c r="A386" s="23" t="s">
        <v>178</v>
      </c>
      <c r="B386" s="24"/>
      <c r="C386" s="25">
        <v>290000</v>
      </c>
      <c r="D386" s="25">
        <v>0</v>
      </c>
      <c r="E386" s="51">
        <v>0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19"/>
      <c r="L386" s="46">
        <f t="shared" si="77"/>
        <v>290000</v>
      </c>
      <c r="M386" s="72">
        <f t="shared" si="78"/>
        <v>0.5179112460855286</v>
      </c>
      <c r="N386" s="62"/>
      <c r="O386" s="2"/>
      <c r="P386" s="2"/>
    </row>
    <row r="387" spans="1:16" ht="12.75" customHeight="1">
      <c r="A387" s="23" t="s">
        <v>140</v>
      </c>
      <c r="B387" s="24"/>
      <c r="C387" s="25">
        <v>13304550</v>
      </c>
      <c r="D387" s="25">
        <f>1832000+209542</f>
        <v>2041542</v>
      </c>
      <c r="E387" s="51">
        <f>5106252-755159-3081500-379377-226819</f>
        <v>663397</v>
      </c>
      <c r="F387" s="51">
        <f>4831132-341618-3765120</f>
        <v>724394</v>
      </c>
      <c r="G387" s="51">
        <v>2860461</v>
      </c>
      <c r="H387" s="51">
        <v>3520622</v>
      </c>
      <c r="I387" s="51">
        <v>744487</v>
      </c>
      <c r="J387" s="51">
        <v>1637762</v>
      </c>
      <c r="K387" s="19"/>
      <c r="L387" s="46">
        <f t="shared" si="77"/>
        <v>25497215</v>
      </c>
      <c r="M387" s="72">
        <f t="shared" si="78"/>
        <v>45.53549790469183</v>
      </c>
      <c r="N387" s="62"/>
      <c r="O387" s="2"/>
      <c r="P387" s="2"/>
    </row>
    <row r="388" spans="1:16" ht="12.75" customHeight="1">
      <c r="A388" s="23" t="s">
        <v>171</v>
      </c>
      <c r="B388" s="24"/>
      <c r="C388" s="25">
        <v>465000</v>
      </c>
      <c r="D388" s="25">
        <v>0</v>
      </c>
      <c r="E388" s="51">
        <v>755159</v>
      </c>
      <c r="F388" s="51">
        <f>2095246+341618</f>
        <v>2436864</v>
      </c>
      <c r="G388" s="51">
        <v>79758</v>
      </c>
      <c r="H388" s="51">
        <v>0</v>
      </c>
      <c r="I388" s="51">
        <v>0</v>
      </c>
      <c r="J388" s="51">
        <v>4328503</v>
      </c>
      <c r="K388" s="19"/>
      <c r="L388" s="46">
        <f t="shared" si="77"/>
        <v>8065284</v>
      </c>
      <c r="M388" s="72">
        <f t="shared" si="78"/>
        <v>14.403797539564401</v>
      </c>
      <c r="N388" s="62"/>
      <c r="O388" s="2"/>
      <c r="P388" s="2"/>
    </row>
    <row r="389" spans="1:16" ht="12.75" customHeight="1">
      <c r="A389" s="23" t="s">
        <v>197</v>
      </c>
      <c r="B389" s="24"/>
      <c r="C389" s="25">
        <v>1600000</v>
      </c>
      <c r="D389" s="25">
        <v>0</v>
      </c>
      <c r="E389" s="51">
        <v>0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19"/>
      <c r="L389" s="46">
        <f t="shared" si="77"/>
        <v>1600000</v>
      </c>
      <c r="M389" s="72">
        <f t="shared" si="78"/>
        <v>2.8574413577132614</v>
      </c>
      <c r="N389" s="62"/>
      <c r="O389" s="2"/>
      <c r="P389" s="2"/>
    </row>
    <row r="390" spans="1:16" ht="12.75" customHeight="1">
      <c r="A390" s="23" t="s">
        <v>141</v>
      </c>
      <c r="B390" s="24"/>
      <c r="C390" s="25">
        <v>2435580</v>
      </c>
      <c r="D390" s="25">
        <v>0</v>
      </c>
      <c r="E390" s="51">
        <v>3081500</v>
      </c>
      <c r="F390" s="51">
        <v>3765120</v>
      </c>
      <c r="G390" s="51">
        <v>8761675</v>
      </c>
      <c r="H390" s="51">
        <v>0</v>
      </c>
      <c r="I390" s="51">
        <v>0</v>
      </c>
      <c r="J390" s="51">
        <v>0</v>
      </c>
      <c r="K390" s="19"/>
      <c r="L390" s="46">
        <f t="shared" si="77"/>
        <v>18043875</v>
      </c>
      <c r="M390" s="72">
        <f t="shared" si="78"/>
        <v>32.22457167400523</v>
      </c>
      <c r="N390" s="62"/>
      <c r="O390" s="2"/>
      <c r="P390" s="2"/>
    </row>
    <row r="391" spans="1:16" ht="12.75" customHeight="1">
      <c r="A391" s="23" t="s">
        <v>245</v>
      </c>
      <c r="B391" s="24"/>
      <c r="C391" s="25">
        <v>0</v>
      </c>
      <c r="D391" s="25">
        <v>0</v>
      </c>
      <c r="E391" s="51">
        <v>379377</v>
      </c>
      <c r="F391" s="51">
        <v>0</v>
      </c>
      <c r="G391" s="51">
        <v>609421</v>
      </c>
      <c r="H391" s="51">
        <v>0</v>
      </c>
      <c r="I391" s="51">
        <v>0</v>
      </c>
      <c r="J391" s="51">
        <v>164000</v>
      </c>
      <c r="K391" s="19"/>
      <c r="L391" s="46">
        <f t="shared" si="77"/>
        <v>1152798</v>
      </c>
      <c r="M391" s="72">
        <f t="shared" si="78"/>
        <v>2.0587829264307076</v>
      </c>
      <c r="N391" s="62"/>
      <c r="O391" s="2"/>
      <c r="P391" s="2"/>
    </row>
    <row r="392" spans="1:16" ht="12.75" customHeight="1">
      <c r="A392" s="23" t="s">
        <v>244</v>
      </c>
      <c r="B392" s="24"/>
      <c r="C392" s="25">
        <v>0</v>
      </c>
      <c r="D392" s="25">
        <v>0</v>
      </c>
      <c r="E392" s="51">
        <v>226819</v>
      </c>
      <c r="F392" s="51">
        <v>0</v>
      </c>
      <c r="G392" s="51">
        <v>238159</v>
      </c>
      <c r="H392" s="51">
        <v>0</v>
      </c>
      <c r="I392" s="51">
        <v>0</v>
      </c>
      <c r="J392" s="51">
        <v>0</v>
      </c>
      <c r="K392" s="19"/>
      <c r="L392" s="46">
        <f t="shared" si="77"/>
        <v>464978</v>
      </c>
      <c r="M392" s="72">
        <f t="shared" si="78"/>
        <v>0.830404604766748</v>
      </c>
      <c r="N392" s="62"/>
      <c r="O392" s="2"/>
      <c r="P392" s="2"/>
    </row>
    <row r="393" spans="1:16" ht="12.75" customHeight="1">
      <c r="A393" s="26" t="s">
        <v>341</v>
      </c>
      <c r="B393" s="27"/>
      <c r="C393" s="28">
        <v>18095130</v>
      </c>
      <c r="D393" s="28">
        <f aca="true" t="shared" si="79" ref="D393:J393">SUM(D384:D392)</f>
        <v>2041542</v>
      </c>
      <c r="E393" s="28">
        <f t="shared" si="79"/>
        <v>5106252</v>
      </c>
      <c r="F393" s="50">
        <f t="shared" si="79"/>
        <v>6926378</v>
      </c>
      <c r="G393" s="50">
        <f t="shared" si="79"/>
        <v>12549474</v>
      </c>
      <c r="H393" s="50">
        <f t="shared" si="79"/>
        <v>3520622</v>
      </c>
      <c r="I393" s="50">
        <f t="shared" si="79"/>
        <v>744487</v>
      </c>
      <c r="J393" s="50">
        <f t="shared" si="79"/>
        <v>7010265</v>
      </c>
      <c r="K393" s="28"/>
      <c r="L393" s="56">
        <f>SUM(L384:L392)</f>
        <v>55994150</v>
      </c>
      <c r="M393" s="73">
        <f>(L393/(L$403)*100)</f>
        <v>0.5428215872922513</v>
      </c>
      <c r="N393" s="63"/>
      <c r="O393" s="2"/>
      <c r="P393" s="2"/>
    </row>
    <row r="394" spans="1:16" ht="12.75" customHeight="1">
      <c r="A394" s="23"/>
      <c r="B394" s="24"/>
      <c r="C394" s="25"/>
      <c r="D394" s="25"/>
      <c r="E394" s="51"/>
      <c r="F394" s="51"/>
      <c r="G394" s="51"/>
      <c r="H394" s="51"/>
      <c r="I394" s="51"/>
      <c r="J394" s="51"/>
      <c r="K394" s="19"/>
      <c r="L394" s="46"/>
      <c r="M394" s="46"/>
      <c r="N394" s="62"/>
      <c r="O394" s="2"/>
      <c r="P394" s="2"/>
    </row>
    <row r="395" spans="1:16" ht="12.75" customHeight="1">
      <c r="A395" s="23" t="s">
        <v>222</v>
      </c>
      <c r="B395" s="24"/>
      <c r="C395" s="25">
        <v>291246</v>
      </c>
      <c r="D395" s="25">
        <v>0</v>
      </c>
      <c r="E395" s="51">
        <v>0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19"/>
      <c r="L395" s="46">
        <f>SUM(C395:K395)</f>
        <v>291246</v>
      </c>
      <c r="M395" s="72">
        <f>(L395/L$396)*100</f>
        <v>100</v>
      </c>
      <c r="N395" s="62"/>
      <c r="O395" s="2"/>
      <c r="P395" s="2"/>
    </row>
    <row r="396" spans="1:16" ht="12.75" customHeight="1">
      <c r="A396" s="26" t="s">
        <v>358</v>
      </c>
      <c r="B396" s="27"/>
      <c r="C396" s="28">
        <v>291246</v>
      </c>
      <c r="D396" s="28">
        <f aca="true" t="shared" si="80" ref="D396:J396">SUM(D394:D395)</f>
        <v>0</v>
      </c>
      <c r="E396" s="28">
        <f t="shared" si="80"/>
        <v>0</v>
      </c>
      <c r="F396" s="50">
        <f t="shared" si="80"/>
        <v>0</v>
      </c>
      <c r="G396" s="50">
        <f t="shared" si="80"/>
        <v>0</v>
      </c>
      <c r="H396" s="50">
        <f t="shared" si="80"/>
        <v>0</v>
      </c>
      <c r="I396" s="50">
        <f t="shared" si="80"/>
        <v>0</v>
      </c>
      <c r="J396" s="50">
        <f t="shared" si="80"/>
        <v>0</v>
      </c>
      <c r="K396" s="28"/>
      <c r="L396" s="56">
        <f>SUM(L394:L395)</f>
        <v>291246</v>
      </c>
      <c r="M396" s="73">
        <f>(L396/(L$403)*100)</f>
        <v>0.002823413088912306</v>
      </c>
      <c r="N396" s="63"/>
      <c r="O396" s="2"/>
      <c r="P396" s="2"/>
    </row>
    <row r="397" spans="1:16" ht="12.75" customHeight="1">
      <c r="A397" s="23"/>
      <c r="B397" s="24"/>
      <c r="C397" s="19"/>
      <c r="D397" s="19"/>
      <c r="E397" s="46"/>
      <c r="F397" s="51"/>
      <c r="G397" s="51"/>
      <c r="H397" s="51"/>
      <c r="I397" s="51"/>
      <c r="J397" s="51"/>
      <c r="K397" s="19"/>
      <c r="L397" s="46"/>
      <c r="M397" s="72"/>
      <c r="N397" s="62"/>
      <c r="O397" s="2"/>
      <c r="P397" s="2"/>
    </row>
    <row r="398" spans="1:16" ht="12.75" customHeight="1">
      <c r="A398" s="23" t="s">
        <v>344</v>
      </c>
      <c r="B398" s="24"/>
      <c r="C398" s="25">
        <v>0</v>
      </c>
      <c r="D398" s="25">
        <v>0</v>
      </c>
      <c r="E398" s="51">
        <v>0</v>
      </c>
      <c r="F398" s="51">
        <v>0</v>
      </c>
      <c r="G398" s="51">
        <v>0</v>
      </c>
      <c r="H398" s="51">
        <v>0</v>
      </c>
      <c r="I398" s="51">
        <v>490000</v>
      </c>
      <c r="J398" s="51">
        <v>0</v>
      </c>
      <c r="K398" s="19"/>
      <c r="L398" s="46">
        <f>SUM(C398:K398)</f>
        <v>490000</v>
      </c>
      <c r="M398" s="72">
        <f>(L398/L$396)*100</f>
        <v>168.2426539763636</v>
      </c>
      <c r="N398" s="62"/>
      <c r="O398" s="2"/>
      <c r="P398" s="2"/>
    </row>
    <row r="399" spans="1:16" ht="12.75" customHeight="1">
      <c r="A399" s="26" t="s">
        <v>345</v>
      </c>
      <c r="B399" s="27"/>
      <c r="C399" s="28">
        <v>0</v>
      </c>
      <c r="D399" s="28">
        <f aca="true" t="shared" si="81" ref="D399:J399">SUM(D397:D398)</f>
        <v>0</v>
      </c>
      <c r="E399" s="28">
        <f t="shared" si="81"/>
        <v>0</v>
      </c>
      <c r="F399" s="50">
        <f t="shared" si="81"/>
        <v>0</v>
      </c>
      <c r="G399" s="50">
        <f t="shared" si="81"/>
        <v>0</v>
      </c>
      <c r="H399" s="50">
        <f t="shared" si="81"/>
        <v>0</v>
      </c>
      <c r="I399" s="50">
        <f t="shared" si="81"/>
        <v>490000</v>
      </c>
      <c r="J399" s="50">
        <f t="shared" si="81"/>
        <v>0</v>
      </c>
      <c r="K399" s="28"/>
      <c r="L399" s="56">
        <f>SUM(L397:L398)</f>
        <v>490000</v>
      </c>
      <c r="M399" s="73">
        <f>(L399/(L$403)*100)</f>
        <v>0.004750185113502091</v>
      </c>
      <c r="N399" s="63"/>
      <c r="O399" s="2"/>
      <c r="P399" s="2"/>
    </row>
    <row r="400" spans="1:16" ht="12.75" customHeight="1">
      <c r="A400" s="23"/>
      <c r="B400" s="24"/>
      <c r="C400" s="25"/>
      <c r="D400" s="25"/>
      <c r="E400" s="51"/>
      <c r="F400" s="51"/>
      <c r="G400" s="51"/>
      <c r="H400" s="51"/>
      <c r="I400" s="51"/>
      <c r="J400" s="51"/>
      <c r="K400" s="19"/>
      <c r="L400" s="46"/>
      <c r="M400" s="46"/>
      <c r="N400" s="62"/>
      <c r="O400" s="2"/>
      <c r="P400" s="2"/>
    </row>
    <row r="401" spans="1:16" ht="12.75" customHeight="1" thickBot="1">
      <c r="A401" s="23"/>
      <c r="B401" s="24"/>
      <c r="C401" s="25"/>
      <c r="D401" s="25"/>
      <c r="E401" s="46"/>
      <c r="F401" s="51"/>
      <c r="G401" s="51"/>
      <c r="H401" s="51"/>
      <c r="I401" s="51"/>
      <c r="J401" s="51"/>
      <c r="K401" s="19"/>
      <c r="L401" s="46"/>
      <c r="M401" s="46"/>
      <c r="N401" s="62"/>
      <c r="O401" s="2"/>
      <c r="P401" s="2"/>
    </row>
    <row r="402" spans="1:16" ht="16.5" customHeight="1">
      <c r="A402" s="3"/>
      <c r="B402" s="4"/>
      <c r="C402" s="36"/>
      <c r="D402" s="36"/>
      <c r="E402" s="47"/>
      <c r="F402" s="66"/>
      <c r="G402" s="66"/>
      <c r="H402" s="66"/>
      <c r="I402" s="66"/>
      <c r="J402" s="66"/>
      <c r="K402" s="35"/>
      <c r="L402" s="47" t="s">
        <v>142</v>
      </c>
      <c r="M402" s="47"/>
      <c r="N402" s="64"/>
      <c r="O402" s="2"/>
      <c r="P402" s="2"/>
    </row>
    <row r="403" spans="1:19" ht="16.5" customHeight="1">
      <c r="A403" s="23" t="s">
        <v>280</v>
      </c>
      <c r="B403" s="24"/>
      <c r="C403" s="20">
        <f aca="true" t="shared" si="82" ref="C403:J403">C12+C17+C20+C27+C66+C73+C81+C84+C96+C103+C106+C115+C120+C126+C132+C135+C139+C145+C160+C164+C170+C185+C194+C202+C205+C210+C217+C221+C227+C231+C236+C240+C254+C271+C275+C282+C300+C304+C308+C312+C322+C345+C350+C365+C368+C372+C383+C393+C396+C399</f>
        <v>3277767027</v>
      </c>
      <c r="D403" s="20">
        <f t="shared" si="82"/>
        <v>384014662</v>
      </c>
      <c r="E403" s="20">
        <f t="shared" si="82"/>
        <v>792858516</v>
      </c>
      <c r="F403" s="20">
        <f t="shared" si="82"/>
        <v>1478782203</v>
      </c>
      <c r="G403" s="20">
        <f t="shared" si="82"/>
        <v>1390163964</v>
      </c>
      <c r="H403" s="20">
        <f t="shared" si="82"/>
        <v>1154056290</v>
      </c>
      <c r="I403" s="20">
        <f t="shared" si="82"/>
        <v>862369369</v>
      </c>
      <c r="J403" s="53">
        <f t="shared" si="82"/>
        <v>975375439</v>
      </c>
      <c r="K403" s="20"/>
      <c r="L403" s="53">
        <f>SUM(C403:K403)</f>
        <v>10315387470</v>
      </c>
      <c r="M403" s="71"/>
      <c r="N403" s="62"/>
      <c r="O403" s="2"/>
      <c r="P403" s="2"/>
      <c r="S403" s="75" t="s">
        <v>232</v>
      </c>
    </row>
    <row r="404" spans="1:19" ht="16.5" customHeight="1">
      <c r="A404" s="77" t="s">
        <v>360</v>
      </c>
      <c r="B404" s="24"/>
      <c r="C404" s="20"/>
      <c r="D404" s="20"/>
      <c r="E404" s="71"/>
      <c r="F404" s="53"/>
      <c r="G404" s="53"/>
      <c r="H404" s="53"/>
      <c r="I404" s="53"/>
      <c r="J404" s="53"/>
      <c r="K404" s="20"/>
      <c r="L404" s="53"/>
      <c r="M404" s="71"/>
      <c r="N404" s="62"/>
      <c r="O404" s="2"/>
      <c r="P404" s="2"/>
      <c r="S404" s="75"/>
    </row>
    <row r="405" spans="1:19" ht="16.5" customHeight="1" thickBot="1">
      <c r="A405" s="37"/>
      <c r="B405" s="14"/>
      <c r="C405" s="38"/>
      <c r="D405" s="38"/>
      <c r="E405" s="48"/>
      <c r="F405" s="58"/>
      <c r="G405" s="58"/>
      <c r="H405" s="58"/>
      <c r="I405" s="58"/>
      <c r="J405" s="58"/>
      <c r="K405" s="39"/>
      <c r="L405" s="58"/>
      <c r="M405" s="48"/>
      <c r="N405" s="65"/>
      <c r="O405" s="2"/>
      <c r="P405" s="2"/>
      <c r="S405" s="76">
        <f>L396+L393+L372+L383+L368+L365+L350+L345+L322+L312+L308+L304+L300+L282+L275+L271+L254+L240+L236+L231+L227+L221+L217+L210+L205+L202+L194+L185+L170+L164+L160+L145+L139+L132+L126+L120+L115+L106+L103+L96+L84+L81+L73+L66+L27+L20+L17+L12</f>
        <v>10313826470</v>
      </c>
    </row>
    <row r="406" spans="1:16" ht="19.5" customHeight="1" thickBot="1">
      <c r="A406" s="40" t="s">
        <v>143</v>
      </c>
      <c r="B406" s="13"/>
      <c r="C406" s="41">
        <f aca="true" t="shared" si="83" ref="C406:J406">(C403/$L$403)*100</f>
        <v>31.77551048404777</v>
      </c>
      <c r="D406" s="41">
        <f t="shared" si="83"/>
        <v>3.7227361853039533</v>
      </c>
      <c r="E406" s="49">
        <f t="shared" si="83"/>
        <v>7.686172897584815</v>
      </c>
      <c r="F406" s="67">
        <f t="shared" si="83"/>
        <v>14.335692258780464</v>
      </c>
      <c r="G406" s="67">
        <f t="shared" si="83"/>
        <v>13.476604422693587</v>
      </c>
      <c r="H406" s="67">
        <f t="shared" si="83"/>
        <v>11.187716344696842</v>
      </c>
      <c r="I406" s="67">
        <f t="shared" si="83"/>
        <v>8.360028855028554</v>
      </c>
      <c r="J406" s="67">
        <f t="shared" si="83"/>
        <v>9.455538551864015</v>
      </c>
      <c r="K406" s="39"/>
      <c r="L406" s="49">
        <f>SUM(C406:K406)</f>
        <v>100</v>
      </c>
      <c r="M406" s="49"/>
      <c r="N406" s="65"/>
      <c r="O406" s="2"/>
      <c r="P406" s="2"/>
    </row>
    <row r="407" spans="1:16" ht="15.75">
      <c r="A407" s="42"/>
      <c r="B407" s="42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4"/>
      <c r="O407" s="2"/>
      <c r="P407" s="2"/>
    </row>
    <row r="408" spans="1:16" ht="15.75">
      <c r="A408" s="42"/>
      <c r="B408" s="42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4"/>
      <c r="O408" s="2"/>
      <c r="P408" s="2"/>
    </row>
    <row r="409" spans="1:16" ht="15.75">
      <c r="A409" s="42"/>
      <c r="B409" s="42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4"/>
      <c r="O409" s="2"/>
      <c r="P409" s="2"/>
    </row>
    <row r="410" spans="1:16" ht="15.75">
      <c r="A410" s="42"/>
      <c r="B410" s="42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4"/>
      <c r="O410" s="2"/>
      <c r="P410" s="2"/>
    </row>
    <row r="411" spans="1:16" ht="15.75">
      <c r="A411" s="42"/>
      <c r="B411" s="42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4"/>
      <c r="O411" s="2"/>
      <c r="P411" s="2"/>
    </row>
    <row r="412" spans="1:16" ht="15.75">
      <c r="A412" s="42"/>
      <c r="B412" s="42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4"/>
      <c r="O412" s="2"/>
      <c r="P412" s="2"/>
    </row>
    <row r="416" spans="1:3" ht="18">
      <c r="A416" s="45"/>
      <c r="C416" s="45"/>
    </row>
  </sheetData>
  <mergeCells count="3">
    <mergeCell ref="A1:N1"/>
    <mergeCell ref="A2:N2"/>
    <mergeCell ref="A3:N3"/>
  </mergeCells>
  <printOptions horizontalCentered="1"/>
  <pageMargins left="0.5" right="0.25" top="0.5" bottom="0.25" header="0.5" footer="0.5"/>
  <pageSetup horizontalDpi="300" verticalDpi="300" orientation="landscape" scale="55" r:id="rId1"/>
  <headerFooter alignWithMargins="0">
    <oddHeader>&amp;RPage &amp;P of &amp;N</oddHeader>
  </headerFooter>
  <rowBreaks count="7" manualBreakCount="7">
    <brk id="76" max="13" man="1"/>
    <brk id="145" max="13" man="1"/>
    <brk id="214" max="13" man="1"/>
    <brk id="283" max="13" man="1"/>
    <brk id="352" max="13" man="1"/>
    <brk id="406" max="17" man="1"/>
    <brk id="45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2004-12-13T16:41:22Z</cp:lastPrinted>
  <dcterms:created xsi:type="dcterms:W3CDTF">1999-02-24T18:49:51Z</dcterms:created>
  <dcterms:modified xsi:type="dcterms:W3CDTF">2005-03-10T11:37:02Z</dcterms:modified>
  <cp:category/>
  <cp:version/>
  <cp:contentType/>
  <cp:contentStatus/>
</cp:coreProperties>
</file>