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0" yWindow="30" windowWidth="7260" windowHeight="9030" tabRatio="601" firstSheet="1" activeTab="7"/>
  </bookViews>
  <sheets>
    <sheet name="Doc" sheetId="1" r:id="rId1"/>
    <sheet name="Inputs" sheetId="2" r:id="rId2"/>
    <sheet name="Inputs DK" sheetId="3" r:id="rId3"/>
    <sheet name="10.0.1" sheetId="4" r:id="rId4"/>
    <sheet name="10.0.2" sheetId="5" r:id="rId5"/>
    <sheet name="10.1.1 PQ1-2" sheetId="6" r:id="rId6"/>
    <sheet name="10.1.1 PQ3-4" sheetId="7" r:id="rId7"/>
    <sheet name="10.1.2" sheetId="8" r:id="rId8"/>
    <sheet name="10.2.1 PQ1-2" sheetId="9" r:id="rId9"/>
    <sheet name="10.2.1 PQ3-4" sheetId="10" r:id="rId10"/>
    <sheet name="10.2.2" sheetId="11" r:id="rId11"/>
    <sheet name="oldoutputs" sheetId="12" r:id="rId12"/>
    <sheet name="Outputs to CRA" sheetId="13" r:id="rId13"/>
    <sheet name="Endnotes" sheetId="14" r:id="rId14"/>
  </sheets>
  <externalReferences>
    <externalReference r:id="rId17"/>
  </externalReferences>
  <definedNames>
    <definedName name="_10.1.2_P1" localSheetId="7">'10.1.2'!$A$1:$P$62</definedName>
    <definedName name="_10.1.2_P1" localSheetId="10">'10.2.2'!$A$1:$P$62</definedName>
    <definedName name="_10.1.2_P2" localSheetId="7">'10.1.2'!#REF!</definedName>
    <definedName name="_10.1.2_P2" localSheetId="10">'10.2.2'!#REF!</definedName>
    <definedName name="_10.1.2_P3" localSheetId="7">'10.1.2'!#REF!</definedName>
    <definedName name="_10.1.2_P3" localSheetId="10">'10.2.2'!#REF!</definedName>
    <definedName name="_10.1.2_P4" localSheetId="7">'10.1.2'!#REF!</definedName>
    <definedName name="_10.1.2_P4" localSheetId="10">'10.2.2'!#REF!</definedName>
    <definedName name="_Fill" localSheetId="6" hidden="1">'10.1.1 PQ3-4'!$A$10:$A$27</definedName>
    <definedName name="_Fill" localSheetId="8" hidden="1">'10.2.1 PQ1-2'!$A$10:$A$27</definedName>
    <definedName name="_Fill" localSheetId="9" hidden="1">'10.2.1 PQ3-4'!$A$10:$A$27</definedName>
    <definedName name="_Fill" hidden="1">'10.1.1 PQ1-2'!$A$10:$A$27</definedName>
    <definedName name="Classes" localSheetId="11">'oldoutputs'!$C$11:$C$61</definedName>
    <definedName name="Classes">'Outputs to CRA'!$C$11:$C$57</definedName>
    <definedName name="Components" localSheetId="11">'oldoutputs'!$D$9:$F$9</definedName>
    <definedName name="Components">'Outputs to CRA'!$D$9:$F$9</definedName>
    <definedName name="Matrix" localSheetId="11">'oldoutputs'!$D$11:$F$61</definedName>
    <definedName name="Matrix">'Outputs to CRA'!$D$11:$F$57</definedName>
    <definedName name="_xlnm.Print_Area" localSheetId="5">'10.1.1 PQ1-2'!$A$1:$L$27</definedName>
    <definedName name="_xlnm.Print_Area" localSheetId="6">'10.1.1 PQ3-4'!$A$1:$L$27</definedName>
    <definedName name="_xlnm.Print_Area" localSheetId="8">'10.2.1 PQ1-2'!$A$1:$L$27</definedName>
    <definedName name="_xlnm.Print_Area" localSheetId="9">'10.2.1 PQ3-4'!$A$1:$L$27</definedName>
    <definedName name="_xlnm.Print_Area" localSheetId="13">'Endnotes'!$A$1:$D$13</definedName>
    <definedName name="_xlnm.Print_Titles" localSheetId="7">'10.1.2'!$A:$D,'10.1.2'!$1:$9</definedName>
    <definedName name="_xlnm.Print_Titles" localSheetId="10">'10.2.2'!$A:$D,'10.2.2'!$1:$9</definedName>
    <definedName name="_xlnm.Print_Titles" localSheetId="13">'Endnotes'!$1:$5</definedName>
    <definedName name="_xlnm.Print_Titles" localSheetId="1">'Inputs'!$1:$4</definedName>
    <definedName name="_xlnm.Print_Titles" localSheetId="2">'Inputs DK'!$A:$B,'Inputs DK'!$1:$9</definedName>
    <definedName name="_xlnm.Print_Titles" localSheetId="11">'oldoutputs'!$A:$B,'oldoutputs'!$1:$9</definedName>
    <definedName name="_xlnm.Print_Titles" localSheetId="12">'Outputs to CRA'!$A:$B,'Outputs to CRA'!$1:$9</definedName>
  </definedNames>
  <calcPr fullCalcOnLoad="1"/>
</workbook>
</file>

<file path=xl/comments3.xml><?xml version="1.0" encoding="utf-8"?>
<comments xmlns="http://schemas.openxmlformats.org/spreadsheetml/2006/main">
  <authors>
    <author>A satisfied Microsoft Office user</author>
  </authors>
  <commentList>
    <comment ref="N59" authorId="0">
      <text>
        <r>
          <rPr>
            <sz val="8"/>
            <rFont val="Tahoma"/>
            <family val="0"/>
          </rPr>
          <t>Return receipts and Registered with COD included in Other.</t>
        </r>
      </text>
    </comment>
    <comment ref="N60" authorId="0">
      <text>
        <r>
          <rPr>
            <sz val="8"/>
            <rFont val="Tahoma"/>
            <family val="0"/>
          </rPr>
          <t xml:space="preserve">Nancy Kay:
Total special services does not include return receipts and Registered with COD
</t>
        </r>
      </text>
    </comment>
  </commentList>
</comments>
</file>

<file path=xl/sharedStrings.xml><?xml version="1.0" encoding="utf-8"?>
<sst xmlns="http://schemas.openxmlformats.org/spreadsheetml/2006/main" count="661" uniqueCount="207">
  <si>
    <t>C/S 10 RURAL CARRIERS</t>
  </si>
  <si>
    <t xml:space="preserve">DOCUMENTATION </t>
  </si>
  <si>
    <t>TAB NAME</t>
  </si>
  <si>
    <t>WORKSHEET TITLE</t>
  </si>
  <si>
    <t>DESCRIPTION</t>
  </si>
  <si>
    <t>OUTPUTS TO CRA</t>
  </si>
  <si>
    <t>OUTPUTS TO CRA MODEL</t>
  </si>
  <si>
    <t>This worksheet contains outputs for components 69, 70, and 73 to be entered into the CRA model.  Components 69 and 70 are distributed using adjusted Rural CCS volumes.  Total accrued cost for component 73 is entered undistributed.</t>
  </si>
  <si>
    <t>INPUTS</t>
  </si>
  <si>
    <t xml:space="preserve">This worksheet contains all input data for cost segment 10, except for distribution key inputs.  Most input data are linked to I_Forms.xls, although some numbers are input directly on the worksheet. </t>
  </si>
  <si>
    <t>This worksheet contains distribution key inputs.  This page links directly to the I_Forms.xls file to read in Rural Carrier Cost System distribution key volumes for each relevant rural evaluation item.</t>
  </si>
  <si>
    <t>WS 10.0.1</t>
  </si>
  <si>
    <t>EVALUATED AND OTHER ROUTES, ALLOCATION OF ACCRUED AND VVC</t>
  </si>
  <si>
    <t>This worksheet splits rural carrier accrued cost into evaluated and other routes, and then determines the portions of costs that are volume variable.</t>
  </si>
  <si>
    <t>WS 10.0.2</t>
  </si>
  <si>
    <t>PAY DATA SPLIT FACTOR</t>
  </si>
  <si>
    <t>This worksheet develops the percentage of payroll costs for evaluated and for other routes by fiscal year.</t>
  </si>
  <si>
    <t>WS 10.1.1</t>
  </si>
  <si>
    <t>DEVELOPMENT OF EVALUATED ROUTE VVC</t>
  </si>
  <si>
    <t>WS 10.2.1</t>
  </si>
  <si>
    <t>DEVELOPMENT OF OTHER ROUTE VVC</t>
  </si>
  <si>
    <t>WS 10.0.4</t>
  </si>
  <si>
    <t>DISTRIBUTION KEYS</t>
  </si>
  <si>
    <t>WS 10.1.2</t>
  </si>
  <si>
    <t>DISTRIBUTION OF EVALUATED ROUTES VVC</t>
  </si>
  <si>
    <t>DISTRIBUTION OF OTHER ROUTES VVC</t>
  </si>
  <si>
    <t>ENDNOTES</t>
  </si>
  <si>
    <t>This worksheet contains footnotes for all worksheets in cost segment 10.</t>
  </si>
  <si>
    <t>LINE NO</t>
  </si>
  <si>
    <t>UNITS</t>
  </si>
  <si>
    <t>$(000)</t>
  </si>
  <si>
    <t>%</t>
  </si>
  <si>
    <t>LINKS FROM</t>
  </si>
  <si>
    <t>I_Forms.xls</t>
  </si>
  <si>
    <t>DATA SOURCE</t>
  </si>
  <si>
    <t>Stmt of Rev &amp; Exp</t>
  </si>
  <si>
    <t>SUBACCT .112 &amp; .648 (RURAL CARRIER PERS COSTS)</t>
  </si>
  <si>
    <t>ACCT 52462 &amp; 52463 (EQUIP MAINTENANCE ALLOW)</t>
  </si>
  <si>
    <t>EVALUATED ROUTES</t>
  </si>
  <si>
    <t>OTHER ROUTES</t>
  </si>
  <si>
    <t>EVALUATED
ROUTES (H, J, K)</t>
  </si>
  <si>
    <t>OTHER ROUTES
(A, M)</t>
  </si>
  <si>
    <t>W/S 10.1.1, 10.2.1 - DEVELOPMENT OF EVALUATED AND OTHER ROUTE VOLUME VARIABLE COSTS</t>
  </si>
  <si>
    <t>Pieces/ Week</t>
  </si>
  <si>
    <t>Minutes/ Piece</t>
  </si>
  <si>
    <t>Agreements</t>
  </si>
  <si>
    <t xml:space="preserve"> LETTERS DELIVERED</t>
  </si>
  <si>
    <t xml:space="preserve"> FLATS DELIVERED</t>
  </si>
  <si>
    <t xml:space="preserve"> PARCELS DELIVERED</t>
  </si>
  <si>
    <t xml:space="preserve"> BOXHOLDERS DELIVERED</t>
  </si>
  <si>
    <t xml:space="preserve"> COD DELIVERED</t>
  </si>
  <si>
    <t xml:space="preserve"> ACCOUNTABLES DELIVERED</t>
  </si>
  <si>
    <t xml:space="preserve"> DPS</t>
  </si>
  <si>
    <t xml:space="preserve"> SECTOR SEGMENT</t>
  </si>
  <si>
    <t xml:space="preserve"> POSTAGE DUE</t>
  </si>
  <si>
    <t xml:space="preserve"> RETURN RECEIPTS</t>
  </si>
  <si>
    <t xml:space="preserve"> LETTERS/FLATS COLLECTED</t>
  </si>
  <si>
    <t xml:space="preserve"> PARCELS ACCEPTED</t>
  </si>
  <si>
    <t xml:space="preserve"> ACCOUNTABLES ACCEPTED</t>
  </si>
  <si>
    <t xml:space="preserve"> MONEY ORDERS</t>
  </si>
  <si>
    <t xml:space="preserve"> VEHICLE LOADING</t>
  </si>
  <si>
    <t xml:space="preserve"> MARKUPS</t>
  </si>
  <si>
    <t>ITEM</t>
  </si>
  <si>
    <t>SPLIT FACTOR</t>
  </si>
  <si>
    <t>VARIABILITY FACTORS</t>
  </si>
  <si>
    <t>VOLUME VARIABLE COSTS</t>
  </si>
  <si>
    <t>OTHER COSTS</t>
  </si>
  <si>
    <t>COLUMN NUMBER</t>
  </si>
  <si>
    <t>CALCULATIONS</t>
  </si>
  <si>
    <t>COLUMN SOURCE/NOTES</t>
  </si>
  <si>
    <t>TOTAL RUR CARRIER ROUTES (SUBS .112 &amp; .648)</t>
  </si>
  <si>
    <t>EQUIP MAINT ALLOWANCE (ACCTS 52462 &amp; 52463)</t>
  </si>
  <si>
    <t>TOTAL RURAL CARRIERS</t>
  </si>
  <si>
    <t>CLASS, SUBCLASS, OR SPECIAL SERVICE</t>
  </si>
  <si>
    <t>RPW PIECES</t>
  </si>
  <si>
    <t>DPS LETTERS</t>
  </si>
  <si>
    <t>SEC SEG LETTERS</t>
  </si>
  <si>
    <t>OTHER LETTERS</t>
  </si>
  <si>
    <t>FLATS DEL</t>
  </si>
  <si>
    <t>PARCELS DEL</t>
  </si>
  <si>
    <t>BOXHLDRS DEL</t>
  </si>
  <si>
    <t>ACCTBLS DEL</t>
  </si>
  <si>
    <t>POSTAGE DUE</t>
  </si>
  <si>
    <t>LTRS/FLATS COLLECTED</t>
  </si>
  <si>
    <t>PARCELS ACCEPTED</t>
  </si>
  <si>
    <t>ACCTBLS ACCEPTED</t>
  </si>
  <si>
    <t>Pieces (000)</t>
  </si>
  <si>
    <t xml:space="preserve">RPW </t>
  </si>
  <si>
    <t>Rural CCS</t>
  </si>
  <si>
    <t>FIRST-CLASS MAIL</t>
  </si>
  <si>
    <t xml:space="preserve">   SINGLE-PIECE LETTERS</t>
  </si>
  <si>
    <t xml:space="preserve">   PRESORT LETTERS</t>
  </si>
  <si>
    <t xml:space="preserve">        TOTAL LETTERS</t>
  </si>
  <si>
    <t xml:space="preserve">   SINGLE-PIECE CARDS</t>
  </si>
  <si>
    <t xml:space="preserve">   PRESORT CARDS</t>
  </si>
  <si>
    <t xml:space="preserve">        TOTAL CARDS</t>
  </si>
  <si>
    <t xml:space="preserve">TOTAL FIRST-CLASS </t>
  </si>
  <si>
    <t>PRIORITY MAIL</t>
  </si>
  <si>
    <t>EXPRESS MAIL</t>
  </si>
  <si>
    <t>MAILGRAMS</t>
  </si>
  <si>
    <t>PERIODICALS</t>
  </si>
  <si>
    <t xml:space="preserve">   IN-COUNTY</t>
  </si>
  <si>
    <t xml:space="preserve">   OUTSIDE COUNTY:</t>
  </si>
  <si>
    <t xml:space="preserve">      REGULAR</t>
  </si>
  <si>
    <t xml:space="preserve">      NON-PROFIT</t>
  </si>
  <si>
    <t xml:space="preserve">      CLASSROOM</t>
  </si>
  <si>
    <t>TOTAL PERIODICALS</t>
  </si>
  <si>
    <t>STANDARD MAIL</t>
  </si>
  <si>
    <t xml:space="preserve">   COMMERCIAL STANDARD:</t>
  </si>
  <si>
    <t xml:space="preserve">    ENHANCED CARR RTE</t>
  </si>
  <si>
    <t xml:space="preserve">    REGULAR</t>
  </si>
  <si>
    <t xml:space="preserve">      TOTAL COMMERCIAL</t>
  </si>
  <si>
    <t xml:space="preserve">   AGGREGATE NONPROFIT:</t>
  </si>
  <si>
    <t xml:space="preserve">    NONPROF ENH CARR RTE</t>
  </si>
  <si>
    <t xml:space="preserve">    NONPROFIT</t>
  </si>
  <si>
    <t xml:space="preserve">       TOTAL AGGREG NONPROFIT</t>
  </si>
  <si>
    <t>TOTAL STANDARD MAIL</t>
  </si>
  <si>
    <t>PACKAGE SERVICES</t>
  </si>
  <si>
    <t xml:space="preserve">   PARCELS ZONE RATE</t>
  </si>
  <si>
    <t xml:space="preserve">   BOUND PRINTED MATTER</t>
  </si>
  <si>
    <t xml:space="preserve">   MEDIA MAIL</t>
  </si>
  <si>
    <t xml:space="preserve">   LIBRARY MAIL</t>
  </si>
  <si>
    <t>TOTAL PACKAGE SERVICES</t>
  </si>
  <si>
    <t>US POSTAL SERVICE</t>
  </si>
  <si>
    <t>FREE MAIL</t>
  </si>
  <si>
    <t>INTERNATIONAL MAIL</t>
  </si>
  <si>
    <t>BUNDLED</t>
  </si>
  <si>
    <t>TOTAL ALL MAIL</t>
  </si>
  <si>
    <t>SPECIAL SERVICES:</t>
  </si>
  <si>
    <t xml:space="preserve">   REGISTRY</t>
  </si>
  <si>
    <t xml:space="preserve">   CERTIFIED</t>
  </si>
  <si>
    <t xml:space="preserve">   INSURANCE</t>
  </si>
  <si>
    <t xml:space="preserve">   COD</t>
  </si>
  <si>
    <t xml:space="preserve">   MONEY ORDERS</t>
  </si>
  <si>
    <t xml:space="preserve">   STMPD CARDS</t>
  </si>
  <si>
    <t xml:space="preserve">   STMPD ENVELOPES</t>
  </si>
  <si>
    <t xml:space="preserve">   SPECIAL HANDLING</t>
  </si>
  <si>
    <t xml:space="preserve">   POST OFFICE BOX</t>
  </si>
  <si>
    <t xml:space="preserve">   OTHER</t>
  </si>
  <si>
    <t>TOTAL SPECIAL SERVICES</t>
  </si>
  <si>
    <t>TOTAL VOLUME</t>
  </si>
  <si>
    <t>QUARTER</t>
  </si>
  <si>
    <t>SPLIT FACTOR EVALUATED ROUTES</t>
  </si>
  <si>
    <t>SPLIT FACTOR OTHER ROUTES</t>
  </si>
  <si>
    <t>TOTAL</t>
  </si>
  <si>
    <t>ROUTE EVALUATION ITEM</t>
  </si>
  <si>
    <t>AVERAGE WEEKLY PIECES</t>
  </si>
  <si>
    <t>UNADJUSTED ALLOWANCE</t>
  </si>
  <si>
    <t>VEHICLE LOAD DISTRIB</t>
  </si>
  <si>
    <t>MARKUPS DISTRIB</t>
  </si>
  <si>
    <t>ADJUSTED WEEKLY EVAL ALLOWANCE</t>
  </si>
  <si>
    <t>% BUNDLES IN DELIVERY PARCEL VOL</t>
  </si>
  <si>
    <t>BNDLD LTRS AND FLATS DISTRIB</t>
  </si>
  <si>
    <t>ADJ DELIV &amp; COLL MAIL COSTS</t>
  </si>
  <si>
    <t>Minutes/ Week</t>
  </si>
  <si>
    <t>VOLUME VARIABLE</t>
  </si>
  <si>
    <t>LETTERS DEL</t>
  </si>
  <si>
    <t>DPS DEL</t>
  </si>
  <si>
    <t>SEC SEG DEL</t>
  </si>
  <si>
    <t>LTR/FLATS COLLECTED</t>
  </si>
  <si>
    <t>SPECIAL SERVICES</t>
  </si>
  <si>
    <t>TOTAL MAIL</t>
  </si>
  <si>
    <t>OTHER</t>
  </si>
  <si>
    <t>TOTAL COSTS</t>
  </si>
  <si>
    <t>TOTAL VOLUME VARIABLE</t>
  </si>
  <si>
    <t>CRA CLASS</t>
  </si>
  <si>
    <t>EQUIPMENT MAINTENANCE ALLOWANCE</t>
  </si>
  <si>
    <t>MODEL COMPONENT</t>
  </si>
  <si>
    <t>PROCEED (+ 2 or - 2)</t>
  </si>
  <si>
    <t>Calculated Component Value=Total Costs of Evaluated Routes, Other Routes, &amp; EMA</t>
  </si>
  <si>
    <t>Actual Component Value=Total Accrued Costs Rural Carrier Routes &amp; Equipment Maintenance</t>
  </si>
  <si>
    <t xml:space="preserve">   OUTSIDE COUNTY</t>
  </si>
  <si>
    <t xml:space="preserve">    ENHANCED CARRIER ROUTE</t>
  </si>
  <si>
    <t xml:space="preserve">   PARCEL POST</t>
  </si>
  <si>
    <t>GRAND TOTAL</t>
  </si>
  <si>
    <t>[a]</t>
  </si>
  <si>
    <t>Excludes bundled letters and flats.</t>
  </si>
  <si>
    <t>Accountables distribution excludes volumes for return receipts and registered with COD.</t>
  </si>
  <si>
    <t xml:space="preserve"> DELIVERY CONFIRMATION SCANS</t>
  </si>
  <si>
    <t>TOTAL FIXED</t>
  </si>
  <si>
    <t>DELIVERY CONFIRMATION SCANS</t>
  </si>
  <si>
    <t xml:space="preserve"> DELIVERY CONFIRMATION </t>
  </si>
  <si>
    <t>TOTAL WEEKLY FIXED TIME</t>
  </si>
  <si>
    <t>Inputs DK</t>
  </si>
  <si>
    <t>DISTRIBUTION KEY INPUTS</t>
  </si>
  <si>
    <t>PQ 1-2</t>
  </si>
  <si>
    <t>PQ 3-4</t>
  </si>
  <si>
    <t>WS 10.1.1 PQ3-4</t>
  </si>
  <si>
    <t>AVERAGE WEEKLY PIECES - EVALUATED ROUTES PQ1-2</t>
  </si>
  <si>
    <t>AVERAGE WEEKLY PIECES - OTHER ROUTES PQ1-2</t>
  </si>
  <si>
    <t>AVERAGE WEEKLY PIECES - EVALUATED ROUTES PQ3-4</t>
  </si>
  <si>
    <t>AVERAGE WEEKLY PIECES - OTHER ROUTES PQ3-4</t>
  </si>
  <si>
    <t>EVALUATION FACTOR PQ1-2</t>
  </si>
  <si>
    <t>EVALUATION FACTOR PQ3-4</t>
  </si>
  <si>
    <t>EVALUATED ROUTES PQ1-2</t>
  </si>
  <si>
    <t>OTHER ROUTES PQ1-2</t>
  </si>
  <si>
    <t>EVALUATED ROUTES PQ3-4</t>
  </si>
  <si>
    <t>OTHER ROUTES PQ3-4</t>
  </si>
  <si>
    <t xml:space="preserve"> </t>
  </si>
  <si>
    <t>WS 10.2.2</t>
  </si>
  <si>
    <t>FY 2005 RMC</t>
  </si>
  <si>
    <t>VARIABILITY FACTORS PQ1-2</t>
  </si>
  <si>
    <t>VARIABILITY FACTORS PQ3-4</t>
  </si>
  <si>
    <t>ACCRUED COSTS P1-2</t>
  </si>
  <si>
    <t>ACCRUED COSTS PQ3-44</t>
  </si>
  <si>
    <t>2004 RMC</t>
  </si>
  <si>
    <t>2005 RMC</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</si>
</sst>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0.00000\)"/>
    <numFmt numFmtId="165" formatCode="0.00000_)"/>
    <numFmt numFmtId="166" formatCode="0.0000_)"/>
    <numFmt numFmtId="167" formatCode="General_)"/>
    <numFmt numFmtId="168" formatCode="0_)"/>
    <numFmt numFmtId="169" formatCode="#,##0.0000_);\(#,##0.0000\)"/>
    <numFmt numFmtId="170" formatCode="_(* #,##0.0000_);_(* \(#,##0.0000\);_(* &quot;-&quot;??_);_(@_)"/>
    <numFmt numFmtId="171" formatCode="_(* #,##0_);_(* \(#,##0\);_(* &quot;-&quot;??_);_(@_)"/>
    <numFmt numFmtId="172" formatCode="&quot;$&quot;#,##0.0;\(&quot;$&quot;#,##0.0\)"/>
    <numFmt numFmtId="173" formatCode="#,##0.0000000"/>
    <numFmt numFmtId="174" formatCode="#,##0.00000000"/>
    <numFmt numFmtId="175" formatCode="#,##0.000000000"/>
    <numFmt numFmtId="176" formatCode="#,##0.0000000000"/>
    <numFmt numFmtId="177" formatCode="_(* #,##0.00000_);_(* \(#,##0.00000\);_(* &quot;-&quot;??_);_(@_)"/>
    <numFmt numFmtId="178" formatCode="0.0%"/>
    <numFmt numFmtId="179" formatCode="_(* #,##0.0000_);_(* \(#,##0.0000\);_(* &quot;-&quot;????_);_(@_)"/>
    <numFmt numFmtId="180" formatCode="_(* #,##0.000_);_(* \(#,##0.000\);_(* &quot;-&quot;??_);_(@_)"/>
    <numFmt numFmtId="181" formatCode="#,##0.0_);\(#,##0.0\)"/>
    <numFmt numFmtId="182" formatCode="#,##0.000_);\(#,##0.000\)"/>
    <numFmt numFmtId="183" formatCode="_(&quot;$&quot;* #,##0.000_);_(&quot;$&quot;* \(#,##0.000\);_(&quot;$&quot;* &quot;-&quot;??_);_(@_)"/>
    <numFmt numFmtId="184" formatCode="_(* #,##0.000_);_(* \(#,##0.000\);_(* &quot;-&quot;???_);_(@_)"/>
  </numFmts>
  <fonts count="21">
    <font>
      <sz val="12"/>
      <name val="Helv"/>
      <family val="0"/>
    </font>
    <font>
      <b/>
      <sz val="10"/>
      <name val="Arial"/>
      <family val="0"/>
    </font>
    <font>
      <i/>
      <sz val="10"/>
      <name val="Arial"/>
      <family val="0"/>
    </font>
    <font>
      <b/>
      <i/>
      <sz val="10"/>
      <name val="Arial"/>
      <family val="0"/>
    </font>
    <font>
      <sz val="10"/>
      <name val="Arial"/>
      <family val="0"/>
    </font>
    <font>
      <sz val="8"/>
      <name val="Arial"/>
      <family val="2"/>
    </font>
    <font>
      <sz val="8"/>
      <color indexed="12"/>
      <name val="Arial"/>
      <family val="2"/>
    </font>
    <font>
      <b/>
      <sz val="8"/>
      <name val="Arial"/>
      <family val="2"/>
    </font>
    <font>
      <sz val="9"/>
      <name val="Arial"/>
      <family val="2"/>
    </font>
    <font>
      <b/>
      <sz val="9"/>
      <name val="Arial"/>
      <family val="2"/>
    </font>
    <font>
      <sz val="8"/>
      <color indexed="8"/>
      <name val="Arial"/>
      <family val="2"/>
    </font>
    <font>
      <u val="single"/>
      <sz val="12"/>
      <color indexed="12"/>
      <name val="Helv"/>
      <family val="0"/>
    </font>
    <font>
      <u val="single"/>
      <sz val="12"/>
      <color indexed="36"/>
      <name val="Helv"/>
      <family val="0"/>
    </font>
    <font>
      <b/>
      <sz val="9"/>
      <color indexed="9"/>
      <name val="Arial"/>
      <family val="2"/>
    </font>
    <font>
      <b/>
      <sz val="8"/>
      <color indexed="9"/>
      <name val="Arial"/>
      <family val="2"/>
    </font>
    <font>
      <i/>
      <sz val="8"/>
      <name val="Arial"/>
      <family val="2"/>
    </font>
    <font>
      <sz val="14"/>
      <name val="Wingdings"/>
      <family val="0"/>
    </font>
    <font>
      <b/>
      <sz val="9"/>
      <color indexed="8"/>
      <name val="Arial"/>
      <family val="2"/>
    </font>
    <font>
      <sz val="8"/>
      <name val="Tahoma"/>
      <family val="0"/>
    </font>
    <font>
      <sz val="8"/>
      <name val="Helv"/>
      <family val="0"/>
    </font>
    <font>
      <b/>
      <sz val="8"/>
      <name val="Helv"/>
      <family val="2"/>
    </font>
  </fonts>
  <fills count="4">
    <fill>
      <patternFill/>
    </fill>
    <fill>
      <patternFill patternType="gray125"/>
    </fill>
    <fill>
      <patternFill patternType="solid">
        <fgColor indexed="8"/>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hair"/>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hair"/>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8">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1" applyBorder="0">
      <alignment/>
      <protection/>
    </xf>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174" fontId="4" fillId="0" borderId="0" applyFont="0" applyFill="0" applyBorder="0" applyAlignment="0" applyProtection="0"/>
    <xf numFmtId="176" fontId="4" fillId="0" borderId="0" applyFont="0" applyFill="0" applyBorder="0" applyAlignment="0" applyProtection="0"/>
    <xf numFmtId="173" fontId="4" fillId="0" borderId="0" applyFont="0" applyFill="0" applyBorder="0" applyAlignment="0" applyProtection="0"/>
    <xf numFmtId="175" fontId="4" fillId="0" borderId="0" applyFont="0" applyFill="0" applyBorder="0" applyAlignment="0" applyProtection="0"/>
    <xf numFmtId="172" fontId="4" fillId="0" borderId="0">
      <alignment/>
      <protection/>
    </xf>
    <xf numFmtId="9" fontId="4" fillId="0" borderId="0" applyFont="0" applyFill="0" applyBorder="0" applyAlignment="0" applyProtection="0"/>
  </cellStyleXfs>
  <cellXfs count="264">
    <xf numFmtId="37" fontId="0" fillId="0" borderId="0" xfId="0" applyAlignment="1">
      <alignment/>
    </xf>
    <xf numFmtId="37" fontId="4" fillId="0" borderId="0" xfId="0" applyFont="1" applyAlignment="1">
      <alignment/>
    </xf>
    <xf numFmtId="37" fontId="5" fillId="0" borderId="0" xfId="0" applyFont="1" applyAlignment="1">
      <alignment/>
    </xf>
    <xf numFmtId="37" fontId="5" fillId="0" borderId="0" xfId="0" applyFont="1" applyAlignment="1">
      <alignment horizontal="left"/>
    </xf>
    <xf numFmtId="37" fontId="5" fillId="0" borderId="0" xfId="0" applyFont="1" applyAlignment="1" quotePrefix="1">
      <alignment horizontal="left"/>
    </xf>
    <xf numFmtId="37" fontId="5" fillId="0" borderId="0" xfId="0" applyFont="1" applyAlignment="1">
      <alignment horizontal="center" wrapText="1"/>
    </xf>
    <xf numFmtId="37" fontId="6" fillId="0" borderId="0" xfId="0" applyFont="1" applyAlignment="1" applyProtection="1">
      <alignment/>
      <protection locked="0"/>
    </xf>
    <xf numFmtId="164" fontId="5" fillId="0" borderId="0" xfId="0" applyNumberFormat="1" applyFont="1" applyAlignment="1" applyProtection="1">
      <alignment/>
      <protection/>
    </xf>
    <xf numFmtId="37" fontId="5" fillId="0" borderId="0" xfId="0" applyFont="1" applyAlignment="1">
      <alignment horizontal="right"/>
    </xf>
    <xf numFmtId="170" fontId="5" fillId="0" borderId="0" xfId="16" applyNumberFormat="1" applyFont="1" applyAlignment="1">
      <alignment/>
    </xf>
    <xf numFmtId="177" fontId="5" fillId="0" borderId="0" xfId="16" applyNumberFormat="1" applyFont="1" applyAlignment="1">
      <alignment/>
    </xf>
    <xf numFmtId="37" fontId="5" fillId="0" borderId="0" xfId="0" applyFont="1" applyAlignment="1">
      <alignment horizontal="fill"/>
    </xf>
    <xf numFmtId="37" fontId="5" fillId="0" borderId="2" xfId="0" applyFont="1" applyBorder="1" applyAlignment="1">
      <alignment/>
    </xf>
    <xf numFmtId="37" fontId="5" fillId="0" borderId="3" xfId="0" applyFont="1" applyBorder="1" applyAlignment="1">
      <alignment/>
    </xf>
    <xf numFmtId="37" fontId="5" fillId="0" borderId="4" xfId="0" applyFont="1" applyBorder="1" applyAlignment="1" quotePrefix="1">
      <alignment horizontal="center"/>
    </xf>
    <xf numFmtId="37" fontId="8" fillId="0" borderId="0" xfId="0" applyFont="1" applyAlignment="1">
      <alignment/>
    </xf>
    <xf numFmtId="37" fontId="9" fillId="0" borderId="0" xfId="0" applyFont="1" applyAlignment="1">
      <alignment/>
    </xf>
    <xf numFmtId="37" fontId="8" fillId="0" borderId="0" xfId="0" applyFont="1" applyAlignment="1" quotePrefix="1">
      <alignment horizontal="left"/>
    </xf>
    <xf numFmtId="37" fontId="5" fillId="0" borderId="0" xfId="0" applyFont="1" applyAlignment="1">
      <alignment wrapText="1"/>
    </xf>
    <xf numFmtId="37" fontId="5" fillId="0" borderId="5" xfId="0" applyFont="1" applyBorder="1" applyAlignment="1">
      <alignment horizontal="center"/>
    </xf>
    <xf numFmtId="37" fontId="5" fillId="0" borderId="5" xfId="0" applyFont="1" applyBorder="1" applyAlignment="1">
      <alignment/>
    </xf>
    <xf numFmtId="37" fontId="5" fillId="0" borderId="5" xfId="0" applyFont="1" applyBorder="1" applyAlignment="1" quotePrefix="1">
      <alignment horizontal="center"/>
    </xf>
    <xf numFmtId="37" fontId="5" fillId="0" borderId="5" xfId="0" applyFont="1" applyBorder="1" applyAlignment="1">
      <alignment horizontal="left"/>
    </xf>
    <xf numFmtId="37" fontId="7" fillId="0" borderId="4" xfId="0" applyFont="1" applyBorder="1" applyAlignment="1">
      <alignment horizontal="left"/>
    </xf>
    <xf numFmtId="37" fontId="7" fillId="0" borderId="4" xfId="0" applyFont="1" applyFill="1" applyBorder="1" applyAlignment="1">
      <alignment/>
    </xf>
    <xf numFmtId="37" fontId="7" fillId="0" borderId="6" xfId="0" applyFont="1" applyBorder="1" applyAlignment="1">
      <alignment horizontal="left"/>
    </xf>
    <xf numFmtId="37" fontId="7" fillId="0" borderId="6" xfId="0" applyFont="1" applyFill="1" applyBorder="1" applyAlignment="1">
      <alignment horizontal="left"/>
    </xf>
    <xf numFmtId="37" fontId="5" fillId="0" borderId="7" xfId="0" applyFont="1" applyBorder="1" applyAlignment="1" quotePrefix="1">
      <alignment horizontal="center"/>
    </xf>
    <xf numFmtId="37" fontId="5" fillId="0" borderId="4" xfId="0" applyFont="1" applyBorder="1" applyAlignment="1">
      <alignment/>
    </xf>
    <xf numFmtId="39" fontId="5" fillId="0" borderId="4" xfId="0" applyNumberFormat="1" applyFont="1" applyBorder="1" applyAlignment="1" applyProtection="1">
      <alignment/>
      <protection/>
    </xf>
    <xf numFmtId="37" fontId="10" fillId="0" borderId="4" xfId="0" applyFont="1" applyBorder="1" applyAlignment="1">
      <alignment/>
    </xf>
    <xf numFmtId="37" fontId="5" fillId="0" borderId="5" xfId="0" applyFont="1" applyBorder="1" applyAlignment="1">
      <alignment wrapText="1"/>
    </xf>
    <xf numFmtId="37" fontId="5" fillId="0" borderId="8" xfId="0" applyFont="1" applyBorder="1" applyAlignment="1" quotePrefix="1">
      <alignment horizontal="center"/>
    </xf>
    <xf numFmtId="37" fontId="5" fillId="0" borderId="4" xfId="0" applyFont="1" applyBorder="1" applyAlignment="1" quotePrefix="1">
      <alignment horizontal="center" wrapText="1"/>
    </xf>
    <xf numFmtId="37" fontId="5" fillId="0" borderId="4" xfId="0" applyNumberFormat="1" applyFont="1" applyBorder="1" applyAlignment="1" applyProtection="1">
      <alignment/>
      <protection/>
    </xf>
    <xf numFmtId="10" fontId="5" fillId="0" borderId="4" xfId="0" applyNumberFormat="1" applyFont="1" applyBorder="1" applyAlignment="1" applyProtection="1">
      <alignment/>
      <protection/>
    </xf>
    <xf numFmtId="37" fontId="10" fillId="0" borderId="4" xfId="0" applyNumberFormat="1" applyFont="1" applyBorder="1" applyAlignment="1" applyProtection="1">
      <alignment/>
      <protection/>
    </xf>
    <xf numFmtId="10" fontId="10" fillId="0" borderId="4" xfId="0" applyNumberFormat="1" applyFont="1" applyBorder="1" applyAlignment="1" applyProtection="1">
      <alignment/>
      <protection/>
    </xf>
    <xf numFmtId="37" fontId="5" fillId="0" borderId="9" xfId="0" applyFont="1" applyBorder="1" applyAlignment="1">
      <alignment/>
    </xf>
    <xf numFmtId="37" fontId="5" fillId="0" borderId="10" xfId="0" applyFont="1" applyBorder="1" applyAlignment="1">
      <alignment/>
    </xf>
    <xf numFmtId="167" fontId="5" fillId="0" borderId="5" xfId="0" applyNumberFormat="1" applyFont="1" applyBorder="1" applyAlignment="1" applyProtection="1">
      <alignment horizontal="left"/>
      <protection/>
    </xf>
    <xf numFmtId="167" fontId="5" fillId="0" borderId="5" xfId="0" applyNumberFormat="1" applyFont="1" applyBorder="1" applyAlignment="1" applyProtection="1">
      <alignment horizontal="center"/>
      <protection/>
    </xf>
    <xf numFmtId="167" fontId="5" fillId="0" borderId="5" xfId="0" applyNumberFormat="1" applyFont="1" applyBorder="1" applyAlignment="1" applyProtection="1" quotePrefix="1">
      <alignment horizontal="center"/>
      <protection/>
    </xf>
    <xf numFmtId="37" fontId="5" fillId="0" borderId="5" xfId="0" applyFont="1" applyBorder="1" applyAlignment="1">
      <alignment horizontal="center" wrapText="1"/>
    </xf>
    <xf numFmtId="37" fontId="5" fillId="0" borderId="8" xfId="0" applyFont="1" applyBorder="1" applyAlignment="1">
      <alignment horizontal="center" wrapText="1"/>
    </xf>
    <xf numFmtId="37" fontId="7" fillId="0" borderId="6" xfId="0" applyFont="1" applyBorder="1" applyAlignment="1" quotePrefix="1">
      <alignment horizontal="left" vertical="top"/>
    </xf>
    <xf numFmtId="37" fontId="5" fillId="0" borderId="6" xfId="0" applyFont="1" applyBorder="1" applyAlignment="1">
      <alignment horizontal="center" vertical="top"/>
    </xf>
    <xf numFmtId="43" fontId="10" fillId="0" borderId="4" xfId="16" applyFont="1" applyBorder="1" applyAlignment="1" applyProtection="1">
      <alignment/>
      <protection locked="0"/>
    </xf>
    <xf numFmtId="37" fontId="5" fillId="0" borderId="0" xfId="0" applyFont="1" applyAlignment="1">
      <alignment/>
    </xf>
    <xf numFmtId="37" fontId="7" fillId="0" borderId="5" xfId="0" applyFont="1" applyBorder="1" applyAlignment="1">
      <alignment horizontal="left"/>
    </xf>
    <xf numFmtId="37" fontId="7" fillId="0" borderId="8" xfId="0" applyFont="1" applyBorder="1" applyAlignment="1">
      <alignment horizontal="left"/>
    </xf>
    <xf numFmtId="37" fontId="7" fillId="0" borderId="0" xfId="0" applyFont="1" applyBorder="1" applyAlignment="1">
      <alignment horizontal="left" vertical="top" wrapText="1"/>
    </xf>
    <xf numFmtId="37" fontId="5" fillId="0" borderId="4" xfId="0" applyFont="1" applyBorder="1" applyAlignment="1" quotePrefix="1">
      <alignment horizontal="center" vertical="top" wrapText="1"/>
    </xf>
    <xf numFmtId="37" fontId="8" fillId="0" borderId="11" xfId="0" applyFont="1" applyBorder="1" applyAlignment="1" quotePrefix="1">
      <alignment horizontal="left" vertical="top" wrapText="1"/>
    </xf>
    <xf numFmtId="37" fontId="5" fillId="0" borderId="4" xfId="0" applyFont="1" applyBorder="1" applyAlignment="1">
      <alignment horizontal="center" wrapText="1"/>
    </xf>
    <xf numFmtId="37" fontId="9" fillId="0" borderId="11" xfId="0" applyFont="1" applyBorder="1" applyAlignment="1">
      <alignment vertical="top" wrapText="1"/>
    </xf>
    <xf numFmtId="37" fontId="15" fillId="0" borderId="2" xfId="0" applyFont="1" applyBorder="1" applyAlignment="1">
      <alignment horizontal="center"/>
    </xf>
    <xf numFmtId="37" fontId="15" fillId="0" borderId="3" xfId="0" applyFont="1" applyBorder="1" applyAlignment="1">
      <alignment horizontal="center"/>
    </xf>
    <xf numFmtId="37" fontId="15" fillId="0" borderId="5" xfId="0" applyFont="1" applyBorder="1" applyAlignment="1">
      <alignment horizontal="center"/>
    </xf>
    <xf numFmtId="37" fontId="15" fillId="0" borderId="8" xfId="0" applyFont="1" applyBorder="1" applyAlignment="1">
      <alignment horizontal="center"/>
    </xf>
    <xf numFmtId="37" fontId="15" fillId="0" borderId="5" xfId="0" applyFont="1" applyBorder="1" applyAlignment="1">
      <alignment horizontal="center" wrapText="1"/>
    </xf>
    <xf numFmtId="37" fontId="15" fillId="0" borderId="8" xfId="0" applyFont="1" applyBorder="1" applyAlignment="1">
      <alignment horizontal="center" wrapText="1"/>
    </xf>
    <xf numFmtId="37" fontId="15" fillId="0" borderId="2" xfId="0" applyFont="1" applyBorder="1" applyAlignment="1">
      <alignment horizontal="center" wrapText="1"/>
    </xf>
    <xf numFmtId="37" fontId="15" fillId="0" borderId="5" xfId="0" applyFont="1" applyBorder="1" applyAlignment="1">
      <alignment horizontal="center" vertical="top"/>
    </xf>
    <xf numFmtId="37" fontId="15" fillId="0" borderId="2" xfId="0" applyFont="1" applyBorder="1" applyAlignment="1">
      <alignment horizontal="center" vertical="top"/>
    </xf>
    <xf numFmtId="37" fontId="9" fillId="0" borderId="11" xfId="0" applyFont="1" applyBorder="1" applyAlignment="1" quotePrefix="1">
      <alignment horizontal="left" vertical="top" wrapText="1"/>
    </xf>
    <xf numFmtId="37" fontId="7" fillId="0" borderId="5" xfId="0" applyFont="1" applyBorder="1" applyAlignment="1" quotePrefix="1">
      <alignment horizontal="left"/>
    </xf>
    <xf numFmtId="37" fontId="5" fillId="0" borderId="5" xfId="0" applyFont="1" applyFill="1" applyBorder="1" applyAlignment="1">
      <alignment horizontal="left"/>
    </xf>
    <xf numFmtId="37" fontId="7" fillId="0" borderId="8" xfId="0" applyFont="1" applyFill="1" applyBorder="1" applyAlignment="1">
      <alignment horizontal="left"/>
    </xf>
    <xf numFmtId="37" fontId="7" fillId="0" borderId="5" xfId="0" applyFont="1" applyFill="1" applyBorder="1" applyAlignment="1">
      <alignment horizontal="left"/>
    </xf>
    <xf numFmtId="37" fontId="7" fillId="0" borderId="5" xfId="0" applyFont="1" applyBorder="1" applyAlignment="1">
      <alignment horizontal="left" vertical="top" wrapText="1"/>
    </xf>
    <xf numFmtId="37" fontId="5" fillId="0" borderId="2" xfId="0" applyFont="1" applyBorder="1" applyAlignment="1">
      <alignment vertical="top" wrapText="1"/>
    </xf>
    <xf numFmtId="37" fontId="5" fillId="0" borderId="4" xfId="0" applyFont="1" applyBorder="1" applyAlignment="1">
      <alignment horizontal="center" vertical="top" wrapText="1"/>
    </xf>
    <xf numFmtId="37" fontId="5" fillId="0" borderId="5" xfId="0" applyFont="1" applyBorder="1" applyAlignment="1">
      <alignment horizontal="center" vertical="top" wrapText="1"/>
    </xf>
    <xf numFmtId="37" fontId="5" fillId="0" borderId="8" xfId="0" applyFont="1" applyBorder="1" applyAlignment="1">
      <alignment vertical="top" wrapText="1"/>
    </xf>
    <xf numFmtId="37" fontId="5" fillId="0" borderId="12" xfId="0" applyFont="1" applyBorder="1" applyAlignment="1">
      <alignment horizontal="center" vertical="top" wrapText="1"/>
    </xf>
    <xf numFmtId="37" fontId="5" fillId="0" borderId="12" xfId="0" applyFont="1" applyBorder="1" applyAlignment="1" quotePrefix="1">
      <alignment horizontal="center" vertical="top" wrapText="1"/>
    </xf>
    <xf numFmtId="37" fontId="5" fillId="0" borderId="6" xfId="0" applyFont="1" applyBorder="1" applyAlignment="1" quotePrefix="1">
      <alignment horizontal="center" vertical="top" wrapText="1"/>
    </xf>
    <xf numFmtId="37" fontId="5" fillId="0" borderId="0" xfId="0" applyFont="1" applyAlignment="1">
      <alignment vertical="top" wrapText="1"/>
    </xf>
    <xf numFmtId="37" fontId="7" fillId="0" borderId="0" xfId="0" applyFont="1" applyAlignment="1" quotePrefix="1">
      <alignment horizontal="right"/>
    </xf>
    <xf numFmtId="37" fontId="16" fillId="0" borderId="0" xfId="0" applyFont="1" applyAlignment="1">
      <alignment horizontal="right"/>
    </xf>
    <xf numFmtId="171" fontId="7" fillId="0" borderId="0" xfId="16" applyNumberFormat="1" applyFont="1" applyFill="1" applyAlignment="1" quotePrefix="1">
      <alignment horizontal="right"/>
    </xf>
    <xf numFmtId="37" fontId="5" fillId="0" borderId="8" xfId="0" applyFont="1" applyBorder="1" applyAlignment="1">
      <alignment horizontal="center" vertical="top" wrapText="1"/>
    </xf>
    <xf numFmtId="37" fontId="5" fillId="0" borderId="6" xfId="0" applyFont="1" applyBorder="1" applyAlignment="1">
      <alignment horizontal="center" wrapText="1"/>
    </xf>
    <xf numFmtId="37" fontId="5" fillId="0" borderId="5" xfId="0" applyFont="1" applyBorder="1" applyAlignment="1" quotePrefix="1">
      <alignment horizontal="center" vertical="top" wrapText="1"/>
    </xf>
    <xf numFmtId="37" fontId="5" fillId="0" borderId="5" xfId="0" applyFont="1" applyBorder="1" applyAlignment="1">
      <alignment horizontal="center" vertical="top"/>
    </xf>
    <xf numFmtId="37" fontId="5" fillId="0" borderId="5" xfId="0" applyFont="1" applyBorder="1" applyAlignment="1" quotePrefix="1">
      <alignment horizontal="center" vertical="top"/>
    </xf>
    <xf numFmtId="37" fontId="17" fillId="0" borderId="11" xfId="21" applyFont="1" applyBorder="1" applyAlignment="1" quotePrefix="1">
      <alignment horizontal="left" vertical="top"/>
    </xf>
    <xf numFmtId="37" fontId="17" fillId="0" borderId="11" xfId="21" applyFont="1" applyBorder="1" applyAlignment="1">
      <alignment horizontal="left" vertical="top"/>
    </xf>
    <xf numFmtId="37" fontId="17" fillId="0" borderId="11" xfId="21" applyFont="1" applyBorder="1" applyAlignment="1">
      <alignment vertical="top"/>
    </xf>
    <xf numFmtId="37" fontId="5" fillId="0" borderId="8" xfId="0" applyFont="1" applyBorder="1" applyAlignment="1">
      <alignment vertical="top"/>
    </xf>
    <xf numFmtId="37" fontId="5" fillId="0" borderId="6" xfId="0" applyFont="1" applyBorder="1" applyAlignment="1">
      <alignment horizontal="center" vertical="top" wrapText="1"/>
    </xf>
    <xf numFmtId="37" fontId="5" fillId="0" borderId="10" xfId="0" applyFont="1" applyBorder="1" applyAlignment="1" quotePrefix="1">
      <alignment horizontal="center"/>
    </xf>
    <xf numFmtId="171" fontId="5" fillId="0" borderId="5" xfId="16" applyNumberFormat="1" applyFont="1" applyBorder="1" applyAlignment="1">
      <alignment/>
    </xf>
    <xf numFmtId="37" fontId="5" fillId="0" borderId="2" xfId="0" applyFont="1" applyBorder="1" applyAlignment="1">
      <alignment vertical="top"/>
    </xf>
    <xf numFmtId="37" fontId="7" fillId="0" borderId="5" xfId="0" applyFont="1" applyBorder="1" applyAlignment="1">
      <alignment horizontal="left" vertical="top"/>
    </xf>
    <xf numFmtId="37" fontId="5" fillId="0" borderId="0" xfId="0" applyFont="1" applyAlignment="1">
      <alignment vertical="top"/>
    </xf>
    <xf numFmtId="37" fontId="5" fillId="0" borderId="3" xfId="0" applyFont="1" applyBorder="1" applyAlignment="1">
      <alignment vertical="top"/>
    </xf>
    <xf numFmtId="37" fontId="7" fillId="0" borderId="8" xfId="0" applyFont="1" applyBorder="1" applyAlignment="1">
      <alignment horizontal="left" vertical="top"/>
    </xf>
    <xf numFmtId="37" fontId="5" fillId="0" borderId="5" xfId="0" applyFont="1" applyBorder="1" applyAlignment="1" quotePrefix="1">
      <alignment horizontal="left" vertical="top"/>
    </xf>
    <xf numFmtId="37" fontId="5" fillId="0" borderId="5" xfId="0" applyFont="1" applyBorder="1" applyAlignment="1">
      <alignment vertical="top"/>
    </xf>
    <xf numFmtId="37" fontId="5" fillId="0" borderId="5" xfId="0" applyFont="1" applyBorder="1" applyAlignment="1">
      <alignment horizontal="left" vertical="top"/>
    </xf>
    <xf numFmtId="10" fontId="5" fillId="0" borderId="5" xfId="27" applyNumberFormat="1" applyFont="1" applyBorder="1" applyAlignment="1">
      <alignment vertical="top"/>
    </xf>
    <xf numFmtId="37" fontId="7" fillId="0" borderId="10" xfId="0" applyFont="1" applyBorder="1" applyAlignment="1">
      <alignment horizontal="left" vertical="top"/>
    </xf>
    <xf numFmtId="37" fontId="5" fillId="0" borderId="10" xfId="0" applyFont="1" applyBorder="1" applyAlignment="1">
      <alignment horizontal="left" vertical="top"/>
    </xf>
    <xf numFmtId="167" fontId="5" fillId="0" borderId="8" xfId="0" applyNumberFormat="1" applyFont="1" applyBorder="1" applyAlignment="1" applyProtection="1">
      <alignment horizontal="center" vertical="top" wrapText="1"/>
      <protection/>
    </xf>
    <xf numFmtId="167" fontId="5" fillId="0" borderId="8" xfId="0" applyNumberFormat="1" applyFont="1" applyBorder="1" applyAlignment="1" applyProtection="1">
      <alignment horizontal="left" vertical="top"/>
      <protection/>
    </xf>
    <xf numFmtId="37" fontId="1" fillId="0" borderId="0" xfId="0" applyFont="1" applyAlignment="1">
      <alignment/>
    </xf>
    <xf numFmtId="37" fontId="1" fillId="0" borderId="0" xfId="0" applyFont="1" applyAlignment="1">
      <alignment horizontal="left"/>
    </xf>
    <xf numFmtId="37" fontId="4" fillId="0" borderId="0" xfId="0" applyFont="1" applyAlignment="1" quotePrefix="1">
      <alignment horizontal="left"/>
    </xf>
    <xf numFmtId="37" fontId="1" fillId="0" borderId="0" xfId="0" applyFont="1" applyAlignment="1" quotePrefix="1">
      <alignment horizontal="left"/>
    </xf>
    <xf numFmtId="37" fontId="1" fillId="0" borderId="0" xfId="0" applyFont="1" applyAlignment="1" quotePrefix="1">
      <alignment horizontal="left" wrapText="1"/>
    </xf>
    <xf numFmtId="37" fontId="4" fillId="0" borderId="0" xfId="0" applyFont="1" applyAlignment="1">
      <alignment wrapText="1"/>
    </xf>
    <xf numFmtId="37" fontId="8" fillId="0" borderId="4" xfId="0" applyFont="1" applyBorder="1" applyAlignment="1" quotePrefix="1">
      <alignment horizontal="left" wrapText="1"/>
    </xf>
    <xf numFmtId="37" fontId="13" fillId="2" borderId="11" xfId="0" applyFont="1" applyFill="1" applyBorder="1" applyAlignment="1">
      <alignment/>
    </xf>
    <xf numFmtId="37" fontId="13" fillId="2" borderId="11" xfId="0" applyFont="1" applyFill="1" applyBorder="1" applyAlignment="1" quotePrefix="1">
      <alignment horizontal="left"/>
    </xf>
    <xf numFmtId="37" fontId="14" fillId="2" borderId="11" xfId="0" applyFont="1" applyFill="1" applyBorder="1" applyAlignment="1">
      <alignment horizontal="center" wrapText="1"/>
    </xf>
    <xf numFmtId="37" fontId="14" fillId="2" borderId="11" xfId="0" applyFont="1" applyFill="1" applyBorder="1" applyAlignment="1">
      <alignment horizontal="left"/>
    </xf>
    <xf numFmtId="37" fontId="14" fillId="2" borderId="11" xfId="0" applyFont="1" applyFill="1" applyBorder="1" applyAlignment="1" quotePrefix="1">
      <alignment horizontal="center" wrapText="1"/>
    </xf>
    <xf numFmtId="37" fontId="14" fillId="2" borderId="11" xfId="0" applyFont="1" applyFill="1" applyBorder="1" applyAlignment="1" quotePrefix="1">
      <alignment horizontal="center" vertical="top" wrapText="1"/>
    </xf>
    <xf numFmtId="37" fontId="14" fillId="2" borderId="11" xfId="0" applyNumberFormat="1" applyFont="1" applyFill="1" applyBorder="1" applyAlignment="1" applyProtection="1" quotePrefix="1">
      <alignment horizontal="center" wrapText="1"/>
      <protection/>
    </xf>
    <xf numFmtId="167" fontId="14" fillId="2" borderId="11" xfId="0" applyNumberFormat="1" applyFont="1" applyFill="1" applyBorder="1" applyAlignment="1" applyProtection="1" quotePrefix="1">
      <alignment horizontal="center" wrapText="1"/>
      <protection/>
    </xf>
    <xf numFmtId="37" fontId="8" fillId="0" borderId="4" xfId="0" applyFont="1" applyBorder="1" applyAlignment="1" quotePrefix="1">
      <alignment horizontal="left" vertical="top" wrapText="1"/>
    </xf>
    <xf numFmtId="37" fontId="8" fillId="0" borderId="6" xfId="0" applyFont="1" applyBorder="1" applyAlignment="1" quotePrefix="1">
      <alignment horizontal="left" vertical="top" wrapText="1"/>
    </xf>
    <xf numFmtId="37" fontId="8" fillId="0" borderId="13" xfId="0" applyFont="1" applyBorder="1" applyAlignment="1">
      <alignment horizontal="left" vertical="top" wrapText="1"/>
    </xf>
    <xf numFmtId="37" fontId="8" fillId="0" borderId="4" xfId="0" applyFont="1" applyBorder="1" applyAlignment="1" quotePrefix="1">
      <alignment vertical="top" wrapText="1"/>
    </xf>
    <xf numFmtId="37" fontId="8" fillId="0" borderId="2" xfId="0" applyFont="1" applyBorder="1" applyAlignment="1" quotePrefix="1">
      <alignment horizontal="center" vertical="top" wrapText="1"/>
    </xf>
    <xf numFmtId="37" fontId="8" fillId="0" borderId="3" xfId="0" applyFont="1" applyBorder="1" applyAlignment="1" quotePrefix="1">
      <alignment horizontal="center" vertical="top" wrapText="1"/>
    </xf>
    <xf numFmtId="37" fontId="8" fillId="0" borderId="11" xfId="0" applyFont="1" applyBorder="1" applyAlignment="1">
      <alignment horizontal="left" vertical="top" wrapText="1"/>
    </xf>
    <xf numFmtId="0" fontId="5" fillId="0" borderId="5"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center"/>
      <protection/>
    </xf>
    <xf numFmtId="37" fontId="7" fillId="0" borderId="0" xfId="0" applyFont="1" applyAlignment="1">
      <alignment horizontal="right"/>
    </xf>
    <xf numFmtId="37" fontId="14" fillId="2" borderId="11" xfId="0" applyFont="1" applyFill="1" applyBorder="1" applyAlignment="1" quotePrefix="1">
      <alignment horizontal="left" wrapText="1"/>
    </xf>
    <xf numFmtId="37" fontId="4" fillId="0" borderId="0" xfId="0" applyFont="1" applyAlignment="1">
      <alignment horizontal="left"/>
    </xf>
    <xf numFmtId="37" fontId="8" fillId="0" borderId="0" xfId="0" applyFont="1" applyAlignment="1">
      <alignment wrapText="1"/>
    </xf>
    <xf numFmtId="37" fontId="14" fillId="2" borderId="11" xfId="0" applyFont="1" applyFill="1" applyBorder="1" applyAlignment="1">
      <alignment horizontal="left" wrapText="1"/>
    </xf>
    <xf numFmtId="169" fontId="10" fillId="0" borderId="4" xfId="0" applyNumberFormat="1" applyFont="1" applyBorder="1" applyAlignment="1" applyProtection="1">
      <alignment/>
      <protection locked="0"/>
    </xf>
    <xf numFmtId="37" fontId="15" fillId="0" borderId="14" xfId="0" applyFont="1" applyBorder="1" applyAlignment="1">
      <alignment horizontal="center" wrapText="1"/>
    </xf>
    <xf numFmtId="37" fontId="7" fillId="0" borderId="11" xfId="0" applyFont="1" applyBorder="1" applyAlignment="1">
      <alignment horizontal="left"/>
    </xf>
    <xf numFmtId="39" fontId="5" fillId="0" borderId="15" xfId="0" applyNumberFormat="1" applyFont="1" applyBorder="1" applyAlignment="1" applyProtection="1">
      <alignment/>
      <protection/>
    </xf>
    <xf numFmtId="169" fontId="10" fillId="0" borderId="15" xfId="0" applyNumberFormat="1" applyFont="1" applyBorder="1" applyAlignment="1">
      <alignment/>
    </xf>
    <xf numFmtId="37" fontId="5" fillId="0" borderId="15" xfId="0" applyFont="1" applyBorder="1" applyAlignment="1">
      <alignment/>
    </xf>
    <xf numFmtId="10" fontId="5" fillId="0" borderId="4" xfId="27" applyNumberFormat="1" applyFont="1" applyBorder="1" applyAlignment="1">
      <alignment/>
    </xf>
    <xf numFmtId="37" fontId="13" fillId="2" borderId="11" xfId="0" applyFont="1" applyFill="1" applyBorder="1" applyAlignment="1">
      <alignment horizontal="left" wrapText="1"/>
    </xf>
    <xf numFmtId="37" fontId="9" fillId="0" borderId="10" xfId="0" applyFont="1" applyBorder="1" applyAlignment="1">
      <alignment horizontal="left" vertical="top"/>
    </xf>
    <xf numFmtId="37" fontId="8" fillId="0" borderId="5" xfId="0" applyFont="1" applyBorder="1" applyAlignment="1">
      <alignment horizontal="left" vertical="top"/>
    </xf>
    <xf numFmtId="37" fontId="8" fillId="0" borderId="8" xfId="0" applyFont="1" applyBorder="1" applyAlignment="1">
      <alignment horizontal="left" vertical="top"/>
    </xf>
    <xf numFmtId="37" fontId="8" fillId="0" borderId="6" xfId="0" applyFont="1" applyBorder="1" applyAlignment="1" quotePrefix="1">
      <alignment horizontal="left" wrapText="1"/>
    </xf>
    <xf numFmtId="37" fontId="9" fillId="0" borderId="13" xfId="0" applyFont="1" applyBorder="1" applyAlignment="1">
      <alignment horizontal="left" vertical="top" wrapText="1"/>
    </xf>
    <xf numFmtId="37" fontId="8" fillId="0" borderId="5" xfId="0" applyFont="1" applyBorder="1" applyAlignment="1">
      <alignment horizontal="left"/>
    </xf>
    <xf numFmtId="37" fontId="8" fillId="0" borderId="4" xfId="0" applyFont="1" applyBorder="1" applyAlignment="1">
      <alignment horizontal="left" wrapText="1"/>
    </xf>
    <xf numFmtId="37" fontId="8" fillId="0" borderId="8" xfId="0" applyFont="1" applyBorder="1" applyAlignment="1">
      <alignment horizontal="left"/>
    </xf>
    <xf numFmtId="37" fontId="8" fillId="0" borderId="6" xfId="0" applyFont="1" applyBorder="1" applyAlignment="1">
      <alignment horizontal="left" wrapText="1"/>
    </xf>
    <xf numFmtId="0" fontId="15" fillId="0" borderId="2" xfId="0" applyNumberFormat="1" applyFont="1" applyBorder="1" applyAlignment="1">
      <alignment horizontal="center" vertical="top"/>
    </xf>
    <xf numFmtId="0" fontId="14" fillId="2" borderId="11" xfId="0" applyNumberFormat="1" applyFont="1" applyFill="1" applyBorder="1" applyAlignment="1">
      <alignment horizontal="center" vertical="top"/>
    </xf>
    <xf numFmtId="0" fontId="5" fillId="0" borderId="2" xfId="0" applyNumberFormat="1" applyFont="1" applyBorder="1" applyAlignment="1">
      <alignment horizontal="center" vertical="top"/>
    </xf>
    <xf numFmtId="0" fontId="5" fillId="0" borderId="3" xfId="0" applyNumberFormat="1" applyFont="1" applyBorder="1" applyAlignment="1">
      <alignment horizontal="center" vertical="top" wrapText="1"/>
    </xf>
    <xf numFmtId="0" fontId="15" fillId="0" borderId="3" xfId="0" applyNumberFormat="1" applyFont="1" applyBorder="1" applyAlignment="1">
      <alignment horizontal="center" vertical="top"/>
    </xf>
    <xf numFmtId="37" fontId="8" fillId="0" borderId="4" xfId="0" applyFont="1" applyBorder="1" applyAlignment="1">
      <alignment horizontal="left" vertical="top" wrapText="1"/>
    </xf>
    <xf numFmtId="37" fontId="8" fillId="0" borderId="2" xfId="0" applyFont="1" applyBorder="1" applyAlignment="1">
      <alignment horizontal="center" vertical="top" wrapText="1"/>
    </xf>
    <xf numFmtId="171" fontId="5" fillId="0" borderId="5" xfId="16" applyNumberFormat="1" applyFont="1" applyBorder="1" applyAlignment="1" applyProtection="1">
      <alignment/>
      <protection/>
    </xf>
    <xf numFmtId="171" fontId="5" fillId="0" borderId="8" xfId="16" applyNumberFormat="1" applyFont="1" applyBorder="1" applyAlignment="1" applyProtection="1">
      <alignment/>
      <protection/>
    </xf>
    <xf numFmtId="171" fontId="5" fillId="0" borderId="8" xfId="16" applyNumberFormat="1" applyFont="1" applyBorder="1" applyAlignment="1">
      <alignment/>
    </xf>
    <xf numFmtId="171" fontId="5" fillId="0" borderId="8" xfId="16" applyNumberFormat="1" applyFont="1" applyFill="1" applyBorder="1" applyAlignment="1">
      <alignment/>
    </xf>
    <xf numFmtId="171" fontId="5" fillId="0" borderId="0" xfId="0" applyNumberFormat="1" applyFont="1" applyAlignment="1">
      <alignment/>
    </xf>
    <xf numFmtId="171" fontId="5" fillId="0" borderId="5" xfId="0" applyNumberFormat="1" applyFont="1" applyBorder="1" applyAlignment="1">
      <alignment vertical="top"/>
    </xf>
    <xf numFmtId="171" fontId="5" fillId="0" borderId="4" xfId="16" applyNumberFormat="1" applyFont="1" applyBorder="1" applyAlignment="1">
      <alignment/>
    </xf>
    <xf numFmtId="171" fontId="5" fillId="0" borderId="4" xfId="16" applyNumberFormat="1" applyFont="1" applyBorder="1" applyAlignment="1">
      <alignment/>
    </xf>
    <xf numFmtId="171" fontId="5" fillId="0" borderId="4" xfId="16" applyNumberFormat="1" applyFont="1" applyBorder="1" applyAlignment="1">
      <alignment horizontal="right"/>
    </xf>
    <xf numFmtId="171" fontId="5" fillId="0" borderId="6" xfId="16" applyNumberFormat="1" applyFont="1" applyBorder="1" applyAlignment="1" quotePrefix="1">
      <alignment/>
    </xf>
    <xf numFmtId="171" fontId="5" fillId="0" borderId="6" xfId="16" applyNumberFormat="1" applyFont="1" applyBorder="1" applyAlignment="1">
      <alignment/>
    </xf>
    <xf numFmtId="171" fontId="5" fillId="0" borderId="6" xfId="16" applyNumberFormat="1" applyFont="1" applyBorder="1" applyAlignment="1">
      <alignment/>
    </xf>
    <xf numFmtId="171" fontId="5" fillId="0" borderId="4" xfId="16" applyNumberFormat="1" applyFont="1" applyBorder="1" applyAlignment="1" quotePrefix="1">
      <alignment/>
    </xf>
    <xf numFmtId="171" fontId="5" fillId="0" borderId="4" xfId="16" applyNumberFormat="1" applyFont="1" applyBorder="1" applyAlignment="1">
      <alignment wrapText="1"/>
    </xf>
    <xf numFmtId="171" fontId="5" fillId="0" borderId="6" xfId="16" applyNumberFormat="1" applyFont="1" applyBorder="1" applyAlignment="1" applyProtection="1">
      <alignment/>
      <protection/>
    </xf>
    <xf numFmtId="171" fontId="5" fillId="0" borderId="15" xfId="16" applyNumberFormat="1" applyFont="1" applyBorder="1" applyAlignment="1">
      <alignment/>
    </xf>
    <xf numFmtId="171" fontId="5" fillId="0" borderId="4" xfId="0" applyNumberFormat="1" applyFont="1" applyBorder="1" applyAlignment="1">
      <alignment/>
    </xf>
    <xf numFmtId="171" fontId="5" fillId="0" borderId="15" xfId="0" applyNumberFormat="1" applyFont="1" applyBorder="1" applyAlignment="1">
      <alignment/>
    </xf>
    <xf numFmtId="171" fontId="5" fillId="0" borderId="5" xfId="0" applyNumberFormat="1" applyFont="1" applyBorder="1" applyAlignment="1">
      <alignment/>
    </xf>
    <xf numFmtId="171" fontId="5" fillId="0" borderId="8" xfId="0" applyNumberFormat="1" applyFont="1" applyBorder="1" applyAlignment="1">
      <alignment/>
    </xf>
    <xf numFmtId="171" fontId="5" fillId="0" borderId="6" xfId="0" applyNumberFormat="1" applyFont="1" applyBorder="1" applyAlignment="1" applyProtection="1">
      <alignment/>
      <protection/>
    </xf>
    <xf numFmtId="171" fontId="5" fillId="0" borderId="6" xfId="0" applyNumberFormat="1" applyFont="1" applyBorder="1" applyAlignment="1">
      <alignment horizontal="right"/>
    </xf>
    <xf numFmtId="171" fontId="5" fillId="0" borderId="5" xfId="0" applyNumberFormat="1" applyFont="1" applyBorder="1" applyAlignment="1">
      <alignment horizontal="right"/>
    </xf>
    <xf numFmtId="171" fontId="5" fillId="0" borderId="8" xfId="0" applyNumberFormat="1" applyFont="1" applyFill="1" applyBorder="1" applyAlignment="1">
      <alignment/>
    </xf>
    <xf numFmtId="171" fontId="5" fillId="0" borderId="5" xfId="0" applyNumberFormat="1" applyFont="1" applyFill="1" applyBorder="1" applyAlignment="1">
      <alignment/>
    </xf>
    <xf numFmtId="37" fontId="7" fillId="0" borderId="6" xfId="0" applyFont="1" applyBorder="1" applyAlignment="1">
      <alignment horizontal="left" vertical="top"/>
    </xf>
    <xf numFmtId="37" fontId="15" fillId="0" borderId="11" xfId="0" applyFont="1" applyBorder="1" applyAlignment="1">
      <alignment horizontal="center"/>
    </xf>
    <xf numFmtId="167" fontId="7" fillId="0" borderId="11" xfId="0" applyNumberFormat="1" applyFont="1" applyBorder="1" applyAlignment="1" applyProtection="1">
      <alignment horizontal="left"/>
      <protection/>
    </xf>
    <xf numFmtId="171" fontId="5" fillId="0" borderId="11" xfId="0" applyNumberFormat="1" applyFont="1" applyBorder="1" applyAlignment="1">
      <alignment/>
    </xf>
    <xf numFmtId="10" fontId="5" fillId="0" borderId="11" xfId="27" applyNumberFormat="1" applyFont="1" applyBorder="1" applyAlignment="1" applyProtection="1">
      <alignment/>
      <protection locked="0"/>
    </xf>
    <xf numFmtId="37" fontId="9" fillId="0" borderId="10" xfId="0" applyFont="1" applyBorder="1" applyAlignment="1">
      <alignment horizontal="left" vertical="top" wrapText="1"/>
    </xf>
    <xf numFmtId="37" fontId="8" fillId="0" borderId="16" xfId="0" applyFont="1" applyBorder="1" applyAlignment="1">
      <alignment horizontal="center" vertical="top" wrapText="1"/>
    </xf>
    <xf numFmtId="37" fontId="5" fillId="0" borderId="6" xfId="0" applyFont="1" applyBorder="1" applyAlignment="1">
      <alignment horizontal="left"/>
    </xf>
    <xf numFmtId="37" fontId="10" fillId="0" borderId="6" xfId="0" applyFont="1" applyBorder="1" applyAlignment="1">
      <alignment/>
    </xf>
    <xf numFmtId="171" fontId="10" fillId="0" borderId="6" xfId="0" applyNumberFormat="1" applyFont="1" applyBorder="1" applyAlignment="1" applyProtection="1">
      <alignment/>
      <protection/>
    </xf>
    <xf numFmtId="10" fontId="5" fillId="0" borderId="4" xfId="27" applyNumberFormat="1" applyFont="1" applyBorder="1" applyAlignment="1" quotePrefix="1">
      <alignment horizontal="right"/>
    </xf>
    <xf numFmtId="37" fontId="5" fillId="0" borderId="5" xfId="0" applyFont="1" applyBorder="1" applyAlignment="1" quotePrefix="1">
      <alignment horizontal="right"/>
    </xf>
    <xf numFmtId="10" fontId="10" fillId="0" borderId="4" xfId="27" applyNumberFormat="1" applyFont="1" applyBorder="1" applyAlignment="1">
      <alignment/>
    </xf>
    <xf numFmtId="167" fontId="14" fillId="2" borderId="11" xfId="0" applyNumberFormat="1" applyFont="1" applyFill="1" applyBorder="1" applyAlignment="1" applyProtection="1">
      <alignment horizontal="center" wrapText="1"/>
      <protection/>
    </xf>
    <xf numFmtId="37" fontId="7" fillId="0" borderId="0" xfId="0" applyFont="1" applyAlignment="1">
      <alignment/>
    </xf>
    <xf numFmtId="37" fontId="14" fillId="2" borderId="0" xfId="0" applyFont="1" applyFill="1" applyAlignment="1">
      <alignment wrapText="1"/>
    </xf>
    <xf numFmtId="37" fontId="7" fillId="0" borderId="6" xfId="0" applyFont="1" applyBorder="1" applyAlignment="1" quotePrefix="1">
      <alignment horizontal="left"/>
    </xf>
    <xf numFmtId="37" fontId="7" fillId="0" borderId="4" xfId="0" applyFont="1" applyBorder="1" applyAlignment="1">
      <alignment horizontal="left" vertical="top"/>
    </xf>
    <xf numFmtId="37" fontId="7" fillId="0" borderId="0" xfId="0" applyFont="1" applyBorder="1" applyAlignment="1">
      <alignment wrapText="1"/>
    </xf>
    <xf numFmtId="37" fontId="7" fillId="0" borderId="0" xfId="0" applyFont="1" applyAlignment="1">
      <alignment wrapText="1"/>
    </xf>
    <xf numFmtId="37" fontId="5" fillId="0" borderId="8" xfId="0" applyFont="1" applyBorder="1" applyAlignment="1">
      <alignment wrapText="1"/>
    </xf>
    <xf numFmtId="164" fontId="5" fillId="0" borderId="0" xfId="0" applyNumberFormat="1" applyFont="1" applyAlignment="1">
      <alignment/>
    </xf>
    <xf numFmtId="0" fontId="5" fillId="0" borderId="8" xfId="0" applyNumberFormat="1" applyFont="1" applyBorder="1" applyAlignment="1">
      <alignment horizontal="center" vertical="top"/>
    </xf>
    <xf numFmtId="37" fontId="7" fillId="0" borderId="4" xfId="0" applyFont="1" applyBorder="1" applyAlignment="1" quotePrefix="1">
      <alignment horizontal="left" vertical="top"/>
    </xf>
    <xf numFmtId="37" fontId="7" fillId="0" borderId="5" xfId="0" applyFont="1" applyBorder="1" applyAlignment="1" quotePrefix="1">
      <alignment horizontal="left" vertical="top"/>
    </xf>
    <xf numFmtId="37" fontId="7" fillId="0" borderId="8" xfId="0" applyFont="1" applyBorder="1" applyAlignment="1" quotePrefix="1">
      <alignment horizontal="left" vertical="top"/>
    </xf>
    <xf numFmtId="167" fontId="17" fillId="0" borderId="8" xfId="21" applyFont="1" applyBorder="1" applyAlignment="1" quotePrefix="1">
      <alignment horizontal="left" vertical="top"/>
    </xf>
    <xf numFmtId="37" fontId="9" fillId="0" borderId="8" xfId="0" applyFont="1" applyBorder="1" applyAlignment="1" quotePrefix="1">
      <alignment horizontal="left" vertical="top" wrapText="1"/>
    </xf>
    <xf numFmtId="37" fontId="8" fillId="0" borderId="8" xfId="0" applyFont="1" applyBorder="1" applyAlignment="1">
      <alignment horizontal="left" vertical="top" wrapText="1"/>
    </xf>
    <xf numFmtId="37" fontId="14" fillId="2" borderId="11" xfId="0" applyFont="1" applyFill="1" applyBorder="1" applyAlignment="1" quotePrefix="1">
      <alignment horizontal="left"/>
    </xf>
    <xf numFmtId="171" fontId="5" fillId="0" borderId="8" xfId="0" applyNumberFormat="1" applyFont="1" applyBorder="1" applyAlignment="1">
      <alignment vertical="top"/>
    </xf>
    <xf numFmtId="43" fontId="5" fillId="0" borderId="10" xfId="16" applyFont="1" applyBorder="1" applyAlignment="1" applyProtection="1">
      <alignment vertical="top"/>
      <protection locked="0"/>
    </xf>
    <xf numFmtId="170" fontId="5" fillId="0" borderId="10" xfId="16" applyNumberFormat="1" applyFont="1" applyBorder="1" applyAlignment="1" applyProtection="1">
      <alignment vertical="top"/>
      <protection locked="0"/>
    </xf>
    <xf numFmtId="43" fontId="5" fillId="0" borderId="5" xfId="16" applyFont="1" applyBorder="1" applyAlignment="1" applyProtection="1">
      <alignment vertical="top"/>
      <protection locked="0"/>
    </xf>
    <xf numFmtId="170" fontId="5" fillId="0" borderId="5" xfId="16" applyNumberFormat="1" applyFont="1" applyBorder="1" applyAlignment="1" applyProtection="1">
      <alignment vertical="top"/>
      <protection locked="0"/>
    </xf>
    <xf numFmtId="43" fontId="5" fillId="0" borderId="8" xfId="16" applyFont="1" applyBorder="1" applyAlignment="1" applyProtection="1">
      <alignment vertical="top"/>
      <protection locked="0"/>
    </xf>
    <xf numFmtId="170" fontId="5" fillId="0" borderId="8" xfId="16" applyNumberFormat="1" applyFont="1" applyBorder="1" applyAlignment="1" applyProtection="1">
      <alignment vertical="top"/>
      <protection locked="0"/>
    </xf>
    <xf numFmtId="10" fontId="5" fillId="0" borderId="0" xfId="27" applyNumberFormat="1" applyFont="1" applyAlignment="1">
      <alignment/>
    </xf>
    <xf numFmtId="171" fontId="5" fillId="0" borderId="5" xfId="16" applyNumberFormat="1" applyFont="1" applyBorder="1" applyAlignment="1">
      <alignment horizontal="right"/>
    </xf>
    <xf numFmtId="171" fontId="5" fillId="0" borderId="8" xfId="16" applyNumberFormat="1" applyFont="1" applyBorder="1" applyAlignment="1">
      <alignment horizontal="right"/>
    </xf>
    <xf numFmtId="37" fontId="5" fillId="0" borderId="5" xfId="0" applyFont="1" applyFill="1" applyBorder="1" applyAlignment="1" quotePrefix="1">
      <alignment horizontal="left"/>
    </xf>
    <xf numFmtId="37" fontId="7" fillId="0" borderId="5" xfId="0" applyFont="1" applyFill="1" applyBorder="1" applyAlignment="1" quotePrefix="1">
      <alignment horizontal="left"/>
    </xf>
    <xf numFmtId="37" fontId="7" fillId="0" borderId="8" xfId="0" applyFont="1" applyFill="1" applyBorder="1" applyAlignment="1" quotePrefix="1">
      <alignment horizontal="left"/>
    </xf>
    <xf numFmtId="37" fontId="5" fillId="0" borderId="8" xfId="0" applyFont="1" applyBorder="1" applyAlignment="1">
      <alignment horizontal="center"/>
    </xf>
    <xf numFmtId="37" fontId="5" fillId="0" borderId="10" xfId="0" applyFont="1" applyBorder="1" applyAlignment="1">
      <alignment horizontal="center"/>
    </xf>
    <xf numFmtId="37" fontId="7" fillId="0" borderId="5" xfId="0" applyFont="1" applyBorder="1" applyAlignment="1">
      <alignment/>
    </xf>
    <xf numFmtId="37" fontId="5" fillId="0" borderId="5" xfId="0" applyFont="1" applyBorder="1" applyAlignment="1" quotePrefix="1">
      <alignment horizontal="left"/>
    </xf>
    <xf numFmtId="10" fontId="5" fillId="0" borderId="5" xfId="27" applyNumberFormat="1" applyFont="1" applyBorder="1" applyAlignment="1" applyProtection="1">
      <alignment/>
      <protection locked="0"/>
    </xf>
    <xf numFmtId="10" fontId="5" fillId="0" borderId="8" xfId="27" applyNumberFormat="1" applyFont="1" applyBorder="1" applyAlignment="1" applyProtection="1">
      <alignment/>
      <protection locked="0"/>
    </xf>
    <xf numFmtId="37" fontId="1" fillId="0" borderId="0" xfId="0" applyFont="1" applyAlignment="1">
      <alignment/>
    </xf>
    <xf numFmtId="43" fontId="10" fillId="0" borderId="8" xfId="16" applyFont="1" applyBorder="1" applyAlignment="1" applyProtection="1">
      <alignment/>
      <protection locked="0"/>
    </xf>
    <xf numFmtId="169" fontId="10" fillId="0" borderId="6" xfId="0" applyNumberFormat="1" applyFont="1" applyBorder="1" applyAlignment="1" applyProtection="1">
      <alignment/>
      <protection locked="0"/>
    </xf>
    <xf numFmtId="177" fontId="5" fillId="0" borderId="0" xfId="16" applyNumberFormat="1" applyFont="1" applyAlignment="1">
      <alignment vertical="top"/>
    </xf>
    <xf numFmtId="37" fontId="5" fillId="0" borderId="5" xfId="0" applyFont="1" applyFill="1" applyBorder="1" applyAlignment="1">
      <alignment horizontal="center" vertical="top" wrapText="1"/>
    </xf>
    <xf numFmtId="37" fontId="5" fillId="0" borderId="5" xfId="0" applyFont="1" applyFill="1" applyBorder="1" applyAlignment="1" quotePrefix="1">
      <alignment horizontal="center" vertical="top" wrapText="1"/>
    </xf>
    <xf numFmtId="37" fontId="15" fillId="0" borderId="10" xfId="0" applyFont="1" applyBorder="1" applyAlignment="1">
      <alignment horizontal="center" wrapText="1"/>
    </xf>
    <xf numFmtId="39" fontId="5" fillId="0" borderId="5" xfId="0" applyNumberFormat="1" applyFont="1" applyBorder="1" applyAlignment="1" applyProtection="1">
      <alignment/>
      <protection/>
    </xf>
    <xf numFmtId="37" fontId="15" fillId="0" borderId="3" xfId="0" applyFont="1" applyBorder="1" applyAlignment="1">
      <alignment horizontal="center" wrapText="1"/>
    </xf>
    <xf numFmtId="37" fontId="7" fillId="0" borderId="8" xfId="0" applyFont="1" applyBorder="1" applyAlignment="1" quotePrefix="1">
      <alignment horizontal="left"/>
    </xf>
    <xf numFmtId="39" fontId="5" fillId="0" borderId="6" xfId="0" applyNumberFormat="1" applyFont="1" applyBorder="1" applyAlignment="1" applyProtection="1">
      <alignment/>
      <protection/>
    </xf>
    <xf numFmtId="171" fontId="5" fillId="0" borderId="6" xfId="0" applyNumberFormat="1" applyFont="1" applyBorder="1" applyAlignment="1">
      <alignment/>
    </xf>
    <xf numFmtId="37" fontId="5" fillId="0" borderId="6" xfId="0" applyFont="1" applyBorder="1" applyAlignment="1">
      <alignment/>
    </xf>
    <xf numFmtId="0" fontId="15" fillId="0" borderId="8" xfId="0" applyNumberFormat="1" applyFont="1" applyBorder="1" applyAlignment="1">
      <alignment horizontal="center" vertical="top"/>
    </xf>
    <xf numFmtId="37" fontId="5" fillId="0" borderId="8" xfId="0" applyFont="1" applyBorder="1" applyAlignment="1">
      <alignment/>
    </xf>
    <xf numFmtId="0" fontId="15" fillId="0" borderId="11" xfId="0" applyNumberFormat="1" applyFont="1" applyBorder="1" applyAlignment="1">
      <alignment horizontal="center" vertical="top"/>
    </xf>
    <xf numFmtId="37" fontId="5" fillId="0" borderId="11" xfId="0" applyFont="1" applyBorder="1" applyAlignment="1">
      <alignment/>
    </xf>
    <xf numFmtId="164" fontId="5" fillId="0" borderId="11" xfId="0" applyNumberFormat="1" applyFont="1" applyBorder="1" applyAlignment="1">
      <alignment/>
    </xf>
    <xf numFmtId="39" fontId="5" fillId="0" borderId="11" xfId="0" applyNumberFormat="1" applyFont="1" applyBorder="1" applyAlignment="1">
      <alignment/>
    </xf>
    <xf numFmtId="39" fontId="5" fillId="0" borderId="5" xfId="0" applyNumberFormat="1" applyFont="1" applyFill="1" applyBorder="1" applyAlignment="1" applyProtection="1">
      <alignment/>
      <protection/>
    </xf>
    <xf numFmtId="169" fontId="10" fillId="0" borderId="5" xfId="0" applyNumberFormat="1" applyFont="1" applyFill="1" applyBorder="1" applyAlignment="1">
      <alignment/>
    </xf>
    <xf numFmtId="39" fontId="5" fillId="0" borderId="6" xfId="0" applyNumberFormat="1" applyFont="1" applyFill="1" applyBorder="1" applyAlignment="1" applyProtection="1">
      <alignment/>
      <protection/>
    </xf>
    <xf numFmtId="169" fontId="10" fillId="0" borderId="6" xfId="0" applyNumberFormat="1" applyFont="1" applyFill="1" applyBorder="1" applyAlignment="1">
      <alignment/>
    </xf>
    <xf numFmtId="183" fontId="5" fillId="0" borderId="0" xfId="18" applyNumberFormat="1" applyFont="1" applyAlignment="1">
      <alignment/>
    </xf>
    <xf numFmtId="178" fontId="5" fillId="0" borderId="0" xfId="27" applyNumberFormat="1" applyFont="1" applyAlignment="1">
      <alignment/>
    </xf>
    <xf numFmtId="37" fontId="5" fillId="0" borderId="8" xfId="0" applyFont="1" applyBorder="1" applyAlignment="1" quotePrefix="1">
      <alignment horizontal="left" vertical="top"/>
    </xf>
    <xf numFmtId="37" fontId="5" fillId="0" borderId="8" xfId="0" applyFont="1" applyFill="1" applyBorder="1" applyAlignment="1" quotePrefix="1">
      <alignment horizontal="center" vertical="top" wrapText="1"/>
    </xf>
    <xf numFmtId="37" fontId="5" fillId="3" borderId="5" xfId="0" applyFont="1" applyFill="1" applyBorder="1" applyAlignment="1">
      <alignment horizontal="left"/>
    </xf>
    <xf numFmtId="171" fontId="5" fillId="3" borderId="4" xfId="16" applyNumberFormat="1" applyFont="1" applyFill="1" applyBorder="1" applyAlignment="1">
      <alignment/>
    </xf>
    <xf numFmtId="171" fontId="5" fillId="3" borderId="4" xfId="16" applyNumberFormat="1" applyFont="1" applyFill="1" applyBorder="1" applyAlignment="1">
      <alignment horizontal="right"/>
    </xf>
  </cellXfs>
  <cellStyles count="14">
    <cellStyle name="Normal" xfId="0"/>
    <cellStyle name="ac" xfId="15"/>
    <cellStyle name="Comma" xfId="16"/>
    <cellStyle name="Comma [0]" xfId="17"/>
    <cellStyle name="Currency" xfId="18"/>
    <cellStyle name="Currency [0]" xfId="19"/>
    <cellStyle name="Followed Hyperlink" xfId="20"/>
    <cellStyle name="Hyperlink" xfId="21"/>
    <cellStyle name="Milliers [0]_EDYAN" xfId="22"/>
    <cellStyle name="Milliers_EDYAN" xfId="23"/>
    <cellStyle name="Monétaire [0]_EDYAN" xfId="24"/>
    <cellStyle name="Monétaire_EDYAN" xfId="25"/>
    <cellStyle name="Normal - Style1"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_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mes"/>
      <sheetName val="Close Screen"/>
      <sheetName val="Factors Code"/>
      <sheetName val="Filing Macros"/>
      <sheetName val="Input Macros"/>
      <sheetName val="B"/>
      <sheetName val="I-MODS BASED"/>
      <sheetName val="I-MODS PRC"/>
      <sheetName val="I-RPW"/>
      <sheetName val="I-TRIAL BAL"/>
      <sheetName val="I-VMAS"/>
      <sheetName val="I-CS01.0.2"/>
      <sheetName val="I-CS02.1"/>
      <sheetName val="I-CS02.2"/>
      <sheetName val="I-CS03.1"/>
      <sheetName val="I-CS03.1 PRC"/>
      <sheetName val="I-CS03.2"/>
      <sheetName val="I-CS03.2 PRC"/>
      <sheetName val="I-CS03.2.7"/>
      <sheetName val="I-CS03.3"/>
      <sheetName val="I-CS03.4"/>
      <sheetName val="I-CS03.7"/>
      <sheetName val="I-CS03-4"/>
      <sheetName val="I-CS04.1"/>
      <sheetName val="I-CS06.0.2.2"/>
      <sheetName val="I-CS06.1"/>
      <sheetName val="I-CS06.3"/>
      <sheetName val="I-CS07.1"/>
      <sheetName val="I-CS07 CCS"/>
      <sheetName val="I-CS07 DK"/>
      <sheetName val="I-CS10"/>
      <sheetName val="I-CS10 RCS"/>
      <sheetName val="I-CS12"/>
      <sheetName val="I-CS20"/>
      <sheetName val="I-CS 6&amp;7 FACTORS NEW"/>
      <sheetName val="I-FACTORS"/>
      <sheetName val="Version"/>
      <sheetName val="Module1"/>
      <sheetName val="Module2"/>
    </sheetNames>
    <definedNames>
      <definedName name="FY_LOWER" refersTo="=B!$I$13"/>
    </definedNames>
    <sheetDataSet>
      <sheetData sheetId="5">
        <row r="13">
          <cell r="I13" t="str">
            <v>Base Year 2005</v>
          </cell>
        </row>
      </sheetData>
      <sheetData sheetId="6">
        <row r="13">
          <cell r="I13">
            <v>109447</v>
          </cell>
        </row>
      </sheetData>
      <sheetData sheetId="7">
        <row r="13">
          <cell r="I13">
            <v>107328</v>
          </cell>
        </row>
      </sheetData>
      <sheetData sheetId="8">
        <row r="12">
          <cell r="D12">
            <v>43371363</v>
          </cell>
        </row>
        <row r="13">
          <cell r="D13">
            <v>49065552</v>
          </cell>
        </row>
        <row r="14">
          <cell r="D14">
            <v>0</v>
          </cell>
        </row>
        <row r="15">
          <cell r="D15">
            <v>2521418</v>
          </cell>
        </row>
        <row r="16">
          <cell r="D16">
            <v>3107701</v>
          </cell>
        </row>
        <row r="17">
          <cell r="D17">
            <v>0</v>
          </cell>
        </row>
        <row r="19">
          <cell r="D19">
            <v>98066034</v>
          </cell>
        </row>
        <row r="22">
          <cell r="D22">
            <v>887462</v>
          </cell>
        </row>
        <row r="23">
          <cell r="D23">
            <v>55474.717</v>
          </cell>
        </row>
        <row r="24">
          <cell r="D24">
            <v>1896.123</v>
          </cell>
        </row>
        <row r="26">
          <cell r="D26">
            <v>762673.445</v>
          </cell>
        </row>
        <row r="28">
          <cell r="D28">
            <v>8307330</v>
          </cell>
        </row>
        <row r="29">
          <cell r="D29">
            <v>0</v>
          </cell>
        </row>
        <row r="30">
          <cell r="D30">
            <v>0</v>
          </cell>
        </row>
        <row r="31">
          <cell r="D31">
            <v>9070003.445</v>
          </cell>
        </row>
        <row r="36">
          <cell r="D36">
            <v>65918674</v>
          </cell>
        </row>
        <row r="37">
          <cell r="D37">
            <v>35023418</v>
          </cell>
        </row>
        <row r="38">
          <cell r="D38">
            <v>100942092</v>
          </cell>
        </row>
        <row r="39">
          <cell r="D39">
            <v>0</v>
          </cell>
        </row>
        <row r="40">
          <cell r="D40">
            <v>0</v>
          </cell>
        </row>
        <row r="41">
          <cell r="D41">
            <v>0</v>
          </cell>
        </row>
        <row r="44">
          <cell r="D44">
            <v>100942092</v>
          </cell>
        </row>
        <row r="46">
          <cell r="D46">
            <v>387804.938</v>
          </cell>
        </row>
        <row r="47">
          <cell r="D47">
            <v>583773.759</v>
          </cell>
        </row>
        <row r="48">
          <cell r="D48">
            <v>193955</v>
          </cell>
        </row>
        <row r="49">
          <cell r="D49">
            <v>0</v>
          </cell>
        </row>
        <row r="52">
          <cell r="D52">
            <v>1165533.697</v>
          </cell>
        </row>
        <row r="53">
          <cell r="D53">
            <v>621283.086</v>
          </cell>
        </row>
        <row r="54">
          <cell r="D54">
            <v>81306</v>
          </cell>
        </row>
        <row r="61">
          <cell r="C61">
            <v>22516.197</v>
          </cell>
        </row>
        <row r="65">
          <cell r="C65">
            <v>498923.641</v>
          </cell>
        </row>
        <row r="67">
          <cell r="C67">
            <v>5832.498</v>
          </cell>
        </row>
        <row r="69">
          <cell r="C69">
            <v>207293.216</v>
          </cell>
        </row>
        <row r="78">
          <cell r="D78">
            <v>5149.247</v>
          </cell>
        </row>
        <row r="79">
          <cell r="D79">
            <v>51565.326</v>
          </cell>
        </row>
        <row r="80">
          <cell r="D80">
            <v>1499.369</v>
          </cell>
        </row>
        <row r="81">
          <cell r="D81">
            <v>261144.424</v>
          </cell>
        </row>
        <row r="82">
          <cell r="D82">
            <v>180411.995</v>
          </cell>
        </row>
      </sheetData>
      <sheetData sheetId="9">
        <row r="23">
          <cell r="E23">
            <v>5149054498.65</v>
          </cell>
          <cell r="F23">
            <v>2500337821.9682894</v>
          </cell>
          <cell r="G23">
            <v>2648716676.6817107</v>
          </cell>
        </row>
        <row r="24">
          <cell r="E24">
            <v>449337399.2</v>
          </cell>
        </row>
      </sheetData>
      <sheetData sheetId="30">
        <row r="10">
          <cell r="B10" t="str">
            <v>AAW202P1 - Rural Carrier Payroll Hours Summary Report</v>
          </cell>
        </row>
        <row r="14">
          <cell r="B14">
            <v>1619997506</v>
          </cell>
          <cell r="D14">
            <v>140141136</v>
          </cell>
        </row>
        <row r="15">
          <cell r="B15">
            <v>1924913308</v>
          </cell>
          <cell r="D15">
            <v>185256861</v>
          </cell>
        </row>
      </sheetData>
      <sheetData sheetId="31">
        <row r="13">
          <cell r="D13">
            <v>4886183.06</v>
          </cell>
          <cell r="E13">
            <v>103882.06</v>
          </cell>
          <cell r="F13">
            <v>1988021.38</v>
          </cell>
          <cell r="G13">
            <v>641817</v>
          </cell>
          <cell r="H13">
            <v>336.77</v>
          </cell>
          <cell r="I13" t="str">
            <v>BG2</v>
          </cell>
          <cell r="J13">
            <v>128104.24</v>
          </cell>
          <cell r="K13">
            <v>5539.6</v>
          </cell>
          <cell r="O13">
            <v>3462706</v>
          </cell>
          <cell r="P13">
            <v>9102</v>
          </cell>
          <cell r="Q13">
            <v>0</v>
          </cell>
        </row>
        <row r="14">
          <cell r="D14">
            <v>10358771.52</v>
          </cell>
          <cell r="E14">
            <v>198790.28</v>
          </cell>
          <cell r="F14">
            <v>2612095.17</v>
          </cell>
          <cell r="G14">
            <v>225383.58</v>
          </cell>
          <cell r="H14">
            <v>4617.93</v>
          </cell>
          <cell r="J14">
            <v>3413.4700000000003</v>
          </cell>
          <cell r="K14">
            <v>204.96</v>
          </cell>
          <cell r="O14">
            <v>0</v>
          </cell>
          <cell r="P14">
            <v>0</v>
          </cell>
          <cell r="Q14">
            <v>0</v>
          </cell>
        </row>
        <row r="15">
          <cell r="D15">
            <v>405995.48</v>
          </cell>
          <cell r="E15">
            <v>8621.78</v>
          </cell>
          <cell r="F15">
            <v>311258.84</v>
          </cell>
          <cell r="G15">
            <v>0</v>
          </cell>
          <cell r="H15">
            <v>2431.51</v>
          </cell>
          <cell r="J15">
            <v>44.06</v>
          </cell>
          <cell r="K15">
            <v>304.44</v>
          </cell>
          <cell r="O15">
            <v>0</v>
          </cell>
          <cell r="P15">
            <v>0</v>
          </cell>
          <cell r="Q15">
            <v>0</v>
          </cell>
        </row>
        <row r="16">
          <cell r="D16">
            <v>530913</v>
          </cell>
          <cell r="E16">
            <v>10314.05</v>
          </cell>
          <cell r="F16">
            <v>203523.31</v>
          </cell>
          <cell r="G16">
            <v>17.26</v>
          </cell>
          <cell r="H16">
            <v>0</v>
          </cell>
          <cell r="J16">
            <v>6.75</v>
          </cell>
          <cell r="K16">
            <v>0</v>
          </cell>
          <cell r="O16">
            <v>0</v>
          </cell>
          <cell r="P16">
            <v>0</v>
          </cell>
          <cell r="Q16">
            <v>0</v>
          </cell>
        </row>
        <row r="18">
          <cell r="D18">
            <v>1648.35</v>
          </cell>
          <cell r="E18">
            <v>34.42</v>
          </cell>
          <cell r="F18">
            <v>2672.86</v>
          </cell>
          <cell r="G18">
            <v>43568.54</v>
          </cell>
          <cell r="H18">
            <v>0</v>
          </cell>
          <cell r="J18">
            <v>131481.8</v>
          </cell>
          <cell r="K18">
            <v>132.3</v>
          </cell>
          <cell r="O18">
            <v>6503</v>
          </cell>
          <cell r="P18">
            <v>5539</v>
          </cell>
          <cell r="Q18">
            <v>0</v>
          </cell>
        </row>
        <row r="19">
          <cell r="L19">
            <v>4774.75</v>
          </cell>
          <cell r="O19">
            <v>0</v>
          </cell>
          <cell r="P19">
            <v>0</v>
          </cell>
          <cell r="Q19">
            <v>191</v>
          </cell>
        </row>
        <row r="20">
          <cell r="D20">
            <v>0</v>
          </cell>
          <cell r="E20">
            <v>0</v>
          </cell>
          <cell r="F20">
            <v>33.89</v>
          </cell>
          <cell r="G20">
            <v>0</v>
          </cell>
          <cell r="H20">
            <v>0</v>
          </cell>
          <cell r="J20">
            <v>0</v>
          </cell>
          <cell r="K20">
            <v>0</v>
          </cell>
          <cell r="O20">
            <v>0</v>
          </cell>
          <cell r="P20">
            <v>0</v>
          </cell>
          <cell r="Q20">
            <v>0</v>
          </cell>
        </row>
        <row r="27">
          <cell r="D27">
            <v>15602.31</v>
          </cell>
          <cell r="E27">
            <v>1889.96</v>
          </cell>
          <cell r="F27">
            <v>99723.2</v>
          </cell>
          <cell r="G27">
            <v>2721015.84</v>
          </cell>
          <cell r="H27">
            <v>5958.61</v>
          </cell>
          <cell r="J27">
            <v>5434.27</v>
          </cell>
          <cell r="K27">
            <v>3.31</v>
          </cell>
          <cell r="O27">
            <v>0</v>
          </cell>
          <cell r="P27">
            <v>0</v>
          </cell>
          <cell r="Q27">
            <v>0</v>
          </cell>
        </row>
        <row r="30">
          <cell r="D30">
            <v>1251254.42</v>
          </cell>
          <cell r="E30">
            <v>47972.7</v>
          </cell>
          <cell r="F30">
            <v>2106524.26</v>
          </cell>
          <cell r="G30">
            <v>6444941.48</v>
          </cell>
          <cell r="H30">
            <v>1779864.7</v>
          </cell>
          <cell r="J30">
            <v>18366.62</v>
          </cell>
          <cell r="K30">
            <v>0</v>
          </cell>
          <cell r="O30">
            <v>0</v>
          </cell>
          <cell r="P30">
            <v>0</v>
          </cell>
          <cell r="Q30">
            <v>0</v>
          </cell>
        </row>
        <row r="31">
          <cell r="D31">
            <v>10216234.1</v>
          </cell>
          <cell r="E31">
            <v>166866.52</v>
          </cell>
          <cell r="F31">
            <v>3094237.18</v>
          </cell>
          <cell r="G31">
            <v>3782582.61</v>
          </cell>
          <cell r="H31">
            <v>262961.76</v>
          </cell>
          <cell r="J31">
            <v>236937.59</v>
          </cell>
          <cell r="K31">
            <v>317.3</v>
          </cell>
          <cell r="O31">
            <v>0</v>
          </cell>
          <cell r="P31">
            <v>0</v>
          </cell>
          <cell r="Q31">
            <v>0</v>
          </cell>
        </row>
        <row r="34">
          <cell r="D34">
            <v>0</v>
          </cell>
          <cell r="E34">
            <v>0</v>
          </cell>
          <cell r="F34">
            <v>0</v>
          </cell>
          <cell r="G34">
            <v>0</v>
          </cell>
          <cell r="H34">
            <v>0</v>
          </cell>
          <cell r="J34">
            <v>0</v>
          </cell>
          <cell r="K34">
            <v>0</v>
          </cell>
          <cell r="O34">
            <v>0</v>
          </cell>
          <cell r="P34">
            <v>0</v>
          </cell>
          <cell r="Q34">
            <v>0</v>
          </cell>
        </row>
        <row r="35">
          <cell r="D35">
            <v>0</v>
          </cell>
          <cell r="E35">
            <v>0</v>
          </cell>
          <cell r="F35">
            <v>0</v>
          </cell>
          <cell r="G35">
            <v>0</v>
          </cell>
          <cell r="H35">
            <v>0</v>
          </cell>
          <cell r="J35">
            <v>0</v>
          </cell>
          <cell r="K35">
            <v>0</v>
          </cell>
          <cell r="O35">
            <v>0</v>
          </cell>
          <cell r="P35">
            <v>0</v>
          </cell>
          <cell r="Q35">
            <v>0</v>
          </cell>
        </row>
        <row r="39">
          <cell r="D39">
            <v>96.07</v>
          </cell>
          <cell r="E39">
            <v>36.69</v>
          </cell>
          <cell r="F39">
            <v>39.62</v>
          </cell>
          <cell r="G39">
            <v>1301.02</v>
          </cell>
          <cell r="H39">
            <v>0</v>
          </cell>
          <cell r="J39">
            <v>109861.41</v>
          </cell>
          <cell r="K39">
            <v>244.41</v>
          </cell>
          <cell r="O39">
            <v>1318</v>
          </cell>
          <cell r="P39">
            <v>3477</v>
          </cell>
          <cell r="Q39">
            <v>0</v>
          </cell>
        </row>
        <row r="40">
          <cell r="D40">
            <v>160.71</v>
          </cell>
          <cell r="E40">
            <v>40.42</v>
          </cell>
          <cell r="F40">
            <v>659.64</v>
          </cell>
          <cell r="G40">
            <v>75439.4</v>
          </cell>
          <cell r="H40">
            <v>6977.03</v>
          </cell>
          <cell r="J40">
            <v>73451.12</v>
          </cell>
          <cell r="K40">
            <v>94.26</v>
          </cell>
          <cell r="O40">
            <v>180</v>
          </cell>
          <cell r="P40">
            <v>205</v>
          </cell>
          <cell r="Q40">
            <v>0</v>
          </cell>
        </row>
        <row r="41">
          <cell r="D41">
            <v>70.12</v>
          </cell>
          <cell r="E41">
            <v>16.56</v>
          </cell>
          <cell r="F41">
            <v>29.95</v>
          </cell>
          <cell r="G41">
            <v>6482.29</v>
          </cell>
          <cell r="H41">
            <v>0</v>
          </cell>
          <cell r="J41">
            <v>35310.81</v>
          </cell>
          <cell r="K41">
            <v>58.21</v>
          </cell>
          <cell r="O41">
            <v>1189</v>
          </cell>
          <cell r="P41">
            <v>1435</v>
          </cell>
          <cell r="Q41">
            <v>0</v>
          </cell>
        </row>
        <row r="42">
          <cell r="D42">
            <v>0</v>
          </cell>
          <cell r="E42">
            <v>0</v>
          </cell>
          <cell r="F42">
            <v>0</v>
          </cell>
          <cell r="G42">
            <v>0</v>
          </cell>
          <cell r="H42">
            <v>0</v>
          </cell>
          <cell r="J42">
            <v>0</v>
          </cell>
          <cell r="K42">
            <v>0</v>
          </cell>
          <cell r="O42">
            <v>0</v>
          </cell>
          <cell r="P42">
            <v>0</v>
          </cell>
          <cell r="Q42">
            <v>0</v>
          </cell>
        </row>
        <row r="44">
          <cell r="D44">
            <v>14807.09</v>
          </cell>
          <cell r="E44">
            <v>1606.7</v>
          </cell>
          <cell r="F44">
            <v>28263.29</v>
          </cell>
          <cell r="G44">
            <v>3930.33</v>
          </cell>
          <cell r="H44">
            <v>47791.29</v>
          </cell>
          <cell r="J44">
            <v>742.64</v>
          </cell>
          <cell r="K44">
            <v>827.88</v>
          </cell>
          <cell r="L44">
            <v>30.7</v>
          </cell>
          <cell r="O44">
            <v>963</v>
          </cell>
          <cell r="P44">
            <v>17</v>
          </cell>
          <cell r="Q44">
            <v>0</v>
          </cell>
        </row>
        <row r="45">
          <cell r="D45">
            <v>2115.2</v>
          </cell>
          <cell r="E45">
            <v>0</v>
          </cell>
          <cell r="F45">
            <v>3037.39</v>
          </cell>
          <cell r="G45">
            <v>2696.52</v>
          </cell>
          <cell r="H45">
            <v>0</v>
          </cell>
          <cell r="J45">
            <v>3789.8</v>
          </cell>
          <cell r="K45">
            <v>0</v>
          </cell>
          <cell r="O45">
            <v>472</v>
          </cell>
          <cell r="P45">
            <v>759</v>
          </cell>
          <cell r="Q45">
            <v>0</v>
          </cell>
        </row>
        <row r="48">
          <cell r="D48">
            <v>0</v>
          </cell>
          <cell r="E48">
            <v>0</v>
          </cell>
          <cell r="F48">
            <v>0</v>
          </cell>
          <cell r="G48">
            <v>193.82</v>
          </cell>
          <cell r="J48">
            <v>1372.6399999999999</v>
          </cell>
        </row>
        <row r="53">
          <cell r="D53">
            <v>41.55</v>
          </cell>
          <cell r="E53">
            <v>10.21</v>
          </cell>
          <cell r="F53">
            <v>66.28</v>
          </cell>
          <cell r="G53">
            <v>139.93</v>
          </cell>
          <cell r="J53">
            <v>3248.58</v>
          </cell>
        </row>
        <row r="56">
          <cell r="D56">
            <v>32126.56</v>
          </cell>
          <cell r="E56">
            <v>337.59</v>
          </cell>
          <cell r="F56">
            <v>18849.499999999996</v>
          </cell>
          <cell r="G56">
            <v>11414.69</v>
          </cell>
          <cell r="H56">
            <v>0</v>
          </cell>
          <cell r="J56">
            <v>3844.6900000000005</v>
          </cell>
          <cell r="K56">
            <v>10.219999999999999</v>
          </cell>
          <cell r="L56">
            <v>1479.0400000000002</v>
          </cell>
          <cell r="O56">
            <v>1268</v>
          </cell>
          <cell r="P56">
            <v>102</v>
          </cell>
          <cell r="Q56">
            <v>0</v>
          </cell>
        </row>
        <row r="57">
          <cell r="O57">
            <v>0</v>
          </cell>
          <cell r="P57">
            <v>0</v>
          </cell>
          <cell r="Q57">
            <v>0</v>
          </cell>
        </row>
        <row r="59">
          <cell r="L59">
            <v>812.2000000000003</v>
          </cell>
          <cell r="Q59">
            <v>73</v>
          </cell>
        </row>
        <row r="60">
          <cell r="L60">
            <v>38101.469999999994</v>
          </cell>
          <cell r="Q60">
            <v>2575</v>
          </cell>
        </row>
        <row r="61">
          <cell r="L61">
            <v>6325.74</v>
          </cell>
          <cell r="Q61">
            <v>0</v>
          </cell>
        </row>
        <row r="62">
          <cell r="Q62">
            <v>0</v>
          </cell>
        </row>
        <row r="64">
          <cell r="Q64">
            <v>0</v>
          </cell>
        </row>
        <row r="65">
          <cell r="Q65">
            <v>0</v>
          </cell>
        </row>
        <row r="67">
          <cell r="L67">
            <v>1420.9</v>
          </cell>
        </row>
      </sheetData>
      <sheetData sheetId="35">
        <row r="76">
          <cell r="C76">
            <v>0.429</v>
          </cell>
          <cell r="E76">
            <v>0.4239</v>
          </cell>
        </row>
        <row r="77">
          <cell r="C77">
            <v>0.4047</v>
          </cell>
          <cell r="E77">
            <v>0.4031</v>
          </cell>
        </row>
        <row r="84">
          <cell r="C84">
            <v>3728.43</v>
          </cell>
          <cell r="E84">
            <v>3801.14</v>
          </cell>
        </row>
        <row r="85">
          <cell r="C85">
            <v>3764.56</v>
          </cell>
          <cell r="E85">
            <v>3585.9</v>
          </cell>
        </row>
        <row r="86">
          <cell r="C86">
            <v>246.2618543</v>
          </cell>
          <cell r="E86">
            <v>232.7732416</v>
          </cell>
        </row>
        <row r="87">
          <cell r="C87">
            <v>936.3507541</v>
          </cell>
          <cell r="E87">
            <v>916.4808666</v>
          </cell>
        </row>
        <row r="88">
          <cell r="C88">
            <v>0.1641469</v>
          </cell>
          <cell r="E88">
            <v>0.1840647</v>
          </cell>
        </row>
        <row r="89">
          <cell r="C89">
            <v>18.7128447</v>
          </cell>
          <cell r="E89">
            <v>18.5012282</v>
          </cell>
        </row>
        <row r="90">
          <cell r="C90">
            <v>7689.52</v>
          </cell>
          <cell r="E90">
            <v>7214.39</v>
          </cell>
        </row>
        <row r="91">
          <cell r="C91">
            <v>188.8551246</v>
          </cell>
          <cell r="E91">
            <v>195.6634335</v>
          </cell>
        </row>
        <row r="92">
          <cell r="C92">
            <v>1.7077021</v>
          </cell>
          <cell r="E92">
            <v>1.7831589</v>
          </cell>
        </row>
        <row r="93">
          <cell r="C93">
            <v>0.0440769</v>
          </cell>
          <cell r="E93">
            <v>0.0578664</v>
          </cell>
        </row>
        <row r="94">
          <cell r="C94">
            <v>925.6418613</v>
          </cell>
          <cell r="E94">
            <v>930.0617156</v>
          </cell>
        </row>
        <row r="95">
          <cell r="C95">
            <v>3.6509401</v>
          </cell>
          <cell r="E95">
            <v>3.2860747</v>
          </cell>
        </row>
        <row r="96">
          <cell r="C96">
            <v>0.591301</v>
          </cell>
          <cell r="E96">
            <v>0.6124531</v>
          </cell>
        </row>
        <row r="97">
          <cell r="C97">
            <v>0.2106027</v>
          </cell>
          <cell r="E97">
            <v>0.218943</v>
          </cell>
        </row>
        <row r="98">
          <cell r="C98">
            <v>50.454135</v>
          </cell>
          <cell r="E98">
            <v>49.5199394</v>
          </cell>
        </row>
        <row r="99">
          <cell r="C99">
            <v>104.4997561</v>
          </cell>
          <cell r="E99">
            <v>103.7495393</v>
          </cell>
        </row>
        <row r="100">
          <cell r="C100">
            <v>50.9</v>
          </cell>
          <cell r="E100">
            <v>47.94</v>
          </cell>
        </row>
        <row r="102">
          <cell r="C102">
            <v>2090.96</v>
          </cell>
          <cell r="E102">
            <v>2099.38</v>
          </cell>
        </row>
        <row r="103">
          <cell r="C103">
            <v>1704.77</v>
          </cell>
          <cell r="E103">
            <v>1585.06</v>
          </cell>
        </row>
        <row r="104">
          <cell r="C104">
            <v>121.7704096</v>
          </cell>
          <cell r="E104">
            <v>112.7256234</v>
          </cell>
        </row>
        <row r="105">
          <cell r="C105">
            <v>430.7381924</v>
          </cell>
          <cell r="E105">
            <v>425.4761504</v>
          </cell>
        </row>
        <row r="106">
          <cell r="C106">
            <v>0.0748236</v>
          </cell>
          <cell r="E106">
            <v>0.0897695</v>
          </cell>
        </row>
        <row r="107">
          <cell r="C107">
            <v>9.5079563</v>
          </cell>
          <cell r="E107">
            <v>9.6317165</v>
          </cell>
        </row>
        <row r="108">
          <cell r="C108">
            <v>2860.26</v>
          </cell>
          <cell r="E108">
            <v>2678.08</v>
          </cell>
        </row>
        <row r="109">
          <cell r="C109">
            <v>311.0603754</v>
          </cell>
          <cell r="E109">
            <v>327.1257176</v>
          </cell>
        </row>
        <row r="110">
          <cell r="C110">
            <v>0.8471242</v>
          </cell>
          <cell r="E110">
            <v>0.9370627</v>
          </cell>
        </row>
        <row r="111">
          <cell r="C111">
            <v>0.0412689</v>
          </cell>
          <cell r="E111">
            <v>0.0327861</v>
          </cell>
        </row>
        <row r="112">
          <cell r="C112">
            <v>417.6965892</v>
          </cell>
          <cell r="E112">
            <v>416.3331315</v>
          </cell>
        </row>
        <row r="113">
          <cell r="C113">
            <v>2.2368548</v>
          </cell>
          <cell r="E113">
            <v>1.9446874</v>
          </cell>
        </row>
        <row r="114">
          <cell r="C114">
            <v>0.2885476</v>
          </cell>
          <cell r="E114">
            <v>0.2900184</v>
          </cell>
        </row>
        <row r="115">
          <cell r="C115">
            <v>0.1562082</v>
          </cell>
          <cell r="E115">
            <v>0.1147179</v>
          </cell>
        </row>
        <row r="116">
          <cell r="C116">
            <v>31.8179397</v>
          </cell>
          <cell r="E116">
            <v>30.6617218</v>
          </cell>
        </row>
        <row r="117">
          <cell r="C117">
            <v>65.2593746</v>
          </cell>
          <cell r="E117">
            <v>61.9246053</v>
          </cell>
        </row>
        <row r="118">
          <cell r="C118">
            <v>50.9</v>
          </cell>
          <cell r="E118">
            <v>47.94</v>
          </cell>
        </row>
        <row r="120">
          <cell r="C120">
            <v>0.06989999999999999</v>
          </cell>
          <cell r="E120">
            <v>0.06989999999999999</v>
          </cell>
        </row>
        <row r="121">
          <cell r="C121">
            <v>0.11430000000000001</v>
          </cell>
          <cell r="E121">
            <v>0.11430000000000001</v>
          </cell>
        </row>
        <row r="122">
          <cell r="C122">
            <v>0.5</v>
          </cell>
          <cell r="E122">
            <v>0.5</v>
          </cell>
        </row>
        <row r="123">
          <cell r="C123">
            <v>0.04</v>
          </cell>
          <cell r="E123">
            <v>0.04</v>
          </cell>
        </row>
        <row r="124">
          <cell r="C124">
            <v>5.967</v>
          </cell>
          <cell r="E124">
            <v>5.967</v>
          </cell>
        </row>
        <row r="125">
          <cell r="C125">
            <v>4.467</v>
          </cell>
          <cell r="E125">
            <v>4.467</v>
          </cell>
        </row>
        <row r="126">
          <cell r="C126">
            <v>0.0333</v>
          </cell>
          <cell r="E126">
            <v>0.0333</v>
          </cell>
        </row>
        <row r="127">
          <cell r="C127">
            <v>0.0587</v>
          </cell>
          <cell r="E127">
            <v>0.0587</v>
          </cell>
        </row>
        <row r="128">
          <cell r="C128">
            <v>0.2</v>
          </cell>
          <cell r="E128">
            <v>0.2</v>
          </cell>
        </row>
        <row r="129">
          <cell r="C129">
            <v>0.25</v>
          </cell>
          <cell r="E129">
            <v>0.25</v>
          </cell>
        </row>
        <row r="130">
          <cell r="C130">
            <v>0.04</v>
          </cell>
          <cell r="E130">
            <v>0.04</v>
          </cell>
        </row>
        <row r="131">
          <cell r="C131">
            <v>4</v>
          </cell>
          <cell r="E131">
            <v>4</v>
          </cell>
        </row>
        <row r="132">
          <cell r="C132">
            <v>2</v>
          </cell>
          <cell r="E132">
            <v>2</v>
          </cell>
        </row>
        <row r="133">
          <cell r="C133">
            <v>3.5</v>
          </cell>
          <cell r="E133">
            <v>3.5</v>
          </cell>
        </row>
        <row r="134">
          <cell r="C134">
            <v>0.5</v>
          </cell>
          <cell r="E134">
            <v>0.5</v>
          </cell>
        </row>
        <row r="135">
          <cell r="C135">
            <v>0.2357</v>
          </cell>
          <cell r="E135">
            <v>0.2357</v>
          </cell>
        </row>
        <row r="136">
          <cell r="C136">
            <v>0.3</v>
          </cell>
          <cell r="E136">
            <v>0.3</v>
          </cell>
        </row>
        <row r="137">
          <cell r="C137">
            <v>1710.33</v>
          </cell>
          <cell r="E137">
            <v>1700.2</v>
          </cell>
        </row>
        <row r="138">
          <cell r="C138">
            <v>919.65</v>
          </cell>
          <cell r="E138">
            <v>926</v>
          </cell>
        </row>
      </sheetData>
      <sheetData sheetId="36">
        <row r="8">
          <cell r="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25"/>
  <sheetViews>
    <sheetView workbookViewId="0" topLeftCell="A12">
      <selection activeCell="A17" sqref="A17"/>
    </sheetView>
  </sheetViews>
  <sheetFormatPr defaultColWidth="8.88671875" defaultRowHeight="15.75"/>
  <cols>
    <col min="1" max="1" width="15.4453125" style="15" customWidth="1"/>
    <col min="2" max="2" width="22.77734375" style="15" customWidth="1"/>
    <col min="3" max="3" width="60.3359375" style="15" customWidth="1"/>
    <col min="4" max="16384" width="8.88671875" style="15" customWidth="1"/>
  </cols>
  <sheetData>
    <row r="1" s="1" customFormat="1" ht="12.75" customHeight="1">
      <c r="A1" s="107" t="str">
        <f>IF(Doc!$A$5=Doc!$B$5,[1]!FY_LOWER&amp;" - PRC Version",[1]!FY_LOWER&amp;" - USPS Version")</f>
        <v>Base Year 2005 - USPS Version</v>
      </c>
    </row>
    <row r="2" s="1" customFormat="1" ht="12.75" customHeight="1">
      <c r="A2" s="107" t="s">
        <v>0</v>
      </c>
    </row>
    <row r="3" s="1" customFormat="1" ht="12.75" customHeight="1">
      <c r="A3" s="108" t="s">
        <v>1</v>
      </c>
    </row>
    <row r="4" s="1" customFormat="1" ht="12.75" customHeight="1">
      <c r="A4" s="108"/>
    </row>
    <row r="5" spans="1:2" s="48" customFormat="1" ht="12" customHeight="1">
      <c r="A5" s="48">
        <f>'[1]Version'!$C$8</f>
        <v>0</v>
      </c>
      <c r="B5" s="48">
        <v>1</v>
      </c>
    </row>
    <row r="6" spans="1:3" ht="12">
      <c r="A6" s="114" t="s">
        <v>2</v>
      </c>
      <c r="B6" s="115" t="s">
        <v>3</v>
      </c>
      <c r="C6" s="114" t="s">
        <v>4</v>
      </c>
    </row>
    <row r="7" spans="1:3" ht="36">
      <c r="A7" s="211" t="s">
        <v>5</v>
      </c>
      <c r="B7" s="212" t="s">
        <v>6</v>
      </c>
      <c r="C7" s="213" t="s">
        <v>7</v>
      </c>
    </row>
    <row r="8" spans="1:3" ht="36">
      <c r="A8" s="87" t="s">
        <v>8</v>
      </c>
      <c r="B8" s="55" t="s">
        <v>8</v>
      </c>
      <c r="C8" s="128" t="s">
        <v>9</v>
      </c>
    </row>
    <row r="9" spans="1:3" ht="36">
      <c r="A9" s="87" t="s">
        <v>183</v>
      </c>
      <c r="B9" s="65" t="s">
        <v>184</v>
      </c>
      <c r="C9" s="53" t="s">
        <v>10</v>
      </c>
    </row>
    <row r="10" spans="1:3" ht="36">
      <c r="A10" s="89" t="s">
        <v>11</v>
      </c>
      <c r="B10" s="65" t="s">
        <v>12</v>
      </c>
      <c r="C10" s="128" t="s">
        <v>13</v>
      </c>
    </row>
    <row r="11" spans="1:3" ht="24">
      <c r="A11" s="89" t="s">
        <v>14</v>
      </c>
      <c r="B11" s="55" t="s">
        <v>15</v>
      </c>
      <c r="C11" s="128" t="s">
        <v>16</v>
      </c>
    </row>
    <row r="12" spans="1:3" ht="36">
      <c r="A12" s="89" t="s">
        <v>17</v>
      </c>
      <c r="B12" s="65" t="s">
        <v>18</v>
      </c>
      <c r="C12" s="53" t="str">
        <f>"This worksheet splits the evaluated routes total volume variable cost from "&amp;A10&amp;" into costs for each evaluation item, using the amount of time spent per week per evaluation item on the average route.  For PQ 1-3 only."</f>
        <v>This worksheet splits the evaluated routes total volume variable cost from WS 10.0.1 into costs for each evaluation item, using the amount of time spent per week per evaluation item on the average route.  For PQ 1-3 only.</v>
      </c>
    </row>
    <row r="13" spans="1:3" ht="36">
      <c r="A13" s="87" t="s">
        <v>187</v>
      </c>
      <c r="B13" s="65" t="s">
        <v>18</v>
      </c>
      <c r="C13" s="53" t="str">
        <f>"This worksheet splits the evaluated routes total volume variable cost from "&amp;A11&amp;" into costs for each evaluation item, using the amount of time spent per week per evaluation item on the average route.  For PQ 4 only."</f>
        <v>This worksheet splits the evaluated routes total volume variable cost from WS 10.0.2 into costs for each evaluation item, using the amount of time spent per week per evaluation item on the average route.  For PQ 4 only.</v>
      </c>
    </row>
    <row r="14" spans="1:3" ht="36">
      <c r="A14" s="89" t="s">
        <v>19</v>
      </c>
      <c r="B14" s="65" t="s">
        <v>20</v>
      </c>
      <c r="C14" s="53" t="str">
        <f>"This worksheet splits the other routes total volume variable cost from "&amp;A10&amp;" into costs for each evaluation item, using the amount of time spent per week per evaluation item on the average route."</f>
        <v>This worksheet splits the other routes total volume variable cost from WS 10.0.1 into costs for each evaluation item, using the amount of time spent per week per evaluation item on the average route.</v>
      </c>
    </row>
    <row r="15" spans="1:3" ht="12">
      <c r="A15" s="88" t="s">
        <v>21</v>
      </c>
      <c r="B15" s="55" t="s">
        <v>22</v>
      </c>
      <c r="C15" s="53" t="e">
        <f>"This worksheet contains distribution keys by rural evaluation category.  Letter, flats, and DPS/sector segment distribution keys are adjusted in "&amp;#REF!&amp;"."</f>
        <v>#REF!</v>
      </c>
    </row>
    <row r="16" spans="1:3" ht="24">
      <c r="A16" s="89" t="s">
        <v>23</v>
      </c>
      <c r="B16" s="65" t="s">
        <v>24</v>
      </c>
      <c r="C16" s="53" t="str">
        <f>"This worksheet distributes the evaluated routes volume variable cost for each evaluation item using the distribution keys in "&amp;A15&amp;"."</f>
        <v>This worksheet distributes the evaluated routes volume variable cost for each evaluation item using the distribution keys in WS 10.0.4.</v>
      </c>
    </row>
    <row r="17" spans="1:3" ht="24">
      <c r="A17" s="87" t="s">
        <v>199</v>
      </c>
      <c r="B17" s="65" t="s">
        <v>25</v>
      </c>
      <c r="C17" s="53" t="str">
        <f>"This worksheet distributes the other routes volume variable cost for each evaluation item using the distribution keys on "&amp;A15&amp;"."</f>
        <v>This worksheet distributes the other routes volume variable cost for each evaluation item using the distribution keys on WS 10.0.4.</v>
      </c>
    </row>
    <row r="18" spans="1:3" ht="12">
      <c r="A18" s="88" t="s">
        <v>26</v>
      </c>
      <c r="B18" s="55" t="s">
        <v>26</v>
      </c>
      <c r="C18" s="128" t="s">
        <v>27</v>
      </c>
    </row>
    <row r="19" ht="12">
      <c r="A19" s="16"/>
    </row>
    <row r="20" ht="12">
      <c r="A20" s="16"/>
    </row>
    <row r="21" ht="12">
      <c r="A21" s="16"/>
    </row>
    <row r="22" ht="12">
      <c r="A22" s="16"/>
    </row>
    <row r="23" ht="12">
      <c r="A23" s="16"/>
    </row>
    <row r="24" ht="12">
      <c r="A24" s="16"/>
    </row>
    <row r="25" ht="12">
      <c r="A25" s="16"/>
    </row>
  </sheetData>
  <printOptions/>
  <pageMargins left="0.5" right="0.5" top="1" bottom="0.5" header="0.75" footer="0.25"/>
  <pageSetup fitToHeight="1" fitToWidth="1" horizontalDpi="300" verticalDpi="300" orientation="landscape" r:id="rId2"/>
  <headerFooter alignWithMargins="0">
    <oddHeader>&amp;RPrinted on: &amp;D</oddHeader>
  </headerFooter>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M31"/>
  <sheetViews>
    <sheetView workbookViewId="0" topLeftCell="A1">
      <selection activeCell="A1" sqref="A1"/>
    </sheetView>
  </sheetViews>
  <sheetFormatPr defaultColWidth="8.88671875" defaultRowHeight="15.75"/>
  <cols>
    <col min="1" max="1" width="3.21484375" style="2" customWidth="1"/>
    <col min="2" max="2" width="22.4453125" style="2" bestFit="1" customWidth="1"/>
    <col min="3" max="3" width="11.10546875" style="2" customWidth="1"/>
    <col min="4" max="5" width="9.4453125" style="2" customWidth="1"/>
    <col min="6" max="7" width="8.88671875" style="2" customWidth="1"/>
    <col min="8" max="8" width="9.10546875" style="2" customWidth="1"/>
    <col min="9" max="9" width="9.88671875" style="2" customWidth="1"/>
    <col min="10" max="10" width="8.6640625" style="2" customWidth="1"/>
    <col min="11" max="11" width="8.88671875" style="2" customWidth="1"/>
    <col min="12" max="12" width="8.4453125" style="2" customWidth="1"/>
    <col min="13" max="13" width="4.99609375" style="2" customWidth="1"/>
    <col min="14" max="16384" width="8.88671875" style="2" customWidth="1"/>
  </cols>
  <sheetData>
    <row r="1" s="1" customFormat="1" ht="12.75" customHeight="1">
      <c r="A1" s="107" t="str">
        <f>Doc!A1</f>
        <v>Base Year 2005 - USPS Version</v>
      </c>
    </row>
    <row r="2" s="1" customFormat="1" ht="12.75" customHeight="1">
      <c r="A2" s="107" t="str">
        <f>Doc!A2</f>
        <v>C/S 10 RURAL CARRIERS</v>
      </c>
    </row>
    <row r="3" spans="1:2" s="1" customFormat="1" ht="12.75" customHeight="1">
      <c r="A3" s="110" t="str">
        <f>Doc!A14&amp;" "&amp;Doc!B14</f>
        <v>WS 10.2.1 DEVELOPMENT OF OTHER ROUTE VVC</v>
      </c>
      <c r="B3" s="111"/>
    </row>
    <row r="4" spans="1:2" s="1" customFormat="1" ht="12.75" customHeight="1">
      <c r="A4" s="133"/>
      <c r="B4" s="110" t="s">
        <v>186</v>
      </c>
    </row>
    <row r="5" spans="1:13" s="204" customFormat="1" ht="33.75">
      <c r="A5" s="116" t="s">
        <v>28</v>
      </c>
      <c r="B5" s="135" t="s">
        <v>145</v>
      </c>
      <c r="C5" s="118" t="s">
        <v>146</v>
      </c>
      <c r="D5" s="116" t="str">
        <f>Inputs!H19</f>
        <v>EVALUATION FACTOR PQ3-4</v>
      </c>
      <c r="E5" s="118" t="s">
        <v>147</v>
      </c>
      <c r="F5" s="116" t="s">
        <v>148</v>
      </c>
      <c r="G5" s="116" t="s">
        <v>149</v>
      </c>
      <c r="H5" s="118" t="s">
        <v>150</v>
      </c>
      <c r="I5" s="116" t="s">
        <v>25</v>
      </c>
      <c r="J5" s="116" t="s">
        <v>151</v>
      </c>
      <c r="K5" s="116" t="s">
        <v>152</v>
      </c>
      <c r="L5" s="116" t="s">
        <v>153</v>
      </c>
      <c r="M5" s="203"/>
    </row>
    <row r="6" spans="1:13" ht="11.25" customHeight="1">
      <c r="A6" s="12"/>
      <c r="B6" s="103" t="s">
        <v>67</v>
      </c>
      <c r="C6" s="14">
        <v>-1</v>
      </c>
      <c r="D6" s="14">
        <f aca="true" t="shared" si="0" ref="D6:L6">C6-1</f>
        <v>-2</v>
      </c>
      <c r="E6" s="14">
        <f t="shared" si="0"/>
        <v>-3</v>
      </c>
      <c r="F6" s="14">
        <f t="shared" si="0"/>
        <v>-4</v>
      </c>
      <c r="G6" s="14">
        <f t="shared" si="0"/>
        <v>-5</v>
      </c>
      <c r="H6" s="14">
        <f t="shared" si="0"/>
        <v>-6</v>
      </c>
      <c r="I6" s="14">
        <f t="shared" si="0"/>
        <v>-7</v>
      </c>
      <c r="J6" s="14">
        <f t="shared" si="0"/>
        <v>-8</v>
      </c>
      <c r="K6" s="14">
        <f t="shared" si="0"/>
        <v>-9</v>
      </c>
      <c r="L6" s="14">
        <f t="shared" si="0"/>
        <v>-10</v>
      </c>
      <c r="M6" s="12"/>
    </row>
    <row r="7" spans="1:13" ht="45">
      <c r="A7" s="12"/>
      <c r="B7" s="95" t="s">
        <v>68</v>
      </c>
      <c r="C7" s="85"/>
      <c r="D7" s="85"/>
      <c r="E7" s="86" t="str">
        <f>"=C"&amp;-C6&amp;"xC"&amp;-D6</f>
        <v>=C1xC2</v>
      </c>
      <c r="F7" s="73" t="str">
        <f>"C"&amp;-E$6&amp;"L"&amp;A$25&amp;" dist on C"&amp;-E$6&amp;"L"&amp;A$11&amp;"...L"&amp;A$20</f>
        <v>C3L16 dist on C3L2...L11</v>
      </c>
      <c r="G7" s="73" t="str">
        <f>"C"&amp;-E$6&amp;"L"&amp;A$26&amp;" dist on C"&amp;-E$6&amp;"L"&amp;A$11&amp;"...L"&amp;A$20</f>
        <v>C3L17 dist on C3L2...L11</v>
      </c>
      <c r="H7" s="86" t="str">
        <f>"=C"&amp;-E6&amp;"...C"&amp;-G6</f>
        <v>=C3...C5</v>
      </c>
      <c r="I7" s="73" t="str">
        <f>"C"&amp;-I6&amp;"L"&amp;A27&amp;" dist on C"&amp;-H6&amp;"; C"&amp;-I6&amp;"L"&amp;A28&amp;"=C"&amp;-E6&amp;"L"&amp;A28&amp;"/C"&amp;-E6&amp;"L"&amp;A29&amp;"xC"&amp;-I6&amp;"L"&amp;A29</f>
        <v>C7L18 dist on C6; C7L19=C3L19/C3L20xC7L20</v>
      </c>
      <c r="J7" s="73"/>
      <c r="K7" s="73" t="str">
        <f>"-C"&amp;-K6&amp;"L"&amp;A13&amp;" dist on C"&amp;-I6&amp;"L"&amp;A11&amp;"..L"&amp;A12</f>
        <v>-C9L4 dist on C7L2..L3</v>
      </c>
      <c r="L7" s="86" t="str">
        <f>"=C"&amp;-I6&amp;"+C"&amp;-K6</f>
        <v>=C7+C9</v>
      </c>
      <c r="M7" s="12"/>
    </row>
    <row r="8" spans="1:13" ht="11.25">
      <c r="A8" s="12"/>
      <c r="B8" s="95" t="s">
        <v>29</v>
      </c>
      <c r="C8" s="73" t="str">
        <f>Inputs!C20</f>
        <v>Pieces/ Week</v>
      </c>
      <c r="D8" s="73" t="str">
        <f>Inputs!E20</f>
        <v>Minutes/ Piece</v>
      </c>
      <c r="E8" s="73" t="s">
        <v>154</v>
      </c>
      <c r="F8" s="73" t="str">
        <f>E8</f>
        <v>Minutes/ Week</v>
      </c>
      <c r="G8" s="73" t="str">
        <f>E8</f>
        <v>Minutes/ Week</v>
      </c>
      <c r="H8" s="73" t="str">
        <f>E8</f>
        <v>Minutes/ Week</v>
      </c>
      <c r="I8" s="84" t="s">
        <v>30</v>
      </c>
      <c r="J8" s="73" t="s">
        <v>31</v>
      </c>
      <c r="K8" s="84" t="s">
        <v>30</v>
      </c>
      <c r="L8" s="84" t="s">
        <v>30</v>
      </c>
      <c r="M8" s="12"/>
    </row>
    <row r="9" spans="1:13" ht="45">
      <c r="A9" s="13"/>
      <c r="B9" s="98" t="s">
        <v>69</v>
      </c>
      <c r="C9" s="82" t="str">
        <f>Inputs!F22</f>
        <v>2005 RMC</v>
      </c>
      <c r="D9" s="82" t="str">
        <f>Inputs!H22</f>
        <v>Agreements</v>
      </c>
      <c r="E9" s="205"/>
      <c r="F9" s="44" t="str">
        <f>"C"&amp;-F$6&amp;"L"&amp;A$25&amp;" =
-C"&amp;-E6&amp;"L"&amp;A$25</f>
        <v>C4L16 =
-C3L16</v>
      </c>
      <c r="G9" s="44" t="str">
        <f>"C"&amp;-G$6&amp;"L"&amp;A$26&amp;" =
-C"&amp;-E6&amp;"L"&amp;A$26</f>
        <v>C5L17 =
-C3L17</v>
      </c>
      <c r="H9" s="205"/>
      <c r="I9" s="44" t="str">
        <f>"C"&amp;-I6&amp;"L"&amp;A27&amp;" from "&amp;Doc!A10&amp;" C"&amp;-'10.0.1'!F6&amp;"L"&amp;'10.0.1'!A14&amp;"; C"&amp;-I6&amp;"L"&amp;A29&amp;" from "&amp;Doc!A10&amp;" C"&amp;-'10.0.1'!G6&amp;"L"&amp;'10.0.1'!A14</f>
        <v>C7L18 from WS 10.0.1 C4L5; C7L20 from WS 10.0.1 C5L5</v>
      </c>
      <c r="J9" s="44"/>
      <c r="K9" s="44" t="str">
        <f>"C"&amp;-K6&amp;"L"&amp;A13&amp;" =
-C"&amp;-I6&amp;"L"&amp;A13&amp;"xC"&amp;-J6&amp;"L"&amp;A13</f>
        <v>C9L4 =
-C7L4xC8L4</v>
      </c>
      <c r="L9" s="205"/>
      <c r="M9" s="12"/>
    </row>
    <row r="10" spans="1:13" ht="11.25">
      <c r="A10" s="62">
        <v>1</v>
      </c>
      <c r="B10" s="49" t="s">
        <v>155</v>
      </c>
      <c r="C10" s="28"/>
      <c r="D10" s="28"/>
      <c r="E10" s="28"/>
      <c r="F10" s="28"/>
      <c r="G10" s="28"/>
      <c r="H10" s="28"/>
      <c r="I10" s="28"/>
      <c r="J10" s="28"/>
      <c r="K10" s="28"/>
      <c r="L10" s="28"/>
      <c r="M10" s="12"/>
    </row>
    <row r="11" spans="1:13" ht="11.25">
      <c r="A11" s="62">
        <f aca="true" t="shared" si="1" ref="A11:A29">A10+1</f>
        <v>2</v>
      </c>
      <c r="B11" s="22" t="str">
        <f>Inputs!B23</f>
        <v> LETTERS DELIVERED</v>
      </c>
      <c r="C11" s="47">
        <f>Inputs!G23</f>
        <v>2090.96</v>
      </c>
      <c r="D11" s="136">
        <f>Inputs!H23</f>
        <v>0.06989999999999999</v>
      </c>
      <c r="E11" s="29">
        <f aca="true" t="shared" si="2" ref="E11:E26">C11*D11</f>
        <v>146.15810399999998</v>
      </c>
      <c r="F11" s="29">
        <f aca="true" t="shared" si="3" ref="F11:F20">$E$25*E11/SUM($E$11:$E$20)</f>
        <v>4.0387264260045885</v>
      </c>
      <c r="G11" s="29">
        <f aca="true" t="shared" si="4" ref="G11:G20">$E$26*E11/SUM($E$11:$E$20)</f>
        <v>3.9048546004242968</v>
      </c>
      <c r="H11" s="29">
        <f aca="true" t="shared" si="5" ref="H11:H24">SUM(E11:G11)</f>
        <v>154.10168502642887</v>
      </c>
      <c r="I11" s="176">
        <f aca="true" t="shared" si="6" ref="I11:I24">IF($H$27=0,0,H11/$H$27*$I$27)</f>
        <v>22881.23028486873</v>
      </c>
      <c r="J11" s="28"/>
      <c r="K11" s="176">
        <f>-I11/SUM($I$11,$I$12)*$K$13</f>
        <v>0</v>
      </c>
      <c r="L11" s="176">
        <f aca="true" t="shared" si="7" ref="L11:L24">SUM(I11,K11)</f>
        <v>22881.23028486873</v>
      </c>
      <c r="M11" s="12"/>
    </row>
    <row r="12" spans="1:13" ht="11.25">
      <c r="A12" s="62">
        <f t="shared" si="1"/>
        <v>3</v>
      </c>
      <c r="B12" s="22" t="str">
        <f>Inputs!B24</f>
        <v> FLATS DELIVERED</v>
      </c>
      <c r="C12" s="47">
        <f>Inputs!G24</f>
        <v>1704.77</v>
      </c>
      <c r="D12" s="136">
        <f>Inputs!H24</f>
        <v>0.11430000000000001</v>
      </c>
      <c r="E12" s="29">
        <f t="shared" si="2"/>
        <v>194.85521100000003</v>
      </c>
      <c r="F12" s="29">
        <f t="shared" si="3"/>
        <v>5.384353439001919</v>
      </c>
      <c r="G12" s="29">
        <f t="shared" si="4"/>
        <v>5.205878061267115</v>
      </c>
      <c r="H12" s="29">
        <f t="shared" si="5"/>
        <v>205.44544250026908</v>
      </c>
      <c r="I12" s="176">
        <f t="shared" si="6"/>
        <v>30504.82205966279</v>
      </c>
      <c r="J12" s="28"/>
      <c r="K12" s="176">
        <f>-I12/SUM($I$11,$I$12)*$K$13</f>
        <v>0</v>
      </c>
      <c r="L12" s="176">
        <f t="shared" si="7"/>
        <v>30504.82205966279</v>
      </c>
      <c r="M12" s="12"/>
    </row>
    <row r="13" spans="1:13" ht="11.25">
      <c r="A13" s="62">
        <f t="shared" si="1"/>
        <v>4</v>
      </c>
      <c r="B13" s="22" t="str">
        <f>Inputs!B25</f>
        <v> PARCELS DELIVERED</v>
      </c>
      <c r="C13" s="47">
        <f>Inputs!G25</f>
        <v>121.7704096</v>
      </c>
      <c r="D13" s="136">
        <f>Inputs!H25</f>
        <v>0.5</v>
      </c>
      <c r="E13" s="29">
        <f t="shared" si="2"/>
        <v>60.8852048</v>
      </c>
      <c r="F13" s="29">
        <f t="shared" si="3"/>
        <v>1.682415677603901</v>
      </c>
      <c r="G13" s="29">
        <f t="shared" si="4"/>
        <v>1.6266485781798012</v>
      </c>
      <c r="H13" s="29">
        <f t="shared" si="5"/>
        <v>64.19426905578369</v>
      </c>
      <c r="I13" s="176">
        <f t="shared" si="6"/>
        <v>9531.653420806519</v>
      </c>
      <c r="J13" s="142">
        <v>0</v>
      </c>
      <c r="K13" s="176">
        <f>-I13*J13</f>
        <v>0</v>
      </c>
      <c r="L13" s="176">
        <f t="shared" si="7"/>
        <v>9531.653420806519</v>
      </c>
      <c r="M13" s="12"/>
    </row>
    <row r="14" spans="1:13" ht="11.25">
      <c r="A14" s="62">
        <f t="shared" si="1"/>
        <v>5</v>
      </c>
      <c r="B14" s="22" t="str">
        <f>Inputs!B26</f>
        <v> BOXHOLDERS DELIVERED</v>
      </c>
      <c r="C14" s="47">
        <f>Inputs!G26</f>
        <v>430.7381924</v>
      </c>
      <c r="D14" s="136">
        <f>Inputs!H26</f>
        <v>0.04</v>
      </c>
      <c r="E14" s="29">
        <f t="shared" si="2"/>
        <v>17.229527696</v>
      </c>
      <c r="F14" s="29">
        <f t="shared" si="3"/>
        <v>0.4760964114135824</v>
      </c>
      <c r="G14" s="29">
        <f t="shared" si="4"/>
        <v>0.4603152247162665</v>
      </c>
      <c r="H14" s="29">
        <f t="shared" si="5"/>
        <v>18.165939332129852</v>
      </c>
      <c r="I14" s="176">
        <f t="shared" si="6"/>
        <v>2697.3036740521748</v>
      </c>
      <c r="J14" s="28"/>
      <c r="K14" s="176"/>
      <c r="L14" s="176">
        <f t="shared" si="7"/>
        <v>2697.3036740521748</v>
      </c>
      <c r="M14" s="12"/>
    </row>
    <row r="15" spans="1:13" ht="11.25">
      <c r="A15" s="62">
        <f t="shared" si="1"/>
        <v>6</v>
      </c>
      <c r="B15" s="22" t="str">
        <f>Inputs!B27</f>
        <v> COD DELIVERED</v>
      </c>
      <c r="C15" s="47">
        <f>Inputs!G27</f>
        <v>0.0748236</v>
      </c>
      <c r="D15" s="136">
        <f>Inputs!H27</f>
        <v>5.967</v>
      </c>
      <c r="E15" s="29">
        <f t="shared" si="2"/>
        <v>0.44647242119999997</v>
      </c>
      <c r="F15" s="29">
        <f t="shared" si="3"/>
        <v>0.01233718772092645</v>
      </c>
      <c r="G15" s="29">
        <f t="shared" si="4"/>
        <v>0.011928246468532423</v>
      </c>
      <c r="H15" s="29">
        <f t="shared" si="5"/>
        <v>0.47073785538945884</v>
      </c>
      <c r="I15" s="176">
        <f t="shared" si="6"/>
        <v>69.89580465083283</v>
      </c>
      <c r="J15" s="28"/>
      <c r="K15" s="176"/>
      <c r="L15" s="176">
        <f t="shared" si="7"/>
        <v>69.89580465083283</v>
      </c>
      <c r="M15" s="12"/>
    </row>
    <row r="16" spans="1:13" ht="11.25">
      <c r="A16" s="62">
        <f t="shared" si="1"/>
        <v>7</v>
      </c>
      <c r="B16" s="22" t="str">
        <f>Inputs!B28</f>
        <v> ACCOUNTABLES DELIVERED</v>
      </c>
      <c r="C16" s="47">
        <f>Inputs!G28</f>
        <v>9.5079563</v>
      </c>
      <c r="D16" s="136">
        <f>Inputs!H28</f>
        <v>4.467</v>
      </c>
      <c r="E16" s="29">
        <f t="shared" si="2"/>
        <v>42.472040792099996</v>
      </c>
      <c r="F16" s="29">
        <f t="shared" si="3"/>
        <v>1.1736123336233146</v>
      </c>
      <c r="G16" s="29">
        <f t="shared" si="4"/>
        <v>1.1347105588920345</v>
      </c>
      <c r="H16" s="29">
        <f t="shared" si="5"/>
        <v>44.780363684615345</v>
      </c>
      <c r="I16" s="176">
        <f t="shared" si="6"/>
        <v>6649.050031686089</v>
      </c>
      <c r="J16" s="28"/>
      <c r="K16" s="176"/>
      <c r="L16" s="176">
        <f t="shared" si="7"/>
        <v>6649.050031686089</v>
      </c>
      <c r="M16" s="12"/>
    </row>
    <row r="17" spans="1:13" ht="11.25">
      <c r="A17" s="62">
        <f t="shared" si="1"/>
        <v>8</v>
      </c>
      <c r="B17" s="22" t="str">
        <f>Inputs!B29</f>
        <v> DPS</v>
      </c>
      <c r="C17" s="47">
        <f>Inputs!G29</f>
        <v>2860.26</v>
      </c>
      <c r="D17" s="136">
        <f>Inputs!H29</f>
        <v>0.0333</v>
      </c>
      <c r="E17" s="29">
        <f t="shared" si="2"/>
        <v>95.24665800000001</v>
      </c>
      <c r="F17" s="29">
        <f t="shared" si="3"/>
        <v>2.631911499435032</v>
      </c>
      <c r="G17" s="29">
        <f t="shared" si="4"/>
        <v>2.5446714242156547</v>
      </c>
      <c r="H17" s="29">
        <f t="shared" si="5"/>
        <v>100.4232409236507</v>
      </c>
      <c r="I17" s="176">
        <f t="shared" si="6"/>
        <v>14910.981026150523</v>
      </c>
      <c r="J17" s="28"/>
      <c r="K17" s="176"/>
      <c r="L17" s="176">
        <f t="shared" si="7"/>
        <v>14910.981026150523</v>
      </c>
      <c r="M17" s="12"/>
    </row>
    <row r="18" spans="1:13" ht="11.25">
      <c r="A18" s="62">
        <f t="shared" si="1"/>
        <v>9</v>
      </c>
      <c r="B18" s="22" t="str">
        <f>Inputs!B30</f>
        <v> SECTOR SEGMENT</v>
      </c>
      <c r="C18" s="47">
        <f>Inputs!G30</f>
        <v>311.0603754</v>
      </c>
      <c r="D18" s="136">
        <f>Inputs!H30</f>
        <v>0.0587</v>
      </c>
      <c r="E18" s="29">
        <f t="shared" si="2"/>
        <v>18.25924403598</v>
      </c>
      <c r="F18" s="29">
        <f t="shared" si="3"/>
        <v>0.5045501370692322</v>
      </c>
      <c r="G18" s="29">
        <f t="shared" si="4"/>
        <v>0.48782579359517714</v>
      </c>
      <c r="H18" s="29">
        <f t="shared" si="5"/>
        <v>19.25161996664441</v>
      </c>
      <c r="I18" s="176">
        <f t="shared" si="6"/>
        <v>2858.507028901212</v>
      </c>
      <c r="J18" s="28"/>
      <c r="K18" s="176"/>
      <c r="L18" s="176">
        <f t="shared" si="7"/>
        <v>2858.507028901212</v>
      </c>
      <c r="M18" s="12"/>
    </row>
    <row r="19" spans="1:13" ht="11.25">
      <c r="A19" s="62">
        <f t="shared" si="1"/>
        <v>10</v>
      </c>
      <c r="B19" s="22" t="str">
        <f>Inputs!B31</f>
        <v> POSTAGE DUE</v>
      </c>
      <c r="C19" s="47">
        <f>Inputs!G31</f>
        <v>0.8471242</v>
      </c>
      <c r="D19" s="136">
        <f>Inputs!H31</f>
        <v>0.2</v>
      </c>
      <c r="E19" s="29">
        <f t="shared" si="2"/>
        <v>0.16942484000000002</v>
      </c>
      <c r="F19" s="29">
        <f t="shared" si="3"/>
        <v>0.004681646517045674</v>
      </c>
      <c r="G19" s="29">
        <f t="shared" si="4"/>
        <v>0.004526463793620029</v>
      </c>
      <c r="H19" s="29">
        <f t="shared" si="5"/>
        <v>0.17863295031066573</v>
      </c>
      <c r="I19" s="176">
        <f t="shared" si="6"/>
        <v>26.523666316970285</v>
      </c>
      <c r="J19" s="28"/>
      <c r="K19" s="176"/>
      <c r="L19" s="176">
        <f t="shared" si="7"/>
        <v>26.523666316970285</v>
      </c>
      <c r="M19" s="12"/>
    </row>
    <row r="20" spans="1:13" ht="11.25">
      <c r="A20" s="62">
        <f t="shared" si="1"/>
        <v>11</v>
      </c>
      <c r="B20" s="22" t="str">
        <f>Inputs!B32</f>
        <v> RETURN RECEIPTS</v>
      </c>
      <c r="C20" s="47">
        <f>Inputs!G32</f>
        <v>0.0412689</v>
      </c>
      <c r="D20" s="136">
        <f>Inputs!H32</f>
        <v>0.25</v>
      </c>
      <c r="E20" s="29">
        <f t="shared" si="2"/>
        <v>0.010317225</v>
      </c>
      <c r="F20" s="29">
        <f t="shared" si="3"/>
        <v>0.0002850916104558608</v>
      </c>
      <c r="G20" s="29">
        <f t="shared" si="4"/>
        <v>0.00027564166749770216</v>
      </c>
      <c r="H20" s="29">
        <f t="shared" si="5"/>
        <v>0.010877958277953563</v>
      </c>
      <c r="I20" s="176">
        <f t="shared" si="6"/>
        <v>1.615174216585382</v>
      </c>
      <c r="J20" s="28"/>
      <c r="K20" s="176"/>
      <c r="L20" s="176">
        <f t="shared" si="7"/>
        <v>1.615174216585382</v>
      </c>
      <c r="M20" s="12"/>
    </row>
    <row r="21" spans="1:13" ht="11.25">
      <c r="A21" s="62">
        <f t="shared" si="1"/>
        <v>12</v>
      </c>
      <c r="B21" s="22" t="str">
        <f>Inputs!B33</f>
        <v> LETTERS/FLATS COLLECTED</v>
      </c>
      <c r="C21" s="47">
        <f>Inputs!G33</f>
        <v>417.6965892</v>
      </c>
      <c r="D21" s="136">
        <f>Inputs!H33</f>
        <v>0.04</v>
      </c>
      <c r="E21" s="29">
        <f t="shared" si="2"/>
        <v>16.707863568</v>
      </c>
      <c r="F21" s="29"/>
      <c r="G21" s="29"/>
      <c r="H21" s="29">
        <f t="shared" si="5"/>
        <v>16.707863568</v>
      </c>
      <c r="I21" s="176">
        <f t="shared" si="6"/>
        <v>2480.8065778256196</v>
      </c>
      <c r="J21" s="28"/>
      <c r="K21" s="176"/>
      <c r="L21" s="176">
        <f t="shared" si="7"/>
        <v>2480.8065778256196</v>
      </c>
      <c r="M21" s="12"/>
    </row>
    <row r="22" spans="1:13" ht="11.25">
      <c r="A22" s="62">
        <f t="shared" si="1"/>
        <v>13</v>
      </c>
      <c r="B22" s="22" t="str">
        <f>Inputs!B34</f>
        <v> PARCELS ACCEPTED</v>
      </c>
      <c r="C22" s="47">
        <f>Inputs!G34</f>
        <v>2.2368548</v>
      </c>
      <c r="D22" s="136">
        <f>Inputs!H34</f>
        <v>4</v>
      </c>
      <c r="E22" s="29">
        <f t="shared" si="2"/>
        <v>8.9474192</v>
      </c>
      <c r="F22" s="29"/>
      <c r="G22" s="29"/>
      <c r="H22" s="29">
        <f t="shared" si="5"/>
        <v>8.9474192</v>
      </c>
      <c r="I22" s="176">
        <f t="shared" si="6"/>
        <v>1328.5251172649057</v>
      </c>
      <c r="J22" s="28"/>
      <c r="K22" s="176"/>
      <c r="L22" s="176">
        <f t="shared" si="7"/>
        <v>1328.5251172649057</v>
      </c>
      <c r="M22" s="12"/>
    </row>
    <row r="23" spans="1:13" ht="11.25">
      <c r="A23" s="62">
        <f t="shared" si="1"/>
        <v>14</v>
      </c>
      <c r="B23" s="22" t="str">
        <f>Inputs!B35</f>
        <v> ACCOUNTABLES ACCEPTED</v>
      </c>
      <c r="C23" s="47">
        <f>Inputs!G35</f>
        <v>0.2885476</v>
      </c>
      <c r="D23" s="136">
        <f>Inputs!H35</f>
        <v>2</v>
      </c>
      <c r="E23" s="29">
        <f t="shared" si="2"/>
        <v>0.5770952</v>
      </c>
      <c r="F23" s="29"/>
      <c r="G23" s="29"/>
      <c r="H23" s="29">
        <f t="shared" si="5"/>
        <v>0.5770952</v>
      </c>
      <c r="I23" s="176">
        <f t="shared" si="6"/>
        <v>85.6878895595966</v>
      </c>
      <c r="J23" s="28"/>
      <c r="K23" s="176"/>
      <c r="L23" s="176">
        <f t="shared" si="7"/>
        <v>85.6878895595966</v>
      </c>
      <c r="M23" s="12"/>
    </row>
    <row r="24" spans="1:13" ht="11.25">
      <c r="A24" s="62">
        <f t="shared" si="1"/>
        <v>15</v>
      </c>
      <c r="B24" s="22" t="str">
        <f>Inputs!B36</f>
        <v> MONEY ORDERS</v>
      </c>
      <c r="C24" s="47">
        <f>Inputs!G36</f>
        <v>0.1562082</v>
      </c>
      <c r="D24" s="136">
        <f>Inputs!H36</f>
        <v>3.5</v>
      </c>
      <c r="E24" s="29">
        <f t="shared" si="2"/>
        <v>0.5467287</v>
      </c>
      <c r="F24" s="29"/>
      <c r="G24" s="29"/>
      <c r="H24" s="29">
        <f t="shared" si="5"/>
        <v>0.5467287</v>
      </c>
      <c r="I24" s="176">
        <f t="shared" si="6"/>
        <v>81.17902984578942</v>
      </c>
      <c r="J24" s="28"/>
      <c r="K24" s="176"/>
      <c r="L24" s="176">
        <f t="shared" si="7"/>
        <v>81.17902984578942</v>
      </c>
      <c r="M24" s="12"/>
    </row>
    <row r="25" spans="1:13" ht="11.25">
      <c r="A25" s="62">
        <f t="shared" si="1"/>
        <v>16</v>
      </c>
      <c r="B25" s="22" t="str">
        <f>Inputs!B37</f>
        <v> VEHICLE LOADING</v>
      </c>
      <c r="C25" s="47">
        <f>Inputs!G37</f>
        <v>31.8179397</v>
      </c>
      <c r="D25" s="136">
        <f>Inputs!H37</f>
        <v>0.5</v>
      </c>
      <c r="E25" s="29">
        <f t="shared" si="2"/>
        <v>15.90896985</v>
      </c>
      <c r="F25" s="29">
        <f>-E25</f>
        <v>-15.90896985</v>
      </c>
      <c r="G25" s="29"/>
      <c r="H25" s="29"/>
      <c r="I25" s="176"/>
      <c r="J25" s="28"/>
      <c r="K25" s="176"/>
      <c r="L25" s="176"/>
      <c r="M25" s="12"/>
    </row>
    <row r="26" spans="1:13" ht="11.25">
      <c r="A26" s="62">
        <f t="shared" si="1"/>
        <v>17</v>
      </c>
      <c r="B26" s="22" t="str">
        <f>Inputs!B38</f>
        <v> MARKUPS</v>
      </c>
      <c r="C26" s="235">
        <f>Inputs!G38</f>
        <v>65.2593746</v>
      </c>
      <c r="D26" s="236">
        <f>Inputs!H38</f>
        <v>0.2357</v>
      </c>
      <c r="E26" s="29">
        <f t="shared" si="2"/>
        <v>15.38163459322</v>
      </c>
      <c r="F26" s="29"/>
      <c r="G26" s="29">
        <f>-E26</f>
        <v>-15.38163459322</v>
      </c>
      <c r="H26" s="29"/>
      <c r="I26" s="176"/>
      <c r="J26" s="28"/>
      <c r="K26" s="176"/>
      <c r="L26" s="176"/>
      <c r="M26" s="12"/>
    </row>
    <row r="27" spans="1:13" ht="11.25">
      <c r="A27" s="137">
        <f t="shared" si="1"/>
        <v>18</v>
      </c>
      <c r="B27" s="138" t="s">
        <v>164</v>
      </c>
      <c r="C27" s="139">
        <f>SUM(C11:C26)</f>
        <v>8047.485664500002</v>
      </c>
      <c r="D27" s="140"/>
      <c r="E27" s="139">
        <f>SUM(E11:E26)</f>
        <v>633.8019159215002</v>
      </c>
      <c r="F27" s="139">
        <f>SUM(F11:F26)</f>
        <v>0</v>
      </c>
      <c r="G27" s="139">
        <f>SUM(G11:G26)</f>
        <v>0</v>
      </c>
      <c r="H27" s="139">
        <f>SUM(H11:H26)</f>
        <v>633.8019159215002</v>
      </c>
      <c r="I27" s="177">
        <f>'10.0.1'!F14</f>
        <v>94107.78078580835</v>
      </c>
      <c r="J27" s="141"/>
      <c r="K27" s="177">
        <f>SUM(K11:K26)</f>
        <v>0</v>
      </c>
      <c r="L27" s="177">
        <f>SUM(I27,K27)</f>
        <v>94107.78078580835</v>
      </c>
      <c r="M27" s="12"/>
    </row>
    <row r="28" spans="1:12" ht="11.25">
      <c r="A28" s="60">
        <f>A27+1</f>
        <v>19</v>
      </c>
      <c r="B28" s="231" t="s">
        <v>180</v>
      </c>
      <c r="C28" s="253">
        <f>Inputs!G39</f>
        <v>50.9</v>
      </c>
      <c r="D28" s="254">
        <f>Inputs!H39</f>
        <v>0.3</v>
      </c>
      <c r="E28" s="253">
        <f>C28*D28</f>
        <v>15.27</v>
      </c>
      <c r="F28" s="241"/>
      <c r="G28" s="241"/>
      <c r="H28" s="241"/>
      <c r="I28" s="93">
        <f>E28/E$29*I$29</f>
        <v>2298.500868587281</v>
      </c>
      <c r="J28" s="20"/>
      <c r="K28" s="178"/>
      <c r="L28" s="93">
        <f>I28</f>
        <v>2298.500868587281</v>
      </c>
    </row>
    <row r="29" spans="1:12" ht="11.25">
      <c r="A29" s="61">
        <f t="shared" si="1"/>
        <v>20</v>
      </c>
      <c r="B29" s="50" t="s">
        <v>179</v>
      </c>
      <c r="C29" s="255"/>
      <c r="D29" s="256"/>
      <c r="E29" s="255">
        <f>Inputs!G40</f>
        <v>919.65</v>
      </c>
      <c r="F29" s="244"/>
      <c r="G29" s="244"/>
      <c r="H29" s="244"/>
      <c r="I29" s="245">
        <f>'10.0.1'!G14</f>
        <v>138429.3597770984</v>
      </c>
      <c r="J29" s="246"/>
      <c r="K29" s="245"/>
      <c r="L29" s="245">
        <f>I29</f>
        <v>138429.3597770984</v>
      </c>
    </row>
    <row r="31" spans="8:9" ht="11.25">
      <c r="H31" s="258"/>
      <c r="I31" s="258"/>
    </row>
  </sheetData>
  <printOptions/>
  <pageMargins left="0.5" right="0.5" top="1" bottom="0.5" header="0.75" footer="0.25"/>
  <pageSetup fitToHeight="1" fitToWidth="1" horizontalDpi="300" verticalDpi="300" orientation="landscape" scale="90" r:id="rId1"/>
</worksheet>
</file>

<file path=xl/worksheets/sheet11.xml><?xml version="1.0" encoding="utf-8"?>
<worksheet xmlns="http://schemas.openxmlformats.org/spreadsheetml/2006/main" xmlns:r="http://schemas.openxmlformats.org/officeDocument/2006/relationships">
  <sheetPr codeName="Sheet11"/>
  <dimension ref="A1:AG63"/>
  <sheetViews>
    <sheetView workbookViewId="0" topLeftCell="A1">
      <selection activeCell="C2" sqref="C2"/>
    </sheetView>
  </sheetViews>
  <sheetFormatPr defaultColWidth="8.88671875" defaultRowHeight="15.75"/>
  <cols>
    <col min="1" max="1" width="3.6640625" style="2" customWidth="1"/>
    <col min="2" max="2" width="19.77734375" style="2" customWidth="1"/>
    <col min="3" max="13" width="10.3359375" style="2" customWidth="1"/>
    <col min="14" max="14" width="7.88671875" style="2" customWidth="1"/>
    <col min="15" max="15" width="8.6640625" style="2" customWidth="1"/>
    <col min="16" max="16" width="3.88671875" style="2" customWidth="1"/>
    <col min="17" max="16384" width="8.88671875" style="2" customWidth="1"/>
  </cols>
  <sheetData>
    <row r="1" spans="1:2" s="1" customFormat="1" ht="12.75" customHeight="1">
      <c r="A1" s="107" t="str">
        <f>Doc!A1</f>
        <v>Base Year 2005 - USPS Version</v>
      </c>
      <c r="B1" s="107"/>
    </row>
    <row r="2" spans="1:2" s="1" customFormat="1" ht="12.75" customHeight="1">
      <c r="A2" s="107" t="str">
        <f>Doc!A2</f>
        <v>C/S 10 RURAL CARRIERS</v>
      </c>
      <c r="B2" s="107"/>
    </row>
    <row r="3" spans="1:2" s="1" customFormat="1" ht="12.75" customHeight="1">
      <c r="A3" s="110" t="str">
        <f>Doc!A17&amp;" "&amp;Doc!B17</f>
        <v>WS 10.2.2 DISTRIBUTION OF OTHER ROUTES VVC</v>
      </c>
      <c r="B3" s="112"/>
    </row>
    <row r="4" spans="1:2" s="1" customFormat="1" ht="12.75" customHeight="1">
      <c r="A4" s="107"/>
      <c r="B4" s="110"/>
    </row>
    <row r="5" spans="1:33" s="200" customFormat="1" ht="22.5">
      <c r="A5" s="116" t="s">
        <v>28</v>
      </c>
      <c r="B5" s="135" t="s">
        <v>73</v>
      </c>
      <c r="C5" s="116" t="s">
        <v>156</v>
      </c>
      <c r="D5" s="116" t="s">
        <v>78</v>
      </c>
      <c r="E5" s="116" t="s">
        <v>79</v>
      </c>
      <c r="F5" s="116" t="s">
        <v>80</v>
      </c>
      <c r="G5" s="116" t="s">
        <v>81</v>
      </c>
      <c r="H5" s="116" t="s">
        <v>157</v>
      </c>
      <c r="I5" s="116" t="s">
        <v>158</v>
      </c>
      <c r="J5" s="116" t="s">
        <v>82</v>
      </c>
      <c r="K5" s="116" t="s">
        <v>159</v>
      </c>
      <c r="L5" s="116" t="s">
        <v>84</v>
      </c>
      <c r="M5" s="116" t="s">
        <v>85</v>
      </c>
      <c r="N5" s="116" t="s">
        <v>160</v>
      </c>
      <c r="O5" s="116" t="s">
        <v>144</v>
      </c>
      <c r="P5" s="199"/>
      <c r="Q5" s="199"/>
      <c r="R5" s="199"/>
      <c r="S5" s="199"/>
      <c r="T5" s="199"/>
      <c r="U5" s="199"/>
      <c r="V5" s="199"/>
      <c r="W5" s="199"/>
      <c r="X5" s="199"/>
      <c r="Y5" s="199"/>
      <c r="Z5" s="199"/>
      <c r="AA5" s="199"/>
      <c r="AB5" s="199"/>
      <c r="AC5" s="199"/>
      <c r="AD5" s="199"/>
      <c r="AE5" s="199"/>
      <c r="AF5" s="199"/>
      <c r="AG5" s="199"/>
    </row>
    <row r="6" spans="1:15" ht="11.25">
      <c r="A6" s="39"/>
      <c r="B6" s="103" t="s">
        <v>67</v>
      </c>
      <c r="C6" s="14">
        <v>-1</v>
      </c>
      <c r="D6" s="14">
        <f aca="true" t="shared" si="0" ref="D6:O6">C6-1</f>
        <v>-2</v>
      </c>
      <c r="E6" s="14">
        <f t="shared" si="0"/>
        <v>-3</v>
      </c>
      <c r="F6" s="14">
        <f t="shared" si="0"/>
        <v>-4</v>
      </c>
      <c r="G6" s="14">
        <f t="shared" si="0"/>
        <v>-5</v>
      </c>
      <c r="H6" s="14">
        <f t="shared" si="0"/>
        <v>-6</v>
      </c>
      <c r="I6" s="14">
        <f t="shared" si="0"/>
        <v>-7</v>
      </c>
      <c r="J6" s="14">
        <f t="shared" si="0"/>
        <v>-8</v>
      </c>
      <c r="K6" s="14">
        <f t="shared" si="0"/>
        <v>-9</v>
      </c>
      <c r="L6" s="14">
        <f t="shared" si="0"/>
        <v>-10</v>
      </c>
      <c r="M6" s="14">
        <f t="shared" si="0"/>
        <v>-11</v>
      </c>
      <c r="N6" s="14">
        <f t="shared" si="0"/>
        <v>-12</v>
      </c>
      <c r="O6" s="14">
        <f t="shared" si="0"/>
        <v>-13</v>
      </c>
    </row>
    <row r="7" spans="1:15" s="18" customFormat="1" ht="22.5">
      <c r="A7" s="31"/>
      <c r="B7" s="95" t="s">
        <v>68</v>
      </c>
      <c r="C7" s="84" t="str">
        <f>"C"&amp;-C6&amp;"L"&amp;$A60&amp;" dist on "&amp;Doc!$A9&amp;", C"&amp;-'Inputs DK'!F6</f>
        <v>C1L51 dist on Inputs DK, C4</v>
      </c>
      <c r="D7" s="84" t="str">
        <f>"C"&amp;-D6&amp;"L"&amp;$A60&amp;" dist on "&amp;Doc!$A9&amp;", C"&amp;-'Inputs DK'!G6</f>
        <v>C2L51 dist on Inputs DK, C3</v>
      </c>
      <c r="E7" s="84" t="str">
        <f>"C"&amp;-E6&amp;"L"&amp;$A60&amp;" dist on "&amp;Doc!$A9&amp;", C"&amp;-'Inputs DK'!H6</f>
        <v>C3L51 dist on Inputs DK, C4</v>
      </c>
      <c r="F7" s="84" t="str">
        <f>"C"&amp;-F6&amp;"L"&amp;$A60&amp;" dist on "&amp;Doc!$A9&amp;", C"&amp;-'Inputs DK'!I6</f>
        <v>C4L51 dist on Inputs DK, C5</v>
      </c>
      <c r="G7" s="84" t="str">
        <f>"C"&amp;-G6&amp;"L"&amp;$A60&amp;" dist on "&amp;Doc!$A9&amp;", C"&amp;-'Inputs DK'!J6</f>
        <v>C5L51 dist on Inputs DK, C6</v>
      </c>
      <c r="H7" s="84" t="str">
        <f>"C"&amp;-H6&amp;"L"&amp;$A60&amp;" dist on "&amp;Doc!$A9&amp;", C"&amp;-'Inputs DK'!D6</f>
        <v>C6L51 dist on Inputs DK, C2</v>
      </c>
      <c r="I7" s="84" t="str">
        <f>"C"&amp;-I6&amp;"L"&amp;$A60&amp;" dist on "&amp;Doc!$A9&amp;", C"&amp;-'Inputs DK'!E6</f>
        <v>C7L51 dist on Inputs DK, C3</v>
      </c>
      <c r="J7" s="84" t="str">
        <f>"C"&amp;-J6&amp;"L"&amp;$A60&amp;" dist on "&amp;Doc!$A9&amp;", C"&amp;-'Inputs DK'!K6</f>
        <v>C8L51 dist on Inputs DK, C7</v>
      </c>
      <c r="K7" s="84" t="str">
        <f>"C"&amp;-K6&amp;"L"&amp;$A60&amp;" dist on "&amp;Doc!$A9&amp;", C"&amp;-'Inputs DK'!L6</f>
        <v>C9L51 dist on Inputs DK, C8</v>
      </c>
      <c r="L7" s="84" t="str">
        <f>"C"&amp;-L6&amp;"L"&amp;$A60&amp;" dist on "&amp;Doc!$A9&amp;", C"&amp;-'Inputs DK'!M6</f>
        <v>C10L51 dist on Inputs DK, C9</v>
      </c>
      <c r="M7" s="84" t="str">
        <f>"C"&amp;-M6&amp;"L"&amp;$A60&amp;" dist on "&amp;Doc!$A9&amp;", C"&amp;-'Inputs DK'!N6</f>
        <v>C11L51 dist on Inputs DK, C10</v>
      </c>
      <c r="N7" s="51"/>
      <c r="O7" s="73" t="str">
        <f>"=C"&amp;-C6&amp;"...C"&amp;-N6&amp;", "&amp;Endnotes!C9</f>
        <v>=C1...C12, [d]</v>
      </c>
    </row>
    <row r="8" spans="1:15" ht="11.25">
      <c r="A8" s="20"/>
      <c r="B8" s="95" t="s">
        <v>29</v>
      </c>
      <c r="C8" s="27" t="s">
        <v>30</v>
      </c>
      <c r="D8" s="27" t="s">
        <v>30</v>
      </c>
      <c r="E8" s="27" t="s">
        <v>30</v>
      </c>
      <c r="F8" s="27" t="s">
        <v>30</v>
      </c>
      <c r="G8" s="27" t="s">
        <v>30</v>
      </c>
      <c r="H8" s="27" t="s">
        <v>30</v>
      </c>
      <c r="I8" s="27"/>
      <c r="J8" s="27" t="s">
        <v>30</v>
      </c>
      <c r="K8" s="27" t="s">
        <v>30</v>
      </c>
      <c r="L8" s="27" t="s">
        <v>30</v>
      </c>
      <c r="M8" s="27" t="s">
        <v>30</v>
      </c>
      <c r="N8" s="27" t="s">
        <v>30</v>
      </c>
      <c r="O8" s="27" t="s">
        <v>30</v>
      </c>
    </row>
    <row r="9" spans="1:15" s="78" customFormat="1" ht="33.75">
      <c r="A9" s="74"/>
      <c r="B9" s="210" t="s">
        <v>69</v>
      </c>
      <c r="C9" s="75" t="str">
        <f>"C"&amp;-C6&amp;"L"&amp;A60&amp;" from "&amp;Doc!A14&amp;" C"&amp;-'10.2.1 PQ3-4'!L6&amp;"L"&amp;'10.2.1 PQ3-4'!A11</f>
        <v>C1L51 from WS 10.2.1 C10L2</v>
      </c>
      <c r="D9" s="75" t="str">
        <f>"C"&amp;-D6&amp;"L"&amp;A60&amp;" from "&amp;Doc!A14&amp;" C"&amp;-'10.2.1 PQ3-4'!L6&amp;"L"&amp;'10.2.1 PQ3-4'!A12</f>
        <v>C2L51 from WS 10.2.1 C10L3</v>
      </c>
      <c r="E9" s="75" t="str">
        <f>"C"&amp;-E6&amp;"L"&amp;A60&amp;" from "&amp;Doc!A14&amp;" C"&amp;-'10.2.1 PQ3-4'!L6&amp;"L"&amp;'10.2.1 PQ3-4'!A14&amp;"; "&amp;Endnotes!C6</f>
        <v>C3L51 from WS 10.2.1 C10L5; [a]</v>
      </c>
      <c r="F9" s="75" t="str">
        <f>"C"&amp;-F6&amp;"L"&amp;A60&amp;" from "&amp;Doc!A14&amp;" C"&amp;-'10.2.1 PQ3-4'!L6&amp;"L"&amp;'10.2.1 PQ3-4'!A14</f>
        <v>C4L51 from WS 10.2.1 C10L5</v>
      </c>
      <c r="G9" s="75" t="str">
        <f>"C"&amp;-G6&amp;"L"&amp;A60&amp;" from "&amp;Doc!A14&amp;" C"&amp;-'10.2.1 PQ3-4'!L6&amp;"L"&amp;'10.2.1 PQ3-4'!A16</f>
        <v>C5L51 from WS 10.2.1 C10L7</v>
      </c>
      <c r="H9" s="75" t="str">
        <f>"C"&amp;-H6&amp;"L"&amp;$A60&amp;" = "&amp;Doc!$A14&amp;" C"&amp;-'10.2.1 PQ1-2'!L6&amp;"L"&amp;'10.2.1 PQ1-2'!$A17</f>
        <v>C6L51 = WS 10.2.1 C10L8</v>
      </c>
      <c r="I9" s="75" t="str">
        <f>"C"&amp;-I6&amp;"L"&amp;$A60&amp;" = "&amp;Doc!$A14&amp;" C"&amp;-'10.2.1 PQ1-2'!L6&amp;"L"&amp;'10.2.1 PQ1-2'!$A18</f>
        <v>C7L51 = WS 10.2.1 C10L9</v>
      </c>
      <c r="J9" s="75" t="str">
        <f>"C"&amp;-J6&amp;"L"&amp;A60&amp;" from "&amp;Doc!A14&amp;" C"&amp;-'10.2.1 PQ3-4'!L6&amp;"L"&amp;'10.2.1 PQ3-4'!A19&amp;"; "&amp;Endnotes!C6</f>
        <v>C8L51 from WS 10.2.1 C10L10; [a]</v>
      </c>
      <c r="K9" s="75" t="str">
        <f>"C"&amp;-K6&amp;"L"&amp;A60&amp;" from "&amp;Doc!A14&amp;" C"&amp;-'10.2.1 PQ3-4'!L6&amp;"L"&amp;'10.2.1 PQ3-4'!A21&amp;"; "&amp;Endnotes!C6</f>
        <v>C9L51 from WS 10.2.1 C10L12; [a]</v>
      </c>
      <c r="L9" s="75" t="str">
        <f>"C"&amp;-L6&amp;"L"&amp;A60&amp;" from "&amp;Doc!A14&amp;" C"&amp;-'10.2.1 PQ3-4'!L6&amp;"L"&amp;'10.2.1 PQ3-4'!A22</f>
        <v>C10L51 from WS 10.2.1 C10L13</v>
      </c>
      <c r="M9" s="75" t="str">
        <f>"C"&amp;-M6&amp;"L"&amp;A60&amp;" from "&amp;Doc!A14&amp;" C"&amp;-'10.2.1 PQ3-4'!L6&amp;"L"&amp;'10.2.1 PQ3-4'!A23&amp;"; "&amp;Endnotes!C7</f>
        <v>C11L51 from WS 10.2.1 C10L14; [b]</v>
      </c>
      <c r="N9" s="76" t="str">
        <f>Endnotes!C8</f>
        <v>[c]</v>
      </c>
      <c r="O9" s="77"/>
    </row>
    <row r="10" spans="1:15" ht="11.25">
      <c r="A10" s="60">
        <v>1</v>
      </c>
      <c r="B10" s="66" t="s">
        <v>89</v>
      </c>
      <c r="C10" s="20"/>
      <c r="D10" s="20"/>
      <c r="E10" s="20"/>
      <c r="F10" s="20"/>
      <c r="G10" s="20"/>
      <c r="H10" s="20"/>
      <c r="I10" s="20"/>
      <c r="J10" s="20"/>
      <c r="K10" s="20"/>
      <c r="L10" s="20"/>
      <c r="M10" s="20"/>
      <c r="N10" s="20"/>
      <c r="O10" s="20"/>
    </row>
    <row r="11" spans="1:15" ht="11.25">
      <c r="A11" s="60">
        <f aca="true" t="shared" si="1" ref="A11:A42">A10+1</f>
        <v>2</v>
      </c>
      <c r="B11" s="22" t="s">
        <v>90</v>
      </c>
      <c r="C11" s="178">
        <f>IF('Inputs DK'!$F$61=0,0,'Inputs DK'!F11/'Inputs DK'!$F$61*C$60)</f>
        <v>8216.988663374026</v>
      </c>
      <c r="D11" s="178">
        <f>IF('Inputs DK'!$G$61=0,0,'Inputs DK'!G11/'Inputs DK'!$G$61*D$60)</f>
        <v>2559.6986168188278</v>
      </c>
      <c r="E11" s="178">
        <f>IF('Inputs DK'!$H$61=0,0,'Inputs DK'!H11/'Inputs DK'!$H$61*E$60)</f>
        <v>2962.5728787564326</v>
      </c>
      <c r="F11" s="178">
        <f>IF('Inputs DK'!$I$61=0,0,'Inputs DK'!I11/'Inputs DK'!$I$61*F$60)</f>
        <v>0.8075700704556876</v>
      </c>
      <c r="G11" s="178">
        <f>IF('Inputs DK'!$J$61=0,0,'Inputs DK'!J11/'Inputs DK'!$J$61*G$60)</f>
        <v>0</v>
      </c>
      <c r="H11" s="178">
        <f>IF('Inputs DK'!D$61=0,0,'Inputs DK'!D11/'Inputs DK'!D$61*H$60)</f>
        <v>4813.210741496808</v>
      </c>
      <c r="I11" s="178">
        <f>IF('Inputs DK'!E$61=0,0,'Inputs DK'!E11/'Inputs DK'!E$61*I$60)</f>
        <v>1062.3608605213483</v>
      </c>
      <c r="J11" s="178">
        <f>IF('Inputs DK'!K$61=0,0,'Inputs DK'!K11/'Inputs DK'!K$61*J$60)</f>
        <v>37.63544652786421</v>
      </c>
      <c r="K11" s="178">
        <f>IF('Inputs DK'!L$61=0,0,'Inputs DK'!L11/'Inputs DK'!L$61*K$60)</f>
        <v>4659.9868011223825</v>
      </c>
      <c r="L11" s="178">
        <f>IF('Inputs DK'!M$61=0,0,'Inputs DK'!M11/'Inputs DK'!M$61*L$60)</f>
        <v>1038.2409877746056</v>
      </c>
      <c r="M11" s="178">
        <f>IF('Inputs DK'!N$61=0,0,'Inputs DK'!N11/'Inputs DK'!N$61*M$60)</f>
        <v>0</v>
      </c>
      <c r="N11" s="178"/>
      <c r="O11" s="178">
        <f>SUM(C11:N11)</f>
        <v>25351.50256646275</v>
      </c>
    </row>
    <row r="12" spans="1:15" ht="11.25">
      <c r="A12" s="60">
        <f t="shared" si="1"/>
        <v>3</v>
      </c>
      <c r="B12" s="22" t="s">
        <v>91</v>
      </c>
      <c r="C12" s="178">
        <f>IF('Inputs DK'!$F$61=0,0,'Inputs DK'!F12/'Inputs DK'!$F$61*C$60)</f>
        <v>10796.441434419608</v>
      </c>
      <c r="D12" s="178">
        <f>IF('Inputs DK'!$G$61=0,0,'Inputs DK'!G12/'Inputs DK'!$G$61*D$60)</f>
        <v>898.876218578934</v>
      </c>
      <c r="E12" s="178">
        <f>IF('Inputs DK'!$H$61=0,0,'Inputs DK'!H12/'Inputs DK'!$H$61*E$60)</f>
        <v>78.94081916764598</v>
      </c>
      <c r="F12" s="178">
        <f>IF('Inputs DK'!$I$61=0,0,'Inputs DK'!I12/'Inputs DK'!$I$61*F$60)</f>
        <v>11.073735948746721</v>
      </c>
      <c r="G12" s="178">
        <f>IF('Inputs DK'!$J$61=0,0,'Inputs DK'!J12/'Inputs DK'!$J$61*G$60)</f>
        <v>0</v>
      </c>
      <c r="H12" s="178">
        <f>IF('Inputs DK'!D$61=0,0,'Inputs DK'!D12/'Inputs DK'!D$61*H$60)</f>
        <v>10204.069257441046</v>
      </c>
      <c r="I12" s="178">
        <f>IF('Inputs DK'!E$61=0,0,'Inputs DK'!E12/'Inputs DK'!E$61*I$60)</f>
        <v>2032.9497983008787</v>
      </c>
      <c r="J12" s="178">
        <f>IF('Inputs DK'!K$61=0,0,'Inputs DK'!K12/'Inputs DK'!K$61*J$60)</f>
        <v>1.3924761932903187</v>
      </c>
      <c r="K12" s="178">
        <f>IF('Inputs DK'!L$61=0,0,'Inputs DK'!L12/'Inputs DK'!L$61*K$60)</f>
        <v>0</v>
      </c>
      <c r="L12" s="178">
        <f>IF('Inputs DK'!M$61=0,0,'Inputs DK'!M12/'Inputs DK'!M$61*L$60)</f>
        <v>0</v>
      </c>
      <c r="M12" s="178">
        <f>IF('Inputs DK'!N$61=0,0,'Inputs DK'!N12/'Inputs DK'!N$61*M$60)</f>
        <v>0</v>
      </c>
      <c r="N12" s="178"/>
      <c r="O12" s="178">
        <f>SUM(C12:N12)</f>
        <v>24023.743740050148</v>
      </c>
    </row>
    <row r="13" spans="1:15" ht="11.25">
      <c r="A13" s="60">
        <f t="shared" si="1"/>
        <v>4</v>
      </c>
      <c r="B13" s="22" t="s">
        <v>92</v>
      </c>
      <c r="C13" s="178">
        <f aca="true" t="shared" si="2" ref="C13:M13">SUM(C11:C12)</f>
        <v>19013.430097793636</v>
      </c>
      <c r="D13" s="178">
        <f t="shared" si="2"/>
        <v>3458.5748353977615</v>
      </c>
      <c r="E13" s="178">
        <f t="shared" si="2"/>
        <v>3041.5136979240788</v>
      </c>
      <c r="F13" s="178">
        <f t="shared" si="2"/>
        <v>11.881306019202409</v>
      </c>
      <c r="G13" s="178">
        <f t="shared" si="2"/>
        <v>0</v>
      </c>
      <c r="H13" s="178">
        <f t="shared" si="2"/>
        <v>15017.279998937855</v>
      </c>
      <c r="I13" s="178">
        <f t="shared" si="2"/>
        <v>3095.310658822227</v>
      </c>
      <c r="J13" s="178">
        <f t="shared" si="2"/>
        <v>39.02792272115453</v>
      </c>
      <c r="K13" s="178">
        <f t="shared" si="2"/>
        <v>4659.9868011223825</v>
      </c>
      <c r="L13" s="178">
        <f t="shared" si="2"/>
        <v>1038.2409877746056</v>
      </c>
      <c r="M13" s="178">
        <f t="shared" si="2"/>
        <v>0</v>
      </c>
      <c r="N13" s="178"/>
      <c r="O13" s="178">
        <f>SUM(O11:O12)</f>
        <v>49375.2463065129</v>
      </c>
    </row>
    <row r="14" spans="1:15" ht="11.25">
      <c r="A14" s="60">
        <f t="shared" si="1"/>
        <v>5</v>
      </c>
      <c r="B14" s="22" t="s">
        <v>93</v>
      </c>
      <c r="C14" s="178">
        <f>IF('Inputs DK'!$F$61=0,0,'Inputs DK'!F14/'Inputs DK'!$F$61*C$60)</f>
        <v>1286.5104899701585</v>
      </c>
      <c r="D14" s="178">
        <f>IF('Inputs DK'!$G$61=0,0,'Inputs DK'!G14/'Inputs DK'!$G$61*D$60)</f>
        <v>0</v>
      </c>
      <c r="E14" s="178">
        <f>IF('Inputs DK'!$H$61=0,0,'Inputs DK'!H14/'Inputs DK'!$H$61*E$60)</f>
        <v>1.0189433311341485</v>
      </c>
      <c r="F14" s="178">
        <f>IF('Inputs DK'!$I$61=0,0,'Inputs DK'!I14/'Inputs DK'!$I$61*F$60)</f>
        <v>5.830729287091217</v>
      </c>
      <c r="G14" s="178">
        <f>IF('Inputs DK'!$J$61=0,0,'Inputs DK'!J14/'Inputs DK'!$J$61*G$60)</f>
        <v>0</v>
      </c>
      <c r="H14" s="178">
        <f>IF('Inputs DK'!D$61=0,0,'Inputs DK'!D14/'Inputs DK'!D$61*H$60)</f>
        <v>399.93217227828393</v>
      </c>
      <c r="I14" s="178">
        <f>IF('Inputs DK'!E$61=0,0,'Inputs DK'!E14/'Inputs DK'!E$61*I$60)</f>
        <v>88.17154396077389</v>
      </c>
      <c r="J14" s="178">
        <f>IF('Inputs DK'!K$61=0,0,'Inputs DK'!K14/'Inputs DK'!K$61*J$60)</f>
        <v>2.068332612633219</v>
      </c>
      <c r="K14" s="178">
        <f>IF('Inputs DK'!L$61=0,0,'Inputs DK'!L14/'Inputs DK'!L$61*K$60)</f>
        <v>0</v>
      </c>
      <c r="L14" s="178">
        <f>IF('Inputs DK'!M$61=0,0,'Inputs DK'!M14/'Inputs DK'!M$61*L$60)</f>
        <v>0</v>
      </c>
      <c r="M14" s="178">
        <f>IF('Inputs DK'!N$61=0,0,'Inputs DK'!N14/'Inputs DK'!N$61*M$60)</f>
        <v>0</v>
      </c>
      <c r="N14" s="178"/>
      <c r="O14" s="178">
        <f>SUM(C14:N14)</f>
        <v>1783.532211440075</v>
      </c>
    </row>
    <row r="15" spans="1:15" ht="11.25">
      <c r="A15" s="60">
        <f t="shared" si="1"/>
        <v>6</v>
      </c>
      <c r="B15" s="22" t="s">
        <v>94</v>
      </c>
      <c r="C15" s="178">
        <f>IF('Inputs DK'!$F$61=0,0,'Inputs DK'!F15/'Inputs DK'!$F$61*C$60)</f>
        <v>841.2126488309485</v>
      </c>
      <c r="D15" s="178">
        <f>IF('Inputs DK'!$G$61=0,0,'Inputs DK'!G15/'Inputs DK'!$G$61*D$60)</f>
        <v>0.06883644111373333</v>
      </c>
      <c r="E15" s="178">
        <f>IF('Inputs DK'!$H$61=0,0,'Inputs DK'!H15/'Inputs DK'!$H$61*E$60)</f>
        <v>0.15610230333988884</v>
      </c>
      <c r="F15" s="178">
        <f>IF('Inputs DK'!$I$61=0,0,'Inputs DK'!I15/'Inputs DK'!$I$61*F$60)</f>
        <v>0</v>
      </c>
      <c r="G15" s="178">
        <f>IF('Inputs DK'!$J$61=0,0,'Inputs DK'!J15/'Inputs DK'!$J$61*G$60)</f>
        <v>0</v>
      </c>
      <c r="H15" s="178">
        <f>IF('Inputs DK'!D$61=0,0,'Inputs DK'!D15/'Inputs DK'!D$61*H$60)</f>
        <v>522.9841213522392</v>
      </c>
      <c r="I15" s="178">
        <f>IF('Inputs DK'!E$61=0,0,'Inputs DK'!E15/'Inputs DK'!E$61*I$60)</f>
        <v>105.47772188441596</v>
      </c>
      <c r="J15" s="178">
        <f>IF('Inputs DK'!K$61=0,0,'Inputs DK'!K15/'Inputs DK'!K$61*J$60)</f>
        <v>0</v>
      </c>
      <c r="K15" s="178">
        <f>IF('Inputs DK'!L$61=0,0,'Inputs DK'!L15/'Inputs DK'!L$61*K$60)</f>
        <v>0</v>
      </c>
      <c r="L15" s="178">
        <f>IF('Inputs DK'!M$61=0,0,'Inputs DK'!M15/'Inputs DK'!M$61*L$60)</f>
        <v>0</v>
      </c>
      <c r="M15" s="178">
        <f>IF('Inputs DK'!N$61=0,0,'Inputs DK'!N15/'Inputs DK'!N$61*M$60)</f>
        <v>0</v>
      </c>
      <c r="N15" s="178"/>
      <c r="O15" s="178">
        <f>SUM(C15:N15)</f>
        <v>1469.8994308120573</v>
      </c>
    </row>
    <row r="16" spans="1:15" ht="11.25">
      <c r="A16" s="60">
        <f t="shared" si="1"/>
        <v>7</v>
      </c>
      <c r="B16" s="22" t="s">
        <v>95</v>
      </c>
      <c r="C16" s="178">
        <f aca="true" t="shared" si="3" ref="C16:M16">SUM(C14:C15)</f>
        <v>2127.723138801107</v>
      </c>
      <c r="D16" s="178">
        <f t="shared" si="3"/>
        <v>0.06883644111373333</v>
      </c>
      <c r="E16" s="178">
        <f t="shared" si="3"/>
        <v>1.1750456344740372</v>
      </c>
      <c r="F16" s="178">
        <f t="shared" si="3"/>
        <v>5.830729287091217</v>
      </c>
      <c r="G16" s="178">
        <f t="shared" si="3"/>
        <v>0</v>
      </c>
      <c r="H16" s="178">
        <f t="shared" si="3"/>
        <v>922.9162936305231</v>
      </c>
      <c r="I16" s="178">
        <f t="shared" si="3"/>
        <v>193.64926584518986</v>
      </c>
      <c r="J16" s="178">
        <f t="shared" si="3"/>
        <v>2.068332612633219</v>
      </c>
      <c r="K16" s="178">
        <f t="shared" si="3"/>
        <v>0</v>
      </c>
      <c r="L16" s="178">
        <f t="shared" si="3"/>
        <v>0</v>
      </c>
      <c r="M16" s="178">
        <f t="shared" si="3"/>
        <v>0</v>
      </c>
      <c r="N16" s="178"/>
      <c r="O16" s="178">
        <f>SUM(O14:O15)</f>
        <v>3253.4316422521324</v>
      </c>
    </row>
    <row r="17" spans="1:15" ht="11.25">
      <c r="A17" s="61">
        <f t="shared" si="1"/>
        <v>8</v>
      </c>
      <c r="B17" s="50" t="s">
        <v>96</v>
      </c>
      <c r="C17" s="181">
        <f aca="true" t="shared" si="4" ref="C17:M17">SUM(C13,C16)</f>
        <v>21141.153236594742</v>
      </c>
      <c r="D17" s="181">
        <f t="shared" si="4"/>
        <v>3458.6436718388754</v>
      </c>
      <c r="E17" s="181">
        <f t="shared" si="4"/>
        <v>3042.6887435585527</v>
      </c>
      <c r="F17" s="181">
        <f t="shared" si="4"/>
        <v>17.712035306293625</v>
      </c>
      <c r="G17" s="181">
        <f t="shared" si="4"/>
        <v>0</v>
      </c>
      <c r="H17" s="181">
        <f t="shared" si="4"/>
        <v>15940.196292568378</v>
      </c>
      <c r="I17" s="181">
        <f t="shared" si="4"/>
        <v>3288.959924667417</v>
      </c>
      <c r="J17" s="181">
        <f t="shared" si="4"/>
        <v>41.09625533378775</v>
      </c>
      <c r="K17" s="181">
        <f t="shared" si="4"/>
        <v>4659.9868011223825</v>
      </c>
      <c r="L17" s="181">
        <f t="shared" si="4"/>
        <v>1038.2409877746056</v>
      </c>
      <c r="M17" s="181">
        <f t="shared" si="4"/>
        <v>0</v>
      </c>
      <c r="N17" s="181"/>
      <c r="O17" s="181">
        <f>SUM(O13,O16)</f>
        <v>52628.67794876503</v>
      </c>
    </row>
    <row r="18" spans="1:15" ht="11.25">
      <c r="A18" s="60">
        <f t="shared" si="1"/>
        <v>9</v>
      </c>
      <c r="B18" s="49" t="s">
        <v>97</v>
      </c>
      <c r="C18" s="178">
        <f>IF('Inputs DK'!$F$61=0,0,'Inputs DK'!F18/'Inputs DK'!$F$61*C$60)</f>
        <v>11.047597646452829</v>
      </c>
      <c r="D18" s="178">
        <f>IF('Inputs DK'!$G$61=0,0,'Inputs DK'!G18/'Inputs DK'!$G$61*D$60)</f>
        <v>173.7603266582465</v>
      </c>
      <c r="E18" s="178">
        <f>IF('Inputs DK'!$H$61=0,0,'Inputs DK'!H18/'Inputs DK'!$H$61*E$60)</f>
        <v>3040.68323367031</v>
      </c>
      <c r="F18" s="178">
        <f>IF('Inputs DK'!$I$61=0,0,'Inputs DK'!I18/'Inputs DK'!$I$61*F$60)</f>
        <v>0</v>
      </c>
      <c r="G18" s="178">
        <f>IF('Inputs DK'!$J$61=0,0,'Inputs DK'!J18/'Inputs DK'!$J$61*G$60)</f>
        <v>0</v>
      </c>
      <c r="H18" s="178">
        <f>IF('Inputs DK'!D$61=0,0,'Inputs DK'!D18/'Inputs DK'!D$61*H$60)</f>
        <v>1.62373284592949</v>
      </c>
      <c r="I18" s="178">
        <f>IF('Inputs DK'!E$61=0,0,'Inputs DK'!E18/'Inputs DK'!E$61*I$60)</f>
        <v>0.35199976607264827</v>
      </c>
      <c r="J18" s="178">
        <f>IF('Inputs DK'!K$61=0,0,'Inputs DK'!K18/'Inputs DK'!K$61*J$60)</f>
        <v>0.8988319690296114</v>
      </c>
      <c r="K18" s="178">
        <f>IF('Inputs DK'!L$61=0,0,'Inputs DK'!L18/'Inputs DK'!L$61*K$60)</f>
        <v>8.751506529199665</v>
      </c>
      <c r="L18" s="178">
        <f>IF('Inputs DK'!M$61=0,0,'Inputs DK'!M18/'Inputs DK'!M$61*L$60)</f>
        <v>631.8190322218787</v>
      </c>
      <c r="M18" s="178">
        <f>IF('Inputs DK'!N$61=0,0,'Inputs DK'!N18/'Inputs DK'!N$61*M$60)</f>
        <v>0</v>
      </c>
      <c r="N18" s="178"/>
      <c r="O18" s="178">
        <f>SUM(C18:N18)</f>
        <v>3868.9362613071203</v>
      </c>
    </row>
    <row r="19" spans="1:15" ht="11.25">
      <c r="A19" s="60">
        <f t="shared" si="1"/>
        <v>10</v>
      </c>
      <c r="B19" s="49" t="s">
        <v>98</v>
      </c>
      <c r="C19" s="178">
        <f>IF('Inputs DK'!$F$61=0,0,'Inputs DK'!F19/'Inputs DK'!$F$61*C$60)</f>
        <v>0</v>
      </c>
      <c r="D19" s="178">
        <f>IF('Inputs DK'!$G$61=0,0,'Inputs DK'!G19/'Inputs DK'!$G$61*D$60)</f>
        <v>0</v>
      </c>
      <c r="E19" s="178">
        <f>IF('Inputs DK'!$H$61=0,0,'Inputs DK'!H19/'Inputs DK'!$H$61*E$60)</f>
        <v>0</v>
      </c>
      <c r="F19" s="178">
        <f>IF('Inputs DK'!$I$61=0,0,'Inputs DK'!I19/'Inputs DK'!$I$61*F$60)</f>
        <v>0</v>
      </c>
      <c r="G19" s="178">
        <f>IF('Inputs DK'!$J$61=0,0,'Inputs DK'!J19/'Inputs DK'!$J$61*G$60)</f>
        <v>1039.186612093917</v>
      </c>
      <c r="H19" s="178">
        <f>IF('Inputs DK'!D$61=0,0,'Inputs DK'!D19/'Inputs DK'!D$61*H$60)</f>
        <v>0</v>
      </c>
      <c r="I19" s="178">
        <f>IF('Inputs DK'!E$61=0,0,'Inputs DK'!E19/'Inputs DK'!E$61*I$60)</f>
        <v>0</v>
      </c>
      <c r="J19" s="178">
        <f>IF('Inputs DK'!K$61=0,0,'Inputs DK'!K19/'Inputs DK'!K$61*J$60)</f>
        <v>0</v>
      </c>
      <c r="K19" s="178">
        <f>IF('Inputs DK'!L$61=0,0,'Inputs DK'!L19/'Inputs DK'!L$61*K$60)</f>
        <v>0</v>
      </c>
      <c r="L19" s="178">
        <f>IF('Inputs DK'!M$61=0,0,'Inputs DK'!M19/'Inputs DK'!M$61*L$60)</f>
        <v>0</v>
      </c>
      <c r="M19" s="178">
        <f>IF('Inputs DK'!N$61=0,0,'Inputs DK'!N19/'Inputs DK'!N$61*M$60)</f>
        <v>10.908756932039521</v>
      </c>
      <c r="N19" s="178"/>
      <c r="O19" s="178">
        <f>SUM(C19:N19)</f>
        <v>1050.0953690259564</v>
      </c>
    </row>
    <row r="20" spans="1:15" ht="11.25">
      <c r="A20" s="61">
        <f t="shared" si="1"/>
        <v>11</v>
      </c>
      <c r="B20" s="50" t="s">
        <v>99</v>
      </c>
      <c r="C20" s="181">
        <f>IF('Inputs DK'!$F$61=0,0,'Inputs DK'!F20/'Inputs DK'!$F$61*C$60)</f>
        <v>0.14007583047308364</v>
      </c>
      <c r="D20" s="181">
        <f>IF('Inputs DK'!$G$61=0,0,'Inputs DK'!G20/'Inputs DK'!$G$61*D$60)</f>
        <v>0</v>
      </c>
      <c r="E20" s="181">
        <f>IF('Inputs DK'!$H$61=0,0,'Inputs DK'!H20/'Inputs DK'!$H$61*E$60)</f>
        <v>0</v>
      </c>
      <c r="F20" s="181">
        <f>IF('Inputs DK'!$I$61=0,0,'Inputs DK'!I20/'Inputs DK'!$I$61*F$60)</f>
        <v>0</v>
      </c>
      <c r="G20" s="181">
        <f>IF('Inputs DK'!$J$61=0,0,'Inputs DK'!J20/'Inputs DK'!$J$61*G$60)</f>
        <v>0</v>
      </c>
      <c r="H20" s="181">
        <f>IF('Inputs DK'!D$61=0,0,'Inputs DK'!D20/'Inputs DK'!D$61*H$60)</f>
        <v>0</v>
      </c>
      <c r="I20" s="181">
        <f>IF('Inputs DK'!E$61=0,0,'Inputs DK'!E20/'Inputs DK'!E$61*I$60)</f>
        <v>0</v>
      </c>
      <c r="J20" s="181">
        <f>IF('Inputs DK'!K$61=0,0,'Inputs DK'!K20/'Inputs DK'!K$61*J$60)</f>
        <v>0</v>
      </c>
      <c r="K20" s="181">
        <f>IF('Inputs DK'!L$61=0,0,'Inputs DK'!L20/'Inputs DK'!L$61*K$60)</f>
        <v>0</v>
      </c>
      <c r="L20" s="181">
        <f>IF('Inputs DK'!M$61=0,0,'Inputs DK'!M20/'Inputs DK'!M$61*L$60)</f>
        <v>0</v>
      </c>
      <c r="M20" s="181">
        <f>IF('Inputs DK'!N$61=0,0,'Inputs DK'!N20/'Inputs DK'!N$61*M$60)</f>
        <v>0</v>
      </c>
      <c r="N20" s="179"/>
      <c r="O20" s="179">
        <f>SUM(C20:N20)</f>
        <v>0.14007583047308364</v>
      </c>
    </row>
    <row r="21" spans="1:15" ht="11.25">
      <c r="A21" s="60">
        <f t="shared" si="1"/>
        <v>12</v>
      </c>
      <c r="B21" s="66" t="s">
        <v>100</v>
      </c>
      <c r="C21" s="178"/>
      <c r="D21" s="178"/>
      <c r="E21" s="178"/>
      <c r="F21" s="178"/>
      <c r="G21" s="178"/>
      <c r="H21" s="178"/>
      <c r="I21" s="178"/>
      <c r="J21" s="178"/>
      <c r="K21" s="178"/>
      <c r="L21" s="178"/>
      <c r="M21" s="178"/>
      <c r="N21" s="178"/>
      <c r="O21" s="178"/>
    </row>
    <row r="22" spans="1:15" ht="11.25">
      <c r="A22" s="60">
        <f t="shared" si="1"/>
        <v>13</v>
      </c>
      <c r="B22" s="22" t="s">
        <v>101</v>
      </c>
      <c r="C22" s="182"/>
      <c r="D22" s="182"/>
      <c r="E22" s="182"/>
      <c r="F22" s="182"/>
      <c r="G22" s="182"/>
      <c r="H22" s="182"/>
      <c r="I22" s="182"/>
      <c r="J22" s="182"/>
      <c r="K22" s="182"/>
      <c r="L22" s="182"/>
      <c r="M22" s="182"/>
      <c r="N22" s="178"/>
      <c r="O22" s="178">
        <f>'Inputs DK'!C22/'Inputs DK'!C$27*O$27</f>
        <v>961.862543809129</v>
      </c>
    </row>
    <row r="23" spans="1:15" ht="11.25">
      <c r="A23" s="60">
        <f t="shared" si="1"/>
        <v>14</v>
      </c>
      <c r="B23" s="22" t="s">
        <v>102</v>
      </c>
      <c r="C23" s="178"/>
      <c r="D23" s="178"/>
      <c r="E23" s="178"/>
      <c r="F23" s="178"/>
      <c r="G23" s="178"/>
      <c r="H23" s="178"/>
      <c r="I23" s="178"/>
      <c r="J23" s="178"/>
      <c r="K23" s="178"/>
      <c r="L23" s="178"/>
      <c r="M23" s="178"/>
      <c r="N23" s="178"/>
      <c r="O23" s="178"/>
    </row>
    <row r="24" spans="1:15" ht="11.25">
      <c r="A24" s="60">
        <f t="shared" si="1"/>
        <v>15</v>
      </c>
      <c r="B24" s="22" t="s">
        <v>103</v>
      </c>
      <c r="C24" s="182"/>
      <c r="D24" s="182"/>
      <c r="E24" s="182"/>
      <c r="F24" s="182"/>
      <c r="G24" s="182"/>
      <c r="H24" s="182"/>
      <c r="I24" s="182"/>
      <c r="J24" s="182"/>
      <c r="K24" s="182"/>
      <c r="L24" s="182"/>
      <c r="M24" s="182"/>
      <c r="N24" s="178"/>
      <c r="O24" s="178">
        <f>'Inputs DK'!C24/'Inputs DK'!C$27*O$27</f>
        <v>10476.973622782805</v>
      </c>
    </row>
    <row r="25" spans="1:15" ht="11.25">
      <c r="A25" s="60">
        <f t="shared" si="1"/>
        <v>16</v>
      </c>
      <c r="B25" s="22" t="s">
        <v>104</v>
      </c>
      <c r="C25" s="182"/>
      <c r="D25" s="182"/>
      <c r="E25" s="182"/>
      <c r="F25" s="182"/>
      <c r="G25" s="182"/>
      <c r="H25" s="182"/>
      <c r="I25" s="182"/>
      <c r="J25" s="182"/>
      <c r="K25" s="182"/>
      <c r="L25" s="182"/>
      <c r="M25" s="182"/>
      <c r="N25" s="178"/>
      <c r="O25" s="178">
        <f>'Inputs DK'!C25/'Inputs DK'!C$27*O$27</f>
        <v>0</v>
      </c>
    </row>
    <row r="26" spans="1:15" ht="11.25">
      <c r="A26" s="60">
        <f t="shared" si="1"/>
        <v>17</v>
      </c>
      <c r="B26" s="22" t="s">
        <v>105</v>
      </c>
      <c r="C26" s="182"/>
      <c r="D26" s="182"/>
      <c r="E26" s="182"/>
      <c r="F26" s="182"/>
      <c r="G26" s="182"/>
      <c r="H26" s="182"/>
      <c r="I26" s="182"/>
      <c r="J26" s="182"/>
      <c r="K26" s="182"/>
      <c r="L26" s="182"/>
      <c r="M26" s="182"/>
      <c r="N26" s="178"/>
      <c r="O26" s="178">
        <f>'Inputs DK'!C26/'Inputs DK'!C$27*O$27</f>
        <v>0</v>
      </c>
    </row>
    <row r="27" spans="1:15" ht="11.25">
      <c r="A27" s="61">
        <f t="shared" si="1"/>
        <v>18</v>
      </c>
      <c r="B27" s="50" t="s">
        <v>106</v>
      </c>
      <c r="C27" s="183">
        <f>IF('Inputs DK'!$F$61=0,0,'Inputs DK'!F27/'Inputs DK'!$F$61*C$60)</f>
        <v>412.1808810101332</v>
      </c>
      <c r="D27" s="183">
        <f>IF('Inputs DK'!$G$61=0,0,'Inputs DK'!G27/'Inputs DK'!$G$61*D$60)</f>
        <v>10851.972574721643</v>
      </c>
      <c r="E27" s="183">
        <f>IF('Inputs DK'!$H$61=0,0,'Inputs DK'!H27/'Inputs DK'!$H$61*E$60)</f>
        <v>125.67437984753447</v>
      </c>
      <c r="F27" s="183">
        <f>IF('Inputs DK'!$I$61=0,0,'Inputs DK'!I27/'Inputs DK'!$I$61*F$60)</f>
        <v>14.28866911398867</v>
      </c>
      <c r="G27" s="183">
        <f>IF('Inputs DK'!$J$61=0,0,'Inputs DK'!J27/'Inputs DK'!$J$61*G$60)</f>
        <v>0</v>
      </c>
      <c r="H27" s="183">
        <f>IF('Inputs DK'!D$61=0,0,'Inputs DK'!D27/'Inputs DK'!D$61*H$60)</f>
        <v>15.3692985223855</v>
      </c>
      <c r="I27" s="183">
        <f>IF('Inputs DK'!E$61=0,0,'Inputs DK'!E27/'Inputs DK'!E$61*I$60)</f>
        <v>19.327875592291175</v>
      </c>
      <c r="J27" s="183">
        <f>IF('Inputs DK'!K$61=0,0,'Inputs DK'!K27/'Inputs DK'!K$61*J$60)</f>
        <v>0.022487783956825498</v>
      </c>
      <c r="K27" s="183">
        <f>IF('Inputs DK'!L$61=0,0,'Inputs DK'!L27/'Inputs DK'!L$61*K$60)</f>
        <v>0</v>
      </c>
      <c r="L27" s="183">
        <f>IF('Inputs DK'!M$61=0,0,'Inputs DK'!M27/'Inputs DK'!M$61*L$60)</f>
        <v>0</v>
      </c>
      <c r="M27" s="183">
        <f>IF('Inputs DK'!N$61=0,0,'Inputs DK'!N27/'Inputs DK'!N$61*M$60)</f>
        <v>0</v>
      </c>
      <c r="N27" s="183"/>
      <c r="O27" s="183">
        <f>SUM(C27:N27)</f>
        <v>11438.836166591935</v>
      </c>
    </row>
    <row r="28" spans="1:15" ht="11.25">
      <c r="A28" s="60">
        <f t="shared" si="1"/>
        <v>19</v>
      </c>
      <c r="B28" s="226" t="s">
        <v>107</v>
      </c>
      <c r="C28" s="178"/>
      <c r="D28" s="178"/>
      <c r="E28" s="178"/>
      <c r="F28" s="178"/>
      <c r="G28" s="178"/>
      <c r="H28" s="178"/>
      <c r="I28" s="178"/>
      <c r="J28" s="178"/>
      <c r="K28" s="178"/>
      <c r="L28" s="178"/>
      <c r="M28" s="178"/>
      <c r="N28" s="178"/>
      <c r="O28" s="178"/>
    </row>
    <row r="29" spans="1:15" ht="11.25">
      <c r="A29" s="60">
        <f t="shared" si="1"/>
        <v>20</v>
      </c>
      <c r="B29" s="22" t="s">
        <v>108</v>
      </c>
      <c r="C29" s="178"/>
      <c r="D29" s="178"/>
      <c r="E29" s="178"/>
      <c r="F29" s="178"/>
      <c r="G29" s="178"/>
      <c r="H29" s="178"/>
      <c r="I29" s="178"/>
      <c r="J29" s="178"/>
      <c r="K29" s="178"/>
      <c r="L29" s="178"/>
      <c r="M29" s="178"/>
      <c r="N29" s="178"/>
      <c r="O29" s="178"/>
    </row>
    <row r="30" spans="1:15" ht="11.25">
      <c r="A30" s="60">
        <f t="shared" si="1"/>
        <v>21</v>
      </c>
      <c r="B30" s="22" t="s">
        <v>109</v>
      </c>
      <c r="C30" s="178">
        <f>IF('Inputs DK'!$F$61=0,0,'Inputs DK'!F30/'Inputs DK'!$F$61*C$60)</f>
        <v>8706.790650079607</v>
      </c>
      <c r="D30" s="178">
        <f>IF('Inputs DK'!$G$61=0,0,'Inputs DK'!G30/'Inputs DK'!$G$61*D$60)</f>
        <v>25703.756353967397</v>
      </c>
      <c r="E30" s="178">
        <f>IF('Inputs DK'!$H$61=0,0,'Inputs DK'!H30/'Inputs DK'!$H$61*E$60)</f>
        <v>424.75136097310644</v>
      </c>
      <c r="F30" s="178">
        <f>IF('Inputs DK'!$I$61=0,0,'Inputs DK'!I30/'Inputs DK'!$I$61*F$60)</f>
        <v>4268.092351398852</v>
      </c>
      <c r="G30" s="178">
        <f>IF('Inputs DK'!$J$61=0,0,'Inputs DK'!J30/'Inputs DK'!$J$61*G$60)</f>
        <v>0</v>
      </c>
      <c r="H30" s="178">
        <f>IF('Inputs DK'!D$61=0,0,'Inputs DK'!D30/'Inputs DK'!D$61*H$60)</f>
        <v>1232.5676587911871</v>
      </c>
      <c r="I30" s="178">
        <f>IF('Inputs DK'!E$61=0,0,'Inputs DK'!E30/'Inputs DK'!E$61*I$60)</f>
        <v>490.5978843077667</v>
      </c>
      <c r="J30" s="178">
        <f>IF('Inputs DK'!K$61=0,0,'Inputs DK'!K30/'Inputs DK'!K$61*J$60)</f>
        <v>0</v>
      </c>
      <c r="K30" s="178">
        <f>IF('Inputs DK'!L$61=0,0,'Inputs DK'!L30/'Inputs DK'!L$61*K$60)</f>
        <v>0</v>
      </c>
      <c r="L30" s="178">
        <f>IF('Inputs DK'!M$61=0,0,'Inputs DK'!M30/'Inputs DK'!M$61*L$60)</f>
        <v>0</v>
      </c>
      <c r="M30" s="178">
        <f>IF('Inputs DK'!N$61=0,0,'Inputs DK'!N30/'Inputs DK'!N$61*M$60)</f>
        <v>0</v>
      </c>
      <c r="N30" s="178"/>
      <c r="O30" s="178">
        <f>SUM(C30:N30)</f>
        <v>40826.556259517914</v>
      </c>
    </row>
    <row r="31" spans="1:15" ht="11.25">
      <c r="A31" s="60">
        <f t="shared" si="1"/>
        <v>22</v>
      </c>
      <c r="B31" s="22" t="s">
        <v>110</v>
      </c>
      <c r="C31" s="178">
        <f>IF('Inputs DK'!$F$61=0,0,'Inputs DK'!F31/'Inputs DK'!$F$61*C$60)</f>
        <v>12789.254726149082</v>
      </c>
      <c r="D31" s="178">
        <f>IF('Inputs DK'!$G$61=0,0,'Inputs DK'!G31/'Inputs DK'!$G$61*D$60)</f>
        <v>15085.719877815563</v>
      </c>
      <c r="E31" s="178">
        <f>IF('Inputs DK'!$H$61=0,0,'Inputs DK'!H31/'Inputs DK'!$H$61*E$60)</f>
        <v>5479.48200693366</v>
      </c>
      <c r="F31" s="178">
        <f>IF('Inputs DK'!$I$61=0,0,'Inputs DK'!I31/'Inputs DK'!$I$61*F$60)</f>
        <v>630.5788729707266</v>
      </c>
      <c r="G31" s="178">
        <f>IF('Inputs DK'!$J$61=0,0,'Inputs DK'!J31/'Inputs DK'!$J$61*G$60)</f>
        <v>0</v>
      </c>
      <c r="H31" s="178">
        <f>IF('Inputs DK'!D$61=0,0,'Inputs DK'!D31/'Inputs DK'!D$61*H$60)</f>
        <v>10063.660551384659</v>
      </c>
      <c r="I31" s="178">
        <f>IF('Inputs DK'!E$61=0,0,'Inputs DK'!E31/'Inputs DK'!E$61*I$60)</f>
        <v>1706.4780942869518</v>
      </c>
      <c r="J31" s="178">
        <f>IF('Inputs DK'!K$61=0,0,'Inputs DK'!K31/'Inputs DK'!K$61*J$60)</f>
        <v>2.155702069335568</v>
      </c>
      <c r="K31" s="178">
        <f>IF('Inputs DK'!L$61=0,0,'Inputs DK'!L31/'Inputs DK'!L$61*K$60)</f>
        <v>0</v>
      </c>
      <c r="L31" s="178">
        <f>IF('Inputs DK'!M$61=0,0,'Inputs DK'!M31/'Inputs DK'!M$61*L$60)</f>
        <v>0</v>
      </c>
      <c r="M31" s="178">
        <f>IF('Inputs DK'!N$61=0,0,'Inputs DK'!N31/'Inputs DK'!N$61*M$60)</f>
        <v>0</v>
      </c>
      <c r="N31" s="178"/>
      <c r="O31" s="178">
        <f>SUM(C31:N31)</f>
        <v>45757.32983160998</v>
      </c>
    </row>
    <row r="32" spans="1:15" ht="11.25">
      <c r="A32" s="60">
        <f t="shared" si="1"/>
        <v>23</v>
      </c>
      <c r="B32" s="22" t="s">
        <v>111</v>
      </c>
      <c r="C32" s="184">
        <f aca="true" t="shared" si="5" ref="C32:M32">SUM(C30:C31)</f>
        <v>21496.04537622869</v>
      </c>
      <c r="D32" s="184">
        <f t="shared" si="5"/>
        <v>40789.47623178296</v>
      </c>
      <c r="E32" s="184">
        <f t="shared" si="5"/>
        <v>5904.233367906767</v>
      </c>
      <c r="F32" s="184">
        <f t="shared" si="5"/>
        <v>4898.671224369578</v>
      </c>
      <c r="G32" s="184">
        <f t="shared" si="5"/>
        <v>0</v>
      </c>
      <c r="H32" s="184">
        <f t="shared" si="5"/>
        <v>11296.228210175846</v>
      </c>
      <c r="I32" s="184">
        <f t="shared" si="5"/>
        <v>2197.0759785947184</v>
      </c>
      <c r="J32" s="184">
        <f t="shared" si="5"/>
        <v>2.155702069335568</v>
      </c>
      <c r="K32" s="184">
        <f t="shared" si="5"/>
        <v>0</v>
      </c>
      <c r="L32" s="184">
        <f t="shared" si="5"/>
        <v>0</v>
      </c>
      <c r="M32" s="184">
        <f t="shared" si="5"/>
        <v>0</v>
      </c>
      <c r="N32" s="184"/>
      <c r="O32" s="184">
        <f>SUM(O30:O31)</f>
        <v>86583.8860911279</v>
      </c>
    </row>
    <row r="33" spans="1:15" ht="11.25">
      <c r="A33" s="60">
        <f t="shared" si="1"/>
        <v>24</v>
      </c>
      <c r="B33" s="22" t="s">
        <v>112</v>
      </c>
      <c r="C33" s="178"/>
      <c r="D33" s="178"/>
      <c r="E33" s="178"/>
      <c r="F33" s="178"/>
      <c r="G33" s="178"/>
      <c r="H33" s="178"/>
      <c r="I33" s="178"/>
      <c r="J33" s="178"/>
      <c r="K33" s="178"/>
      <c r="L33" s="178"/>
      <c r="M33" s="178"/>
      <c r="N33" s="178"/>
      <c r="O33" s="178"/>
    </row>
    <row r="34" spans="1:15" ht="11.25">
      <c r="A34" s="60">
        <f t="shared" si="1"/>
        <v>25</v>
      </c>
      <c r="B34" s="22" t="s">
        <v>113</v>
      </c>
      <c r="C34" s="178">
        <f>IF('Inputs DK'!$F$61=0,0,'Inputs DK'!F34/'Inputs DK'!$F$61*C$60)</f>
        <v>0</v>
      </c>
      <c r="D34" s="178">
        <f>IF('Inputs DK'!$G$61=0,0,'Inputs DK'!G34/'Inputs DK'!$G$61*D$60)</f>
        <v>0</v>
      </c>
      <c r="E34" s="178">
        <f>IF('Inputs DK'!$H$61=0,0,'Inputs DK'!H34/'Inputs DK'!$H$61*E$60)</f>
        <v>0</v>
      </c>
      <c r="F34" s="178">
        <f>IF('Inputs DK'!$I$61=0,0,'Inputs DK'!I34/'Inputs DK'!$I$61*F$60)</f>
        <v>0</v>
      </c>
      <c r="G34" s="178">
        <f>IF('Inputs DK'!$J$61=0,0,'Inputs DK'!J34/'Inputs DK'!$J$61*G$60)</f>
        <v>0</v>
      </c>
      <c r="H34" s="178">
        <f>IF('Inputs DK'!D$61=0,0,'Inputs DK'!D34/'Inputs DK'!D$61*H$60)</f>
        <v>0</v>
      </c>
      <c r="I34" s="178">
        <f>IF('Inputs DK'!E$61=0,0,'Inputs DK'!E34/'Inputs DK'!E$61*I$60)</f>
        <v>0</v>
      </c>
      <c r="J34" s="178">
        <f>IF('Inputs DK'!K$61=0,0,'Inputs DK'!K34/'Inputs DK'!K$61*J$60)</f>
        <v>0</v>
      </c>
      <c r="K34" s="178">
        <f>IF('Inputs DK'!L$61=0,0,'Inputs DK'!L34/'Inputs DK'!L$61*K$60)</f>
        <v>0</v>
      </c>
      <c r="L34" s="178">
        <f>IF('Inputs DK'!M$61=0,0,'Inputs DK'!M34/'Inputs DK'!M$61*L$60)</f>
        <v>0</v>
      </c>
      <c r="M34" s="178">
        <f>IF('Inputs DK'!N$61=0,0,'Inputs DK'!N34/'Inputs DK'!N$61*M$60)</f>
        <v>0</v>
      </c>
      <c r="N34" s="178"/>
      <c r="O34" s="178">
        <f>SUM(C34:N34)</f>
        <v>0</v>
      </c>
    </row>
    <row r="35" spans="1:15" ht="11.25">
      <c r="A35" s="60">
        <f t="shared" si="1"/>
        <v>26</v>
      </c>
      <c r="B35" s="22" t="s">
        <v>114</v>
      </c>
      <c r="C35" s="178">
        <f>IF('Inputs DK'!$F$61=0,0,'Inputs DK'!F35/'Inputs DK'!$F$61*C$60)</f>
        <v>0</v>
      </c>
      <c r="D35" s="178">
        <f>IF('Inputs DK'!$G$61=0,0,'Inputs DK'!G35/'Inputs DK'!$G$61*D$60)</f>
        <v>0</v>
      </c>
      <c r="E35" s="178">
        <f>IF('Inputs DK'!$H$61=0,0,'Inputs DK'!H35/'Inputs DK'!$H$61*E$60)</f>
        <v>0</v>
      </c>
      <c r="F35" s="178">
        <f>IF('Inputs DK'!$I$61=0,0,'Inputs DK'!I35/'Inputs DK'!$I$61*F$60)</f>
        <v>0</v>
      </c>
      <c r="G35" s="178">
        <f>IF('Inputs DK'!$J$61=0,0,'Inputs DK'!J35/'Inputs DK'!$J$61*G$60)</f>
        <v>0</v>
      </c>
      <c r="H35" s="178">
        <f>IF('Inputs DK'!D$61=0,0,'Inputs DK'!D35/'Inputs DK'!D$61*H$60)</f>
        <v>0</v>
      </c>
      <c r="I35" s="178">
        <f>IF('Inputs DK'!E$61=0,0,'Inputs DK'!E35/'Inputs DK'!E$61*I$60)</f>
        <v>0</v>
      </c>
      <c r="J35" s="178">
        <f>IF('Inputs DK'!K$61=0,0,'Inputs DK'!K35/'Inputs DK'!K$61*J$60)</f>
        <v>0</v>
      </c>
      <c r="K35" s="178">
        <f>IF('Inputs DK'!L$61=0,0,'Inputs DK'!L35/'Inputs DK'!L$61*K$60)</f>
        <v>0</v>
      </c>
      <c r="L35" s="178">
        <f>IF('Inputs DK'!M$61=0,0,'Inputs DK'!M35/'Inputs DK'!M$61*L$60)</f>
        <v>0</v>
      </c>
      <c r="M35" s="178">
        <f>IF('Inputs DK'!N$61=0,0,'Inputs DK'!N35/'Inputs DK'!N$61*M$60)</f>
        <v>0</v>
      </c>
      <c r="N35" s="178"/>
      <c r="O35" s="178">
        <f>SUM(C35:N35)</f>
        <v>0</v>
      </c>
    </row>
    <row r="36" spans="1:15" ht="11.25">
      <c r="A36" s="60">
        <f t="shared" si="1"/>
        <v>27</v>
      </c>
      <c r="B36" s="22" t="s">
        <v>115</v>
      </c>
      <c r="C36" s="184">
        <f>SUM(C34:C35)</f>
        <v>0</v>
      </c>
      <c r="D36" s="184">
        <f>SUM(D34:D35)</f>
        <v>0</v>
      </c>
      <c r="E36" s="184">
        <f>SUM(E34:E35)</f>
        <v>0</v>
      </c>
      <c r="F36" s="184">
        <f>IF('Inputs DK'!$I$61=0,0,'Inputs DK'!I36/'Inputs DK'!$I$61*F$60)</f>
        <v>0</v>
      </c>
      <c r="G36" s="184">
        <f aca="true" t="shared" si="6" ref="G36:M36">SUM(G34:G35)</f>
        <v>0</v>
      </c>
      <c r="H36" s="184">
        <f t="shared" si="6"/>
        <v>0</v>
      </c>
      <c r="I36" s="184">
        <f t="shared" si="6"/>
        <v>0</v>
      </c>
      <c r="J36" s="184">
        <f t="shared" si="6"/>
        <v>0</v>
      </c>
      <c r="K36" s="184">
        <f t="shared" si="6"/>
        <v>0</v>
      </c>
      <c r="L36" s="184">
        <f t="shared" si="6"/>
        <v>0</v>
      </c>
      <c r="M36" s="184">
        <f t="shared" si="6"/>
        <v>0</v>
      </c>
      <c r="N36" s="184"/>
      <c r="O36" s="184">
        <f>SUM(O34:O35)</f>
        <v>0</v>
      </c>
    </row>
    <row r="37" spans="1:15" ht="11.25">
      <c r="A37" s="61">
        <f t="shared" si="1"/>
        <v>28</v>
      </c>
      <c r="B37" s="227" t="s">
        <v>116</v>
      </c>
      <c r="C37" s="183">
        <f aca="true" t="shared" si="7" ref="C37:M37">SUM(C32,C36)</f>
        <v>21496.04537622869</v>
      </c>
      <c r="D37" s="183">
        <f t="shared" si="7"/>
        <v>40789.47623178296</v>
      </c>
      <c r="E37" s="183">
        <f t="shared" si="7"/>
        <v>5904.233367906767</v>
      </c>
      <c r="F37" s="183">
        <f t="shared" si="7"/>
        <v>4898.671224369578</v>
      </c>
      <c r="G37" s="183">
        <f t="shared" si="7"/>
        <v>0</v>
      </c>
      <c r="H37" s="183">
        <f t="shared" si="7"/>
        <v>11296.228210175846</v>
      </c>
      <c r="I37" s="183">
        <f t="shared" si="7"/>
        <v>2197.0759785947184</v>
      </c>
      <c r="J37" s="183">
        <f t="shared" si="7"/>
        <v>2.155702069335568</v>
      </c>
      <c r="K37" s="183">
        <f t="shared" si="7"/>
        <v>0</v>
      </c>
      <c r="L37" s="183">
        <f t="shared" si="7"/>
        <v>0</v>
      </c>
      <c r="M37" s="183">
        <f t="shared" si="7"/>
        <v>0</v>
      </c>
      <c r="N37" s="183"/>
      <c r="O37" s="183">
        <f>SUM(O32,O36)</f>
        <v>86583.8860911279</v>
      </c>
    </row>
    <row r="38" spans="1:15" ht="11.25">
      <c r="A38" s="60">
        <f t="shared" si="1"/>
        <v>29</v>
      </c>
      <c r="B38" s="226" t="s">
        <v>117</v>
      </c>
      <c r="C38" s="178"/>
      <c r="D38" s="178"/>
      <c r="E38" s="178"/>
      <c r="F38" s="178"/>
      <c r="G38" s="178"/>
      <c r="H38" s="178"/>
      <c r="I38" s="178"/>
      <c r="J38" s="178"/>
      <c r="K38" s="178"/>
      <c r="L38" s="178"/>
      <c r="M38" s="178"/>
      <c r="N38" s="178"/>
      <c r="O38" s="178"/>
    </row>
    <row r="39" spans="1:15" ht="11.25">
      <c r="A39" s="60">
        <f t="shared" si="1"/>
        <v>30</v>
      </c>
      <c r="B39" s="67" t="s">
        <v>118</v>
      </c>
      <c r="C39" s="178">
        <f>IF('Inputs DK'!$F$61=0,0,'Inputs DK'!F39/'Inputs DK'!$F$61*C$60)</f>
        <v>0.1637593509396156</v>
      </c>
      <c r="D39" s="178">
        <f>IF('Inputs DK'!$G$61=0,0,'Inputs DK'!G39/'Inputs DK'!$G$61*D$60)</f>
        <v>5.188736188747932</v>
      </c>
      <c r="E39" s="178">
        <f>IF('Inputs DK'!$H$61=0,0,'Inputs DK'!H39/'Inputs DK'!$H$61*E$60)</f>
        <v>2540.6843183952437</v>
      </c>
      <c r="F39" s="178">
        <f>IF('Inputs DK'!$I$61=0,0,'Inputs DK'!I39/'Inputs DK'!$I$61*F$60)</f>
        <v>0</v>
      </c>
      <c r="G39" s="178">
        <f>IF('Inputs DK'!$J$61=0,0,'Inputs DK'!J39/'Inputs DK'!$J$61*G$60)</f>
        <v>0</v>
      </c>
      <c r="H39" s="178">
        <f>IF('Inputs DK'!D$61=0,0,'Inputs DK'!D39/'Inputs DK'!D$61*H$60)</f>
        <v>0.0946352501037074</v>
      </c>
      <c r="I39" s="178">
        <f>IF('Inputs DK'!E$61=0,0,'Inputs DK'!E39/'Inputs DK'!E$61*I$60)</f>
        <v>0.37521416087174503</v>
      </c>
      <c r="J39" s="178">
        <f>IF('Inputs DK'!K$61=0,0,'Inputs DK'!K39/'Inputs DK'!K$61*J$60)</f>
        <v>1.660495249815021</v>
      </c>
      <c r="K39" s="178">
        <f>IF('Inputs DK'!L$61=0,0,'Inputs DK'!L39/'Inputs DK'!L$61*K$60)</f>
        <v>1.77371760810167</v>
      </c>
      <c r="L39" s="178">
        <f>IF('Inputs DK'!M$61=0,0,'Inputs DK'!M39/'Inputs DK'!M$61*L$60)</f>
        <v>396.6121637543731</v>
      </c>
      <c r="M39" s="178">
        <f>IF('Inputs DK'!N$61=0,0,'Inputs DK'!N39/'Inputs DK'!N$61*M$60)</f>
        <v>0</v>
      </c>
      <c r="N39" s="178"/>
      <c r="O39" s="178">
        <f>SUM(C39:N39)</f>
        <v>2946.5530399581967</v>
      </c>
    </row>
    <row r="40" spans="1:15" ht="11.25">
      <c r="A40" s="60">
        <f t="shared" si="1"/>
        <v>31</v>
      </c>
      <c r="B40" s="67" t="s">
        <v>119</v>
      </c>
      <c r="C40" s="178">
        <f>IF('Inputs DK'!$F$61=0,0,'Inputs DK'!F40/'Inputs DK'!$F$61*C$60)</f>
        <v>2.726456795906311</v>
      </c>
      <c r="D40" s="178">
        <f>IF('Inputs DK'!$G$61=0,0,'Inputs DK'!G40/'Inputs DK'!$G$61*D$60)</f>
        <v>300.8678919904619</v>
      </c>
      <c r="E40" s="178">
        <f>IF('Inputs DK'!$H$61=0,0,'Inputs DK'!H40/'Inputs DK'!$H$61*E$60)</f>
        <v>1698.6502244288258</v>
      </c>
      <c r="F40" s="178">
        <f>IF('Inputs DK'!$I$61=0,0,'Inputs DK'!I40/'Inputs DK'!$I$61*F$60)</f>
        <v>16.730826999647967</v>
      </c>
      <c r="G40" s="178">
        <f>IF('Inputs DK'!$J$61=0,0,'Inputs DK'!J40/'Inputs DK'!$J$61*G$60)</f>
        <v>0</v>
      </c>
      <c r="H40" s="178">
        <f>IF('Inputs DK'!D$61=0,0,'Inputs DK'!D40/'Inputs DK'!D$61*H$60)</f>
        <v>0.15830988908261495</v>
      </c>
      <c r="I40" s="178">
        <f>IF('Inputs DK'!E$61=0,0,'Inputs DK'!E40/'Inputs DK'!E$61*I$60)</f>
        <v>0.41335939990286</v>
      </c>
      <c r="J40" s="178">
        <f>IF('Inputs DK'!K$61=0,0,'Inputs DK'!K40/'Inputs DK'!K$61*J$60)</f>
        <v>0.6403923008369703</v>
      </c>
      <c r="K40" s="178">
        <f>IF('Inputs DK'!L$61=0,0,'Inputs DK'!L40/'Inputs DK'!L$61*K$60)</f>
        <v>0.24223760960417345</v>
      </c>
      <c r="L40" s="178">
        <f>IF('Inputs DK'!M$61=0,0,'Inputs DK'!M40/'Inputs DK'!M$61*L$60)</f>
        <v>23.383806030959587</v>
      </c>
      <c r="M40" s="178">
        <f>IF('Inputs DK'!N$61=0,0,'Inputs DK'!N40/'Inputs DK'!N$61*M$60)</f>
        <v>0</v>
      </c>
      <c r="N40" s="178"/>
      <c r="O40" s="178">
        <f>SUM(C40:N40)</f>
        <v>2043.8135054452282</v>
      </c>
    </row>
    <row r="41" spans="1:15" ht="11.25">
      <c r="A41" s="60">
        <f t="shared" si="1"/>
        <v>32</v>
      </c>
      <c r="B41" s="225" t="s">
        <v>120</v>
      </c>
      <c r="C41" s="178">
        <f>IF('Inputs DK'!$F$61=0,0,'Inputs DK'!F41/'Inputs DK'!$F$61*C$60)</f>
        <v>0.12379082687131468</v>
      </c>
      <c r="D41" s="178">
        <f>IF('Inputs DK'!$G$61=0,0,'Inputs DK'!G41/'Inputs DK'!$G$61*D$60)</f>
        <v>25.85270995754011</v>
      </c>
      <c r="E41" s="178">
        <f>IF('Inputs DK'!$H$61=0,0,'Inputs DK'!H41/'Inputs DK'!$H$61*E$60)</f>
        <v>816.6072257477304</v>
      </c>
      <c r="F41" s="178">
        <f>IF('Inputs DK'!$I$61=0,0,'Inputs DK'!I41/'Inputs DK'!$I$61*F$60)</f>
        <v>0</v>
      </c>
      <c r="G41" s="178">
        <f>IF('Inputs DK'!$J$61=0,0,'Inputs DK'!J41/'Inputs DK'!$J$61*G$60)</f>
        <v>0</v>
      </c>
      <c r="H41" s="178">
        <f>IF('Inputs DK'!D$61=0,0,'Inputs DK'!D41/'Inputs DK'!D$61*H$60)</f>
        <v>0.06907279834778769</v>
      </c>
      <c r="I41" s="178">
        <f>IF('Inputs DK'!E$61=0,0,'Inputs DK'!E41/'Inputs DK'!E$61*I$60)</f>
        <v>0.1693525893713845</v>
      </c>
      <c r="J41" s="178">
        <f>IF('Inputs DK'!K$61=0,0,'Inputs DK'!K41/'Inputs DK'!K$61*J$60)</f>
        <v>0.3954724785881608</v>
      </c>
      <c r="K41" s="178">
        <f>IF('Inputs DK'!L$61=0,0,'Inputs DK'!L41/'Inputs DK'!L$61*K$60)</f>
        <v>1.6001139878853456</v>
      </c>
      <c r="L41" s="178">
        <f>IF('Inputs DK'!M$61=0,0,'Inputs DK'!M41/'Inputs DK'!M$61*L$60)</f>
        <v>163.68664221671713</v>
      </c>
      <c r="M41" s="178">
        <f>IF('Inputs DK'!N$61=0,0,'Inputs DK'!N41/'Inputs DK'!N$61*M$60)</f>
        <v>0</v>
      </c>
      <c r="N41" s="178"/>
      <c r="O41" s="178">
        <f>SUM(C41:N41)</f>
        <v>1008.5043806030516</v>
      </c>
    </row>
    <row r="42" spans="1:15" ht="11.25">
      <c r="A42" s="60">
        <f t="shared" si="1"/>
        <v>33</v>
      </c>
      <c r="B42" s="67" t="s">
        <v>121</v>
      </c>
      <c r="C42" s="178">
        <f>IF('Inputs DK'!$F$61=0,0,'Inputs DK'!F42/'Inputs DK'!$F$61*C$60)</f>
        <v>0</v>
      </c>
      <c r="D42" s="178">
        <f>IF('Inputs DK'!$G$61=0,0,'Inputs DK'!G42/'Inputs DK'!$G$61*D$60)</f>
        <v>0</v>
      </c>
      <c r="E42" s="178">
        <f>IF('Inputs DK'!$H$61=0,0,'Inputs DK'!H42/'Inputs DK'!$H$61*E$60)</f>
        <v>0</v>
      </c>
      <c r="F42" s="178">
        <f>IF('Inputs DK'!$I$61=0,0,'Inputs DK'!I42/'Inputs DK'!$I$61*F$60)</f>
        <v>0</v>
      </c>
      <c r="G42" s="178">
        <f>IF('Inputs DK'!$J$61=0,0,'Inputs DK'!J42/'Inputs DK'!$J$61*G$60)</f>
        <v>0</v>
      </c>
      <c r="H42" s="178">
        <f>IF('Inputs DK'!D$61=0,0,'Inputs DK'!D42/'Inputs DK'!D$61*H$60)</f>
        <v>0</v>
      </c>
      <c r="I42" s="178">
        <f>IF('Inputs DK'!E$61=0,0,'Inputs DK'!E42/'Inputs DK'!E$61*I$60)</f>
        <v>0</v>
      </c>
      <c r="J42" s="178">
        <f>IF('Inputs DK'!K$61=0,0,'Inputs DK'!K42/'Inputs DK'!K$61*J$60)</f>
        <v>0</v>
      </c>
      <c r="K42" s="178">
        <f>IF('Inputs DK'!L$61=0,0,'Inputs DK'!L42/'Inputs DK'!L$61*K$60)</f>
        <v>0</v>
      </c>
      <c r="L42" s="178">
        <f>IF('Inputs DK'!M$61=0,0,'Inputs DK'!M42/'Inputs DK'!M$61*L$60)</f>
        <v>0</v>
      </c>
      <c r="M42" s="178">
        <f>IF('Inputs DK'!N$61=0,0,'Inputs DK'!N42/'Inputs DK'!N$61*M$60)</f>
        <v>0</v>
      </c>
      <c r="N42" s="178"/>
      <c r="O42" s="178">
        <f>SUM(C42:N42)</f>
        <v>0</v>
      </c>
    </row>
    <row r="43" spans="1:15" ht="11.25">
      <c r="A43" s="61">
        <f aca="true" t="shared" si="8" ref="A43:A62">A42+1</f>
        <v>34</v>
      </c>
      <c r="B43" s="227" t="s">
        <v>122</v>
      </c>
      <c r="C43" s="183">
        <f aca="true" t="shared" si="9" ref="C43:M43">SUM(C39:C42)</f>
        <v>3.0140069737172412</v>
      </c>
      <c r="D43" s="183">
        <f t="shared" si="9"/>
        <v>331.90933813674997</v>
      </c>
      <c r="E43" s="183">
        <f t="shared" si="9"/>
        <v>5055.9417685718</v>
      </c>
      <c r="F43" s="183">
        <f t="shared" si="9"/>
        <v>16.730826999647967</v>
      </c>
      <c r="G43" s="183">
        <f t="shared" si="9"/>
        <v>0</v>
      </c>
      <c r="H43" s="183">
        <f t="shared" si="9"/>
        <v>0.32201793753411</v>
      </c>
      <c r="I43" s="183">
        <f t="shared" si="9"/>
        <v>0.9579261501459896</v>
      </c>
      <c r="J43" s="183">
        <f t="shared" si="9"/>
        <v>2.696360029240152</v>
      </c>
      <c r="K43" s="183">
        <f t="shared" si="9"/>
        <v>3.616069205591189</v>
      </c>
      <c r="L43" s="183">
        <f t="shared" si="9"/>
        <v>583.6826120020498</v>
      </c>
      <c r="M43" s="183">
        <f t="shared" si="9"/>
        <v>0</v>
      </c>
      <c r="N43" s="183"/>
      <c r="O43" s="183">
        <f>SUM(O39:O42)</f>
        <v>5998.870926006477</v>
      </c>
    </row>
    <row r="44" spans="1:15" ht="11.25">
      <c r="A44" s="60">
        <f t="shared" si="8"/>
        <v>35</v>
      </c>
      <c r="B44" s="49" t="s">
        <v>123</v>
      </c>
      <c r="C44" s="178">
        <f>IF('Inputs DK'!$F$61=0,0,'Inputs DK'!F44/'Inputs DK'!$F$61*C$60)</f>
        <v>116.81923336239598</v>
      </c>
      <c r="D44" s="178">
        <f>IF('Inputs DK'!$G$61=0,0,'Inputs DK'!G44/'Inputs DK'!$G$61*D$60)</f>
        <v>15.674966952638439</v>
      </c>
      <c r="E44" s="178">
        <f>IF('Inputs DK'!$H$61=0,0,'Inputs DK'!H44/'Inputs DK'!$H$61*E$60)</f>
        <v>17.174491044790376</v>
      </c>
      <c r="F44" s="178">
        <f>IF('Inputs DK'!$I$61=0,0,'Inputs DK'!I44/'Inputs DK'!$I$61*F$60)</f>
        <v>114.60289049638685</v>
      </c>
      <c r="G44" s="178">
        <f>IF('Inputs DK'!$J$61=0,0,'Inputs DK'!J44/'Inputs DK'!$J$61*G$60)</f>
        <v>6.681612438616313</v>
      </c>
      <c r="H44" s="178">
        <f>IF('Inputs DK'!D$61=0,0,'Inputs DK'!D44/'Inputs DK'!D$61*H$60)</f>
        <v>14.585954673239355</v>
      </c>
      <c r="I44" s="178">
        <f>IF('Inputs DK'!E$61=0,0,'Inputs DK'!E44/'Inputs DK'!E$61*I$60)</f>
        <v>16.431087279166878</v>
      </c>
      <c r="J44" s="178">
        <f>IF('Inputs DK'!K$61=0,0,'Inputs DK'!K44/'Inputs DK'!K$61*J$60)</f>
        <v>5.624527668331328</v>
      </c>
      <c r="K44" s="178">
        <f>IF('Inputs DK'!L$61=0,0,'Inputs DK'!L44/'Inputs DK'!L$61*K$60)</f>
        <v>1.2959712113823278</v>
      </c>
      <c r="L44" s="178">
        <f>IF('Inputs DK'!M$61=0,0,'Inputs DK'!M44/'Inputs DK'!M$61*L$60)</f>
        <v>1.9391448903722586</v>
      </c>
      <c r="M44" s="178">
        <f>IF('Inputs DK'!N$61=0,0,'Inputs DK'!N44/'Inputs DK'!N$61*M$60)</f>
        <v>0</v>
      </c>
      <c r="N44" s="178"/>
      <c r="O44" s="178">
        <f>SUM(C44:N44)</f>
        <v>310.8298800173201</v>
      </c>
    </row>
    <row r="45" spans="1:15" ht="11.25">
      <c r="A45" s="60">
        <f t="shared" si="8"/>
        <v>36</v>
      </c>
      <c r="B45" s="70" t="s">
        <v>124</v>
      </c>
      <c r="C45" s="178">
        <f>IF('Inputs DK'!$F$61=0,0,'Inputs DK'!F45/'Inputs DK'!$F$61*C$60)</f>
        <v>12.554291139588063</v>
      </c>
      <c r="D45" s="178">
        <f>IF('Inputs DK'!$G$61=0,0,'Inputs DK'!G45/'Inputs DK'!$G$61*D$60)</f>
        <v>10.754278110776601</v>
      </c>
      <c r="E45" s="178">
        <f>IF('Inputs DK'!$H$61=0,0,'Inputs DK'!H45/'Inputs DK'!$H$61*E$60)</f>
        <v>87.6439272885201</v>
      </c>
      <c r="F45" s="178">
        <f>IF('Inputs DK'!$I$61=0,0,'Inputs DK'!I45/'Inputs DK'!$I$61*F$60)</f>
        <v>0</v>
      </c>
      <c r="G45" s="178">
        <f>IF('Inputs DK'!$J$61=0,0,'Inputs DK'!J45/'Inputs DK'!$J$61*G$60)</f>
        <v>0</v>
      </c>
      <c r="H45" s="178">
        <f>IF('Inputs DK'!D$61=0,0,'Inputs DK'!D45/'Inputs DK'!D$61*H$60)</f>
        <v>2.083610711141479</v>
      </c>
      <c r="I45" s="178">
        <f>IF('Inputs DK'!E$61=0,0,'Inputs DK'!E45/'Inputs DK'!E$61*I$60)</f>
        <v>0</v>
      </c>
      <c r="J45" s="178">
        <f>IF('Inputs DK'!K$61=0,0,'Inputs DK'!K45/'Inputs DK'!K$61*J$60)</f>
        <v>0</v>
      </c>
      <c r="K45" s="178">
        <f>IF('Inputs DK'!L$61=0,0,'Inputs DK'!L45/'Inputs DK'!L$61*K$60)</f>
        <v>0.6352008429620548</v>
      </c>
      <c r="L45" s="178">
        <f>IF('Inputs DK'!M$61=0,0,'Inputs DK'!M45/'Inputs DK'!M$61*L$60)</f>
        <v>86.57711598779672</v>
      </c>
      <c r="M45" s="178">
        <f>IF('Inputs DK'!N$61=0,0,'Inputs DK'!N45/'Inputs DK'!N$61*M$60)</f>
        <v>0</v>
      </c>
      <c r="N45" s="178"/>
      <c r="O45" s="178">
        <f>SUM(C45:N45)</f>
        <v>200.24842408078501</v>
      </c>
    </row>
    <row r="46" spans="1:15" ht="11.25">
      <c r="A46" s="60">
        <f t="shared" si="8"/>
        <v>37</v>
      </c>
      <c r="B46" s="49" t="s">
        <v>125</v>
      </c>
      <c r="C46" s="178">
        <f>IF('Inputs DK'!$F$61=0,0,'Inputs DK'!F46/'Inputs DK'!$F$61*C$60)</f>
        <v>77.90968918567097</v>
      </c>
      <c r="D46" s="178">
        <f>IF('Inputs DK'!$G$61=0,0,'Inputs DK'!G46/'Inputs DK'!$G$61*D$60)</f>
        <v>45.52413881903364</v>
      </c>
      <c r="E46" s="178">
        <f>IF('Inputs DK'!$H$61=0,0,'Inputs DK'!H46/'Inputs DK'!$H$61*E$60)</f>
        <v>88.91332809301292</v>
      </c>
      <c r="F46" s="178">
        <f>IF('Inputs DK'!$I$61=0,0,'Inputs DK'!I46/'Inputs DK'!$I$61*F$60)</f>
        <v>0</v>
      </c>
      <c r="G46" s="178">
        <f>IF('Inputs DK'!$J$61=0,0,'Inputs DK'!J46/'Inputs DK'!$J$61*G$60)</f>
        <v>1426.0019146070365</v>
      </c>
      <c r="H46" s="178">
        <f>IF('Inputs DK'!D$61=0,0,'Inputs DK'!D46/'Inputs DK'!D$61*H$60)</f>
        <v>31.646768403994614</v>
      </c>
      <c r="I46" s="178">
        <f>IF('Inputs DK'!E$61=0,0,'Inputs DK'!E46/'Inputs DK'!E$61*I$60)</f>
        <v>3.4523997974568656</v>
      </c>
      <c r="J46" s="178">
        <f>IF('Inputs DK'!K$61=0,0,'Inputs DK'!K46/'Inputs DK'!K$61*J$60)</f>
        <v>0.0694335806763615</v>
      </c>
      <c r="K46" s="178">
        <f>IF('Inputs DK'!L$61=0,0,'Inputs DK'!L46/'Inputs DK'!L$61*K$60)</f>
        <v>1.7064293832116217</v>
      </c>
      <c r="L46" s="178">
        <f>IF('Inputs DK'!M$61=0,0,'Inputs DK'!M46/'Inputs DK'!M$61*L$60)</f>
        <v>11.634869342233552</v>
      </c>
      <c r="M46" s="178">
        <f>IF('Inputs DK'!N$61=0,0,'Inputs DK'!N46/'Inputs DK'!N$61*M$60)</f>
        <v>0</v>
      </c>
      <c r="N46" s="178"/>
      <c r="O46" s="178">
        <f>SUM(C46:N46)</f>
        <v>1686.8589712123269</v>
      </c>
    </row>
    <row r="47" spans="1:15" ht="11.25">
      <c r="A47" s="61">
        <f t="shared" si="8"/>
        <v>38</v>
      </c>
      <c r="B47" s="50" t="s">
        <v>161</v>
      </c>
      <c r="C47" s="183">
        <f aca="true" t="shared" si="10" ref="C47:M47">SUM(C17:C20,C27,C37,C43:C46)</f>
        <v>43270.86438797186</v>
      </c>
      <c r="D47" s="183">
        <f t="shared" si="10"/>
        <v>55677.715527020926</v>
      </c>
      <c r="E47" s="183">
        <f t="shared" si="10"/>
        <v>17362.95323998129</v>
      </c>
      <c r="F47" s="183">
        <f t="shared" si="10"/>
        <v>5062.005646285896</v>
      </c>
      <c r="G47" s="183">
        <f t="shared" si="10"/>
        <v>2471.87013913957</v>
      </c>
      <c r="H47" s="183">
        <f t="shared" si="10"/>
        <v>27302.055885838454</v>
      </c>
      <c r="I47" s="183">
        <f t="shared" si="10"/>
        <v>5526.557191847268</v>
      </c>
      <c r="J47" s="183">
        <f t="shared" si="10"/>
        <v>52.563598434357594</v>
      </c>
      <c r="K47" s="183">
        <f t="shared" si="10"/>
        <v>4675.99197829473</v>
      </c>
      <c r="L47" s="183">
        <f t="shared" si="10"/>
        <v>2353.893762218937</v>
      </c>
      <c r="M47" s="183">
        <f t="shared" si="10"/>
        <v>10.908756932039521</v>
      </c>
      <c r="N47" s="183"/>
      <c r="O47" s="183">
        <f>SUM(O17:O20,O27,O37,O43:O46)</f>
        <v>163767.3801139653</v>
      </c>
    </row>
    <row r="48" spans="1:15" ht="11.25">
      <c r="A48" s="60">
        <f t="shared" si="8"/>
        <v>39</v>
      </c>
      <c r="B48" s="66" t="s">
        <v>160</v>
      </c>
      <c r="C48" s="178"/>
      <c r="D48" s="178"/>
      <c r="E48" s="178"/>
      <c r="F48" s="178"/>
      <c r="G48" s="178"/>
      <c r="H48" s="178"/>
      <c r="I48" s="178"/>
      <c r="J48" s="178"/>
      <c r="K48" s="178"/>
      <c r="L48" s="178"/>
      <c r="M48" s="178"/>
      <c r="N48" s="178"/>
      <c r="O48" s="178"/>
    </row>
    <row r="49" spans="1:15" ht="11.25">
      <c r="A49" s="58">
        <f t="shared" si="8"/>
        <v>40</v>
      </c>
      <c r="B49" s="67" t="s">
        <v>129</v>
      </c>
      <c r="C49" s="178">
        <f>IF('Inputs DK'!$F$61=0,0,'Inputs DK'!F50/'Inputs DK'!$F$61*C$60)</f>
        <v>0</v>
      </c>
      <c r="D49" s="178">
        <f>IF('Inputs DK'!$G$61=0,0,'Inputs DK'!G50/'Inputs DK'!$G$61*D$60)</f>
        <v>0</v>
      </c>
      <c r="E49" s="178">
        <f>IF('Inputs DK'!$G$61=0,0,'Inputs DK'!H50/'Inputs DK'!$G$61*E$60)</f>
        <v>0</v>
      </c>
      <c r="F49" s="178">
        <f>IF('Inputs DK'!$I$61=0,0,'Inputs DK'!I50/'Inputs DK'!$I$61*F$60)</f>
        <v>0</v>
      </c>
      <c r="G49" s="178">
        <f>IF('Inputs DK'!$J$61=0,0,'Inputs DK'!J50/'Inputs DK'!$J$61*G$60)</f>
        <v>176.76891278971243</v>
      </c>
      <c r="H49" s="178">
        <f>IF('Inputs DK'!D$61=0,0,'Inputs DK'!D50/'Inputs DK'!D$61*H$60)</f>
        <v>0</v>
      </c>
      <c r="I49" s="178">
        <f>IF('Inputs DK'!E$61=0,0,'Inputs DK'!E50/'Inputs DK'!E$61*I$60)</f>
        <v>0</v>
      </c>
      <c r="J49" s="178">
        <f>IF('Inputs DK'!K$61=0,0,'Inputs DK'!K50/'Inputs DK'!K$61*J$60)</f>
        <v>0</v>
      </c>
      <c r="K49" s="178">
        <f>IF('Inputs DK'!L$61=0,0,'Inputs DK'!L50/'Inputs DK'!L$61*K$60)</f>
        <v>0</v>
      </c>
      <c r="L49" s="178">
        <f>IF('Inputs DK'!M$61=0,0,'Inputs DK'!M50/'Inputs DK'!M$61*L$60)</f>
        <v>0</v>
      </c>
      <c r="M49" s="178">
        <f>IF('Inputs DK'!N$61=0,0,'Inputs DK'!N50/'Inputs DK'!N$61*M$60)</f>
        <v>4.169315476643377</v>
      </c>
      <c r="N49" s="178"/>
      <c r="O49" s="178">
        <f aca="true" t="shared" si="11" ref="O49:O58">SUM(C49:N49)</f>
        <v>180.93822826635582</v>
      </c>
    </row>
    <row r="50" spans="1:15" ht="11.25">
      <c r="A50" s="58">
        <f t="shared" si="8"/>
        <v>41</v>
      </c>
      <c r="B50" s="67" t="s">
        <v>130</v>
      </c>
      <c r="C50" s="178">
        <f>IF('Inputs DK'!$F$61=0,0,'Inputs DK'!F51/'Inputs DK'!$F$61*C$60)</f>
        <v>0</v>
      </c>
      <c r="D50" s="178">
        <f>IF('Inputs DK'!$G$61=0,0,'Inputs DK'!G51/'Inputs DK'!$G$61*D$60)</f>
        <v>0</v>
      </c>
      <c r="E50" s="178">
        <f>IF('Inputs DK'!$G$61=0,0,'Inputs DK'!H51/'Inputs DK'!$G$61*E$60)</f>
        <v>0</v>
      </c>
      <c r="F50" s="178">
        <f>IF('Inputs DK'!$I$61=0,0,'Inputs DK'!I51/'Inputs DK'!$I$61*F$60)</f>
        <v>0</v>
      </c>
      <c r="G50" s="178">
        <f>IF('Inputs DK'!$J$61=0,0,'Inputs DK'!J51/'Inputs DK'!$J$61*G$60)</f>
        <v>8292.483904937013</v>
      </c>
      <c r="H50" s="178">
        <f>IF('Inputs DK'!D$61=0,0,'Inputs DK'!D51/'Inputs DK'!D$61*H$60)</f>
        <v>0</v>
      </c>
      <c r="I50" s="178">
        <f>IF('Inputs DK'!E$61=0,0,'Inputs DK'!E51/'Inputs DK'!E$61*I$60)</f>
        <v>0</v>
      </c>
      <c r="J50" s="178">
        <f>IF('Inputs DK'!K$61=0,0,'Inputs DK'!K51/'Inputs DK'!K$61*J$60)</f>
        <v>0</v>
      </c>
      <c r="K50" s="178">
        <f>IF('Inputs DK'!L$61=0,0,'Inputs DK'!L51/'Inputs DK'!L$61*K$60)</f>
        <v>0</v>
      </c>
      <c r="L50" s="178">
        <f>IF('Inputs DK'!M$61=0,0,'Inputs DK'!M51/'Inputs DK'!M$61*L$60)</f>
        <v>0</v>
      </c>
      <c r="M50" s="178">
        <f>IF('Inputs DK'!N$61=0,0,'Inputs DK'!N51/'Inputs DK'!N$61*M$60)</f>
        <v>147.06831989529724</v>
      </c>
      <c r="N50" s="178"/>
      <c r="O50" s="178">
        <f t="shared" si="11"/>
        <v>8439.55222483231</v>
      </c>
    </row>
    <row r="51" spans="1:15" ht="11.25">
      <c r="A51" s="58">
        <f t="shared" si="8"/>
        <v>42</v>
      </c>
      <c r="B51" s="67" t="s">
        <v>131</v>
      </c>
      <c r="C51" s="178">
        <f>IF('Inputs DK'!$F$61=0,0,'Inputs DK'!F52/'Inputs DK'!$F$61*C$60)</f>
        <v>0</v>
      </c>
      <c r="D51" s="178">
        <f>IF('Inputs DK'!$G$61=0,0,'Inputs DK'!G52/'Inputs DK'!$G$61*D$60)</f>
        <v>0</v>
      </c>
      <c r="E51" s="178">
        <f>IF('Inputs DK'!$G$61=0,0,'Inputs DK'!H52/'Inputs DK'!$G$61*E$60)</f>
        <v>0</v>
      </c>
      <c r="F51" s="178">
        <f>IF('Inputs DK'!$I$61=0,0,'Inputs DK'!I52/'Inputs DK'!$I$61*F$60)</f>
        <v>0</v>
      </c>
      <c r="G51" s="178">
        <f>IF('Inputs DK'!$J$61=0,0,'Inputs DK'!J52/'Inputs DK'!$J$61*G$60)</f>
        <v>1376.7473311873862</v>
      </c>
      <c r="H51" s="178">
        <f>IF('Inputs DK'!D$61=0,0,'Inputs DK'!D52/'Inputs DK'!D$61*H$60)</f>
        <v>0</v>
      </c>
      <c r="I51" s="178">
        <f>IF('Inputs DK'!E$61=0,0,'Inputs DK'!E52/'Inputs DK'!E$61*I$60)</f>
        <v>0</v>
      </c>
      <c r="J51" s="178">
        <f>IF('Inputs DK'!K$61=0,0,'Inputs DK'!K52/'Inputs DK'!K$61*J$60)</f>
        <v>0</v>
      </c>
      <c r="K51" s="178">
        <f>IF('Inputs DK'!L$61=0,0,'Inputs DK'!L52/'Inputs DK'!L$61*K$60)</f>
        <v>0</v>
      </c>
      <c r="L51" s="178">
        <f>IF('Inputs DK'!M$61=0,0,'Inputs DK'!M52/'Inputs DK'!M$61*L$60)</f>
        <v>0</v>
      </c>
      <c r="M51" s="178">
        <f>IF('Inputs DK'!N$61=0,0,'Inputs DK'!N52/'Inputs DK'!N$61*M$60)</f>
        <v>0</v>
      </c>
      <c r="N51" s="178"/>
      <c r="O51" s="178">
        <f t="shared" si="11"/>
        <v>1376.7473311873862</v>
      </c>
    </row>
    <row r="52" spans="1:15" ht="11.25">
      <c r="A52" s="58">
        <f t="shared" si="8"/>
        <v>43</v>
      </c>
      <c r="B52" s="67" t="s">
        <v>132</v>
      </c>
      <c r="C52" s="178">
        <f>IF('Inputs DK'!$F$61=0,0,'Inputs DK'!F53/'Inputs DK'!$F$61*C$60)</f>
        <v>0</v>
      </c>
      <c r="D52" s="178">
        <f>IF('Inputs DK'!$G$61=0,0,'Inputs DK'!G53/'Inputs DK'!$G$61*D$60)</f>
        <v>0</v>
      </c>
      <c r="E52" s="178">
        <f>IF('Inputs DK'!$G$61=0,0,'Inputs DK'!H53/'Inputs DK'!$G$61*E$60)</f>
        <v>0</v>
      </c>
      <c r="F52" s="178">
        <f>IF('Inputs DK'!$I$61=0,0,'Inputs DK'!I53/'Inputs DK'!$I$61*F$60)</f>
        <v>0</v>
      </c>
      <c r="G52" s="178">
        <f>IF('Inputs DK'!$J$61=0,0,'Inputs DK'!J53/'Inputs DK'!$J$61*G$60)</f>
        <v>0</v>
      </c>
      <c r="H52" s="178">
        <f>IF('Inputs DK'!D$61=0,0,'Inputs DK'!D53/'Inputs DK'!D$61*H$60)</f>
        <v>0</v>
      </c>
      <c r="I52" s="178">
        <f>IF('Inputs DK'!E$61=0,0,'Inputs DK'!E53/'Inputs DK'!E$61*I$60)</f>
        <v>0</v>
      </c>
      <c r="J52" s="178">
        <f>IF('Inputs DK'!K$61=0,0,'Inputs DK'!K53/'Inputs DK'!K$61*J$60)</f>
        <v>0</v>
      </c>
      <c r="K52" s="178">
        <f>IF('Inputs DK'!L$61=0,0,'Inputs DK'!L53/'Inputs DK'!L$61*K$60)</f>
        <v>0</v>
      </c>
      <c r="L52" s="178">
        <f>IF('Inputs DK'!M$61=0,0,'Inputs DK'!M53/'Inputs DK'!M$61*L$60)</f>
        <v>0</v>
      </c>
      <c r="M52" s="178">
        <f>IF('Inputs DK'!N$61=0,0,'Inputs DK'!N53/'Inputs DK'!N$61*M$60)</f>
        <v>0</v>
      </c>
      <c r="N52" s="178">
        <f>'10.2.1 PQ3-4'!L15+'10.2.1 PQ1-2'!L15</f>
        <v>144.32203883786116</v>
      </c>
      <c r="O52" s="178">
        <f t="shared" si="11"/>
        <v>144.32203883786116</v>
      </c>
    </row>
    <row r="53" spans="1:15" ht="11.25">
      <c r="A53" s="58">
        <f t="shared" si="8"/>
        <v>44</v>
      </c>
      <c r="B53" s="67" t="s">
        <v>133</v>
      </c>
      <c r="C53" s="178">
        <f>IF('Inputs DK'!$F$61=0,0,'Inputs DK'!F54/'Inputs DK'!$F$61*C$60)</f>
        <v>0</v>
      </c>
      <c r="D53" s="178">
        <f>IF('Inputs DK'!$G$61=0,0,'Inputs DK'!G54/'Inputs DK'!$G$61*D$60)</f>
        <v>0</v>
      </c>
      <c r="E53" s="178">
        <f>IF('Inputs DK'!$G$61=0,0,'Inputs DK'!H54/'Inputs DK'!$G$61*E$60)</f>
        <v>0</v>
      </c>
      <c r="F53" s="178">
        <f>IF('Inputs DK'!$I$61=0,0,'Inputs DK'!I54/'Inputs DK'!$I$61*F$60)</f>
        <v>0</v>
      </c>
      <c r="G53" s="178">
        <f>IF('Inputs DK'!$J$61=0,0,'Inputs DK'!J54/'Inputs DK'!$J$61*G$60)</f>
        <v>0</v>
      </c>
      <c r="H53" s="178">
        <f>IF('Inputs DK'!D$61=0,0,'Inputs DK'!D54/'Inputs DK'!D$61*H$60)</f>
        <v>0</v>
      </c>
      <c r="I53" s="178">
        <f>IF('Inputs DK'!E$61=0,0,'Inputs DK'!E54/'Inputs DK'!E$61*I$60)</f>
        <v>0</v>
      </c>
      <c r="J53" s="178">
        <f>IF('Inputs DK'!K$61=0,0,'Inputs DK'!K54/'Inputs DK'!K$61*J$60)</f>
        <v>0</v>
      </c>
      <c r="K53" s="178">
        <f>IF('Inputs DK'!L$61=0,0,'Inputs DK'!L54/'Inputs DK'!L$61*K$60)</f>
        <v>0</v>
      </c>
      <c r="L53" s="178">
        <f>IF('Inputs DK'!M$61=0,0,'Inputs DK'!M54/'Inputs DK'!M$61*L$60)</f>
        <v>0</v>
      </c>
      <c r="M53" s="178">
        <f>IF('Inputs DK'!N$61=0,0,'Inputs DK'!N54/'Inputs DK'!N$61*M$60)</f>
        <v>0</v>
      </c>
      <c r="N53" s="178">
        <f>'10.2.1 PQ3-4'!L24+'10.2.1 PQ1-2'!L24</f>
        <v>134.10507876532296</v>
      </c>
      <c r="O53" s="178">
        <f t="shared" si="11"/>
        <v>134.10507876532296</v>
      </c>
    </row>
    <row r="54" spans="1:15" ht="11.25">
      <c r="A54" s="58">
        <f t="shared" si="8"/>
        <v>45</v>
      </c>
      <c r="B54" s="225" t="s">
        <v>134</v>
      </c>
      <c r="C54" s="178">
        <f>IF('Inputs DK'!$F$61=0,0,'Inputs DK'!F55/'Inputs DK'!$F$61*C$60)</f>
        <v>0</v>
      </c>
      <c r="D54" s="178">
        <f>IF('Inputs DK'!$G$61=0,0,'Inputs DK'!G55/'Inputs DK'!$G$61*D$60)</f>
        <v>0</v>
      </c>
      <c r="E54" s="178">
        <f>IF('Inputs DK'!$G$61=0,0,'Inputs DK'!H55/'Inputs DK'!$G$61*E$60)</f>
        <v>0</v>
      </c>
      <c r="F54" s="178">
        <f>IF('Inputs DK'!$I$61=0,0,'Inputs DK'!I55/'Inputs DK'!$I$61*F$60)</f>
        <v>0</v>
      </c>
      <c r="G54" s="178">
        <f>IF('Inputs DK'!$J$61=0,0,'Inputs DK'!J55/'Inputs DK'!$J$61*G$60)</f>
        <v>0</v>
      </c>
      <c r="H54" s="178">
        <f>IF('Inputs DK'!D$61=0,0,'Inputs DK'!D55/'Inputs DK'!D$61*H$60)</f>
        <v>0</v>
      </c>
      <c r="I54" s="178">
        <f>IF('Inputs DK'!E$61=0,0,'Inputs DK'!E55/'Inputs DK'!E$61*I$60)</f>
        <v>0</v>
      </c>
      <c r="J54" s="178">
        <f>IF('Inputs DK'!K$61=0,0,'Inputs DK'!K55/'Inputs DK'!K$61*J$60)</f>
        <v>0</v>
      </c>
      <c r="K54" s="178">
        <f>IF('Inputs DK'!L$61=0,0,'Inputs DK'!L55/'Inputs DK'!L$61*K$60)</f>
        <v>0</v>
      </c>
      <c r="L54" s="178">
        <f>IF('Inputs DK'!M$61=0,0,'Inputs DK'!M55/'Inputs DK'!M$61*L$60)</f>
        <v>0</v>
      </c>
      <c r="M54" s="178">
        <f>IF('Inputs DK'!N$61=0,0,'Inputs DK'!N55/'Inputs DK'!N$61*M$60)</f>
        <v>0</v>
      </c>
      <c r="N54" s="178"/>
      <c r="O54" s="178">
        <f t="shared" si="11"/>
        <v>0</v>
      </c>
    </row>
    <row r="55" spans="1:15" ht="11.25">
      <c r="A55" s="58">
        <f t="shared" si="8"/>
        <v>46</v>
      </c>
      <c r="B55" s="225" t="s">
        <v>135</v>
      </c>
      <c r="C55" s="178">
        <f>IF('Inputs DK'!$F$61=0,0,'Inputs DK'!F56/'Inputs DK'!$F$61*C$60)</f>
        <v>0</v>
      </c>
      <c r="D55" s="178">
        <f>IF('Inputs DK'!$G$61=0,0,'Inputs DK'!G56/'Inputs DK'!$G$61*D$60)</f>
        <v>0</v>
      </c>
      <c r="E55" s="178">
        <f>IF('Inputs DK'!$G$61=0,0,'Inputs DK'!H56/'Inputs DK'!$G$61*E$60)</f>
        <v>0</v>
      </c>
      <c r="F55" s="178">
        <f>IF('Inputs DK'!$I$61=0,0,'Inputs DK'!I56/'Inputs DK'!$I$61*F$60)</f>
        <v>0</v>
      </c>
      <c r="G55" s="178">
        <f>IF('Inputs DK'!$J$61=0,0,'Inputs DK'!J56/'Inputs DK'!$J$61*G$60)</f>
        <v>0</v>
      </c>
      <c r="H55" s="178">
        <f>IF('Inputs DK'!D$61=0,0,'Inputs DK'!D56/'Inputs DK'!D$61*H$60)</f>
        <v>0</v>
      </c>
      <c r="I55" s="178">
        <f>IF('Inputs DK'!E$61=0,0,'Inputs DK'!E56/'Inputs DK'!E$61*I$60)</f>
        <v>0</v>
      </c>
      <c r="J55" s="178">
        <f>IF('Inputs DK'!K$61=0,0,'Inputs DK'!K56/'Inputs DK'!K$61*J$60)</f>
        <v>0</v>
      </c>
      <c r="K55" s="178">
        <f>IF('Inputs DK'!L$61=0,0,'Inputs DK'!L56/'Inputs DK'!L$61*K$60)</f>
        <v>0</v>
      </c>
      <c r="L55" s="178">
        <f>IF('Inputs DK'!M$61=0,0,'Inputs DK'!M56/'Inputs DK'!M$61*L$60)</f>
        <v>0</v>
      </c>
      <c r="M55" s="178">
        <f>IF('Inputs DK'!N$61=0,0,'Inputs DK'!N56/'Inputs DK'!N$61*M$60)</f>
        <v>0</v>
      </c>
      <c r="N55" s="178"/>
      <c r="O55" s="178">
        <f t="shared" si="11"/>
        <v>0</v>
      </c>
    </row>
    <row r="56" spans="1:15" ht="11.25">
      <c r="A56" s="58">
        <f t="shared" si="8"/>
        <v>47</v>
      </c>
      <c r="B56" s="67" t="s">
        <v>136</v>
      </c>
      <c r="C56" s="178">
        <f>IF('Inputs DK'!$F$61=0,0,'Inputs DK'!F57/'Inputs DK'!$F$61*C$60)</f>
        <v>0</v>
      </c>
      <c r="D56" s="178">
        <f>IF('Inputs DK'!$G$61=0,0,'Inputs DK'!G57/'Inputs DK'!$G$61*D$60)</f>
        <v>0</v>
      </c>
      <c r="E56" s="178">
        <f>IF('Inputs DK'!$G$61=0,0,'Inputs DK'!H57/'Inputs DK'!$G$61*E$60)</f>
        <v>0</v>
      </c>
      <c r="F56" s="178">
        <f>IF('Inputs DK'!$I$61=0,0,'Inputs DK'!I57/'Inputs DK'!$I$61*F$60)</f>
        <v>0</v>
      </c>
      <c r="G56" s="178">
        <f>IF('Inputs DK'!$J$61=0,0,'Inputs DK'!J57/'Inputs DK'!$J$61*G$60)</f>
        <v>0</v>
      </c>
      <c r="H56" s="178">
        <f>IF('Inputs DK'!D$61=0,0,'Inputs DK'!D57/'Inputs DK'!D$61*H$60)</f>
        <v>0</v>
      </c>
      <c r="I56" s="178">
        <f>IF('Inputs DK'!E$61=0,0,'Inputs DK'!E57/'Inputs DK'!E$61*I$60)</f>
        <v>0</v>
      </c>
      <c r="J56" s="178">
        <f>IF('Inputs DK'!K$61=0,0,'Inputs DK'!K57/'Inputs DK'!K$61*J$60)</f>
        <v>0</v>
      </c>
      <c r="K56" s="178">
        <f>IF('Inputs DK'!L$61=0,0,'Inputs DK'!L57/'Inputs DK'!L$61*K$60)</f>
        <v>0</v>
      </c>
      <c r="L56" s="178">
        <f>IF('Inputs DK'!M$61=0,0,'Inputs DK'!M57/'Inputs DK'!M$61*L$60)</f>
        <v>0</v>
      </c>
      <c r="M56" s="178">
        <f>IF('Inputs DK'!N$61=0,0,'Inputs DK'!N57/'Inputs DK'!N$61*M$60)</f>
        <v>0</v>
      </c>
      <c r="N56" s="178"/>
      <c r="O56" s="178">
        <f t="shared" si="11"/>
        <v>0</v>
      </c>
    </row>
    <row r="57" spans="1:15" ht="11.25">
      <c r="A57" s="58">
        <f t="shared" si="8"/>
        <v>48</v>
      </c>
      <c r="B57" s="67" t="s">
        <v>137</v>
      </c>
      <c r="C57" s="178">
        <f>IF('Inputs DK'!$F$61=0,0,'Inputs DK'!F58/'Inputs DK'!$F$61*C$60)</f>
        <v>0</v>
      </c>
      <c r="D57" s="178">
        <f>IF('Inputs DK'!$G$61=0,0,'Inputs DK'!G58/'Inputs DK'!$G$61*D$60)</f>
        <v>0</v>
      </c>
      <c r="E57" s="178">
        <f>IF('Inputs DK'!$G$61=0,0,'Inputs DK'!H58/'Inputs DK'!$G$61*E$60)</f>
        <v>0</v>
      </c>
      <c r="F57" s="178">
        <f>IF('Inputs DK'!$I$61=0,0,'Inputs DK'!I58/'Inputs DK'!$I$61*F$60)</f>
        <v>0</v>
      </c>
      <c r="G57" s="178">
        <f>IF('Inputs DK'!$J$61=0,0,'Inputs DK'!J58/'Inputs DK'!$J$61*G$60)</f>
        <v>0</v>
      </c>
      <c r="H57" s="178">
        <f>IF('Inputs DK'!D$61=0,0,'Inputs DK'!D58/'Inputs DK'!D$61*H$60)</f>
        <v>0</v>
      </c>
      <c r="I57" s="178">
        <f>IF('Inputs DK'!E$61=0,0,'Inputs DK'!E58/'Inputs DK'!E$61*I$60)</f>
        <v>0</v>
      </c>
      <c r="J57" s="178">
        <f>IF('Inputs DK'!K$61=0,0,'Inputs DK'!K58/'Inputs DK'!K$61*J$60)</f>
        <v>0</v>
      </c>
      <c r="K57" s="178">
        <f>IF('Inputs DK'!L$61=0,0,'Inputs DK'!L58/'Inputs DK'!L$61*K$60)</f>
        <v>0</v>
      </c>
      <c r="L57" s="178">
        <f>IF('Inputs DK'!M$61=0,0,'Inputs DK'!M58/'Inputs DK'!M$61*L$60)</f>
        <v>0</v>
      </c>
      <c r="M57" s="178">
        <f>IF('Inputs DK'!N$61=0,0,'Inputs DK'!N58/'Inputs DK'!N$61*M$60)</f>
        <v>0</v>
      </c>
      <c r="N57" s="178"/>
      <c r="O57" s="178">
        <f t="shared" si="11"/>
        <v>0</v>
      </c>
    </row>
    <row r="58" spans="1:15" ht="11.25">
      <c r="A58" s="58">
        <f t="shared" si="8"/>
        <v>49</v>
      </c>
      <c r="B58" s="67" t="s">
        <v>138</v>
      </c>
      <c r="C58" s="178">
        <f>IF('Inputs DK'!$F$61=0,0,'Inputs DK'!F59/'Inputs DK'!$F$61*C$60)</f>
        <v>0</v>
      </c>
      <c r="D58" s="178">
        <f>IF('Inputs DK'!$G$61=0,0,'Inputs DK'!G59/'Inputs DK'!$G$61*D$60)</f>
        <v>0</v>
      </c>
      <c r="E58" s="178">
        <f>IF('Inputs DK'!$G$61=0,0,'Inputs DK'!H59/'Inputs DK'!$G$61*E$60)</f>
        <v>0</v>
      </c>
      <c r="F58" s="178">
        <f>IF('Inputs DK'!$I$61=0,0,'Inputs DK'!I59/'Inputs DK'!$I$61*F$60)</f>
        <v>0</v>
      </c>
      <c r="G58" s="178">
        <f>IF('Inputs DK'!$J$61=0,0,'Inputs DK'!J59/'Inputs DK'!$J$61*G$60)</f>
        <v>309.2476584374567</v>
      </c>
      <c r="H58" s="178">
        <f>IF('Inputs DK'!D$61=0,0,'Inputs DK'!D59/'Inputs DK'!D$61*H$60)</f>
        <v>0</v>
      </c>
      <c r="I58" s="178">
        <f>IF('Inputs DK'!E$61=0,0,'Inputs DK'!E59/'Inputs DK'!E$61*I$60)</f>
        <v>0</v>
      </c>
      <c r="J58" s="178">
        <f>IF('Inputs DK'!K$61=0,0,'Inputs DK'!K59/'Inputs DK'!K$61*J$60)</f>
        <v>0</v>
      </c>
      <c r="K58" s="178">
        <f>IF('Inputs DK'!L$61=0,0,'Inputs DK'!L59/'Inputs DK'!L$61*K$60)</f>
        <v>0</v>
      </c>
      <c r="L58" s="178">
        <f>IF('Inputs DK'!M$61=0,0,'Inputs DK'!M59/'Inputs DK'!M$61*L$60)</f>
        <v>0</v>
      </c>
      <c r="M58" s="178">
        <f>IF('Inputs DK'!N$61=0,0,'Inputs DK'!N59/'Inputs DK'!N$61*M$60)</f>
        <v>0</v>
      </c>
      <c r="N58" s="178">
        <f>'10.2.1 PQ3-4'!L20+'10.2.1 PQ1-2'!L20+'10.2.1 PQ1-2'!L28+'10.2.1 PQ3-4'!L28</f>
        <v>4146.811310345753</v>
      </c>
      <c r="O58" s="178">
        <f t="shared" si="11"/>
        <v>4456.058968783209</v>
      </c>
    </row>
    <row r="59" spans="1:15" ht="11.25">
      <c r="A59" s="61">
        <f t="shared" si="8"/>
        <v>50</v>
      </c>
      <c r="B59" s="26" t="e">
        <f>#REF!</f>
        <v>#REF!</v>
      </c>
      <c r="C59" s="179">
        <f aca="true" t="shared" si="12" ref="C59:O59">SUM(C49:C58)</f>
        <v>0</v>
      </c>
      <c r="D59" s="179">
        <f t="shared" si="12"/>
        <v>0</v>
      </c>
      <c r="E59" s="179">
        <f t="shared" si="12"/>
        <v>0</v>
      </c>
      <c r="F59" s="179">
        <f t="shared" si="12"/>
        <v>0</v>
      </c>
      <c r="G59" s="179">
        <f t="shared" si="12"/>
        <v>10155.247807351567</v>
      </c>
      <c r="H59" s="179">
        <f t="shared" si="12"/>
        <v>0</v>
      </c>
      <c r="I59" s="179">
        <f t="shared" si="12"/>
        <v>0</v>
      </c>
      <c r="J59" s="179">
        <f t="shared" si="12"/>
        <v>0</v>
      </c>
      <c r="K59" s="179">
        <f t="shared" si="12"/>
        <v>0</v>
      </c>
      <c r="L59" s="179">
        <f t="shared" si="12"/>
        <v>0</v>
      </c>
      <c r="M59" s="179">
        <f t="shared" si="12"/>
        <v>151.23763537194063</v>
      </c>
      <c r="N59" s="179">
        <f t="shared" si="12"/>
        <v>4425.238427948937</v>
      </c>
      <c r="O59" s="179">
        <f t="shared" si="12"/>
        <v>14731.723870672444</v>
      </c>
    </row>
    <row r="60" spans="1:15" ht="11.25">
      <c r="A60" s="58">
        <f t="shared" si="8"/>
        <v>51</v>
      </c>
      <c r="B60" s="24" t="str">
        <f>"TOTAL VOLUME VARIABLE"</f>
        <v>TOTAL VOLUME VARIABLE</v>
      </c>
      <c r="C60" s="184">
        <f>'10.2.1 PQ3-4'!L11+'10.2.1 PQ1-2'!L11</f>
        <v>43270.864387971866</v>
      </c>
      <c r="D60" s="184">
        <f>'10.2.1 PQ3-4'!L12+'10.2.1 PQ1-2'!L12</f>
        <v>55677.71552702092</v>
      </c>
      <c r="E60" s="184">
        <f>'10.2.1 PQ3-4'!L13+'10.2.1 PQ1-2'!L13</f>
        <v>17362.953239981285</v>
      </c>
      <c r="F60" s="184">
        <f>'10.2.1 PQ3-4'!L14+'10.2.1 PQ1-2'!L14</f>
        <v>5062.005646285896</v>
      </c>
      <c r="G60" s="184">
        <f>'10.2.1 PQ3-4'!L16+'10.2.1 PQ1-2'!L16</f>
        <v>12627.117946491137</v>
      </c>
      <c r="H60" s="184">
        <f>'10.2.1 PQ3-4'!L17+'10.2.1 PQ1-2'!L17</f>
        <v>27302.055885838443</v>
      </c>
      <c r="I60" s="184">
        <f>'10.2.1 PQ3-4'!$L18+'10.2.1 PQ1-2'!$L18</f>
        <v>5526.557191847269</v>
      </c>
      <c r="J60" s="184">
        <f>'10.2.1 PQ3-4'!L19+'10.2.1 PQ1-2'!L19</f>
        <v>52.5635984343576</v>
      </c>
      <c r="K60" s="184">
        <f>'10.2.1 PQ3-4'!L21+'10.2.1 PQ1-2'!L21</f>
        <v>4675.99197829473</v>
      </c>
      <c r="L60" s="184">
        <f>'10.2.1 PQ3-4'!L22+'10.2.1 PQ1-2'!L22</f>
        <v>2353.893762218937</v>
      </c>
      <c r="M60" s="184">
        <f>'10.2.1 PQ3-4'!L23+'10.2.1 PQ1-2'!L23</f>
        <v>162.14639230398012</v>
      </c>
      <c r="N60" s="184">
        <f>N47+N59</f>
        <v>4425.238427948937</v>
      </c>
      <c r="O60" s="184">
        <f>SUM(C60:N60)</f>
        <v>178499.10398463777</v>
      </c>
    </row>
    <row r="61" spans="1:15" ht="11.25">
      <c r="A61" s="58">
        <f t="shared" si="8"/>
        <v>52</v>
      </c>
      <c r="B61" s="23" t="s">
        <v>162</v>
      </c>
      <c r="C61" s="178"/>
      <c r="D61" s="178"/>
      <c r="E61" s="178"/>
      <c r="F61" s="178"/>
      <c r="G61" s="178"/>
      <c r="H61" s="178"/>
      <c r="I61" s="178"/>
      <c r="J61" s="178"/>
      <c r="K61" s="178"/>
      <c r="L61" s="178"/>
      <c r="M61" s="178"/>
      <c r="N61" s="178"/>
      <c r="O61" s="178">
        <f>'10.0.1'!G14+'10.0.1'!G11-'10.2.1 PQ1-2'!L28-'10.2.1 PQ3-4'!L28</f>
        <v>253113.36757392908</v>
      </c>
    </row>
    <row r="62" spans="1:15" ht="11.25">
      <c r="A62" s="58">
        <f t="shared" si="8"/>
        <v>53</v>
      </c>
      <c r="B62" s="25" t="s">
        <v>163</v>
      </c>
      <c r="C62" s="179"/>
      <c r="D62" s="179"/>
      <c r="E62" s="179"/>
      <c r="F62" s="179"/>
      <c r="G62" s="179"/>
      <c r="H62" s="179"/>
      <c r="I62" s="179"/>
      <c r="J62" s="179"/>
      <c r="K62" s="179"/>
      <c r="L62" s="179"/>
      <c r="M62" s="179"/>
      <c r="N62" s="179"/>
      <c r="O62" s="179">
        <f>O60+O61</f>
        <v>431612.47155856685</v>
      </c>
    </row>
    <row r="63" spans="1:15" ht="11.25">
      <c r="A63" s="38"/>
      <c r="B63" s="38"/>
      <c r="C63" s="38"/>
      <c r="D63" s="38"/>
      <c r="E63" s="38"/>
      <c r="F63" s="38"/>
      <c r="G63" s="38"/>
      <c r="H63" s="38"/>
      <c r="I63" s="38"/>
      <c r="J63" s="38"/>
      <c r="K63" s="38"/>
      <c r="L63" s="38"/>
      <c r="M63" s="38"/>
      <c r="N63" s="38"/>
      <c r="O63" s="38"/>
    </row>
  </sheetData>
  <printOptions/>
  <pageMargins left="0.5" right="0.5" top="1" bottom="0.5" header="0.75" footer="0.25"/>
  <pageSetup horizontalDpi="300" verticalDpi="300" orientation="landscape" scale="85" r:id="rId1"/>
  <rowBreaks count="1" manualBreakCount="1">
    <brk id="37" max="65535" man="1"/>
  </rowBreaks>
</worksheet>
</file>

<file path=xl/worksheets/sheet12.xml><?xml version="1.0" encoding="utf-8"?>
<worksheet xmlns="http://schemas.openxmlformats.org/spreadsheetml/2006/main" xmlns:r="http://schemas.openxmlformats.org/officeDocument/2006/relationships">
  <sheetPr codeName="Sheet12"/>
  <dimension ref="A1:F66"/>
  <sheetViews>
    <sheetView workbookViewId="0" topLeftCell="A1">
      <selection activeCell="A1" sqref="A1"/>
    </sheetView>
  </sheetViews>
  <sheetFormatPr defaultColWidth="8.88671875" defaultRowHeight="15.75"/>
  <cols>
    <col min="1" max="1" width="4.10546875" style="2" customWidth="1"/>
    <col min="2" max="2" width="28.6640625" style="2" customWidth="1"/>
    <col min="3" max="3" width="5.4453125" style="2" customWidth="1"/>
    <col min="4" max="6" width="9.77734375" style="2" customWidth="1"/>
    <col min="7" max="16384" width="8.88671875" style="2" customWidth="1"/>
  </cols>
  <sheetData>
    <row r="1" s="1" customFormat="1" ht="12.75" customHeight="1">
      <c r="A1" s="108" t="str">
        <f>Doc!A1</f>
        <v>Base Year 2005 - USPS Version</v>
      </c>
    </row>
    <row r="2" s="1" customFormat="1" ht="12.75" customHeight="1">
      <c r="A2" s="108" t="str">
        <f>Doc!A2</f>
        <v>C/S 10 RURAL CARRIERS</v>
      </c>
    </row>
    <row r="3" s="1" customFormat="1" ht="12.75" customHeight="1">
      <c r="A3" s="108" t="str">
        <f>Doc!B7</f>
        <v>OUTPUTS TO CRA MODEL</v>
      </c>
    </row>
    <row r="4" s="1" customFormat="1" ht="12.75" customHeight="1"/>
    <row r="5" spans="1:6" ht="33.75">
      <c r="A5" s="116" t="s">
        <v>28</v>
      </c>
      <c r="B5" s="117" t="s">
        <v>73</v>
      </c>
      <c r="C5" s="116" t="s">
        <v>165</v>
      </c>
      <c r="D5" s="116" t="s">
        <v>38</v>
      </c>
      <c r="E5" s="116" t="s">
        <v>39</v>
      </c>
      <c r="F5" s="116" t="s">
        <v>166</v>
      </c>
    </row>
    <row r="6" spans="1:6" ht="11.25" customHeight="1">
      <c r="A6" s="12"/>
      <c r="B6" s="95" t="s">
        <v>67</v>
      </c>
      <c r="C6" s="20"/>
      <c r="D6" s="19">
        <v>-1</v>
      </c>
      <c r="E6" s="19">
        <f>D6-1</f>
        <v>-2</v>
      </c>
      <c r="F6" s="19">
        <f>E6-1</f>
        <v>-3</v>
      </c>
    </row>
    <row r="7" spans="1:6" ht="11.25" customHeight="1">
      <c r="A7" s="12"/>
      <c r="B7" s="95" t="s">
        <v>29</v>
      </c>
      <c r="C7" s="21"/>
      <c r="D7" s="21" t="s">
        <v>30</v>
      </c>
      <c r="E7" s="21" t="s">
        <v>30</v>
      </c>
      <c r="F7" s="21" t="s">
        <v>30</v>
      </c>
    </row>
    <row r="8" spans="1:6" ht="11.25" customHeight="1">
      <c r="A8" s="12"/>
      <c r="B8" s="95" t="s">
        <v>69</v>
      </c>
      <c r="C8" s="21"/>
      <c r="D8" s="21" t="str">
        <f>Doc!A16&amp;" C"&amp;-'10.1.2'!O6</f>
        <v>WS 10.1.2 C13</v>
      </c>
      <c r="E8" s="21" t="str">
        <f>Doc!A17&amp;" C"&amp;-'10.2.2'!O6</f>
        <v>WS 10.2.2 C13</v>
      </c>
      <c r="F8" s="21" t="str">
        <f>Doc!A10&amp;" C"&amp;-'10.0.1'!D6&amp;"L"&amp;'10.0.1'!A16</f>
        <v>WS 10.0.1 C2L7</v>
      </c>
    </row>
    <row r="9" spans="1:6" ht="11.25" customHeight="1">
      <c r="A9" s="13"/>
      <c r="B9" s="98" t="s">
        <v>167</v>
      </c>
      <c r="C9" s="32"/>
      <c r="D9" s="32">
        <v>69</v>
      </c>
      <c r="E9" s="32">
        <v>70</v>
      </c>
      <c r="F9" s="32">
        <v>73</v>
      </c>
    </row>
    <row r="10" spans="1:6" ht="11.25" customHeight="1">
      <c r="A10" s="56">
        <v>1</v>
      </c>
      <c r="B10" s="66" t="s">
        <v>89</v>
      </c>
      <c r="C10" s="20"/>
      <c r="D10" s="20"/>
      <c r="E10" s="20"/>
      <c r="F10" s="20"/>
    </row>
    <row r="11" spans="1:6" ht="11.25" customHeight="1">
      <c r="A11" s="56">
        <f aca="true" t="shared" si="0" ref="A11:A41">A10+1</f>
        <v>2</v>
      </c>
      <c r="B11" s="22" t="s">
        <v>90</v>
      </c>
      <c r="C11" s="129">
        <v>101</v>
      </c>
      <c r="D11" s="160">
        <f>'10.1.2'!O11</f>
        <v>288826.16575159493</v>
      </c>
      <c r="E11" s="160">
        <f>'10.2.2'!O11</f>
        <v>25351.50256646275</v>
      </c>
      <c r="F11" s="93"/>
    </row>
    <row r="12" spans="1:6" ht="11.25" customHeight="1">
      <c r="A12" s="56">
        <f t="shared" si="0"/>
        <v>3</v>
      </c>
      <c r="B12" s="22" t="s">
        <v>91</v>
      </c>
      <c r="C12" s="129">
        <v>102</v>
      </c>
      <c r="D12" s="160">
        <f>'10.1.2'!O12</f>
        <v>276950.6313916148</v>
      </c>
      <c r="E12" s="160">
        <f>'10.2.2'!O12</f>
        <v>24023.743740050148</v>
      </c>
      <c r="F12" s="93"/>
    </row>
    <row r="13" spans="1:6" ht="11.25" customHeight="1">
      <c r="A13" s="56">
        <f t="shared" si="0"/>
        <v>4</v>
      </c>
      <c r="B13" s="22" t="s">
        <v>92</v>
      </c>
      <c r="C13" s="129"/>
      <c r="D13" s="160">
        <f>'10.1.2'!O13</f>
        <v>565776.7971432097</v>
      </c>
      <c r="E13" s="160">
        <f>'10.2.2'!O13</f>
        <v>49375.2463065129</v>
      </c>
      <c r="F13" s="93"/>
    </row>
    <row r="14" spans="1:6" ht="11.25" customHeight="1">
      <c r="A14" s="56">
        <f t="shared" si="0"/>
        <v>5</v>
      </c>
      <c r="B14" s="22" t="s">
        <v>93</v>
      </c>
      <c r="C14" s="129">
        <v>104</v>
      </c>
      <c r="D14" s="160">
        <f>'10.1.2'!O14</f>
        <v>19064.972143564744</v>
      </c>
      <c r="E14" s="160">
        <f>'10.2.2'!O14</f>
        <v>1783.532211440075</v>
      </c>
      <c r="F14" s="93"/>
    </row>
    <row r="15" spans="1:6" ht="11.25" customHeight="1">
      <c r="A15" s="56">
        <f t="shared" si="0"/>
        <v>6</v>
      </c>
      <c r="B15" s="22" t="s">
        <v>94</v>
      </c>
      <c r="C15" s="129">
        <v>105</v>
      </c>
      <c r="D15" s="160">
        <f>'10.1.2'!O15</f>
        <v>16433.44381001261</v>
      </c>
      <c r="E15" s="160">
        <f>'10.2.2'!O15</f>
        <v>1469.8994308120573</v>
      </c>
      <c r="F15" s="93"/>
    </row>
    <row r="16" spans="1:6" ht="11.25" customHeight="1">
      <c r="A16" s="56">
        <f t="shared" si="0"/>
        <v>7</v>
      </c>
      <c r="B16" s="22" t="s">
        <v>95</v>
      </c>
      <c r="C16" s="129"/>
      <c r="D16" s="160">
        <f>'10.1.2'!O16</f>
        <v>35498.41595357735</v>
      </c>
      <c r="E16" s="160">
        <f>'10.2.2'!O16</f>
        <v>3253.4316422521324</v>
      </c>
      <c r="F16" s="93"/>
    </row>
    <row r="17" spans="1:6" ht="11.25" customHeight="1">
      <c r="A17" s="57">
        <f t="shared" si="0"/>
        <v>8</v>
      </c>
      <c r="B17" s="50" t="s">
        <v>96</v>
      </c>
      <c r="C17" s="130"/>
      <c r="D17" s="161">
        <f>'10.1.2'!O17</f>
        <v>601275.2130967871</v>
      </c>
      <c r="E17" s="161">
        <f>'10.2.2'!O17</f>
        <v>52628.67794876503</v>
      </c>
      <c r="F17" s="162"/>
    </row>
    <row r="18" spans="1:6" ht="11.25" customHeight="1">
      <c r="A18" s="56">
        <f t="shared" si="0"/>
        <v>9</v>
      </c>
      <c r="B18" s="49" t="s">
        <v>97</v>
      </c>
      <c r="C18" s="129">
        <v>110</v>
      </c>
      <c r="D18" s="160">
        <f>'10.1.2'!O18</f>
        <v>42395.76819619234</v>
      </c>
      <c r="E18" s="160">
        <f>'10.2.2'!O18</f>
        <v>3868.9362613071203</v>
      </c>
      <c r="F18" s="93"/>
    </row>
    <row r="19" spans="1:6" ht="11.25" customHeight="1">
      <c r="A19" s="56">
        <f t="shared" si="0"/>
        <v>10</v>
      </c>
      <c r="B19" s="49" t="s">
        <v>98</v>
      </c>
      <c r="C19" s="129">
        <v>111</v>
      </c>
      <c r="D19" s="160">
        <f>'10.1.2'!O19</f>
        <v>11270.841124680135</v>
      </c>
      <c r="E19" s="160">
        <f>'10.2.2'!O19</f>
        <v>1050.0953690259564</v>
      </c>
      <c r="F19" s="93"/>
    </row>
    <row r="20" spans="1:6" ht="11.25" customHeight="1">
      <c r="A20" s="57">
        <f t="shared" si="0"/>
        <v>11</v>
      </c>
      <c r="B20" s="50" t="s">
        <v>99</v>
      </c>
      <c r="C20" s="130">
        <v>112</v>
      </c>
      <c r="D20" s="161">
        <f>'10.1.2'!O20</f>
        <v>1.3875851967821944</v>
      </c>
      <c r="E20" s="161">
        <f>'10.2.2'!O20</f>
        <v>0.14007583047308364</v>
      </c>
      <c r="F20" s="162"/>
    </row>
    <row r="21" spans="1:6" ht="11.25" customHeight="1">
      <c r="A21" s="56">
        <f t="shared" si="0"/>
        <v>12</v>
      </c>
      <c r="B21" s="66" t="s">
        <v>100</v>
      </c>
      <c r="C21" s="129"/>
      <c r="D21" s="160"/>
      <c r="E21" s="160"/>
      <c r="F21" s="93"/>
    </row>
    <row r="22" spans="1:6" ht="11.25" customHeight="1">
      <c r="A22" s="56">
        <f t="shared" si="0"/>
        <v>13</v>
      </c>
      <c r="B22" s="22" t="s">
        <v>101</v>
      </c>
      <c r="C22" s="129">
        <v>113</v>
      </c>
      <c r="D22" s="160">
        <f>'10.1.2'!O22</f>
        <v>11720.445516704443</v>
      </c>
      <c r="E22" s="160">
        <f>'10.2.2'!O22</f>
        <v>961.862543809129</v>
      </c>
      <c r="F22" s="93"/>
    </row>
    <row r="23" spans="1:6" ht="11.25" customHeight="1">
      <c r="A23" s="56">
        <f t="shared" si="0"/>
        <v>14</v>
      </c>
      <c r="B23" s="22" t="s">
        <v>102</v>
      </c>
      <c r="C23" s="129"/>
      <c r="D23" s="93"/>
      <c r="E23" s="93"/>
      <c r="F23" s="93"/>
    </row>
    <row r="24" spans="1:6" ht="11.25" customHeight="1">
      <c r="A24" s="56">
        <f t="shared" si="0"/>
        <v>15</v>
      </c>
      <c r="B24" s="22" t="s">
        <v>103</v>
      </c>
      <c r="C24" s="129">
        <v>117</v>
      </c>
      <c r="D24" s="160">
        <f>'10.1.2'!O24</f>
        <v>127663.56202985976</v>
      </c>
      <c r="E24" s="160">
        <f>'10.2.2'!O24</f>
        <v>10476.973622782805</v>
      </c>
      <c r="F24" s="93"/>
    </row>
    <row r="25" spans="1:6" ht="11.25" customHeight="1">
      <c r="A25" s="56">
        <f t="shared" si="0"/>
        <v>16</v>
      </c>
      <c r="B25" s="22" t="s">
        <v>104</v>
      </c>
      <c r="C25" s="129">
        <v>118</v>
      </c>
      <c r="D25" s="160">
        <f>'10.1.2'!O25</f>
        <v>0</v>
      </c>
      <c r="E25" s="160">
        <f>'10.2.2'!O25</f>
        <v>0</v>
      </c>
      <c r="F25" s="93"/>
    </row>
    <row r="26" spans="1:6" ht="11.25" customHeight="1">
      <c r="A26" s="56">
        <f t="shared" si="0"/>
        <v>17</v>
      </c>
      <c r="B26" s="22" t="s">
        <v>105</v>
      </c>
      <c r="C26" s="129">
        <v>119</v>
      </c>
      <c r="D26" s="160">
        <f>'10.1.2'!O26</f>
        <v>0</v>
      </c>
      <c r="E26" s="160">
        <f>'10.2.2'!O26</f>
        <v>0</v>
      </c>
      <c r="F26" s="93"/>
    </row>
    <row r="27" spans="1:6" ht="11.25" customHeight="1">
      <c r="A27" s="57">
        <f t="shared" si="0"/>
        <v>18</v>
      </c>
      <c r="B27" s="50" t="s">
        <v>106</v>
      </c>
      <c r="C27" s="130"/>
      <c r="D27" s="161">
        <f>'10.1.2'!O27</f>
        <v>139384.00754656421</v>
      </c>
      <c r="E27" s="161">
        <f>'10.2.2'!O27</f>
        <v>11438.836166591935</v>
      </c>
      <c r="F27" s="162"/>
    </row>
    <row r="28" spans="1:6" ht="11.25" customHeight="1">
      <c r="A28" s="56">
        <f t="shared" si="0"/>
        <v>19</v>
      </c>
      <c r="B28" s="226" t="s">
        <v>107</v>
      </c>
      <c r="C28" s="129"/>
      <c r="D28" s="93"/>
      <c r="E28" s="93"/>
      <c r="F28" s="93"/>
    </row>
    <row r="29" spans="1:6" ht="11.25" customHeight="1">
      <c r="A29" s="56">
        <f t="shared" si="0"/>
        <v>20</v>
      </c>
      <c r="B29" s="22" t="s">
        <v>108</v>
      </c>
      <c r="C29" s="129"/>
      <c r="D29" s="160"/>
      <c r="E29" s="160"/>
      <c r="F29" s="93"/>
    </row>
    <row r="30" spans="1:6" ht="11.25" customHeight="1">
      <c r="A30" s="56">
        <f t="shared" si="0"/>
        <v>21</v>
      </c>
      <c r="B30" s="22" t="s">
        <v>109</v>
      </c>
      <c r="C30" s="129">
        <v>126</v>
      </c>
      <c r="D30" s="160">
        <f>'10.1.2'!O30</f>
        <v>477849.4831145199</v>
      </c>
      <c r="E30" s="160">
        <f>'10.2.2'!O30</f>
        <v>40826.556259517914</v>
      </c>
      <c r="F30" s="93"/>
    </row>
    <row r="31" spans="1:6" ht="11.25" customHeight="1">
      <c r="A31" s="56">
        <f t="shared" si="0"/>
        <v>22</v>
      </c>
      <c r="B31" s="22" t="s">
        <v>110</v>
      </c>
      <c r="C31" s="129">
        <v>127</v>
      </c>
      <c r="D31" s="160">
        <f>'10.1.2'!O31</f>
        <v>536056.3059582154</v>
      </c>
      <c r="E31" s="160">
        <f>'10.2.2'!O31</f>
        <v>45757.32983160998</v>
      </c>
      <c r="F31" s="93"/>
    </row>
    <row r="32" spans="1:6" ht="11.25" customHeight="1">
      <c r="A32" s="56">
        <f t="shared" si="0"/>
        <v>23</v>
      </c>
      <c r="B32" s="22" t="s">
        <v>111</v>
      </c>
      <c r="C32" s="129"/>
      <c r="D32" s="160">
        <f>'10.1.2'!O32</f>
        <v>1013905.7890727352</v>
      </c>
      <c r="E32" s="160">
        <f>'10.2.2'!O32</f>
        <v>86583.8860911279</v>
      </c>
      <c r="F32" s="93"/>
    </row>
    <row r="33" spans="1:6" ht="11.25" customHeight="1">
      <c r="A33" s="56">
        <f t="shared" si="0"/>
        <v>24</v>
      </c>
      <c r="B33" s="22" t="s">
        <v>112</v>
      </c>
      <c r="C33" s="129"/>
      <c r="D33" s="160"/>
      <c r="E33" s="160"/>
      <c r="F33" s="93"/>
    </row>
    <row r="34" spans="1:6" ht="11.25" customHeight="1">
      <c r="A34" s="56">
        <f t="shared" si="0"/>
        <v>25</v>
      </c>
      <c r="B34" s="22" t="s">
        <v>113</v>
      </c>
      <c r="C34" s="129">
        <v>131</v>
      </c>
      <c r="D34" s="160">
        <f>'10.1.2'!O34</f>
        <v>0</v>
      </c>
      <c r="E34" s="160">
        <f>'10.2.2'!O34</f>
        <v>0</v>
      </c>
      <c r="F34" s="93"/>
    </row>
    <row r="35" spans="1:6" ht="11.25" customHeight="1">
      <c r="A35" s="56">
        <f t="shared" si="0"/>
        <v>26</v>
      </c>
      <c r="B35" s="22" t="s">
        <v>114</v>
      </c>
      <c r="C35" s="129">
        <v>132</v>
      </c>
      <c r="D35" s="160">
        <f>'10.1.2'!O35</f>
        <v>0</v>
      </c>
      <c r="E35" s="160">
        <f>'10.2.2'!O35</f>
        <v>0</v>
      </c>
      <c r="F35" s="93"/>
    </row>
    <row r="36" spans="1:6" ht="11.25" customHeight="1">
      <c r="A36" s="56">
        <f t="shared" si="0"/>
        <v>27</v>
      </c>
      <c r="B36" s="22" t="s">
        <v>115</v>
      </c>
      <c r="C36" s="129"/>
      <c r="D36" s="160">
        <f>'10.1.2'!O36</f>
        <v>0</v>
      </c>
      <c r="E36" s="160">
        <f>'10.2.2'!O36</f>
        <v>0</v>
      </c>
      <c r="F36" s="93"/>
    </row>
    <row r="37" spans="1:6" ht="11.25" customHeight="1">
      <c r="A37" s="57">
        <f t="shared" si="0"/>
        <v>28</v>
      </c>
      <c r="B37" s="227" t="s">
        <v>116</v>
      </c>
      <c r="C37" s="130"/>
      <c r="D37" s="161">
        <f>'10.1.2'!O37</f>
        <v>1013905.7890727352</v>
      </c>
      <c r="E37" s="161">
        <f>'10.2.2'!O37</f>
        <v>86583.8860911279</v>
      </c>
      <c r="F37" s="162"/>
    </row>
    <row r="38" spans="1:6" ht="11.25" customHeight="1">
      <c r="A38" s="56">
        <f t="shared" si="0"/>
        <v>29</v>
      </c>
      <c r="B38" s="226" t="s">
        <v>117</v>
      </c>
      <c r="C38" s="129"/>
      <c r="D38" s="93"/>
      <c r="E38" s="93"/>
      <c r="F38" s="93"/>
    </row>
    <row r="39" spans="1:6" ht="11.25" customHeight="1">
      <c r="A39" s="56">
        <f t="shared" si="0"/>
        <v>30</v>
      </c>
      <c r="B39" s="67" t="s">
        <v>118</v>
      </c>
      <c r="C39" s="129">
        <v>136</v>
      </c>
      <c r="D39" s="160">
        <f>'10.1.2'!O39</f>
        <v>32324.803017489005</v>
      </c>
      <c r="E39" s="160">
        <f>'10.2.2'!O39</f>
        <v>2946.5530399581967</v>
      </c>
      <c r="F39" s="93"/>
    </row>
    <row r="40" spans="1:6" ht="11.25" customHeight="1">
      <c r="A40" s="56">
        <f t="shared" si="0"/>
        <v>31</v>
      </c>
      <c r="B40" s="67" t="s">
        <v>119</v>
      </c>
      <c r="C40" s="129">
        <v>137</v>
      </c>
      <c r="D40" s="160">
        <f>'10.1.2'!O40</f>
        <v>23248.885066475807</v>
      </c>
      <c r="E40" s="160">
        <f>'10.2.2'!O40</f>
        <v>2043.8135054452282</v>
      </c>
      <c r="F40" s="93"/>
    </row>
    <row r="41" spans="1:6" ht="11.25" customHeight="1">
      <c r="A41" s="56">
        <f t="shared" si="0"/>
        <v>32</v>
      </c>
      <c r="B41" s="225" t="s">
        <v>120</v>
      </c>
      <c r="C41" s="129">
        <v>139</v>
      </c>
      <c r="D41" s="160">
        <f>'10.1.2'!O41</f>
        <v>11033.648225137384</v>
      </c>
      <c r="E41" s="160">
        <f>'10.2.2'!O41</f>
        <v>1008.5043806030516</v>
      </c>
      <c r="F41" s="93"/>
    </row>
    <row r="42" spans="1:6" ht="11.25" customHeight="1">
      <c r="A42" s="56">
        <f aca="true" t="shared" si="1" ref="A42:A62">A41+1</f>
        <v>33</v>
      </c>
      <c r="B42" s="67" t="s">
        <v>121</v>
      </c>
      <c r="C42" s="129">
        <v>140</v>
      </c>
      <c r="D42" s="160">
        <f>'10.1.2'!O42</f>
        <v>0</v>
      </c>
      <c r="E42" s="160">
        <f>'10.2.2'!O42</f>
        <v>0</v>
      </c>
      <c r="F42" s="93"/>
    </row>
    <row r="43" spans="1:6" ht="11.25" customHeight="1">
      <c r="A43" s="57">
        <f t="shared" si="1"/>
        <v>34</v>
      </c>
      <c r="B43" s="227" t="s">
        <v>122</v>
      </c>
      <c r="C43" s="130"/>
      <c r="D43" s="161">
        <f>'10.1.2'!O43</f>
        <v>66607.33630910219</v>
      </c>
      <c r="E43" s="161">
        <f>'10.2.2'!O43</f>
        <v>5998.870926006477</v>
      </c>
      <c r="F43" s="162"/>
    </row>
    <row r="44" spans="1:6" ht="11.25" customHeight="1">
      <c r="A44" s="56">
        <f t="shared" si="1"/>
        <v>35</v>
      </c>
      <c r="B44" s="49" t="s">
        <v>123</v>
      </c>
      <c r="C44" s="129">
        <v>142</v>
      </c>
      <c r="D44" s="160">
        <f>'10.1.2'!O44</f>
        <v>3347.0497042759107</v>
      </c>
      <c r="E44" s="160">
        <f>'10.2.2'!O44</f>
        <v>310.8298800173201</v>
      </c>
      <c r="F44" s="93"/>
    </row>
    <row r="45" spans="1:6" ht="11.25" customHeight="1">
      <c r="A45" s="64">
        <f t="shared" si="1"/>
        <v>36</v>
      </c>
      <c r="B45" s="70" t="s">
        <v>124</v>
      </c>
      <c r="C45" s="129">
        <v>147</v>
      </c>
      <c r="D45" s="160">
        <f>'10.1.2'!O45</f>
        <v>2079.014825309745</v>
      </c>
      <c r="E45" s="160">
        <f>'10.2.2'!O45</f>
        <v>200.24842408078501</v>
      </c>
      <c r="F45" s="93"/>
    </row>
    <row r="46" spans="1:6" ht="11.25" customHeight="1">
      <c r="A46" s="56">
        <f t="shared" si="1"/>
        <v>37</v>
      </c>
      <c r="B46" s="49" t="s">
        <v>125</v>
      </c>
      <c r="C46" s="129">
        <v>161</v>
      </c>
      <c r="D46" s="160">
        <f>'10.1.2'!O46</f>
        <v>18232.88887034794</v>
      </c>
      <c r="E46" s="160">
        <f>'10.2.2'!O46</f>
        <v>1686.8589712123269</v>
      </c>
      <c r="F46" s="93"/>
    </row>
    <row r="47" spans="1:6" ht="11.25" customHeight="1">
      <c r="A47" s="57">
        <f t="shared" si="1"/>
        <v>38</v>
      </c>
      <c r="B47" s="50" t="s">
        <v>161</v>
      </c>
      <c r="C47" s="130"/>
      <c r="D47" s="163">
        <f>'10.1.2'!O47</f>
        <v>1898499.2963311917</v>
      </c>
      <c r="E47" s="163">
        <f>'10.2.2'!O47</f>
        <v>163767.3801139653</v>
      </c>
      <c r="F47" s="162"/>
    </row>
    <row r="48" spans="1:6" ht="11.25" customHeight="1">
      <c r="A48" s="56">
        <f t="shared" si="1"/>
        <v>39</v>
      </c>
      <c r="B48" s="66" t="s">
        <v>160</v>
      </c>
      <c r="C48" s="129"/>
      <c r="D48" s="93"/>
      <c r="E48" s="93"/>
      <c r="F48" s="93"/>
    </row>
    <row r="49" spans="1:6" ht="11.25" customHeight="1">
      <c r="A49" s="58">
        <f t="shared" si="1"/>
        <v>40</v>
      </c>
      <c r="B49" s="67" t="s">
        <v>129</v>
      </c>
      <c r="C49" s="129">
        <v>163</v>
      </c>
      <c r="D49" s="160">
        <f>'10.1.2'!O49</f>
        <v>1944.0565716231752</v>
      </c>
      <c r="E49" s="160">
        <f>'10.2.2'!O49</f>
        <v>180.93822826635582</v>
      </c>
      <c r="F49" s="93"/>
    </row>
    <row r="50" spans="1:6" ht="11.25" customHeight="1">
      <c r="A50" s="58">
        <f t="shared" si="1"/>
        <v>41</v>
      </c>
      <c r="B50" s="67" t="s">
        <v>130</v>
      </c>
      <c r="C50" s="129">
        <v>164</v>
      </c>
      <c r="D50" s="160">
        <f>'10.1.2'!O50</f>
        <v>90635.40082881403</v>
      </c>
      <c r="E50" s="160">
        <f>'10.2.2'!O50</f>
        <v>8439.55222483231</v>
      </c>
      <c r="F50" s="93"/>
    </row>
    <row r="51" spans="1:6" ht="11.25" customHeight="1">
      <c r="A51" s="58">
        <f t="shared" si="1"/>
        <v>42</v>
      </c>
      <c r="B51" s="67" t="s">
        <v>131</v>
      </c>
      <c r="C51" s="129">
        <v>165</v>
      </c>
      <c r="D51" s="160">
        <f>'10.1.2'!O51</f>
        <v>14764.245412074974</v>
      </c>
      <c r="E51" s="160">
        <f>'10.2.2'!O51</f>
        <v>1376.7473311873862</v>
      </c>
      <c r="F51" s="93"/>
    </row>
    <row r="52" spans="1:6" ht="11.25" customHeight="1">
      <c r="A52" s="58">
        <f t="shared" si="1"/>
        <v>43</v>
      </c>
      <c r="B52" s="67" t="s">
        <v>132</v>
      </c>
      <c r="C52" s="129">
        <v>166</v>
      </c>
      <c r="D52" s="160">
        <f>'10.1.2'!O52</f>
        <v>1691.0417616767345</v>
      </c>
      <c r="E52" s="160">
        <f>'10.2.2'!O52</f>
        <v>144.32203883786116</v>
      </c>
      <c r="F52" s="93"/>
    </row>
    <row r="53" spans="1:6" ht="11.25" customHeight="1">
      <c r="A53" s="58">
        <f t="shared" si="1"/>
        <v>44</v>
      </c>
      <c r="B53" s="67" t="s">
        <v>133</v>
      </c>
      <c r="C53" s="129">
        <v>168</v>
      </c>
      <c r="D53" s="160">
        <f>'10.1.2'!O53</f>
        <v>1175.057114359989</v>
      </c>
      <c r="E53" s="160">
        <f>'10.2.2'!O53</f>
        <v>134.10507876532296</v>
      </c>
      <c r="F53" s="93"/>
    </row>
    <row r="54" spans="1:6" ht="11.25" customHeight="1">
      <c r="A54" s="58">
        <f t="shared" si="1"/>
        <v>45</v>
      </c>
      <c r="B54" s="225" t="s">
        <v>134</v>
      </c>
      <c r="C54" s="129"/>
      <c r="D54" s="160">
        <f>'10.1.2'!O54</f>
        <v>0</v>
      </c>
      <c r="E54" s="160">
        <f>'10.2.2'!O54</f>
        <v>0</v>
      </c>
      <c r="F54" s="93"/>
    </row>
    <row r="55" spans="1:6" ht="11.25" customHeight="1">
      <c r="A55" s="58">
        <f t="shared" si="1"/>
        <v>46</v>
      </c>
      <c r="B55" s="225" t="s">
        <v>135</v>
      </c>
      <c r="C55" s="129">
        <v>169</v>
      </c>
      <c r="D55" s="160">
        <f>'10.1.2'!O55</f>
        <v>0</v>
      </c>
      <c r="E55" s="160">
        <f>'10.2.2'!O55</f>
        <v>0</v>
      </c>
      <c r="F55" s="93"/>
    </row>
    <row r="56" spans="1:6" ht="11.25" customHeight="1">
      <c r="A56" s="58">
        <f t="shared" si="1"/>
        <v>47</v>
      </c>
      <c r="B56" s="67" t="s">
        <v>136</v>
      </c>
      <c r="C56" s="129">
        <v>170</v>
      </c>
      <c r="D56" s="160">
        <f>'10.1.2'!O56</f>
        <v>0</v>
      </c>
      <c r="E56" s="160">
        <f>'10.2.2'!O56</f>
        <v>0</v>
      </c>
      <c r="F56" s="93"/>
    </row>
    <row r="57" spans="1:6" ht="11.25" customHeight="1">
      <c r="A57" s="58">
        <f t="shared" si="1"/>
        <v>48</v>
      </c>
      <c r="B57" s="67" t="s">
        <v>137</v>
      </c>
      <c r="C57" s="129">
        <v>171</v>
      </c>
      <c r="D57" s="160">
        <f>'10.1.2'!O57</f>
        <v>0</v>
      </c>
      <c r="E57" s="160">
        <f>'10.2.2'!O57</f>
        <v>0</v>
      </c>
      <c r="F57" s="93"/>
    </row>
    <row r="58" spans="1:6" ht="11.25" customHeight="1">
      <c r="A58" s="58">
        <f t="shared" si="1"/>
        <v>49</v>
      </c>
      <c r="B58" s="67" t="s">
        <v>138</v>
      </c>
      <c r="C58" s="129">
        <v>172</v>
      </c>
      <c r="D58" s="160">
        <f>'10.1.2'!O58</f>
        <v>26869.233297970393</v>
      </c>
      <c r="E58" s="160">
        <f>'10.2.2'!O58</f>
        <v>4456.058968783209</v>
      </c>
      <c r="F58" s="93"/>
    </row>
    <row r="59" spans="1:6" ht="11.25" customHeight="1">
      <c r="A59" s="57">
        <f t="shared" si="1"/>
        <v>50</v>
      </c>
      <c r="B59" s="50" t="s">
        <v>139</v>
      </c>
      <c r="C59" s="130"/>
      <c r="D59" s="161">
        <f>'10.1.2'!O59</f>
        <v>137079.0349865193</v>
      </c>
      <c r="E59" s="161">
        <f>'10.2.2'!O59</f>
        <v>14731.723870672444</v>
      </c>
      <c r="F59" s="162"/>
    </row>
    <row r="60" spans="1:6" ht="11.25" customHeight="1">
      <c r="A60" s="58">
        <f t="shared" si="1"/>
        <v>51</v>
      </c>
      <c r="B60" s="49" t="s">
        <v>164</v>
      </c>
      <c r="C60" s="129"/>
      <c r="D60" s="160">
        <f>'10.1.2'!O60</f>
        <v>2035578.3313177107</v>
      </c>
      <c r="E60" s="160">
        <f>'10.2.2'!O60</f>
        <v>178499.10398463777</v>
      </c>
      <c r="F60" s="93"/>
    </row>
    <row r="61" spans="1:6" ht="11.25" customHeight="1">
      <c r="A61" s="58">
        <f t="shared" si="1"/>
        <v>52</v>
      </c>
      <c r="B61" s="49" t="s">
        <v>162</v>
      </c>
      <c r="C61" s="129">
        <v>199</v>
      </c>
      <c r="D61" s="160">
        <f>'10.1.2'!O61</f>
        <v>2681863.6957737217</v>
      </c>
      <c r="E61" s="160">
        <f>'10.2.2'!O61</f>
        <v>253113.36757392908</v>
      </c>
      <c r="F61" s="160"/>
    </row>
    <row r="62" spans="1:6" ht="11.25" customHeight="1">
      <c r="A62" s="57">
        <f t="shared" si="1"/>
        <v>53</v>
      </c>
      <c r="B62" s="50" t="s">
        <v>163</v>
      </c>
      <c r="C62" s="130"/>
      <c r="D62" s="161">
        <f>'10.1.2'!O62</f>
        <v>4717442.027091432</v>
      </c>
      <c r="E62" s="161">
        <f>'10.2.2'!O62</f>
        <v>431612.47155856685</v>
      </c>
      <c r="F62" s="161">
        <f>ROUND('10.0.1'!D16,0)</f>
        <v>449337</v>
      </c>
    </row>
    <row r="63" spans="4:6" ht="12.75" customHeight="1">
      <c r="D63" s="11"/>
      <c r="E63" s="11"/>
      <c r="F63" s="11"/>
    </row>
    <row r="64" spans="4:6" ht="18">
      <c r="D64" s="81"/>
      <c r="E64" s="81" t="s">
        <v>168</v>
      </c>
      <c r="F64" s="80" t="str">
        <f>IF(AND(F66+2&gt;=F65,F66-2&lt;=F65),"C","D")</f>
        <v>C</v>
      </c>
    </row>
    <row r="65" spans="4:6" ht="11.25">
      <c r="D65" s="79"/>
      <c r="E65" s="79" t="s">
        <v>169</v>
      </c>
      <c r="F65" s="164">
        <f>ROUND(SUM(D62:F62),0)</f>
        <v>5598391</v>
      </c>
    </row>
    <row r="66" spans="4:6" ht="11.25">
      <c r="D66" s="131"/>
      <c r="E66" s="131" t="s">
        <v>170</v>
      </c>
      <c r="F66" s="164">
        <f>ROUND('10.0.1'!D17,0)</f>
        <v>5598392</v>
      </c>
    </row>
  </sheetData>
  <printOptions/>
  <pageMargins left="0.5" right="0.5" top="1" bottom="0.5" header="0.75" footer="0.25"/>
  <pageSetup horizontalDpi="600" verticalDpi="600" orientation="landscape" r:id="rId1"/>
  <rowBreaks count="1" manualBreakCount="1">
    <brk id="37" max="65535" man="1"/>
  </rowBreaks>
</worksheet>
</file>

<file path=xl/worksheets/sheet13.xml><?xml version="1.0" encoding="utf-8"?>
<worksheet xmlns="http://schemas.openxmlformats.org/spreadsheetml/2006/main" xmlns:r="http://schemas.openxmlformats.org/officeDocument/2006/relationships">
  <sheetPr codeName="Sheet13"/>
  <dimension ref="A1:M56"/>
  <sheetViews>
    <sheetView workbookViewId="0" topLeftCell="A1">
      <selection activeCell="A1" sqref="A1"/>
    </sheetView>
  </sheetViews>
  <sheetFormatPr defaultColWidth="8.88671875" defaultRowHeight="15.75"/>
  <cols>
    <col min="1" max="1" width="4.10546875" style="2" customWidth="1"/>
    <col min="2" max="2" width="28.6640625" style="2" customWidth="1"/>
    <col min="3" max="3" width="5.4453125" style="2" customWidth="1"/>
    <col min="4" max="4" width="10.77734375" style="2" customWidth="1"/>
    <col min="5" max="6" width="9.77734375" style="2" customWidth="1"/>
    <col min="7" max="16384" width="8.88671875" style="2" customWidth="1"/>
  </cols>
  <sheetData>
    <row r="1" s="1" customFormat="1" ht="12.75" customHeight="1">
      <c r="A1" s="108" t="str">
        <f>Doc!A1</f>
        <v>Base Year 2005 - USPS Version</v>
      </c>
    </row>
    <row r="2" s="1" customFormat="1" ht="12.75" customHeight="1">
      <c r="A2" s="108" t="str">
        <f>Doc!A2</f>
        <v>C/S 10 RURAL CARRIERS</v>
      </c>
    </row>
    <row r="3" s="1" customFormat="1" ht="12.75" customHeight="1">
      <c r="A3" s="108" t="str">
        <f>Doc!B7</f>
        <v>OUTPUTS TO CRA MODEL</v>
      </c>
    </row>
    <row r="4" s="1" customFormat="1" ht="12.75" customHeight="1"/>
    <row r="5" spans="1:6" ht="33.75">
      <c r="A5" s="116" t="s">
        <v>28</v>
      </c>
      <c r="B5" s="117" t="s">
        <v>73</v>
      </c>
      <c r="C5" s="116" t="s">
        <v>165</v>
      </c>
      <c r="D5" s="116" t="s">
        <v>38</v>
      </c>
      <c r="E5" s="116" t="s">
        <v>39</v>
      </c>
      <c r="F5" s="116" t="s">
        <v>166</v>
      </c>
    </row>
    <row r="6" spans="1:6" ht="11.25" customHeight="1">
      <c r="A6" s="12"/>
      <c r="B6" s="95" t="s">
        <v>67</v>
      </c>
      <c r="C6" s="20"/>
      <c r="D6" s="19">
        <v>-1</v>
      </c>
      <c r="E6" s="19">
        <f>D6-1</f>
        <v>-2</v>
      </c>
      <c r="F6" s="19">
        <f>E6-1</f>
        <v>-3</v>
      </c>
    </row>
    <row r="7" spans="1:6" ht="11.25" customHeight="1">
      <c r="A7" s="12"/>
      <c r="B7" s="95" t="s">
        <v>29</v>
      </c>
      <c r="C7" s="21"/>
      <c r="D7" s="21" t="s">
        <v>30</v>
      </c>
      <c r="E7" s="21" t="s">
        <v>30</v>
      </c>
      <c r="F7" s="21" t="s">
        <v>30</v>
      </c>
    </row>
    <row r="8" spans="1:6" ht="11.25" customHeight="1">
      <c r="A8" s="12"/>
      <c r="B8" s="95" t="s">
        <v>69</v>
      </c>
      <c r="C8" s="21"/>
      <c r="D8" s="21" t="str">
        <f>Doc!A16&amp;" C"&amp;-'10.1.2'!O6</f>
        <v>WS 10.1.2 C13</v>
      </c>
      <c r="E8" s="21" t="str">
        <f>Doc!A17&amp;" C"&amp;-'10.2.2'!O6</f>
        <v>WS 10.2.2 C13</v>
      </c>
      <c r="F8" s="21" t="str">
        <f>Doc!A10&amp;" C"&amp;-'10.0.1'!D6&amp;"L"&amp;'10.0.1'!A16</f>
        <v>WS 10.0.1 C2L7</v>
      </c>
    </row>
    <row r="9" spans="1:6" ht="11.25" customHeight="1">
      <c r="A9" s="13"/>
      <c r="B9" s="98" t="s">
        <v>167</v>
      </c>
      <c r="C9" s="32"/>
      <c r="D9" s="32">
        <v>69</v>
      </c>
      <c r="E9" s="32">
        <v>70</v>
      </c>
      <c r="F9" s="32">
        <v>73</v>
      </c>
    </row>
    <row r="10" spans="1:6" ht="11.25" customHeight="1">
      <c r="A10" s="58">
        <v>1</v>
      </c>
      <c r="B10" s="66" t="s">
        <v>89</v>
      </c>
      <c r="C10" s="66"/>
      <c r="D10" s="223"/>
      <c r="E10" s="20"/>
      <c r="F10" s="20"/>
    </row>
    <row r="11" spans="1:6" ht="11.25" customHeight="1">
      <c r="A11" s="58">
        <f aca="true" t="shared" si="0" ref="A11:A32">A10+1</f>
        <v>2</v>
      </c>
      <c r="B11" s="22" t="s">
        <v>90</v>
      </c>
      <c r="C11" s="19">
        <v>101</v>
      </c>
      <c r="D11" s="223">
        <f>SUM(oldoutputs!D11)</f>
        <v>288826.16575159493</v>
      </c>
      <c r="E11" s="223">
        <f>SUM(oldoutputs!E11)</f>
        <v>25351.50256646275</v>
      </c>
      <c r="F11" s="223"/>
    </row>
    <row r="12" spans="1:6" ht="11.25" customHeight="1">
      <c r="A12" s="58">
        <f t="shared" si="0"/>
        <v>3</v>
      </c>
      <c r="B12" s="22" t="s">
        <v>91</v>
      </c>
      <c r="C12" s="19">
        <v>102</v>
      </c>
      <c r="D12" s="223">
        <f>oldoutputs!D12</f>
        <v>276950.6313916148</v>
      </c>
      <c r="E12" s="223">
        <f>oldoutputs!E12</f>
        <v>24023.743740050148</v>
      </c>
      <c r="F12" s="223"/>
    </row>
    <row r="13" spans="1:6" ht="11.25" customHeight="1">
      <c r="A13" s="58">
        <f t="shared" si="0"/>
        <v>4</v>
      </c>
      <c r="B13" s="67" t="s">
        <v>92</v>
      </c>
      <c r="C13" s="67"/>
      <c r="D13" s="223">
        <f>SUM(D11:D12)</f>
        <v>565776.7971432097</v>
      </c>
      <c r="E13" s="223">
        <f>SUM(E11:E12)</f>
        <v>49375.2463065129</v>
      </c>
      <c r="F13" s="223"/>
    </row>
    <row r="14" spans="1:6" ht="11.25" customHeight="1">
      <c r="A14" s="58">
        <f t="shared" si="0"/>
        <v>5</v>
      </c>
      <c r="B14" s="67" t="s">
        <v>93</v>
      </c>
      <c r="C14" s="19">
        <v>104</v>
      </c>
      <c r="D14" s="223">
        <f>oldoutputs!D14</f>
        <v>19064.972143564744</v>
      </c>
      <c r="E14" s="223">
        <f>oldoutputs!E14</f>
        <v>1783.532211440075</v>
      </c>
      <c r="F14" s="223"/>
    </row>
    <row r="15" spans="1:6" ht="11.25" customHeight="1">
      <c r="A15" s="58">
        <f t="shared" si="0"/>
        <v>6</v>
      </c>
      <c r="B15" s="67" t="s">
        <v>94</v>
      </c>
      <c r="C15" s="19">
        <v>105</v>
      </c>
      <c r="D15" s="223">
        <f>oldoutputs!D15</f>
        <v>16433.44381001261</v>
      </c>
      <c r="E15" s="223">
        <f>oldoutputs!E15</f>
        <v>1469.8994308120573</v>
      </c>
      <c r="F15" s="223"/>
    </row>
    <row r="16" spans="1:6" ht="11.25" customHeight="1">
      <c r="A16" s="58">
        <f t="shared" si="0"/>
        <v>7</v>
      </c>
      <c r="B16" s="67" t="s">
        <v>95</v>
      </c>
      <c r="C16" s="67"/>
      <c r="D16" s="223">
        <f>SUM(D14:D15)</f>
        <v>35498.41595357735</v>
      </c>
      <c r="E16" s="223">
        <f>SUM(E14:E15)</f>
        <v>3253.4316422521324</v>
      </c>
      <c r="F16" s="223"/>
    </row>
    <row r="17" spans="1:6" ht="11.25" customHeight="1">
      <c r="A17" s="59">
        <f t="shared" si="0"/>
        <v>8</v>
      </c>
      <c r="B17" s="68" t="s">
        <v>96</v>
      </c>
      <c r="C17" s="19"/>
      <c r="D17" s="224">
        <f>SUM(D13,D16)</f>
        <v>601275.2130967871</v>
      </c>
      <c r="E17" s="224">
        <f>SUM(E13,E16)</f>
        <v>52628.67794876503</v>
      </c>
      <c r="F17" s="224"/>
    </row>
    <row r="18" spans="1:6" ht="11.25" customHeight="1">
      <c r="A18" s="58">
        <f t="shared" si="0"/>
        <v>9</v>
      </c>
      <c r="B18" s="69" t="s">
        <v>97</v>
      </c>
      <c r="C18" s="92">
        <v>110</v>
      </c>
      <c r="D18" s="223">
        <f>oldoutputs!D18</f>
        <v>42395.76819619234</v>
      </c>
      <c r="E18" s="223">
        <f>oldoutputs!E18</f>
        <v>3868.9362613071203</v>
      </c>
      <c r="F18" s="223"/>
    </row>
    <row r="19" spans="1:10" ht="11.25" customHeight="1">
      <c r="A19" s="58">
        <f t="shared" si="0"/>
        <v>10</v>
      </c>
      <c r="B19" s="69" t="s">
        <v>98</v>
      </c>
      <c r="C19" s="21">
        <v>111</v>
      </c>
      <c r="D19" s="223">
        <f>oldoutputs!D19</f>
        <v>11270.841124680135</v>
      </c>
      <c r="E19" s="223">
        <f>oldoutputs!E19</f>
        <v>1050.0953690259564</v>
      </c>
      <c r="F19" s="223"/>
      <c r="J19" s="258"/>
    </row>
    <row r="20" spans="1:6" ht="11.25" customHeight="1">
      <c r="A20" s="59">
        <f t="shared" si="0"/>
        <v>11</v>
      </c>
      <c r="B20" s="68" t="s">
        <v>99</v>
      </c>
      <c r="C20" s="32">
        <v>112</v>
      </c>
      <c r="D20" s="224">
        <f>oldoutputs!D20</f>
        <v>1.3875851967821944</v>
      </c>
      <c r="E20" s="224">
        <f>oldoutputs!E20</f>
        <v>0.14007583047308364</v>
      </c>
      <c r="F20" s="224"/>
    </row>
    <row r="21" spans="1:6" ht="11.25" customHeight="1">
      <c r="A21" s="58">
        <f t="shared" si="0"/>
        <v>12</v>
      </c>
      <c r="B21" s="226" t="s">
        <v>100</v>
      </c>
      <c r="C21" s="69"/>
      <c r="D21" s="223"/>
      <c r="E21" s="223"/>
      <c r="F21" s="223"/>
    </row>
    <row r="22" spans="1:6" ht="11.25" customHeight="1">
      <c r="A22" s="58">
        <f t="shared" si="0"/>
        <v>13</v>
      </c>
      <c r="B22" s="67" t="s">
        <v>101</v>
      </c>
      <c r="C22" s="21">
        <v>113</v>
      </c>
      <c r="D22" s="223">
        <f>oldoutputs!D22</f>
        <v>11720.445516704443</v>
      </c>
      <c r="E22" s="223">
        <f>oldoutputs!E22</f>
        <v>961.862543809129</v>
      </c>
      <c r="F22" s="223"/>
    </row>
    <row r="23" spans="1:6" ht="11.25" customHeight="1">
      <c r="A23" s="58">
        <f t="shared" si="0"/>
        <v>14</v>
      </c>
      <c r="B23" s="225" t="s">
        <v>171</v>
      </c>
      <c r="C23" s="21">
        <v>117</v>
      </c>
      <c r="D23" s="223">
        <f>oldoutputs!D24+oldoutputs!D25+oldoutputs!D26</f>
        <v>127663.56202985976</v>
      </c>
      <c r="E23" s="223">
        <f>oldoutputs!E24+oldoutputs!E25+oldoutputs!E26</f>
        <v>10476.973622782805</v>
      </c>
      <c r="F23" s="223"/>
    </row>
    <row r="24" spans="1:6" ht="11.25" customHeight="1">
      <c r="A24" s="59">
        <f>A23+1</f>
        <v>15</v>
      </c>
      <c r="B24" s="68" t="s">
        <v>106</v>
      </c>
      <c r="C24" s="32"/>
      <c r="D24" s="224">
        <f>SUM(D22:D23)</f>
        <v>139384.00754656421</v>
      </c>
      <c r="E24" s="224">
        <f>SUM(E22:E23)</f>
        <v>11438.836166591935</v>
      </c>
      <c r="F24" s="224"/>
    </row>
    <row r="25" spans="1:6" ht="11.25" customHeight="1">
      <c r="A25" s="58">
        <f t="shared" si="0"/>
        <v>16</v>
      </c>
      <c r="B25" s="226" t="s">
        <v>107</v>
      </c>
      <c r="C25" s="69"/>
      <c r="D25" s="223"/>
      <c r="E25" s="223"/>
      <c r="F25" s="223"/>
    </row>
    <row r="26" spans="1:6" ht="11.25" customHeight="1">
      <c r="A26" s="58">
        <f>A25+1</f>
        <v>17</v>
      </c>
      <c r="B26" s="225" t="s">
        <v>172</v>
      </c>
      <c r="C26" s="19">
        <v>126</v>
      </c>
      <c r="D26" s="223">
        <f>oldoutputs!D30+oldoutputs!D34</f>
        <v>477849.4831145199</v>
      </c>
      <c r="E26" s="223">
        <f>oldoutputs!E30+oldoutputs!E34</f>
        <v>40826.556259517914</v>
      </c>
      <c r="F26" s="223"/>
    </row>
    <row r="27" spans="1:6" ht="11.25" customHeight="1">
      <c r="A27" s="58">
        <f t="shared" si="0"/>
        <v>18</v>
      </c>
      <c r="B27" s="67" t="s">
        <v>110</v>
      </c>
      <c r="C27" s="19">
        <v>127</v>
      </c>
      <c r="D27" s="223">
        <f>oldoutputs!D31+oldoutputs!D35</f>
        <v>536056.3059582154</v>
      </c>
      <c r="E27" s="223">
        <f>oldoutputs!E31+oldoutputs!E35</f>
        <v>45757.32983160998</v>
      </c>
      <c r="F27" s="223"/>
    </row>
    <row r="28" spans="1:6" ht="11.25" customHeight="1">
      <c r="A28" s="59">
        <f>A27+1</f>
        <v>19</v>
      </c>
      <c r="B28" s="227" t="s">
        <v>116</v>
      </c>
      <c r="C28" s="228"/>
      <c r="D28" s="224">
        <f>D26+D27</f>
        <v>1013905.7890727352</v>
      </c>
      <c r="E28" s="224">
        <f>E26+E27</f>
        <v>86583.8860911279</v>
      </c>
      <c r="F28" s="224"/>
    </row>
    <row r="29" spans="1:6" ht="11.25" customHeight="1">
      <c r="A29" s="58">
        <f t="shared" si="0"/>
        <v>20</v>
      </c>
      <c r="B29" s="226" t="s">
        <v>117</v>
      </c>
      <c r="C29" s="69"/>
      <c r="D29" s="223"/>
      <c r="E29" s="223"/>
      <c r="F29" s="223"/>
    </row>
    <row r="30" spans="1:6" ht="11.25" customHeight="1">
      <c r="A30" s="58">
        <f t="shared" si="0"/>
        <v>21</v>
      </c>
      <c r="B30" s="225" t="s">
        <v>173</v>
      </c>
      <c r="C30" s="19">
        <v>136</v>
      </c>
      <c r="D30" s="223">
        <f>oldoutputs!D39</f>
        <v>32324.803017489005</v>
      </c>
      <c r="E30" s="223">
        <f>oldoutputs!E39</f>
        <v>2946.5530399581967</v>
      </c>
      <c r="F30" s="223"/>
    </row>
    <row r="31" spans="1:6" ht="11.25" customHeight="1">
      <c r="A31" s="58">
        <f t="shared" si="0"/>
        <v>22</v>
      </c>
      <c r="B31" s="67" t="s">
        <v>119</v>
      </c>
      <c r="C31" s="19">
        <v>137</v>
      </c>
      <c r="D31" s="223">
        <f>oldoutputs!D40</f>
        <v>23248.885066475807</v>
      </c>
      <c r="E31" s="223">
        <f>oldoutputs!E40</f>
        <v>2043.8135054452282</v>
      </c>
      <c r="F31" s="223"/>
    </row>
    <row r="32" spans="1:6" ht="11.25" customHeight="1">
      <c r="A32" s="58">
        <f t="shared" si="0"/>
        <v>23</v>
      </c>
      <c r="B32" s="225" t="s">
        <v>120</v>
      </c>
      <c r="C32" s="19">
        <v>139</v>
      </c>
      <c r="D32" s="223">
        <f>oldoutputs!D41+oldoutputs!D42</f>
        <v>11033.648225137384</v>
      </c>
      <c r="E32" s="223">
        <f>oldoutputs!E41+oldoutputs!E42</f>
        <v>1008.5043806030516</v>
      </c>
      <c r="F32" s="223"/>
    </row>
    <row r="33" spans="1:6" ht="11.25" customHeight="1">
      <c r="A33" s="59">
        <f>A32+1</f>
        <v>24</v>
      </c>
      <c r="B33" s="227" t="s">
        <v>122</v>
      </c>
      <c r="C33" s="32"/>
      <c r="D33" s="224">
        <f>SUM(D30:D32)</f>
        <v>66607.33630910219</v>
      </c>
      <c r="E33" s="224">
        <f>SUM(E30:E32)</f>
        <v>5998.870926006477</v>
      </c>
      <c r="F33" s="224"/>
    </row>
    <row r="34" spans="1:6" ht="11.25" customHeight="1">
      <c r="A34" s="58">
        <f aca="true" t="shared" si="1" ref="A34:A52">A33+1</f>
        <v>25</v>
      </c>
      <c r="B34" s="69" t="s">
        <v>123</v>
      </c>
      <c r="C34" s="92">
        <v>142</v>
      </c>
      <c r="D34" s="223">
        <f>oldoutputs!D44</f>
        <v>3347.0497042759107</v>
      </c>
      <c r="E34" s="223">
        <f>oldoutputs!E44</f>
        <v>310.8298800173201</v>
      </c>
      <c r="F34" s="223"/>
    </row>
    <row r="35" spans="1:6" ht="11.25" customHeight="1">
      <c r="A35" s="58">
        <f t="shared" si="1"/>
        <v>26</v>
      </c>
      <c r="B35" s="69" t="s">
        <v>124</v>
      </c>
      <c r="C35" s="21">
        <v>147</v>
      </c>
      <c r="D35" s="223">
        <f>oldoutputs!D45</f>
        <v>2079.014825309745</v>
      </c>
      <c r="E35" s="223">
        <f>oldoutputs!E45</f>
        <v>200.24842408078501</v>
      </c>
      <c r="F35" s="223"/>
    </row>
    <row r="36" spans="1:6" ht="11.25" customHeight="1">
      <c r="A36" s="58">
        <f t="shared" si="1"/>
        <v>27</v>
      </c>
      <c r="B36" s="69" t="s">
        <v>125</v>
      </c>
      <c r="C36" s="19">
        <v>161</v>
      </c>
      <c r="D36" s="223">
        <f>oldoutputs!D46</f>
        <v>18232.88887034794</v>
      </c>
      <c r="E36" s="223">
        <f>oldoutputs!E46</f>
        <v>1686.8589712123269</v>
      </c>
      <c r="F36" s="223"/>
    </row>
    <row r="37" spans="1:6" ht="11.25" customHeight="1">
      <c r="A37" s="59">
        <f t="shared" si="1"/>
        <v>28</v>
      </c>
      <c r="B37" s="68" t="s">
        <v>161</v>
      </c>
      <c r="C37" s="228"/>
      <c r="D37" s="224">
        <f>SUM(D17,D18:D20,D24,D28,D33,D34:D36)</f>
        <v>1898499.2963311917</v>
      </c>
      <c r="E37" s="224">
        <f>SUM(E17,E18:E20,E24,E28,E33,E34:E36)</f>
        <v>163767.3801139653</v>
      </c>
      <c r="F37" s="224"/>
    </row>
    <row r="38" spans="1:6" ht="11.25" customHeight="1">
      <c r="A38" s="58">
        <f t="shared" si="1"/>
        <v>29</v>
      </c>
      <c r="B38" s="226" t="s">
        <v>160</v>
      </c>
      <c r="C38" s="69"/>
      <c r="D38" s="223"/>
      <c r="E38" s="223"/>
      <c r="F38" s="223"/>
    </row>
    <row r="39" spans="1:13" ht="11.25" customHeight="1">
      <c r="A39" s="58">
        <f t="shared" si="1"/>
        <v>30</v>
      </c>
      <c r="B39" s="67" t="s">
        <v>129</v>
      </c>
      <c r="C39" s="19">
        <v>163</v>
      </c>
      <c r="D39" s="223">
        <f>oldoutputs!D49</f>
        <v>1944.0565716231752</v>
      </c>
      <c r="E39" s="223">
        <f>oldoutputs!E49</f>
        <v>180.93822826635582</v>
      </c>
      <c r="F39" s="223"/>
      <c r="J39" s="258"/>
      <c r="K39" s="257"/>
      <c r="L39" s="257"/>
      <c r="M39" s="258"/>
    </row>
    <row r="40" spans="1:10" ht="11.25" customHeight="1">
      <c r="A40" s="58">
        <f t="shared" si="1"/>
        <v>31</v>
      </c>
      <c r="B40" s="67" t="s">
        <v>130</v>
      </c>
      <c r="C40" s="19">
        <v>164</v>
      </c>
      <c r="D40" s="223">
        <f>oldoutputs!D50</f>
        <v>90635.40082881403</v>
      </c>
      <c r="E40" s="223">
        <f>oldoutputs!E50</f>
        <v>8439.55222483231</v>
      </c>
      <c r="F40" s="223"/>
      <c r="J40" s="258"/>
    </row>
    <row r="41" spans="1:10" ht="11.25" customHeight="1">
      <c r="A41" s="58">
        <f t="shared" si="1"/>
        <v>32</v>
      </c>
      <c r="B41" s="67" t="s">
        <v>131</v>
      </c>
      <c r="C41" s="19">
        <v>165</v>
      </c>
      <c r="D41" s="223">
        <f>oldoutputs!D51</f>
        <v>14764.245412074974</v>
      </c>
      <c r="E41" s="223">
        <f>oldoutputs!E51</f>
        <v>1376.7473311873862</v>
      </c>
      <c r="F41" s="223"/>
      <c r="J41" s="258"/>
    </row>
    <row r="42" spans="1:10" ht="11.25" customHeight="1">
      <c r="A42" s="58">
        <f t="shared" si="1"/>
        <v>33</v>
      </c>
      <c r="B42" s="67" t="s">
        <v>132</v>
      </c>
      <c r="C42" s="19">
        <v>166</v>
      </c>
      <c r="D42" s="223">
        <f>oldoutputs!D52</f>
        <v>1691.0417616767345</v>
      </c>
      <c r="E42" s="223">
        <f>oldoutputs!E52</f>
        <v>144.32203883786116</v>
      </c>
      <c r="F42" s="223"/>
      <c r="J42" s="258"/>
    </row>
    <row r="43" spans="1:10" ht="11.25" customHeight="1">
      <c r="A43" s="58">
        <f t="shared" si="1"/>
        <v>34</v>
      </c>
      <c r="B43" s="67" t="s">
        <v>133</v>
      </c>
      <c r="C43" s="19">
        <v>168</v>
      </c>
      <c r="D43" s="223">
        <f>oldoutputs!D53</f>
        <v>1175.057114359989</v>
      </c>
      <c r="E43" s="223">
        <f>oldoutputs!E53</f>
        <v>134.10507876532296</v>
      </c>
      <c r="F43" s="223"/>
      <c r="J43" s="258"/>
    </row>
    <row r="44" spans="1:6" ht="11.25" customHeight="1">
      <c r="A44" s="58">
        <f t="shared" si="1"/>
        <v>35</v>
      </c>
      <c r="B44" s="225" t="s">
        <v>134</v>
      </c>
      <c r="C44" s="19"/>
      <c r="D44" s="223"/>
      <c r="E44" s="223"/>
      <c r="F44" s="223"/>
    </row>
    <row r="45" spans="1:6" ht="11.25" customHeight="1">
      <c r="A45" s="58">
        <f t="shared" si="1"/>
        <v>36</v>
      </c>
      <c r="B45" s="225" t="s">
        <v>135</v>
      </c>
      <c r="C45" s="19">
        <v>169</v>
      </c>
      <c r="D45" s="223">
        <f>oldoutputs!D55</f>
        <v>0</v>
      </c>
      <c r="E45" s="223">
        <f>oldoutputs!E55</f>
        <v>0</v>
      </c>
      <c r="F45" s="223"/>
    </row>
    <row r="46" spans="1:6" ht="11.25" customHeight="1">
      <c r="A46" s="58">
        <f t="shared" si="1"/>
        <v>37</v>
      </c>
      <c r="B46" s="67" t="s">
        <v>136</v>
      </c>
      <c r="C46" s="19">
        <v>170</v>
      </c>
      <c r="D46" s="223">
        <f>oldoutputs!D56</f>
        <v>0</v>
      </c>
      <c r="E46" s="223">
        <f>oldoutputs!E56</f>
        <v>0</v>
      </c>
      <c r="F46" s="223"/>
    </row>
    <row r="47" spans="1:6" ht="11.25" customHeight="1">
      <c r="A47" s="58">
        <f t="shared" si="1"/>
        <v>38</v>
      </c>
      <c r="B47" s="67" t="s">
        <v>137</v>
      </c>
      <c r="C47" s="19">
        <v>171</v>
      </c>
      <c r="D47" s="223">
        <f>oldoutputs!D57</f>
        <v>0</v>
      </c>
      <c r="E47" s="223">
        <f>oldoutputs!E57</f>
        <v>0</v>
      </c>
      <c r="F47" s="223"/>
    </row>
    <row r="48" spans="1:6" ht="11.25" customHeight="1">
      <c r="A48" s="58">
        <f t="shared" si="1"/>
        <v>39</v>
      </c>
      <c r="B48" s="67" t="s">
        <v>138</v>
      </c>
      <c r="C48" s="19">
        <v>172</v>
      </c>
      <c r="D48" s="223">
        <f>oldoutputs!D58</f>
        <v>26869.233297970393</v>
      </c>
      <c r="E48" s="223">
        <f>oldoutputs!E58</f>
        <v>4456.058968783209</v>
      </c>
      <c r="F48" s="223"/>
    </row>
    <row r="49" spans="1:6" ht="11.25" customHeight="1">
      <c r="A49" s="59">
        <f t="shared" si="1"/>
        <v>40</v>
      </c>
      <c r="B49" s="68" t="s">
        <v>139</v>
      </c>
      <c r="C49" s="68"/>
      <c r="D49" s="224">
        <f>SUM(D39:D48)</f>
        <v>137079.0349865193</v>
      </c>
      <c r="E49" s="224">
        <f>SUM(E39:E48)</f>
        <v>14731.723870672444</v>
      </c>
      <c r="F49" s="224"/>
    </row>
    <row r="50" spans="1:6" ht="11.25" customHeight="1">
      <c r="A50" s="58">
        <f t="shared" si="1"/>
        <v>41</v>
      </c>
      <c r="B50" s="69" t="s">
        <v>164</v>
      </c>
      <c r="C50" s="229"/>
      <c r="D50" s="223">
        <f>SUM(D37,D49)</f>
        <v>2035578.331317711</v>
      </c>
      <c r="E50" s="223">
        <f>SUM(E37,E49)</f>
        <v>178499.10398463774</v>
      </c>
      <c r="F50" s="223"/>
    </row>
    <row r="51" spans="1:6" ht="11.25" customHeight="1">
      <c r="A51" s="58">
        <f t="shared" si="1"/>
        <v>42</v>
      </c>
      <c r="B51" s="230" t="s">
        <v>162</v>
      </c>
      <c r="C51" s="19">
        <v>199</v>
      </c>
      <c r="D51" s="223">
        <f>oldoutputs!D61</f>
        <v>2681863.6957737217</v>
      </c>
      <c r="E51" s="223">
        <f>oldoutputs!E61</f>
        <v>253113.36757392908</v>
      </c>
      <c r="F51" s="223"/>
    </row>
    <row r="52" spans="1:6" ht="11.25" customHeight="1">
      <c r="A52" s="59">
        <f t="shared" si="1"/>
        <v>43</v>
      </c>
      <c r="B52" s="50" t="s">
        <v>174</v>
      </c>
      <c r="C52" s="228"/>
      <c r="D52" s="224">
        <f>SUM(D50:D51)</f>
        <v>4717442.027091432</v>
      </c>
      <c r="E52" s="224">
        <f>SUM(E50:E51)</f>
        <v>431612.4715585668</v>
      </c>
      <c r="F52" s="224">
        <f>oldoutputs!F62</f>
        <v>449337</v>
      </c>
    </row>
    <row r="53" spans="4:6" ht="11.25" customHeight="1">
      <c r="D53" s="11"/>
      <c r="E53" s="11"/>
      <c r="F53" s="11"/>
    </row>
    <row r="54" spans="5:6" ht="15.75" customHeight="1">
      <c r="E54" s="81" t="s">
        <v>168</v>
      </c>
      <c r="F54" s="80" t="str">
        <f>IF(AND(F56+2&gt;=F55,F56-2&lt;=F55),"C","D")</f>
        <v>C</v>
      </c>
    </row>
    <row r="55" spans="5:6" ht="11.25" customHeight="1">
      <c r="E55" s="79" t="s">
        <v>169</v>
      </c>
      <c r="F55" s="164">
        <f>ROUND(SUM(D52:F52),0)</f>
        <v>5598391</v>
      </c>
    </row>
    <row r="56" spans="5:6" ht="11.25" customHeight="1">
      <c r="E56" s="131" t="s">
        <v>170</v>
      </c>
      <c r="F56" s="164">
        <f>ROUND('10.0.1'!D17,0)</f>
        <v>5598392</v>
      </c>
    </row>
    <row r="57" ht="11.25" customHeight="1"/>
  </sheetData>
  <printOptions/>
  <pageMargins left="0.5" right="0.5" top="1" bottom="0.5" header="0.75" footer="0.25"/>
  <pageSetup horizontalDpi="600" verticalDpi="600" orientation="landscape" r:id="rId1"/>
  <rowBreaks count="1" manualBreakCount="1">
    <brk id="37" max="65535" man="1"/>
  </rowBreaks>
</worksheet>
</file>

<file path=xl/worksheets/sheet14.xml><?xml version="1.0" encoding="utf-8"?>
<worksheet xmlns="http://schemas.openxmlformats.org/spreadsheetml/2006/main" xmlns:r="http://schemas.openxmlformats.org/officeDocument/2006/relationships">
  <sheetPr codeName="Sheet14"/>
  <dimension ref="A1:D22"/>
  <sheetViews>
    <sheetView workbookViewId="0" topLeftCell="A1">
      <selection activeCell="A1" sqref="A1"/>
    </sheetView>
  </sheetViews>
  <sheetFormatPr defaultColWidth="8.88671875" defaultRowHeight="15.75"/>
  <cols>
    <col min="1" max="1" width="9.21484375" style="15" customWidth="1"/>
    <col min="2" max="2" width="19.99609375" style="134" customWidth="1"/>
    <col min="3" max="3" width="2.77734375" style="15" customWidth="1"/>
    <col min="4" max="4" width="65.21484375" style="15" customWidth="1"/>
    <col min="5" max="16384" width="8.88671875" style="15" customWidth="1"/>
  </cols>
  <sheetData>
    <row r="1" spans="1:2" s="1" customFormat="1" ht="12.75" customHeight="1">
      <c r="A1" s="107" t="str">
        <f>Doc!$A1</f>
        <v>Base Year 2005 - USPS Version</v>
      </c>
      <c r="B1" s="112"/>
    </row>
    <row r="2" spans="1:2" s="1" customFormat="1" ht="12.75" customHeight="1">
      <c r="A2" s="107" t="str">
        <f>Doc!$A2</f>
        <v>C/S 10 RURAL CARRIERS</v>
      </c>
      <c r="B2" s="112"/>
    </row>
    <row r="3" spans="1:2" s="1" customFormat="1" ht="12.75" customHeight="1">
      <c r="A3" s="108" t="str">
        <f>Doc!$B18</f>
        <v>ENDNOTES</v>
      </c>
      <c r="B3" s="112"/>
    </row>
    <row r="4" s="1" customFormat="1" ht="12.75" customHeight="1">
      <c r="B4" s="112"/>
    </row>
    <row r="5" spans="1:4" ht="23.25" customHeight="1">
      <c r="A5" s="143" t="str">
        <f>Doc!A6</f>
        <v>TAB NAME</v>
      </c>
      <c r="B5" s="143" t="str">
        <f>Doc!B6</f>
        <v>WORKSHEET TITLE</v>
      </c>
      <c r="C5" s="114" t="str">
        <f>Doc!B18</f>
        <v>ENDNOTES</v>
      </c>
      <c r="D5" s="114"/>
    </row>
    <row r="6" spans="1:4" ht="24">
      <c r="A6" s="190" t="str">
        <f>Doc!A16</f>
        <v>WS 10.1.2</v>
      </c>
      <c r="B6" s="148" t="str">
        <f>Doc!B16</f>
        <v>DISTRIBUTION OF EVALUATED ROUTES VVC</v>
      </c>
      <c r="C6" s="191" t="s">
        <v>175</v>
      </c>
      <c r="D6" s="124" t="s">
        <v>176</v>
      </c>
    </row>
    <row r="7" spans="1:4" ht="12">
      <c r="A7" s="145"/>
      <c r="B7" s="113"/>
      <c r="C7" s="126" t="str">
        <f>"["&amp;CHAR(CODE(MID(C6,2,1))+1)&amp;"]"</f>
        <v>[b]</v>
      </c>
      <c r="D7" s="158" t="s">
        <v>177</v>
      </c>
    </row>
    <row r="8" spans="1:4" ht="12">
      <c r="A8" s="145"/>
      <c r="B8" s="113"/>
      <c r="C8" s="126" t="str">
        <f>"["&amp;CHAR(CODE(MID(C7,2,1))+1)&amp;"]"</f>
        <v>[c]</v>
      </c>
      <c r="D8" s="125" t="str">
        <f>"Source: L"&amp;'10.1.2'!A$52&amp;", L"&amp;'10.1.2'!A$53&amp;", and L"&amp;'10.1.2'!A$58&amp;" from "&amp;Doc!A$12&amp;" C"&amp;-'10.1.1 PQ1-2'!L$6&amp;"L"&amp;'10.1.1 PQ1-2'!A$15&amp;", C"&amp;-'10.1.1 PQ1-2'!L$6&amp;"L"&amp;'10.1.1 PQ1-2'!A$24&amp;", C"&amp;-'10.1.1 PQ1-2'!L$6&amp;"L"&amp;'10.1.1 PQ1-2'!A$20&amp;"+L"&amp;'10.1.1 PQ1-2'!A$28&amp;" respectively."</f>
        <v>Source: L43, L44, and L49 from WS 10.1.1 C10L6, C10L15, C10L11+L19 respectively.</v>
      </c>
    </row>
    <row r="9" spans="1:4" ht="24">
      <c r="A9" s="146"/>
      <c r="B9" s="147"/>
      <c r="C9" s="127" t="str">
        <f>"["&amp;CHAR(CODE(MID(C8,2,1))+1)&amp;"]"</f>
        <v>[d]</v>
      </c>
      <c r="D9" s="123" t="str">
        <f>"C"&amp;-'10.1.2'!D$6&amp;"L"&amp;'10.1.2'!A$27&amp;" distributed to C"&amp;-'10.1.2'!O$6&amp;"L"&amp;'10.1.2'!A$22&amp;"...C"&amp;-'10.1.2'!O$6&amp;"L"&amp;'10.1.2'!A$26&amp;" based on RPW Periodicals volumes, "&amp;Doc!A$9&amp;" C"&amp;-'Inputs DK'!C$6&amp;" L"&amp;'Inputs DK'!A$22&amp;"..."&amp;'10.1.2'!A$27&amp;".  L"&amp;'10.1.2'!A$61&amp;" from "&amp;Doc!A$10&amp;" C"&amp;-'10.0.1'!G$6&amp;"L"&amp;'10.0.1'!A10&amp;" minus "&amp;Doc!A$12&amp;" C"&amp;-'10.1.1 PQ1-2'!L$6&amp;"L"&amp;'10.1.1 PQ1-2'!A$28&amp;"."</f>
        <v>C2L18 distributed to C13L13...C13L17 based on RPW Periodicals volumes, Inputs DK C1 L13...18.  L52 from WS 10.0.1 C5L1 minus WS 10.1.1 C10L19.</v>
      </c>
    </row>
    <row r="10" spans="1:4" ht="24">
      <c r="A10" s="144" t="str">
        <f>Doc!A17</f>
        <v>WS 10.2.2</v>
      </c>
      <c r="B10" s="148" t="str">
        <f>Doc!B17</f>
        <v>DISTRIBUTION OF OTHER ROUTES VVC</v>
      </c>
      <c r="C10" s="159" t="s">
        <v>175</v>
      </c>
      <c r="D10" s="158" t="s">
        <v>176</v>
      </c>
    </row>
    <row r="11" spans="1:4" ht="12">
      <c r="A11" s="149"/>
      <c r="B11" s="150"/>
      <c r="C11" s="126" t="str">
        <f>"["&amp;CHAR(CODE(MID(C10,2,1))+1)&amp;"]"</f>
        <v>[b]</v>
      </c>
      <c r="D11" s="122" t="s">
        <v>177</v>
      </c>
    </row>
    <row r="12" spans="1:4" ht="12">
      <c r="A12" s="149"/>
      <c r="B12" s="150"/>
      <c r="C12" s="126" t="str">
        <f>"["&amp;CHAR(CODE(MID(C11,2,1))+1)&amp;"]"</f>
        <v>[c]</v>
      </c>
      <c r="D12" s="125" t="str">
        <f>"Source: L"&amp;'10.2.2'!A$52&amp;", L"&amp;'10.2.2'!A$53&amp;", and L"&amp;'10.2.2'!A$58&amp;" from "&amp;Doc!A$14&amp;" C"&amp;-'10.2.1 PQ1-2'!L$6&amp;"L"&amp;'10.2.1 PQ1-2'!A$15&amp;", C"&amp;-'10.2.1 PQ1-2'!L$6&amp;"L"&amp;'10.2.1 PQ1-2'!A$24&amp;", C"&amp;-'10.2.1 PQ1-2'!L$6&amp;"L"&amp;'10.2.1 PQ1-2'!A$20&amp;"+L"&amp;'10.2.1 PQ1-2'!A$28&amp;" respectively."</f>
        <v>Source: L43, L44, and L49 from WS 10.2.1 C10L6, C10L15, C10L11+L19 respectively.</v>
      </c>
    </row>
    <row r="13" spans="1:4" ht="24">
      <c r="A13" s="151"/>
      <c r="B13" s="152"/>
      <c r="C13" s="127" t="str">
        <f>"["&amp;CHAR(CODE(MID(C12,2,1))+1)&amp;"]"</f>
        <v>[d]</v>
      </c>
      <c r="D13" s="123" t="str">
        <f>"C"&amp;-'10.1.2'!D$6&amp;"L"&amp;'10.1.2'!A$27&amp;" distributed to C"&amp;-'10.1.2'!O$6&amp;"L"&amp;'10.1.2'!A$22&amp;"...C"&amp;-'10.1.2'!O$6&amp;"L"&amp;'10.1.2'!A$26&amp;" based on RPW Periodicals volumes, "&amp;Doc!A$9&amp;" C"&amp;-'Inputs DK'!C$6&amp;" L"&amp;'Inputs DK'!A$22&amp;"..."&amp;'10.1.2'!A$27&amp;".  L"&amp;'10.1.2'!A$61&amp;" from "&amp;Doc!A$10&amp;" C"&amp;-'10.0.1'!G$6&amp;"L"&amp;'10.0.1'!A11&amp;" minus "&amp;Doc!A$14&amp;" C"&amp;-'10.1.1 PQ1-2'!L$6&amp;"L"&amp;'10.1.1 PQ1-2'!A$28&amp;"."</f>
        <v>C2L18 distributed to C13L13...C13L17 based on RPW Periodicals volumes, Inputs DK C1 L13...18.  L52 from WS 10.0.1 C5L2 minus WS 10.2.1 C10L19.</v>
      </c>
    </row>
    <row r="14" ht="12">
      <c r="D14" s="17"/>
    </row>
    <row r="15" ht="12">
      <c r="D15" s="17"/>
    </row>
    <row r="16" ht="12">
      <c r="D16" s="17"/>
    </row>
    <row r="17" ht="12">
      <c r="D17" s="17"/>
    </row>
    <row r="18" ht="12">
      <c r="D18" s="17"/>
    </row>
    <row r="19" ht="12">
      <c r="D19" s="17"/>
    </row>
    <row r="20" ht="12">
      <c r="D20" s="17"/>
    </row>
    <row r="21" ht="12">
      <c r="D21" s="17"/>
    </row>
    <row r="22" ht="12">
      <c r="D22" s="17"/>
    </row>
  </sheetData>
  <printOptions/>
  <pageMargins left="0.5" right="0.5" top="1" bottom="0.5" header="0.75" footer="0.2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2"/>
  <dimension ref="A1:I71"/>
  <sheetViews>
    <sheetView workbookViewId="0" topLeftCell="C17">
      <selection activeCell="G29" sqref="G29"/>
    </sheetView>
  </sheetViews>
  <sheetFormatPr defaultColWidth="8.88671875" defaultRowHeight="15.75"/>
  <cols>
    <col min="1" max="1" width="3.6640625" style="2" customWidth="1"/>
    <col min="2" max="2" width="34.88671875" style="2" customWidth="1"/>
    <col min="3" max="3" width="11.77734375" style="2" customWidth="1"/>
    <col min="4" max="4" width="11.4453125" style="2" customWidth="1"/>
    <col min="5" max="5" width="11.5546875" style="2" customWidth="1"/>
    <col min="6" max="6" width="11.99609375" style="2" customWidth="1"/>
    <col min="7" max="8" width="12.4453125" style="2" customWidth="1"/>
    <col min="9" max="16384" width="8.88671875" style="2" customWidth="1"/>
  </cols>
  <sheetData>
    <row r="1" s="1" customFormat="1" ht="12.75" customHeight="1">
      <c r="A1" s="107" t="str">
        <f>Doc!A1</f>
        <v>Base Year 2005 - USPS Version</v>
      </c>
    </row>
    <row r="2" s="1" customFormat="1" ht="12.75" customHeight="1">
      <c r="A2" s="107" t="str">
        <f>Doc!A2</f>
        <v>C/S 10 RURAL CARRIERS</v>
      </c>
    </row>
    <row r="3" s="1" customFormat="1" ht="12.75" customHeight="1">
      <c r="A3" s="108" t="s">
        <v>8</v>
      </c>
    </row>
    <row r="4" s="1" customFormat="1" ht="12.75" customHeight="1"/>
    <row r="5" spans="1:6" ht="22.5">
      <c r="A5" s="116" t="s">
        <v>28</v>
      </c>
      <c r="B5" s="132" t="str">
        <f>Doc!A10&amp;"  "&amp;Doc!B10</f>
        <v>WS 10.0.1  EVALUATED AND OTHER ROUTES, ALLOCATION OF ACCRUED AND VVC</v>
      </c>
      <c r="C5" s="118" t="s">
        <v>203</v>
      </c>
      <c r="D5" s="118" t="s">
        <v>201</v>
      </c>
      <c r="E5" s="118" t="s">
        <v>204</v>
      </c>
      <c r="F5" s="118" t="s">
        <v>202</v>
      </c>
    </row>
    <row r="6" spans="1:6" s="96" customFormat="1" ht="11.25">
      <c r="A6" s="94"/>
      <c r="B6" s="95" t="s">
        <v>29</v>
      </c>
      <c r="C6" s="84" t="s">
        <v>30</v>
      </c>
      <c r="D6" s="73" t="s">
        <v>31</v>
      </c>
      <c r="E6" s="84" t="s">
        <v>30</v>
      </c>
      <c r="F6" s="73" t="s">
        <v>31</v>
      </c>
    </row>
    <row r="7" spans="1:6" s="96" customFormat="1" ht="11.25">
      <c r="A7" s="94"/>
      <c r="B7" s="95" t="s">
        <v>32</v>
      </c>
      <c r="C7" s="73" t="s">
        <v>33</v>
      </c>
      <c r="D7" s="73" t="s">
        <v>33</v>
      </c>
      <c r="E7" s="73" t="s">
        <v>33</v>
      </c>
      <c r="F7" s="73" t="s">
        <v>33</v>
      </c>
    </row>
    <row r="8" spans="1:6" s="96" customFormat="1" ht="11.25">
      <c r="A8" s="97"/>
      <c r="B8" s="98" t="s">
        <v>34</v>
      </c>
      <c r="C8" s="82" t="s">
        <v>35</v>
      </c>
      <c r="D8" s="260" t="s">
        <v>200</v>
      </c>
      <c r="E8" s="82" t="s">
        <v>35</v>
      </c>
      <c r="F8" s="260" t="s">
        <v>200</v>
      </c>
    </row>
    <row r="9" spans="1:6" s="96" customFormat="1" ht="11.25">
      <c r="A9" s="153">
        <v>1</v>
      </c>
      <c r="B9" s="99" t="s">
        <v>36</v>
      </c>
      <c r="C9" s="165">
        <f>'[1]I-TRIAL BAL'!$E$23/1000</f>
        <v>5149054.4986499995</v>
      </c>
      <c r="D9" s="165"/>
      <c r="E9" s="165">
        <f>'[1]I-TRIAL BAL'!$G$23/('[1]I-TRIAL BAL'!$F$23+'[1]I-TRIAL BAL'!$G$23)*'[1]I-TRIAL BAL'!$E$23/1000</f>
        <v>2648716.676681711</v>
      </c>
      <c r="F9" s="165"/>
    </row>
    <row r="10" spans="1:6" s="96" customFormat="1" ht="11.25">
      <c r="A10" s="153">
        <f>A9+1</f>
        <v>2</v>
      </c>
      <c r="B10" s="101" t="s">
        <v>37</v>
      </c>
      <c r="C10" s="165">
        <f>'[1]I-TRIAL BAL'!$E$24/1000</f>
        <v>449337.3992</v>
      </c>
      <c r="D10" s="165"/>
      <c r="E10" s="165"/>
      <c r="F10" s="165"/>
    </row>
    <row r="11" spans="1:6" s="96" customFormat="1" ht="11.25">
      <c r="A11" s="153">
        <f>A10+1</f>
        <v>3</v>
      </c>
      <c r="B11" s="101" t="s">
        <v>38</v>
      </c>
      <c r="C11" s="102"/>
      <c r="D11" s="102">
        <f>'[1]I-FACTORS'!$E$76</f>
        <v>0.4239</v>
      </c>
      <c r="E11" s="102"/>
      <c r="F11" s="102">
        <f>'[1]I-FACTORS'!$C$76</f>
        <v>0.429</v>
      </c>
    </row>
    <row r="12" spans="1:6" s="96" customFormat="1" ht="11.25">
      <c r="A12" s="153">
        <f>A11+1</f>
        <v>4</v>
      </c>
      <c r="B12" s="100" t="s">
        <v>39</v>
      </c>
      <c r="C12" s="102"/>
      <c r="D12" s="102">
        <f>'[1]I-FACTORS'!$E$77</f>
        <v>0.4031</v>
      </c>
      <c r="E12" s="102"/>
      <c r="F12" s="102">
        <f>'[1]I-FACTORS'!$C$77</f>
        <v>0.4047</v>
      </c>
    </row>
    <row r="13" spans="1:6" s="96" customFormat="1" ht="22.5">
      <c r="A13" s="154"/>
      <c r="B13" s="214" t="str">
        <f>Doc!A11&amp;"  "&amp;Doc!B11</f>
        <v>WS 10.0.2  PAY DATA SPLIT FACTOR</v>
      </c>
      <c r="C13" s="198" t="s">
        <v>40</v>
      </c>
      <c r="D13" s="198" t="s">
        <v>40</v>
      </c>
      <c r="E13" s="116" t="s">
        <v>41</v>
      </c>
      <c r="F13" s="116" t="s">
        <v>41</v>
      </c>
    </row>
    <row r="14" spans="1:6" s="96" customFormat="1" ht="11.25">
      <c r="A14" s="155"/>
      <c r="B14" s="95" t="s">
        <v>29</v>
      </c>
      <c r="C14" s="84" t="s">
        <v>30</v>
      </c>
      <c r="D14" s="84" t="s">
        <v>30</v>
      </c>
      <c r="E14" s="84" t="s">
        <v>30</v>
      </c>
      <c r="F14" s="84" t="s">
        <v>30</v>
      </c>
    </row>
    <row r="15" spans="1:6" s="96" customFormat="1" ht="11.25">
      <c r="A15" s="155"/>
      <c r="B15" s="95" t="s">
        <v>32</v>
      </c>
      <c r="C15" s="73" t="s">
        <v>33</v>
      </c>
      <c r="D15" s="73" t="s">
        <v>33</v>
      </c>
      <c r="E15" s="73" t="s">
        <v>33</v>
      </c>
      <c r="F15" s="73" t="s">
        <v>33</v>
      </c>
    </row>
    <row r="16" spans="1:6" s="78" customFormat="1" ht="45">
      <c r="A16" s="156"/>
      <c r="B16" s="98" t="s">
        <v>34</v>
      </c>
      <c r="C16" s="82" t="str">
        <f>'[1]I-CS10'!$B$10</f>
        <v>AAW202P1 - Rural Carrier Payroll Hours Summary Report</v>
      </c>
      <c r="D16" s="82"/>
      <c r="E16" s="82" t="str">
        <f>'[1]I-CS10'!$B$10</f>
        <v>AAW202P1 - Rural Carrier Payroll Hours Summary Report</v>
      </c>
      <c r="F16" s="82"/>
    </row>
    <row r="17" spans="1:6" s="96" customFormat="1" ht="11.25">
      <c r="A17" s="153">
        <f>A12+1</f>
        <v>5</v>
      </c>
      <c r="B17" s="99" t="s">
        <v>185</v>
      </c>
      <c r="C17" s="165">
        <f>'[1]I-CS10'!$B$14</f>
        <v>1619997506</v>
      </c>
      <c r="D17" s="165"/>
      <c r="E17" s="165">
        <f>'[1]I-CS10'!$D$14</f>
        <v>140141136</v>
      </c>
      <c r="F17" s="165"/>
    </row>
    <row r="18" spans="1:6" s="96" customFormat="1" ht="11.25">
      <c r="A18" s="157">
        <f>A17+1</f>
        <v>6</v>
      </c>
      <c r="B18" s="259" t="s">
        <v>186</v>
      </c>
      <c r="C18" s="165">
        <f>'[1]I-CS10'!$B$15</f>
        <v>1924913308</v>
      </c>
      <c r="D18" s="215"/>
      <c r="E18" s="165">
        <f>'[1]I-CS10'!$D$15</f>
        <v>185256861</v>
      </c>
      <c r="F18" s="215"/>
    </row>
    <row r="19" spans="1:8" s="96" customFormat="1" ht="45">
      <c r="A19" s="154"/>
      <c r="B19" s="135" t="s">
        <v>42</v>
      </c>
      <c r="C19" s="119" t="s">
        <v>188</v>
      </c>
      <c r="D19" s="119" t="s">
        <v>189</v>
      </c>
      <c r="E19" s="119" t="s">
        <v>192</v>
      </c>
      <c r="F19" s="119" t="s">
        <v>190</v>
      </c>
      <c r="G19" s="119" t="s">
        <v>191</v>
      </c>
      <c r="H19" s="119" t="s">
        <v>193</v>
      </c>
    </row>
    <row r="20" spans="1:8" s="96" customFormat="1" ht="11.25">
      <c r="A20" s="155"/>
      <c r="B20" s="95" t="s">
        <v>29</v>
      </c>
      <c r="C20" s="84" t="s">
        <v>43</v>
      </c>
      <c r="D20" s="84" t="s">
        <v>43</v>
      </c>
      <c r="E20" s="73" t="s">
        <v>44</v>
      </c>
      <c r="F20" s="84" t="s">
        <v>43</v>
      </c>
      <c r="G20" s="84" t="s">
        <v>43</v>
      </c>
      <c r="H20" s="73" t="s">
        <v>44</v>
      </c>
    </row>
    <row r="21" spans="1:8" s="96" customFormat="1" ht="11.25">
      <c r="A21" s="155"/>
      <c r="B21" s="95" t="s">
        <v>32</v>
      </c>
      <c r="C21" s="73" t="s">
        <v>33</v>
      </c>
      <c r="D21" s="73" t="s">
        <v>33</v>
      </c>
      <c r="E21" s="73" t="s">
        <v>33</v>
      </c>
      <c r="F21" s="73" t="s">
        <v>33</v>
      </c>
      <c r="G21" s="73" t="s">
        <v>33</v>
      </c>
      <c r="H21" s="73" t="s">
        <v>33</v>
      </c>
    </row>
    <row r="22" spans="1:8" s="96" customFormat="1" ht="11.25">
      <c r="A22" s="207"/>
      <c r="B22" s="95" t="s">
        <v>34</v>
      </c>
      <c r="C22" s="239" t="s">
        <v>205</v>
      </c>
      <c r="D22" s="239" t="s">
        <v>205</v>
      </c>
      <c r="E22" s="238" t="s">
        <v>45</v>
      </c>
      <c r="F22" s="239" t="s">
        <v>206</v>
      </c>
      <c r="G22" s="239" t="s">
        <v>206</v>
      </c>
      <c r="H22" s="238" t="s">
        <v>45</v>
      </c>
    </row>
    <row r="23" spans="1:8" s="96" customFormat="1" ht="11.25">
      <c r="A23" s="153">
        <f>A18+1</f>
        <v>7</v>
      </c>
      <c r="B23" s="104" t="s">
        <v>46</v>
      </c>
      <c r="C23" s="216">
        <f>'[1]I-FACTORS'!$E84</f>
        <v>3801.14</v>
      </c>
      <c r="D23" s="216">
        <f>'[1]I-FACTORS'!$E102</f>
        <v>2099.38</v>
      </c>
      <c r="E23" s="217">
        <f>'[1]I-FACTORS'!$E120</f>
        <v>0.06989999999999999</v>
      </c>
      <c r="F23" s="216">
        <f>'[1]I-FACTORS'!$C84</f>
        <v>3728.43</v>
      </c>
      <c r="G23" s="216">
        <f>'[1]I-FACTORS'!$C102</f>
        <v>2090.96</v>
      </c>
      <c r="H23" s="217">
        <f>'[1]I-FACTORS'!$C120</f>
        <v>0.06989999999999999</v>
      </c>
    </row>
    <row r="24" spans="1:8" s="96" customFormat="1" ht="11.25">
      <c r="A24" s="153">
        <f>A23+1</f>
        <v>8</v>
      </c>
      <c r="B24" s="101" t="s">
        <v>47</v>
      </c>
      <c r="C24" s="218">
        <f>'[1]I-FACTORS'!$E85</f>
        <v>3585.9</v>
      </c>
      <c r="D24" s="218">
        <f>'[1]I-FACTORS'!$E103</f>
        <v>1585.06</v>
      </c>
      <c r="E24" s="219">
        <f>'[1]I-FACTORS'!$E121</f>
        <v>0.11430000000000001</v>
      </c>
      <c r="F24" s="218">
        <f>'[1]I-FACTORS'!$C85</f>
        <v>3764.56</v>
      </c>
      <c r="G24" s="218">
        <f>'[1]I-FACTORS'!$C103</f>
        <v>1704.77</v>
      </c>
      <c r="H24" s="219">
        <f>'[1]I-FACTORS'!$C121</f>
        <v>0.11430000000000001</v>
      </c>
    </row>
    <row r="25" spans="1:8" s="96" customFormat="1" ht="11.25">
      <c r="A25" s="153">
        <f>A24+1</f>
        <v>9</v>
      </c>
      <c r="B25" s="101" t="s">
        <v>48</v>
      </c>
      <c r="C25" s="218">
        <f>'[1]I-FACTORS'!$E86</f>
        <v>232.7732416</v>
      </c>
      <c r="D25" s="218">
        <f>'[1]I-FACTORS'!$E104</f>
        <v>112.7256234</v>
      </c>
      <c r="E25" s="219">
        <f>'[1]I-FACTORS'!$E122</f>
        <v>0.5</v>
      </c>
      <c r="F25" s="218">
        <f>'[1]I-FACTORS'!$C86</f>
        <v>246.2618543</v>
      </c>
      <c r="G25" s="218">
        <f>'[1]I-FACTORS'!$C104</f>
        <v>121.7704096</v>
      </c>
      <c r="H25" s="219">
        <f>'[1]I-FACTORS'!$C122</f>
        <v>0.5</v>
      </c>
    </row>
    <row r="26" spans="1:8" s="96" customFormat="1" ht="11.25">
      <c r="A26" s="153">
        <f>A25+1</f>
        <v>10</v>
      </c>
      <c r="B26" s="101" t="s">
        <v>49</v>
      </c>
      <c r="C26" s="218">
        <f>'[1]I-FACTORS'!$E87</f>
        <v>916.4808666</v>
      </c>
      <c r="D26" s="218">
        <f>'[1]I-FACTORS'!$E105</f>
        <v>425.4761504</v>
      </c>
      <c r="E26" s="219">
        <f>'[1]I-FACTORS'!$E123</f>
        <v>0.04</v>
      </c>
      <c r="F26" s="218">
        <f>'[1]I-FACTORS'!$C87</f>
        <v>936.3507541</v>
      </c>
      <c r="G26" s="218">
        <f>'[1]I-FACTORS'!$C105</f>
        <v>430.7381924</v>
      </c>
      <c r="H26" s="219">
        <f>'[1]I-FACTORS'!$C123</f>
        <v>0.04</v>
      </c>
    </row>
    <row r="27" spans="1:8" s="96" customFormat="1" ht="11.25">
      <c r="A27" s="153">
        <f aca="true" t="shared" si="0" ref="A27:A40">A26+1</f>
        <v>11</v>
      </c>
      <c r="B27" s="101" t="s">
        <v>50</v>
      </c>
      <c r="C27" s="218">
        <f>'[1]I-FACTORS'!$E88</f>
        <v>0.1840647</v>
      </c>
      <c r="D27" s="218">
        <f>'[1]I-FACTORS'!$E106</f>
        <v>0.0897695</v>
      </c>
      <c r="E27" s="219">
        <f>'[1]I-FACTORS'!$E124</f>
        <v>5.967</v>
      </c>
      <c r="F27" s="218">
        <f>'[1]I-FACTORS'!$C88</f>
        <v>0.1641469</v>
      </c>
      <c r="G27" s="218">
        <f>'[1]I-FACTORS'!$C106</f>
        <v>0.0748236</v>
      </c>
      <c r="H27" s="219">
        <f>'[1]I-FACTORS'!$C124</f>
        <v>5.967</v>
      </c>
    </row>
    <row r="28" spans="1:8" s="96" customFormat="1" ht="11.25">
      <c r="A28" s="153">
        <f t="shared" si="0"/>
        <v>12</v>
      </c>
      <c r="B28" s="101" t="s">
        <v>51</v>
      </c>
      <c r="C28" s="218">
        <f>'[1]I-FACTORS'!$E89</f>
        <v>18.5012282</v>
      </c>
      <c r="D28" s="218">
        <f>'[1]I-FACTORS'!$E107</f>
        <v>9.6317165</v>
      </c>
      <c r="E28" s="219">
        <f>'[1]I-FACTORS'!$E125</f>
        <v>4.467</v>
      </c>
      <c r="F28" s="218">
        <f>'[1]I-FACTORS'!$C89</f>
        <v>18.7128447</v>
      </c>
      <c r="G28" s="218">
        <f>'[1]I-FACTORS'!$C107</f>
        <v>9.5079563</v>
      </c>
      <c r="H28" s="219">
        <f>'[1]I-FACTORS'!$C125</f>
        <v>4.467</v>
      </c>
    </row>
    <row r="29" spans="1:8" s="96" customFormat="1" ht="11.25">
      <c r="A29" s="153">
        <f t="shared" si="0"/>
        <v>13</v>
      </c>
      <c r="B29" s="99" t="s">
        <v>52</v>
      </c>
      <c r="C29" s="218">
        <f>'[1]I-FACTORS'!$E90</f>
        <v>7214.39</v>
      </c>
      <c r="D29" s="218">
        <f>'[1]I-FACTORS'!$E108</f>
        <v>2678.08</v>
      </c>
      <c r="E29" s="219">
        <f>'[1]I-FACTORS'!$E126</f>
        <v>0.0333</v>
      </c>
      <c r="F29" s="218">
        <f>'[1]I-FACTORS'!$C90</f>
        <v>7689.52</v>
      </c>
      <c r="G29" s="218">
        <f>'[1]I-FACTORS'!$C108</f>
        <v>2860.26</v>
      </c>
      <c r="H29" s="219">
        <f>'[1]I-FACTORS'!$C126</f>
        <v>0.0333</v>
      </c>
    </row>
    <row r="30" spans="1:9" s="96" customFormat="1" ht="11.25">
      <c r="A30" s="153">
        <f t="shared" si="0"/>
        <v>14</v>
      </c>
      <c r="B30" s="99" t="s">
        <v>53</v>
      </c>
      <c r="C30" s="218">
        <f>'[1]I-FACTORS'!$E91</f>
        <v>195.6634335</v>
      </c>
      <c r="D30" s="218">
        <f>'[1]I-FACTORS'!$E109</f>
        <v>327.1257176</v>
      </c>
      <c r="E30" s="219">
        <f>'[1]I-FACTORS'!$E127</f>
        <v>0.0587</v>
      </c>
      <c r="F30" s="218">
        <f>'[1]I-FACTORS'!$C91</f>
        <v>188.8551246</v>
      </c>
      <c r="G30" s="218">
        <f>'[1]I-FACTORS'!$C109</f>
        <v>311.0603754</v>
      </c>
      <c r="H30" s="219">
        <f>'[1]I-FACTORS'!$C127</f>
        <v>0.0587</v>
      </c>
      <c r="I30" s="237"/>
    </row>
    <row r="31" spans="1:8" s="96" customFormat="1" ht="11.25">
      <c r="A31" s="153">
        <f t="shared" si="0"/>
        <v>15</v>
      </c>
      <c r="B31" s="101" t="s">
        <v>54</v>
      </c>
      <c r="C31" s="218">
        <f>'[1]I-FACTORS'!$E92</f>
        <v>1.7831589</v>
      </c>
      <c r="D31" s="218">
        <f>'[1]I-FACTORS'!$E110</f>
        <v>0.9370627</v>
      </c>
      <c r="E31" s="219">
        <f>'[1]I-FACTORS'!$E128</f>
        <v>0.2</v>
      </c>
      <c r="F31" s="218">
        <f>'[1]I-FACTORS'!$C92</f>
        <v>1.7077021</v>
      </c>
      <c r="G31" s="218">
        <f>'[1]I-FACTORS'!$C110</f>
        <v>0.8471242</v>
      </c>
      <c r="H31" s="219">
        <f>'[1]I-FACTORS'!$C128</f>
        <v>0.2</v>
      </c>
    </row>
    <row r="32" spans="1:8" s="96" customFormat="1" ht="11.25">
      <c r="A32" s="153">
        <f t="shared" si="0"/>
        <v>16</v>
      </c>
      <c r="B32" s="101" t="s">
        <v>55</v>
      </c>
      <c r="C32" s="218">
        <f>'[1]I-FACTORS'!$E93</f>
        <v>0.0578664</v>
      </c>
      <c r="D32" s="218">
        <f>'[1]I-FACTORS'!$E111</f>
        <v>0.0327861</v>
      </c>
      <c r="E32" s="219">
        <f>'[1]I-FACTORS'!$E129</f>
        <v>0.25</v>
      </c>
      <c r="F32" s="218">
        <f>'[1]I-FACTORS'!$C93</f>
        <v>0.0440769</v>
      </c>
      <c r="G32" s="218">
        <f>'[1]I-FACTORS'!$C111</f>
        <v>0.0412689</v>
      </c>
      <c r="H32" s="219">
        <f>'[1]I-FACTORS'!$C129</f>
        <v>0.25</v>
      </c>
    </row>
    <row r="33" spans="1:8" s="96" customFormat="1" ht="11.25">
      <c r="A33" s="153">
        <f t="shared" si="0"/>
        <v>17</v>
      </c>
      <c r="B33" s="101" t="s">
        <v>56</v>
      </c>
      <c r="C33" s="218">
        <f>'[1]I-FACTORS'!$E94</f>
        <v>930.0617156</v>
      </c>
      <c r="D33" s="218">
        <f>'[1]I-FACTORS'!$E112</f>
        <v>416.3331315</v>
      </c>
      <c r="E33" s="219">
        <f>'[1]I-FACTORS'!$E130</f>
        <v>0.04</v>
      </c>
      <c r="F33" s="218">
        <f>'[1]I-FACTORS'!$C94</f>
        <v>925.6418613</v>
      </c>
      <c r="G33" s="218">
        <f>'[1]I-FACTORS'!$C112</f>
        <v>417.6965892</v>
      </c>
      <c r="H33" s="219">
        <f>'[1]I-FACTORS'!$C130</f>
        <v>0.04</v>
      </c>
    </row>
    <row r="34" spans="1:8" s="96" customFormat="1" ht="11.25">
      <c r="A34" s="153">
        <f t="shared" si="0"/>
        <v>18</v>
      </c>
      <c r="B34" s="101" t="s">
        <v>57</v>
      </c>
      <c r="C34" s="218">
        <f>'[1]I-FACTORS'!$E95</f>
        <v>3.2860747</v>
      </c>
      <c r="D34" s="218">
        <f>'[1]I-FACTORS'!$E113</f>
        <v>1.9446874</v>
      </c>
      <c r="E34" s="219">
        <f>'[1]I-FACTORS'!$E131</f>
        <v>4</v>
      </c>
      <c r="F34" s="218">
        <f>'[1]I-FACTORS'!$C95</f>
        <v>3.6509401</v>
      </c>
      <c r="G34" s="218">
        <f>'[1]I-FACTORS'!$C113</f>
        <v>2.2368548</v>
      </c>
      <c r="H34" s="219">
        <f>'[1]I-FACTORS'!$C131</f>
        <v>4</v>
      </c>
    </row>
    <row r="35" spans="1:8" s="96" customFormat="1" ht="11.25">
      <c r="A35" s="153">
        <f t="shared" si="0"/>
        <v>19</v>
      </c>
      <c r="B35" s="101" t="s">
        <v>58</v>
      </c>
      <c r="C35" s="218">
        <f>'[1]I-FACTORS'!$E96</f>
        <v>0.6124531</v>
      </c>
      <c r="D35" s="218">
        <f>'[1]I-FACTORS'!$E114</f>
        <v>0.2900184</v>
      </c>
      <c r="E35" s="219">
        <f>'[1]I-FACTORS'!$E132</f>
        <v>2</v>
      </c>
      <c r="F35" s="218">
        <f>'[1]I-FACTORS'!$C96</f>
        <v>0.591301</v>
      </c>
      <c r="G35" s="218">
        <f>'[1]I-FACTORS'!$C114</f>
        <v>0.2885476</v>
      </c>
      <c r="H35" s="219">
        <f>'[1]I-FACTORS'!$C132</f>
        <v>2</v>
      </c>
    </row>
    <row r="36" spans="1:8" s="96" customFormat="1" ht="11.25">
      <c r="A36" s="153">
        <f t="shared" si="0"/>
        <v>20</v>
      </c>
      <c r="B36" s="101" t="s">
        <v>59</v>
      </c>
      <c r="C36" s="218">
        <f>'[1]I-FACTORS'!$E97</f>
        <v>0.218943</v>
      </c>
      <c r="D36" s="218">
        <f>'[1]I-FACTORS'!$E115</f>
        <v>0.1147179</v>
      </c>
      <c r="E36" s="219">
        <f>'[1]I-FACTORS'!$E133</f>
        <v>3.5</v>
      </c>
      <c r="F36" s="218">
        <f>'[1]I-FACTORS'!$C97</f>
        <v>0.2106027</v>
      </c>
      <c r="G36" s="218">
        <f>'[1]I-FACTORS'!$C115</f>
        <v>0.1562082</v>
      </c>
      <c r="H36" s="219">
        <f>'[1]I-FACTORS'!$C133</f>
        <v>3.5</v>
      </c>
    </row>
    <row r="37" spans="1:8" s="96" customFormat="1" ht="11.25">
      <c r="A37" s="153">
        <f t="shared" si="0"/>
        <v>21</v>
      </c>
      <c r="B37" s="101" t="s">
        <v>60</v>
      </c>
      <c r="C37" s="218">
        <f>'[1]I-FACTORS'!$E98</f>
        <v>49.5199394</v>
      </c>
      <c r="D37" s="218">
        <f>'[1]I-FACTORS'!$E116</f>
        <v>30.6617218</v>
      </c>
      <c r="E37" s="219">
        <f>'[1]I-FACTORS'!$E134</f>
        <v>0.5</v>
      </c>
      <c r="F37" s="218">
        <f>'[1]I-FACTORS'!$C98</f>
        <v>50.454135</v>
      </c>
      <c r="G37" s="218">
        <f>'[1]I-FACTORS'!$C116</f>
        <v>31.8179397</v>
      </c>
      <c r="H37" s="219">
        <f>'[1]I-FACTORS'!$C134</f>
        <v>0.5</v>
      </c>
    </row>
    <row r="38" spans="1:8" s="96" customFormat="1" ht="11.25">
      <c r="A38" s="153">
        <f t="shared" si="0"/>
        <v>22</v>
      </c>
      <c r="B38" s="101" t="s">
        <v>61</v>
      </c>
      <c r="C38" s="218">
        <f>'[1]I-FACTORS'!$E99</f>
        <v>103.7495393</v>
      </c>
      <c r="D38" s="218">
        <f>'[1]I-FACTORS'!$E117</f>
        <v>61.9246053</v>
      </c>
      <c r="E38" s="219">
        <f>'[1]I-FACTORS'!$E135</f>
        <v>0.2357</v>
      </c>
      <c r="F38" s="218">
        <f>'[1]I-FACTORS'!$C99</f>
        <v>104.4997561</v>
      </c>
      <c r="G38" s="218">
        <f>'[1]I-FACTORS'!$C117</f>
        <v>65.2593746</v>
      </c>
      <c r="H38" s="219">
        <f>'[1]I-FACTORS'!$C135</f>
        <v>0.2357</v>
      </c>
    </row>
    <row r="39" spans="1:8" ht="11.25">
      <c r="A39" s="247">
        <f t="shared" si="0"/>
        <v>23</v>
      </c>
      <c r="B39" s="248" t="s">
        <v>181</v>
      </c>
      <c r="C39" s="220">
        <f>'[1]I-FACTORS'!$E100</f>
        <v>47.94</v>
      </c>
      <c r="D39" s="220">
        <f>'[1]I-FACTORS'!$E118</f>
        <v>47.94</v>
      </c>
      <c r="E39" s="221">
        <f>'[1]I-FACTORS'!$E136</f>
        <v>0.3</v>
      </c>
      <c r="F39" s="220">
        <f>'[1]I-FACTORS'!$C100</f>
        <v>50.9</v>
      </c>
      <c r="G39" s="220">
        <f>'[1]I-FACTORS'!$C118</f>
        <v>50.9</v>
      </c>
      <c r="H39" s="221">
        <f>'[1]I-FACTORS'!$C136</f>
        <v>0.3</v>
      </c>
    </row>
    <row r="40" spans="1:8" ht="11.25">
      <c r="A40" s="249">
        <f t="shared" si="0"/>
        <v>24</v>
      </c>
      <c r="B40" s="250" t="s">
        <v>182</v>
      </c>
      <c r="C40" s="252">
        <f>'[1]I-FACTORS'!$E$137</f>
        <v>1700.2</v>
      </c>
      <c r="D40" s="252">
        <f>'[1]I-FACTORS'!$E$138</f>
        <v>926</v>
      </c>
      <c r="E40" s="252"/>
      <c r="F40" s="252">
        <f>'[1]I-FACTORS'!$C$137</f>
        <v>1710.33</v>
      </c>
      <c r="G40" s="252">
        <f>'[1]I-FACTORS'!$C$138</f>
        <v>919.65</v>
      </c>
      <c r="H40" s="251"/>
    </row>
    <row r="41" spans="2:8" ht="11.25">
      <c r="B41" s="3"/>
      <c r="C41" s="6"/>
      <c r="D41" s="7"/>
      <c r="E41" s="206"/>
      <c r="H41" s="206"/>
    </row>
    <row r="42" spans="2:8" ht="11.25">
      <c r="B42" s="3"/>
      <c r="C42" s="6"/>
      <c r="D42" s="7"/>
      <c r="H42" s="206"/>
    </row>
    <row r="43" spans="2:4" ht="11.25">
      <c r="B43" s="3"/>
      <c r="C43" s="6"/>
      <c r="D43" s="7"/>
    </row>
    <row r="44" spans="2:4" ht="11.25">
      <c r="B44" s="3"/>
      <c r="C44" s="6"/>
      <c r="D44" s="7"/>
    </row>
    <row r="45" spans="2:4" ht="11.25">
      <c r="B45" s="3"/>
      <c r="C45" s="6"/>
      <c r="D45" s="7"/>
    </row>
    <row r="46" spans="2:4" ht="11.25">
      <c r="B46" s="3"/>
      <c r="C46" s="6"/>
      <c r="D46" s="7"/>
    </row>
    <row r="47" spans="2:4" ht="11.25">
      <c r="B47" s="4"/>
      <c r="C47" s="6"/>
      <c r="D47" s="7"/>
    </row>
    <row r="48" spans="2:4" ht="11.25">
      <c r="B48" s="4"/>
      <c r="C48" s="6"/>
      <c r="D48" s="7"/>
    </row>
    <row r="49" spans="2:4" ht="11.25">
      <c r="B49" s="3"/>
      <c r="C49" s="6"/>
      <c r="D49" s="7"/>
    </row>
    <row r="50" spans="2:4" ht="11.25">
      <c r="B50" s="3"/>
      <c r="C50" s="6"/>
      <c r="D50" s="7"/>
    </row>
    <row r="51" spans="2:4" ht="11.25">
      <c r="B51" s="3"/>
      <c r="C51" s="6"/>
      <c r="D51" s="7"/>
    </row>
    <row r="52" spans="2:4" ht="11.25">
      <c r="B52" s="3"/>
      <c r="C52" s="6"/>
      <c r="D52" s="7"/>
    </row>
    <row r="53" spans="2:4" ht="11.25">
      <c r="B53" s="3"/>
      <c r="C53" s="6"/>
      <c r="D53" s="7"/>
    </row>
    <row r="54" spans="2:4" ht="11.25">
      <c r="B54" s="3"/>
      <c r="C54" s="6"/>
      <c r="D54" s="7"/>
    </row>
    <row r="55" spans="2:4" ht="11.25">
      <c r="B55" s="3"/>
      <c r="C55" s="6"/>
      <c r="D55" s="7"/>
    </row>
    <row r="56" spans="2:4" ht="11.25">
      <c r="B56" s="3"/>
      <c r="C56" s="6"/>
      <c r="D56" s="7"/>
    </row>
    <row r="57" spans="2:4" ht="11.25">
      <c r="B57" s="3"/>
      <c r="C57" s="6"/>
      <c r="D57" s="7"/>
    </row>
    <row r="58" spans="2:4" ht="11.25">
      <c r="B58" s="3"/>
      <c r="C58" s="6"/>
      <c r="D58" s="7"/>
    </row>
    <row r="59" spans="2:4" ht="11.25">
      <c r="B59" s="3"/>
      <c r="C59" s="6"/>
      <c r="D59" s="7"/>
    </row>
    <row r="60" spans="2:4" ht="11.25">
      <c r="B60" s="3"/>
      <c r="C60" s="6"/>
      <c r="D60" s="7"/>
    </row>
    <row r="61" spans="2:4" ht="11.25">
      <c r="B61" s="3"/>
      <c r="C61" s="6"/>
      <c r="D61" s="7"/>
    </row>
    <row r="62" spans="2:4" ht="11.25">
      <c r="B62" s="3"/>
      <c r="C62" s="6"/>
      <c r="D62" s="7"/>
    </row>
    <row r="63" spans="2:4" ht="11.25">
      <c r="B63" s="3"/>
      <c r="C63" s="6"/>
      <c r="D63" s="7"/>
    </row>
    <row r="64" spans="2:4" ht="11.25">
      <c r="B64" s="3"/>
      <c r="C64" s="6"/>
      <c r="D64" s="7"/>
    </row>
    <row r="65" spans="2:4" ht="11.25">
      <c r="B65" s="3"/>
      <c r="C65" s="6"/>
      <c r="D65" s="7"/>
    </row>
    <row r="66" spans="2:4" ht="11.25">
      <c r="B66" s="3"/>
      <c r="C66" s="6"/>
      <c r="D66" s="7"/>
    </row>
    <row r="67" spans="2:4" ht="11.25">
      <c r="B67" s="3"/>
      <c r="C67" s="6"/>
      <c r="D67" s="7"/>
    </row>
    <row r="68" spans="2:4" ht="11.25">
      <c r="B68" s="3"/>
      <c r="C68" s="6"/>
      <c r="D68" s="7"/>
    </row>
    <row r="69" spans="2:4" ht="11.25">
      <c r="B69" s="3"/>
      <c r="C69" s="6"/>
      <c r="D69" s="7"/>
    </row>
    <row r="70" spans="2:4" ht="11.25">
      <c r="B70" s="3"/>
      <c r="C70" s="6"/>
      <c r="D70" s="7"/>
    </row>
    <row r="71" spans="2:4" ht="11.25">
      <c r="B71" s="3"/>
      <c r="C71" s="6"/>
      <c r="D71" s="7"/>
    </row>
  </sheetData>
  <printOptions/>
  <pageMargins left="0.5" right="0.5" top="1" bottom="0.5" header="0.75" footer="0.25"/>
  <pageSetup fitToHeight="2" horizontalDpi="300" verticalDpi="300" orientation="landscape" r:id="rId1"/>
  <rowBreaks count="1" manualBreakCount="1">
    <brk id="28" max="65535" man="1"/>
  </rowBreaks>
</worksheet>
</file>

<file path=xl/worksheets/sheet3.xml><?xml version="1.0" encoding="utf-8"?>
<worksheet xmlns="http://schemas.openxmlformats.org/spreadsheetml/2006/main" xmlns:r="http://schemas.openxmlformats.org/officeDocument/2006/relationships">
  <sheetPr codeName="Sheet4"/>
  <dimension ref="A1:N77"/>
  <sheetViews>
    <sheetView workbookViewId="0" topLeftCell="A1">
      <selection activeCell="D30" sqref="D30:F31"/>
    </sheetView>
  </sheetViews>
  <sheetFormatPr defaultColWidth="8.88671875" defaultRowHeight="15.75"/>
  <cols>
    <col min="1" max="1" width="4.21484375" style="2" customWidth="1"/>
    <col min="2" max="2" width="20.88671875" style="2" customWidth="1"/>
    <col min="3" max="6" width="8.5546875" style="8" customWidth="1"/>
    <col min="7" max="7" width="9.4453125" style="8" customWidth="1"/>
    <col min="8" max="8" width="8.88671875" style="2" customWidth="1"/>
    <col min="9" max="9" width="8.6640625" style="2" customWidth="1"/>
    <col min="10" max="11" width="7.5546875" style="2" customWidth="1"/>
    <col min="12" max="12" width="9.4453125" style="2" customWidth="1"/>
    <col min="13" max="13" width="7.5546875" style="2" customWidth="1"/>
    <col min="14" max="14" width="7.77734375" style="2" customWidth="1"/>
    <col min="15" max="16384" width="8.88671875" style="2" customWidth="1"/>
  </cols>
  <sheetData>
    <row r="1" s="1" customFormat="1" ht="12.75" customHeight="1">
      <c r="A1" s="107" t="str">
        <f>Doc!A1</f>
        <v>Base Year 2005 - USPS Version</v>
      </c>
    </row>
    <row r="2" spans="1:2" s="1" customFormat="1" ht="12.75" customHeight="1">
      <c r="A2" s="107" t="str">
        <f>Doc!A2</f>
        <v>C/S 10 RURAL CARRIERS</v>
      </c>
      <c r="B2" s="109"/>
    </row>
    <row r="3" spans="1:2" s="1" customFormat="1" ht="12.75" customHeight="1">
      <c r="A3" s="110" t="str">
        <f>Doc!B9</f>
        <v>DISTRIBUTION KEY INPUTS</v>
      </c>
      <c r="B3" s="109"/>
    </row>
    <row r="4" spans="1:2" s="1" customFormat="1" ht="12.75" customHeight="1">
      <c r="A4" s="110"/>
      <c r="B4" s="109"/>
    </row>
    <row r="5" spans="1:14" s="5" customFormat="1" ht="22.5">
      <c r="A5" s="116" t="s">
        <v>28</v>
      </c>
      <c r="B5" s="132" t="s">
        <v>73</v>
      </c>
      <c r="C5" s="116" t="s">
        <v>74</v>
      </c>
      <c r="D5" s="116" t="s">
        <v>75</v>
      </c>
      <c r="E5" s="116" t="s">
        <v>76</v>
      </c>
      <c r="F5" s="116" t="s">
        <v>77</v>
      </c>
      <c r="G5" s="118" t="s">
        <v>78</v>
      </c>
      <c r="H5" s="116" t="s">
        <v>79</v>
      </c>
      <c r="I5" s="118" t="s">
        <v>80</v>
      </c>
      <c r="J5" s="118" t="s">
        <v>81</v>
      </c>
      <c r="K5" s="118" t="s">
        <v>82</v>
      </c>
      <c r="L5" s="120" t="s">
        <v>83</v>
      </c>
      <c r="M5" s="118" t="s">
        <v>84</v>
      </c>
      <c r="N5" s="118" t="s">
        <v>85</v>
      </c>
    </row>
    <row r="6" spans="1:14" s="5" customFormat="1" ht="11.25">
      <c r="A6" s="43"/>
      <c r="B6" s="208" t="s">
        <v>67</v>
      </c>
      <c r="C6" s="14">
        <v>-1</v>
      </c>
      <c r="D6" s="14">
        <f>C6-1</f>
        <v>-2</v>
      </c>
      <c r="E6" s="14">
        <f>D6-1</f>
        <v>-3</v>
      </c>
      <c r="F6" s="14">
        <f>E6-1</f>
        <v>-4</v>
      </c>
      <c r="G6" s="14">
        <f>D6-1</f>
        <v>-3</v>
      </c>
      <c r="H6" s="14">
        <f aca="true" t="shared" si="0" ref="H6:N6">G6-1</f>
        <v>-4</v>
      </c>
      <c r="I6" s="14">
        <f t="shared" si="0"/>
        <v>-5</v>
      </c>
      <c r="J6" s="14">
        <f t="shared" si="0"/>
        <v>-6</v>
      </c>
      <c r="K6" s="14">
        <f t="shared" si="0"/>
        <v>-7</v>
      </c>
      <c r="L6" s="14">
        <f t="shared" si="0"/>
        <v>-8</v>
      </c>
      <c r="M6" s="14">
        <f t="shared" si="0"/>
        <v>-9</v>
      </c>
      <c r="N6" s="14">
        <f t="shared" si="0"/>
        <v>-10</v>
      </c>
    </row>
    <row r="7" spans="1:14" s="5" customFormat="1" ht="22.5">
      <c r="A7" s="43"/>
      <c r="B7" s="202" t="s">
        <v>29</v>
      </c>
      <c r="C7" s="33" t="s">
        <v>86</v>
      </c>
      <c r="D7" s="33" t="s">
        <v>86</v>
      </c>
      <c r="E7" s="33" t="s">
        <v>86</v>
      </c>
      <c r="F7" s="33" t="s">
        <v>86</v>
      </c>
      <c r="G7" s="33" t="s">
        <v>86</v>
      </c>
      <c r="H7" s="33" t="s">
        <v>86</v>
      </c>
      <c r="I7" s="33" t="s">
        <v>86</v>
      </c>
      <c r="J7" s="33" t="s">
        <v>86</v>
      </c>
      <c r="K7" s="33" t="s">
        <v>86</v>
      </c>
      <c r="L7" s="33" t="s">
        <v>86</v>
      </c>
      <c r="M7" s="33" t="s">
        <v>86</v>
      </c>
      <c r="N7" s="33" t="s">
        <v>86</v>
      </c>
    </row>
    <row r="8" spans="1:14" s="5" customFormat="1" ht="22.5">
      <c r="A8" s="43"/>
      <c r="B8" s="202" t="s">
        <v>32</v>
      </c>
      <c r="C8" s="54" t="s">
        <v>33</v>
      </c>
      <c r="D8" s="54" t="s">
        <v>33</v>
      </c>
      <c r="E8" s="54" t="s">
        <v>33</v>
      </c>
      <c r="F8" s="54" t="s">
        <v>33</v>
      </c>
      <c r="G8" s="54" t="s">
        <v>33</v>
      </c>
      <c r="H8" s="54" t="s">
        <v>33</v>
      </c>
      <c r="I8" s="54" t="s">
        <v>33</v>
      </c>
      <c r="J8" s="54" t="s">
        <v>33</v>
      </c>
      <c r="K8" s="54" t="s">
        <v>33</v>
      </c>
      <c r="L8" s="54" t="s">
        <v>33</v>
      </c>
      <c r="M8" s="54" t="s">
        <v>33</v>
      </c>
      <c r="N8" s="54" t="s">
        <v>33</v>
      </c>
    </row>
    <row r="9" spans="1:14" s="5" customFormat="1" ht="11.25" customHeight="1">
      <c r="A9" s="44"/>
      <c r="B9" s="45" t="s">
        <v>34</v>
      </c>
      <c r="C9" s="46" t="s">
        <v>87</v>
      </c>
      <c r="D9" s="83" t="s">
        <v>88</v>
      </c>
      <c r="E9" s="83" t="s">
        <v>88</v>
      </c>
      <c r="F9" s="83" t="s">
        <v>88</v>
      </c>
      <c r="G9" s="83" t="s">
        <v>88</v>
      </c>
      <c r="H9" s="83" t="s">
        <v>88</v>
      </c>
      <c r="I9" s="83" t="s">
        <v>88</v>
      </c>
      <c r="J9" s="83" t="s">
        <v>88</v>
      </c>
      <c r="K9" s="83" t="s">
        <v>88</v>
      </c>
      <c r="L9" s="83" t="s">
        <v>88</v>
      </c>
      <c r="M9" s="83" t="s">
        <v>88</v>
      </c>
      <c r="N9" s="83" t="s">
        <v>88</v>
      </c>
    </row>
    <row r="10" spans="1:14" ht="11.25">
      <c r="A10" s="58">
        <v>1</v>
      </c>
      <c r="B10" s="66" t="s">
        <v>89</v>
      </c>
      <c r="C10" s="167"/>
      <c r="D10" s="167"/>
      <c r="E10" s="167"/>
      <c r="F10" s="167"/>
      <c r="G10" s="167"/>
      <c r="H10" s="167"/>
      <c r="I10" s="167"/>
      <c r="J10" s="167"/>
      <c r="K10" s="167"/>
      <c r="L10" s="167"/>
      <c r="M10" s="167"/>
      <c r="N10" s="167"/>
    </row>
    <row r="11" spans="1:14" ht="11.25">
      <c r="A11" s="58">
        <f aca="true" t="shared" si="1" ref="A11:A42">A10+1</f>
        <v>2</v>
      </c>
      <c r="B11" s="22" t="s">
        <v>90</v>
      </c>
      <c r="C11" s="166">
        <f>'[1]I-RPW'!$D$12</f>
        <v>43371363</v>
      </c>
      <c r="D11" s="167">
        <f>'[1]I-CS10 RCS'!$D$13</f>
        <v>4886183.06</v>
      </c>
      <c r="E11" s="167">
        <f>'[1]I-CS10 RCS'!$E$13</f>
        <v>103882.06</v>
      </c>
      <c r="F11" s="167">
        <f>'[1]I-CS10 RCS'!$F$13</f>
        <v>1988021.38</v>
      </c>
      <c r="G11" s="167">
        <f>'[1]I-CS10 RCS'!$G$13</f>
        <v>641817</v>
      </c>
      <c r="H11" s="167">
        <f>'[1]I-CS10 RCS'!$J$13</f>
        <v>128104.24</v>
      </c>
      <c r="I11" s="167">
        <f>'[1]I-CS10 RCS'!$H$13</f>
        <v>336.77</v>
      </c>
      <c r="J11" s="167">
        <f>'[1]I-CS10 RCS'!$L$13</f>
        <v>0</v>
      </c>
      <c r="K11" s="167">
        <f>'[1]I-CS10 RCS'!$K$13</f>
        <v>5539.6</v>
      </c>
      <c r="L11" s="167">
        <f>'[1]I-CS10 RCS'!$O$13</f>
        <v>3462706</v>
      </c>
      <c r="M11" s="167">
        <f>'[1]I-CS10 RCS'!$P$13</f>
        <v>9102</v>
      </c>
      <c r="N11" s="167">
        <f>'[1]I-CS10 RCS'!$Q$13</f>
        <v>0</v>
      </c>
    </row>
    <row r="12" spans="1:14" ht="11.25">
      <c r="A12" s="58">
        <f t="shared" si="1"/>
        <v>3</v>
      </c>
      <c r="B12" s="261" t="s">
        <v>91</v>
      </c>
      <c r="C12" s="166">
        <f>'[1]I-RPW'!$D$13+'[1]I-RPW'!$D$14</f>
        <v>49065552</v>
      </c>
      <c r="D12" s="262">
        <f>'[1]I-CS10 RCS'!$D$14</f>
        <v>10358771.52</v>
      </c>
      <c r="E12" s="262">
        <f>'[1]I-CS10 RCS'!$E$14</f>
        <v>198790.28</v>
      </c>
      <c r="F12" s="262">
        <f>'[1]I-CS10 RCS'!$F$14</f>
        <v>2612095.17</v>
      </c>
      <c r="G12" s="167">
        <f>'[1]I-CS10 RCS'!$G$14</f>
        <v>225383.58</v>
      </c>
      <c r="H12" s="167">
        <f>'[1]I-CS10 RCS'!$J14</f>
        <v>3413.4700000000003</v>
      </c>
      <c r="I12" s="167">
        <f>'[1]I-CS10 RCS'!$H$14</f>
        <v>4617.93</v>
      </c>
      <c r="J12" s="167">
        <f>'[1]I-CS10 RCS'!$L14</f>
        <v>0</v>
      </c>
      <c r="K12" s="167">
        <f>'[1]I-CS10 RCS'!$K14</f>
        <v>204.96</v>
      </c>
      <c r="L12" s="167">
        <f>'[1]I-CS10 RCS'!$O$14</f>
        <v>0</v>
      </c>
      <c r="M12" s="167">
        <f>'[1]I-CS10 RCS'!$P14</f>
        <v>0</v>
      </c>
      <c r="N12" s="167">
        <f>'[1]I-CS10 RCS'!$Q14</f>
        <v>0</v>
      </c>
    </row>
    <row r="13" spans="1:14" ht="11.25">
      <c r="A13" s="58">
        <f t="shared" si="1"/>
        <v>4</v>
      </c>
      <c r="B13" s="22" t="s">
        <v>92</v>
      </c>
      <c r="C13" s="166">
        <f aca="true" t="shared" si="2" ref="C13:N13">SUM(C11:C12)</f>
        <v>92436915</v>
      </c>
      <c r="D13" s="263">
        <f t="shared" si="2"/>
        <v>15244954.579999998</v>
      </c>
      <c r="E13" s="263">
        <f t="shared" si="2"/>
        <v>302672.33999999997</v>
      </c>
      <c r="F13" s="263">
        <f t="shared" si="2"/>
        <v>4600116.55</v>
      </c>
      <c r="G13" s="168">
        <f t="shared" si="2"/>
        <v>867200.58</v>
      </c>
      <c r="H13" s="168">
        <f t="shared" si="2"/>
        <v>131517.71</v>
      </c>
      <c r="I13" s="168">
        <f t="shared" si="2"/>
        <v>4954.700000000001</v>
      </c>
      <c r="J13" s="168">
        <f t="shared" si="2"/>
        <v>0</v>
      </c>
      <c r="K13" s="168">
        <f t="shared" si="2"/>
        <v>5744.56</v>
      </c>
      <c r="L13" s="168">
        <f t="shared" si="2"/>
        <v>3462706</v>
      </c>
      <c r="M13" s="168">
        <f t="shared" si="2"/>
        <v>9102</v>
      </c>
      <c r="N13" s="168">
        <f t="shared" si="2"/>
        <v>0</v>
      </c>
    </row>
    <row r="14" spans="1:14" ht="11.25">
      <c r="A14" s="58">
        <f t="shared" si="1"/>
        <v>5</v>
      </c>
      <c r="B14" s="22" t="s">
        <v>93</v>
      </c>
      <c r="C14" s="166">
        <f>'[1]I-RPW'!$D$15</f>
        <v>2521418</v>
      </c>
      <c r="D14" s="167">
        <f>'[1]I-CS10 RCS'!$D15</f>
        <v>405995.48</v>
      </c>
      <c r="E14" s="167">
        <f>'[1]I-CS10 RCS'!$E15</f>
        <v>8621.78</v>
      </c>
      <c r="F14" s="167">
        <f>'[1]I-CS10 RCS'!$F15</f>
        <v>311258.84</v>
      </c>
      <c r="G14" s="167">
        <f>'[1]I-CS10 RCS'!$G15</f>
        <v>0</v>
      </c>
      <c r="H14" s="167">
        <f>'[1]I-CS10 RCS'!$J15</f>
        <v>44.06</v>
      </c>
      <c r="I14" s="167">
        <f>'[1]I-CS10 RCS'!$H15</f>
        <v>2431.51</v>
      </c>
      <c r="J14" s="167">
        <f>'[1]I-CS10 RCS'!$L15</f>
        <v>0</v>
      </c>
      <c r="K14" s="167">
        <f>'[1]I-CS10 RCS'!$K15</f>
        <v>304.44</v>
      </c>
      <c r="L14" s="167">
        <f>'[1]I-CS10 RCS'!$O15</f>
        <v>0</v>
      </c>
      <c r="M14" s="167">
        <f>'[1]I-CS10 RCS'!$P15</f>
        <v>0</v>
      </c>
      <c r="N14" s="167">
        <f>'[1]I-CS10 RCS'!$Q15</f>
        <v>0</v>
      </c>
    </row>
    <row r="15" spans="1:14" ht="11.25">
      <c r="A15" s="58">
        <f t="shared" si="1"/>
        <v>6</v>
      </c>
      <c r="B15" s="22" t="s">
        <v>94</v>
      </c>
      <c r="C15" s="166">
        <f>'[1]I-RPW'!$D$16+'[1]I-RPW'!$D$17</f>
        <v>3107701</v>
      </c>
      <c r="D15" s="167">
        <f>'[1]I-CS10 RCS'!$D16</f>
        <v>530913</v>
      </c>
      <c r="E15" s="167">
        <f>'[1]I-CS10 RCS'!$E16</f>
        <v>10314.05</v>
      </c>
      <c r="F15" s="167">
        <f>'[1]I-CS10 RCS'!$F16</f>
        <v>203523.31</v>
      </c>
      <c r="G15" s="167">
        <f>'[1]I-CS10 RCS'!$G16</f>
        <v>17.26</v>
      </c>
      <c r="H15" s="167">
        <f>'[1]I-CS10 RCS'!$J16</f>
        <v>6.75</v>
      </c>
      <c r="I15" s="167">
        <f>'[1]I-CS10 RCS'!$H16</f>
        <v>0</v>
      </c>
      <c r="J15" s="167">
        <f>'[1]I-CS10 RCS'!$L16</f>
        <v>0</v>
      </c>
      <c r="K15" s="167">
        <f>'[1]I-CS10 RCS'!$K16</f>
        <v>0</v>
      </c>
      <c r="L15" s="167">
        <f>'[1]I-CS10 RCS'!$O16</f>
        <v>0</v>
      </c>
      <c r="M15" s="167">
        <f>'[1]I-CS10 RCS'!$P16</f>
        <v>0</v>
      </c>
      <c r="N15" s="167">
        <f>'[1]I-CS10 RCS'!$Q16</f>
        <v>0</v>
      </c>
    </row>
    <row r="16" spans="1:14" ht="11.25">
      <c r="A16" s="58">
        <f t="shared" si="1"/>
        <v>7</v>
      </c>
      <c r="B16" s="22" t="s">
        <v>95</v>
      </c>
      <c r="C16" s="166">
        <f aca="true" t="shared" si="3" ref="C16:N16">SUM(C14:C15)</f>
        <v>5629119</v>
      </c>
      <c r="D16" s="168">
        <f t="shared" si="3"/>
        <v>936908.48</v>
      </c>
      <c r="E16" s="168">
        <f t="shared" si="3"/>
        <v>18935.83</v>
      </c>
      <c r="F16" s="168">
        <f t="shared" si="3"/>
        <v>514782.15</v>
      </c>
      <c r="G16" s="168">
        <f t="shared" si="3"/>
        <v>17.26</v>
      </c>
      <c r="H16" s="168">
        <f t="shared" si="3"/>
        <v>50.81</v>
      </c>
      <c r="I16" s="168">
        <f t="shared" si="3"/>
        <v>2431.51</v>
      </c>
      <c r="J16" s="168">
        <f t="shared" si="3"/>
        <v>0</v>
      </c>
      <c r="K16" s="168">
        <f t="shared" si="3"/>
        <v>304.44</v>
      </c>
      <c r="L16" s="168">
        <f t="shared" si="3"/>
        <v>0</v>
      </c>
      <c r="M16" s="168">
        <f t="shared" si="3"/>
        <v>0</v>
      </c>
      <c r="N16" s="168">
        <f t="shared" si="3"/>
        <v>0</v>
      </c>
    </row>
    <row r="17" spans="1:14" ht="11.25">
      <c r="A17" s="59">
        <f t="shared" si="1"/>
        <v>8</v>
      </c>
      <c r="B17" s="50" t="s">
        <v>96</v>
      </c>
      <c r="C17" s="169">
        <f>'[1]I-RPW'!$D$19</f>
        <v>98066034</v>
      </c>
      <c r="D17" s="170">
        <f aca="true" t="shared" si="4" ref="D17:I17">D13+D16</f>
        <v>16181863.059999999</v>
      </c>
      <c r="E17" s="170">
        <f t="shared" si="4"/>
        <v>321608.17</v>
      </c>
      <c r="F17" s="170">
        <f t="shared" si="4"/>
        <v>5114898.7</v>
      </c>
      <c r="G17" s="170">
        <f t="shared" si="4"/>
        <v>867217.84</v>
      </c>
      <c r="H17" s="170">
        <f t="shared" si="4"/>
        <v>131568.52</v>
      </c>
      <c r="I17" s="170">
        <f t="shared" si="4"/>
        <v>7386.210000000001</v>
      </c>
      <c r="J17" s="170">
        <f>'[1]I-CS10 RCS'!$L$17</f>
        <v>0</v>
      </c>
      <c r="K17" s="170">
        <f>K13+K16</f>
        <v>6049</v>
      </c>
      <c r="L17" s="170">
        <f>L13+L16</f>
        <v>3462706</v>
      </c>
      <c r="M17" s="170">
        <f>M13+M16</f>
        <v>9102</v>
      </c>
      <c r="N17" s="170">
        <f>N13+N16</f>
        <v>0</v>
      </c>
    </row>
    <row r="18" spans="1:14" ht="11.25">
      <c r="A18" s="58">
        <f t="shared" si="1"/>
        <v>9</v>
      </c>
      <c r="B18" s="49" t="s">
        <v>97</v>
      </c>
      <c r="C18" s="166">
        <f>'[1]I-RPW'!$D$22</f>
        <v>887462</v>
      </c>
      <c r="D18" s="167">
        <f>'[1]I-CS10 RCS'!$D$18</f>
        <v>1648.35</v>
      </c>
      <c r="E18" s="167">
        <f>'[1]I-CS10 RCS'!$E$18</f>
        <v>34.42</v>
      </c>
      <c r="F18" s="167">
        <f>'[1]I-CS10 RCS'!$F$18</f>
        <v>2672.86</v>
      </c>
      <c r="G18" s="167">
        <f>'[1]I-CS10 RCS'!$G$18</f>
        <v>43568.54</v>
      </c>
      <c r="H18" s="167">
        <f>'[1]I-CS10 RCS'!$J$18</f>
        <v>131481.8</v>
      </c>
      <c r="I18" s="167">
        <f>'[1]I-CS10 RCS'!$H$18</f>
        <v>0</v>
      </c>
      <c r="J18" s="167">
        <f>'[1]I-CS10 RCS'!$L$18</f>
        <v>0</v>
      </c>
      <c r="K18" s="167">
        <f>'[1]I-CS10 RCS'!$K$18</f>
        <v>132.3</v>
      </c>
      <c r="L18" s="167">
        <f>'[1]I-CS10 RCS'!$O$18</f>
        <v>6503</v>
      </c>
      <c r="M18" s="167">
        <f>'[1]I-CS10 RCS'!$P$18</f>
        <v>5539</v>
      </c>
      <c r="N18" s="167">
        <f>'[1]I-CS10 RCS'!$Q$18</f>
        <v>0</v>
      </c>
    </row>
    <row r="19" spans="1:14" ht="11.25">
      <c r="A19" s="58">
        <f t="shared" si="1"/>
        <v>10</v>
      </c>
      <c r="B19" s="49" t="s">
        <v>98</v>
      </c>
      <c r="C19" s="166">
        <f>'[1]I-RPW'!$D$23</f>
        <v>55474.717</v>
      </c>
      <c r="D19" s="167">
        <f>'[1]I-CS10 RCS'!$D$19</f>
        <v>0</v>
      </c>
      <c r="E19" s="167">
        <f>'[1]I-CS10 RCS'!$E$19</f>
        <v>0</v>
      </c>
      <c r="F19" s="167">
        <f>'[1]I-CS10 RCS'!$F$19</f>
        <v>0</v>
      </c>
      <c r="G19" s="167">
        <f>'[1]I-CS10 RCS'!$G$19</f>
        <v>0</v>
      </c>
      <c r="H19" s="167">
        <f>'[1]I-CS10 RCS'!$J$19</f>
        <v>0</v>
      </c>
      <c r="I19" s="167">
        <f>'[1]I-CS10 RCS'!$H$19</f>
        <v>0</v>
      </c>
      <c r="J19" s="167">
        <f>'[1]I-CS10 RCS'!$L$19</f>
        <v>4774.75</v>
      </c>
      <c r="K19" s="167">
        <f>'[1]I-CS10 RCS'!$K$19</f>
        <v>0</v>
      </c>
      <c r="L19" s="167">
        <f>'[1]I-CS10 RCS'!$O$19</f>
        <v>0</v>
      </c>
      <c r="M19" s="167">
        <f>'[1]I-CS10 RCS'!$P$19</f>
        <v>0</v>
      </c>
      <c r="N19" s="167">
        <f>'[1]I-CS10 RCS'!$Q$19</f>
        <v>191</v>
      </c>
    </row>
    <row r="20" spans="1:14" ht="11.25">
      <c r="A20" s="59">
        <f t="shared" si="1"/>
        <v>11</v>
      </c>
      <c r="B20" s="50" t="s">
        <v>99</v>
      </c>
      <c r="C20" s="171">
        <f>'[1]I-RPW'!$D$24</f>
        <v>1896.123</v>
      </c>
      <c r="D20" s="170">
        <f>'[1]I-CS10 RCS'!$D$20</f>
        <v>0</v>
      </c>
      <c r="E20" s="170">
        <f>'[1]I-CS10 RCS'!$E$20</f>
        <v>0</v>
      </c>
      <c r="F20" s="170">
        <f>'[1]I-CS10 RCS'!$F$20</f>
        <v>33.89</v>
      </c>
      <c r="G20" s="170">
        <f>'[1]I-CS10 RCS'!$G$20</f>
        <v>0</v>
      </c>
      <c r="H20" s="170">
        <f>'[1]I-CS10 RCS'!$J$20</f>
        <v>0</v>
      </c>
      <c r="I20" s="170">
        <f>'[1]I-CS10 RCS'!$H$20</f>
        <v>0</v>
      </c>
      <c r="J20" s="170">
        <f>'[1]I-CS10 RCS'!$L$20</f>
        <v>0</v>
      </c>
      <c r="K20" s="170">
        <f>'[1]I-CS10 RCS'!$K$20</f>
        <v>0</v>
      </c>
      <c r="L20" s="170">
        <f>'[1]I-CS10 RCS'!$O$20</f>
        <v>0</v>
      </c>
      <c r="M20" s="170">
        <f>'[1]I-CS10 RCS'!$P$20</f>
        <v>0</v>
      </c>
      <c r="N20" s="170">
        <f>'[1]I-CS10 RCS'!$Q$20</f>
        <v>0</v>
      </c>
    </row>
    <row r="21" spans="1:14" ht="11.25">
      <c r="A21" s="58">
        <f t="shared" si="1"/>
        <v>12</v>
      </c>
      <c r="B21" s="66" t="s">
        <v>100</v>
      </c>
      <c r="C21" s="166"/>
      <c r="D21" s="167"/>
      <c r="E21" s="167"/>
      <c r="F21" s="167"/>
      <c r="G21" s="167"/>
      <c r="H21" s="167"/>
      <c r="I21" s="167"/>
      <c r="J21" s="167"/>
      <c r="K21" s="167"/>
      <c r="L21" s="167"/>
      <c r="M21" s="167"/>
      <c r="N21" s="167"/>
    </row>
    <row r="22" spans="1:14" ht="11.25">
      <c r="A22" s="58">
        <f t="shared" si="1"/>
        <v>13</v>
      </c>
      <c r="B22" s="22" t="s">
        <v>101</v>
      </c>
      <c r="C22" s="166">
        <f>'[1]I-RPW'!$D$26</f>
        <v>762673.445</v>
      </c>
      <c r="D22" s="167">
        <f aca="true" t="shared" si="5" ref="D22:N22">D27</f>
        <v>15602.31</v>
      </c>
      <c r="E22" s="167">
        <f t="shared" si="5"/>
        <v>1889.96</v>
      </c>
      <c r="F22" s="167">
        <f t="shared" si="5"/>
        <v>99723.2</v>
      </c>
      <c r="G22" s="167">
        <f t="shared" si="5"/>
        <v>2721015.84</v>
      </c>
      <c r="H22" s="167">
        <f t="shared" si="5"/>
        <v>5434.27</v>
      </c>
      <c r="I22" s="167">
        <f t="shared" si="5"/>
        <v>5958.61</v>
      </c>
      <c r="J22" s="167">
        <f t="shared" si="5"/>
        <v>0</v>
      </c>
      <c r="K22" s="167">
        <f t="shared" si="5"/>
        <v>3.31</v>
      </c>
      <c r="L22" s="167">
        <f t="shared" si="5"/>
        <v>0</v>
      </c>
      <c r="M22" s="167">
        <f t="shared" si="5"/>
        <v>0</v>
      </c>
      <c r="N22" s="167">
        <f t="shared" si="5"/>
        <v>0</v>
      </c>
    </row>
    <row r="23" spans="1:14" ht="11.25">
      <c r="A23" s="58">
        <f t="shared" si="1"/>
        <v>14</v>
      </c>
      <c r="B23" s="22" t="s">
        <v>102</v>
      </c>
      <c r="C23" s="166"/>
      <c r="D23" s="167"/>
      <c r="E23" s="167"/>
      <c r="F23" s="167"/>
      <c r="G23" s="167"/>
      <c r="H23" s="167"/>
      <c r="I23" s="167"/>
      <c r="J23" s="167"/>
      <c r="K23" s="167"/>
      <c r="L23" s="167"/>
      <c r="M23" s="167"/>
      <c r="N23" s="167"/>
    </row>
    <row r="24" spans="1:14" ht="11.25">
      <c r="A24" s="58">
        <f t="shared" si="1"/>
        <v>15</v>
      </c>
      <c r="B24" s="22" t="s">
        <v>103</v>
      </c>
      <c r="C24" s="166">
        <f>'[1]I-RPW'!$D$28</f>
        <v>8307330</v>
      </c>
      <c r="D24" s="167"/>
      <c r="E24" s="167"/>
      <c r="F24" s="167"/>
      <c r="G24" s="167"/>
      <c r="H24" s="167"/>
      <c r="I24" s="167"/>
      <c r="J24" s="167"/>
      <c r="K24" s="167"/>
      <c r="L24" s="167"/>
      <c r="M24" s="167"/>
      <c r="N24" s="167"/>
    </row>
    <row r="25" spans="1:14" ht="11.25">
      <c r="A25" s="58">
        <f t="shared" si="1"/>
        <v>16</v>
      </c>
      <c r="B25" s="22" t="s">
        <v>104</v>
      </c>
      <c r="C25" s="166">
        <f>'[1]I-RPW'!$D$29</f>
        <v>0</v>
      </c>
      <c r="D25" s="167"/>
      <c r="E25" s="167"/>
      <c r="F25" s="167"/>
      <c r="G25" s="167"/>
      <c r="H25" s="167"/>
      <c r="I25" s="167"/>
      <c r="J25" s="167"/>
      <c r="K25" s="167"/>
      <c r="L25" s="167"/>
      <c r="M25" s="167"/>
      <c r="N25" s="167"/>
    </row>
    <row r="26" spans="1:14" ht="11.25">
      <c r="A26" s="58">
        <f t="shared" si="1"/>
        <v>17</v>
      </c>
      <c r="B26" s="22" t="s">
        <v>105</v>
      </c>
      <c r="C26" s="166">
        <f>'[1]I-RPW'!$D$30</f>
        <v>0</v>
      </c>
      <c r="D26" s="167"/>
      <c r="E26" s="167"/>
      <c r="F26" s="167"/>
      <c r="G26" s="167"/>
      <c r="H26" s="167"/>
      <c r="I26" s="167"/>
      <c r="J26" s="167"/>
      <c r="K26" s="167"/>
      <c r="L26" s="167"/>
      <c r="M26" s="167"/>
      <c r="N26" s="167"/>
    </row>
    <row r="27" spans="1:14" ht="11.25">
      <c r="A27" s="59">
        <f t="shared" si="1"/>
        <v>18</v>
      </c>
      <c r="B27" s="50" t="s">
        <v>106</v>
      </c>
      <c r="C27" s="169">
        <f>'[1]I-RPW'!$D$31</f>
        <v>9070003.445</v>
      </c>
      <c r="D27" s="170">
        <f>'[1]I-CS10 RCS'!$D$27</f>
        <v>15602.31</v>
      </c>
      <c r="E27" s="170">
        <f>'[1]I-CS10 RCS'!$E$27</f>
        <v>1889.96</v>
      </c>
      <c r="F27" s="170">
        <f>'[1]I-CS10 RCS'!$F$27</f>
        <v>99723.2</v>
      </c>
      <c r="G27" s="170">
        <f>'[1]I-CS10 RCS'!$G$27</f>
        <v>2721015.84</v>
      </c>
      <c r="H27" s="170">
        <f>'[1]I-CS10 RCS'!$J$27</f>
        <v>5434.27</v>
      </c>
      <c r="I27" s="170">
        <f>'[1]I-CS10 RCS'!$H$27</f>
        <v>5958.61</v>
      </c>
      <c r="J27" s="170">
        <f>'[1]I-CS10 RCS'!$L$27</f>
        <v>0</v>
      </c>
      <c r="K27" s="170">
        <f>'[1]I-CS10 RCS'!$K$27</f>
        <v>3.31</v>
      </c>
      <c r="L27" s="170">
        <f>'[1]I-CS10 RCS'!$O$27</f>
        <v>0</v>
      </c>
      <c r="M27" s="170">
        <f>'[1]I-CS10 RCS'!$P$27</f>
        <v>0</v>
      </c>
      <c r="N27" s="170">
        <f>'[1]I-CS10 RCS'!$Q$27</f>
        <v>0</v>
      </c>
    </row>
    <row r="28" spans="1:14" ht="11.25">
      <c r="A28" s="58">
        <f t="shared" si="1"/>
        <v>19</v>
      </c>
      <c r="B28" s="226" t="s">
        <v>107</v>
      </c>
      <c r="C28" s="166"/>
      <c r="D28" s="167"/>
      <c r="E28" s="167"/>
      <c r="F28" s="167"/>
      <c r="G28" s="167"/>
      <c r="H28" s="167"/>
      <c r="I28" s="167"/>
      <c r="J28" s="167"/>
      <c r="K28" s="167"/>
      <c r="L28" s="167"/>
      <c r="M28" s="167"/>
      <c r="N28" s="167"/>
    </row>
    <row r="29" spans="1:14" ht="11.25">
      <c r="A29" s="58">
        <f t="shared" si="1"/>
        <v>20</v>
      </c>
      <c r="B29" s="22" t="s">
        <v>108</v>
      </c>
      <c r="C29" s="166"/>
      <c r="D29" s="167"/>
      <c r="E29" s="167"/>
      <c r="F29" s="167"/>
      <c r="G29" s="167"/>
      <c r="H29" s="167"/>
      <c r="I29" s="167"/>
      <c r="J29" s="167"/>
      <c r="K29" s="167"/>
      <c r="L29" s="167"/>
      <c r="M29" s="167"/>
      <c r="N29" s="167"/>
    </row>
    <row r="30" spans="1:14" ht="11.25">
      <c r="A30" s="58">
        <f t="shared" si="1"/>
        <v>21</v>
      </c>
      <c r="B30" s="261" t="s">
        <v>109</v>
      </c>
      <c r="C30" s="172">
        <f>'[1]I-RPW'!$D$37</f>
        <v>35023418</v>
      </c>
      <c r="D30" s="262">
        <f>'[1]I-CS10 RCS'!$D$30</f>
        <v>1251254.42</v>
      </c>
      <c r="E30" s="262">
        <f>'[1]I-CS10 RCS'!$E$30</f>
        <v>47972.7</v>
      </c>
      <c r="F30" s="262">
        <f>'[1]I-CS10 RCS'!$F$30</f>
        <v>2106524.26</v>
      </c>
      <c r="G30" s="167">
        <f>'[1]I-CS10 RCS'!$G$30</f>
        <v>6444941.48</v>
      </c>
      <c r="H30" s="167">
        <f>'[1]I-CS10 RCS'!$J$30</f>
        <v>18366.62</v>
      </c>
      <c r="I30" s="167">
        <f>'[1]I-CS10 RCS'!$H$30</f>
        <v>1779864.7</v>
      </c>
      <c r="J30" s="167">
        <f>'[1]I-CS10 RCS'!$L$30</f>
        <v>0</v>
      </c>
      <c r="K30" s="167">
        <f>'[1]I-CS10 RCS'!$K$30</f>
        <v>0</v>
      </c>
      <c r="L30" s="167">
        <f>'[1]I-CS10 RCS'!$O$30</f>
        <v>0</v>
      </c>
      <c r="M30" s="167">
        <f>'[1]I-CS10 RCS'!$P$30</f>
        <v>0</v>
      </c>
      <c r="N30" s="167">
        <f>'[1]I-CS10 RCS'!$Q$30</f>
        <v>0</v>
      </c>
    </row>
    <row r="31" spans="1:14" ht="11.25">
      <c r="A31" s="58">
        <f t="shared" si="1"/>
        <v>22</v>
      </c>
      <c r="B31" s="261" t="s">
        <v>110</v>
      </c>
      <c r="C31" s="166">
        <f>'[1]I-RPW'!$D$36</f>
        <v>65918674</v>
      </c>
      <c r="D31" s="262">
        <f>'[1]I-CS10 RCS'!$D$31</f>
        <v>10216234.1</v>
      </c>
      <c r="E31" s="262">
        <f>'[1]I-CS10 RCS'!$E$31</f>
        <v>166866.52</v>
      </c>
      <c r="F31" s="262">
        <f>'[1]I-CS10 RCS'!$F$31</f>
        <v>3094237.18</v>
      </c>
      <c r="G31" s="167">
        <f>'[1]I-CS10 RCS'!$G$31</f>
        <v>3782582.61</v>
      </c>
      <c r="H31" s="167">
        <f>'[1]I-CS10 RCS'!$J$31</f>
        <v>236937.59</v>
      </c>
      <c r="I31" s="167">
        <f>'[1]I-CS10 RCS'!$H$31</f>
        <v>262961.76</v>
      </c>
      <c r="J31" s="167">
        <f>'[1]I-CS10 RCS'!$L$31</f>
        <v>0</v>
      </c>
      <c r="K31" s="167">
        <f>'[1]I-CS10 RCS'!$K$31</f>
        <v>317.3</v>
      </c>
      <c r="L31" s="167">
        <f>'[1]I-CS10 RCS'!$O$31</f>
        <v>0</v>
      </c>
      <c r="M31" s="167">
        <f>'[1]I-CS10 RCS'!$P$31</f>
        <v>0</v>
      </c>
      <c r="N31" s="167">
        <f>'[1]I-CS10 RCS'!$Q$31</f>
        <v>0</v>
      </c>
    </row>
    <row r="32" spans="1:14" ht="11.25">
      <c r="A32" s="58">
        <f t="shared" si="1"/>
        <v>23</v>
      </c>
      <c r="B32" s="22" t="s">
        <v>111</v>
      </c>
      <c r="C32" s="166">
        <f>'[1]I-RPW'!$D$38</f>
        <v>100942092</v>
      </c>
      <c r="D32" s="167">
        <f aca="true" t="shared" si="6" ref="D32:N32">D30+D31</f>
        <v>11467488.52</v>
      </c>
      <c r="E32" s="167">
        <f t="shared" si="6"/>
        <v>214839.21999999997</v>
      </c>
      <c r="F32" s="167">
        <f t="shared" si="6"/>
        <v>5200761.4399999995</v>
      </c>
      <c r="G32" s="167">
        <f t="shared" si="6"/>
        <v>10227524.09</v>
      </c>
      <c r="H32" s="167">
        <f t="shared" si="6"/>
        <v>255304.21</v>
      </c>
      <c r="I32" s="167">
        <f t="shared" si="6"/>
        <v>2042826.46</v>
      </c>
      <c r="J32" s="167">
        <f t="shared" si="6"/>
        <v>0</v>
      </c>
      <c r="K32" s="167">
        <f t="shared" si="6"/>
        <v>317.3</v>
      </c>
      <c r="L32" s="167">
        <f t="shared" si="6"/>
        <v>0</v>
      </c>
      <c r="M32" s="167">
        <f t="shared" si="6"/>
        <v>0</v>
      </c>
      <c r="N32" s="167">
        <f t="shared" si="6"/>
        <v>0</v>
      </c>
    </row>
    <row r="33" spans="1:14" ht="11.25">
      <c r="A33" s="58">
        <f t="shared" si="1"/>
        <v>24</v>
      </c>
      <c r="B33" s="22" t="s">
        <v>112</v>
      </c>
      <c r="C33" s="166"/>
      <c r="D33" s="167"/>
      <c r="E33" s="167"/>
      <c r="F33" s="167"/>
      <c r="G33" s="167"/>
      <c r="H33" s="167"/>
      <c r="I33" s="167"/>
      <c r="J33" s="167"/>
      <c r="K33" s="167"/>
      <c r="L33" s="167"/>
      <c r="M33" s="167"/>
      <c r="N33" s="167"/>
    </row>
    <row r="34" spans="1:14" ht="11.25">
      <c r="A34" s="58">
        <f t="shared" si="1"/>
        <v>25</v>
      </c>
      <c r="B34" s="22" t="s">
        <v>113</v>
      </c>
      <c r="C34" s="172">
        <f>'[1]I-RPW'!$D$40</f>
        <v>0</v>
      </c>
      <c r="D34" s="167">
        <f>'[1]I-CS10 RCS'!$D$34</f>
        <v>0</v>
      </c>
      <c r="E34" s="167">
        <f>'[1]I-CS10 RCS'!$E$34</f>
        <v>0</v>
      </c>
      <c r="F34" s="167">
        <f>'[1]I-CS10 RCS'!$F$34</f>
        <v>0</v>
      </c>
      <c r="G34" s="167">
        <f>'[1]I-CS10 RCS'!$G$34</f>
        <v>0</v>
      </c>
      <c r="H34" s="167">
        <f>'[1]I-CS10 RCS'!$J$34</f>
        <v>0</v>
      </c>
      <c r="I34" s="167">
        <f>'[1]I-CS10 RCS'!$H$34</f>
        <v>0</v>
      </c>
      <c r="J34" s="167">
        <f>'[1]I-CS10 RCS'!$L$34</f>
        <v>0</v>
      </c>
      <c r="K34" s="167">
        <f>'[1]I-CS10 RCS'!$K$34</f>
        <v>0</v>
      </c>
      <c r="L34" s="167">
        <f>'[1]I-CS10 RCS'!$O$34</f>
        <v>0</v>
      </c>
      <c r="M34" s="167">
        <f>'[1]I-CS10 RCS'!$P$34</f>
        <v>0</v>
      </c>
      <c r="N34" s="167">
        <f>'[1]I-CS10 RCS'!$Q$34</f>
        <v>0</v>
      </c>
    </row>
    <row r="35" spans="1:14" ht="11.25">
      <c r="A35" s="58">
        <f t="shared" si="1"/>
        <v>26</v>
      </c>
      <c r="B35" s="22" t="s">
        <v>114</v>
      </c>
      <c r="C35" s="166">
        <f>'[1]I-RPW'!$D$39</f>
        <v>0</v>
      </c>
      <c r="D35" s="167">
        <f>'[1]I-CS10 RCS'!$D$35</f>
        <v>0</v>
      </c>
      <c r="E35" s="167">
        <f>'[1]I-CS10 RCS'!$E$35</f>
        <v>0</v>
      </c>
      <c r="F35" s="167">
        <f>'[1]I-CS10 RCS'!$F$35</f>
        <v>0</v>
      </c>
      <c r="G35" s="167">
        <f>'[1]I-CS10 RCS'!$G$35</f>
        <v>0</v>
      </c>
      <c r="H35" s="167">
        <f>'[1]I-CS10 RCS'!$J$35</f>
        <v>0</v>
      </c>
      <c r="I35" s="167">
        <f>'[1]I-CS10 RCS'!$H$35</f>
        <v>0</v>
      </c>
      <c r="J35" s="167">
        <f>'[1]I-CS10 RCS'!$L$35</f>
        <v>0</v>
      </c>
      <c r="K35" s="167">
        <f>'[1]I-CS10 RCS'!$K$35</f>
        <v>0</v>
      </c>
      <c r="L35" s="167">
        <f>'[1]I-CS10 RCS'!$O$35</f>
        <v>0</v>
      </c>
      <c r="M35" s="167">
        <f>'[1]I-CS10 RCS'!$P$35</f>
        <v>0</v>
      </c>
      <c r="N35" s="167">
        <f>'[1]I-CS10 RCS'!$Q$35</f>
        <v>0</v>
      </c>
    </row>
    <row r="36" spans="1:14" ht="11.25">
      <c r="A36" s="58">
        <f t="shared" si="1"/>
        <v>27</v>
      </c>
      <c r="B36" s="22" t="s">
        <v>115</v>
      </c>
      <c r="C36" s="166">
        <f>'[1]I-RPW'!$D$41</f>
        <v>0</v>
      </c>
      <c r="D36" s="167">
        <f aca="true" t="shared" si="7" ref="D36:N36">D34+D35</f>
        <v>0</v>
      </c>
      <c r="E36" s="167">
        <f t="shared" si="7"/>
        <v>0</v>
      </c>
      <c r="F36" s="167">
        <f t="shared" si="7"/>
        <v>0</v>
      </c>
      <c r="G36" s="167">
        <f t="shared" si="7"/>
        <v>0</v>
      </c>
      <c r="H36" s="167">
        <f t="shared" si="7"/>
        <v>0</v>
      </c>
      <c r="I36" s="167">
        <f t="shared" si="7"/>
        <v>0</v>
      </c>
      <c r="J36" s="167">
        <f t="shared" si="7"/>
        <v>0</v>
      </c>
      <c r="K36" s="167">
        <f t="shared" si="7"/>
        <v>0</v>
      </c>
      <c r="L36" s="167">
        <f t="shared" si="7"/>
        <v>0</v>
      </c>
      <c r="M36" s="167">
        <f t="shared" si="7"/>
        <v>0</v>
      </c>
      <c r="N36" s="167">
        <f t="shared" si="7"/>
        <v>0</v>
      </c>
    </row>
    <row r="37" spans="1:14" ht="11.25">
      <c r="A37" s="59">
        <f t="shared" si="1"/>
        <v>28</v>
      </c>
      <c r="B37" s="227" t="s">
        <v>116</v>
      </c>
      <c r="C37" s="169">
        <f>'[1]I-RPW'!$D$44</f>
        <v>100942092</v>
      </c>
      <c r="D37" s="170">
        <f aca="true" t="shared" si="8" ref="D37:N37">D32+D36</f>
        <v>11467488.52</v>
      </c>
      <c r="E37" s="170">
        <f t="shared" si="8"/>
        <v>214839.21999999997</v>
      </c>
      <c r="F37" s="170">
        <f t="shared" si="8"/>
        <v>5200761.4399999995</v>
      </c>
      <c r="G37" s="170">
        <f t="shared" si="8"/>
        <v>10227524.09</v>
      </c>
      <c r="H37" s="170">
        <f t="shared" si="8"/>
        <v>255304.21</v>
      </c>
      <c r="I37" s="170">
        <f t="shared" si="8"/>
        <v>2042826.46</v>
      </c>
      <c r="J37" s="170">
        <f t="shared" si="8"/>
        <v>0</v>
      </c>
      <c r="K37" s="170">
        <f t="shared" si="8"/>
        <v>317.3</v>
      </c>
      <c r="L37" s="170">
        <f t="shared" si="8"/>
        <v>0</v>
      </c>
      <c r="M37" s="170">
        <f t="shared" si="8"/>
        <v>0</v>
      </c>
      <c r="N37" s="170">
        <f t="shared" si="8"/>
        <v>0</v>
      </c>
    </row>
    <row r="38" spans="1:14" ht="11.25">
      <c r="A38" s="58">
        <f t="shared" si="1"/>
        <v>29</v>
      </c>
      <c r="B38" s="226" t="s">
        <v>117</v>
      </c>
      <c r="C38" s="172"/>
      <c r="D38" s="167"/>
      <c r="E38" s="167"/>
      <c r="F38" s="167"/>
      <c r="G38" s="167"/>
      <c r="H38" s="167"/>
      <c r="I38" s="167"/>
      <c r="J38" s="167"/>
      <c r="K38" s="167"/>
      <c r="L38" s="167"/>
      <c r="M38" s="167"/>
      <c r="N38" s="167"/>
    </row>
    <row r="39" spans="1:14" ht="11.25">
      <c r="A39" s="58">
        <f t="shared" si="1"/>
        <v>30</v>
      </c>
      <c r="B39" s="67" t="s">
        <v>118</v>
      </c>
      <c r="C39" s="166">
        <f>'[1]I-RPW'!$D$46</f>
        <v>387804.938</v>
      </c>
      <c r="D39" s="167">
        <f>'[1]I-CS10 RCS'!$D39</f>
        <v>96.07</v>
      </c>
      <c r="E39" s="167">
        <f>'[1]I-CS10 RCS'!$E39</f>
        <v>36.69</v>
      </c>
      <c r="F39" s="167">
        <f>'[1]I-CS10 RCS'!$F39</f>
        <v>39.62</v>
      </c>
      <c r="G39" s="167">
        <f>'[1]I-CS10 RCS'!$G39</f>
        <v>1301.02</v>
      </c>
      <c r="H39" s="167">
        <f>'[1]I-CS10 RCS'!$J39</f>
        <v>109861.41</v>
      </c>
      <c r="I39" s="167">
        <f>'[1]I-CS10 RCS'!$H39</f>
        <v>0</v>
      </c>
      <c r="J39" s="167">
        <f>'[1]I-CS10 RCS'!$L39</f>
        <v>0</v>
      </c>
      <c r="K39" s="167">
        <f>'[1]I-CS10 RCS'!$K39</f>
        <v>244.41</v>
      </c>
      <c r="L39" s="167">
        <f>'[1]I-CS10 RCS'!$O39</f>
        <v>1318</v>
      </c>
      <c r="M39" s="167">
        <f>'[1]I-CS10 RCS'!$P39</f>
        <v>3477</v>
      </c>
      <c r="N39" s="167">
        <f>'[1]I-CS10 RCS'!$Q39</f>
        <v>0</v>
      </c>
    </row>
    <row r="40" spans="1:14" ht="11.25">
      <c r="A40" s="58">
        <f t="shared" si="1"/>
        <v>31</v>
      </c>
      <c r="B40" s="67" t="s">
        <v>119</v>
      </c>
      <c r="C40" s="166">
        <f>'[1]I-RPW'!$D$47</f>
        <v>583773.759</v>
      </c>
      <c r="D40" s="167">
        <f>'[1]I-CS10 RCS'!$D$40</f>
        <v>160.71</v>
      </c>
      <c r="E40" s="167">
        <f>'[1]I-CS10 RCS'!$E$40</f>
        <v>40.42</v>
      </c>
      <c r="F40" s="167">
        <f>'[1]I-CS10 RCS'!$F$40</f>
        <v>659.64</v>
      </c>
      <c r="G40" s="167">
        <f>'[1]I-CS10 RCS'!$G$40</f>
        <v>75439.4</v>
      </c>
      <c r="H40" s="167">
        <f>'[1]I-CS10 RCS'!$J$40</f>
        <v>73451.12</v>
      </c>
      <c r="I40" s="167">
        <f>'[1]I-CS10 RCS'!$H$40</f>
        <v>6977.03</v>
      </c>
      <c r="J40" s="167">
        <f>'[1]I-CS10 RCS'!$L$40</f>
        <v>0</v>
      </c>
      <c r="K40" s="167">
        <f>'[1]I-CS10 RCS'!$K$40</f>
        <v>94.26</v>
      </c>
      <c r="L40" s="167">
        <f>'[1]I-CS10 RCS'!$O$40</f>
        <v>180</v>
      </c>
      <c r="M40" s="167">
        <f>'[1]I-CS10 RCS'!$P$40</f>
        <v>205</v>
      </c>
      <c r="N40" s="167">
        <f>'[1]I-CS10 RCS'!$Q$40</f>
        <v>0</v>
      </c>
    </row>
    <row r="41" spans="1:14" ht="11.25">
      <c r="A41" s="58">
        <f t="shared" si="1"/>
        <v>32</v>
      </c>
      <c r="B41" s="225" t="s">
        <v>120</v>
      </c>
      <c r="C41" s="172">
        <f>'[1]I-RPW'!$D$48</f>
        <v>193955</v>
      </c>
      <c r="D41" s="167">
        <f>'[1]I-CS10 RCS'!$D$41</f>
        <v>70.12</v>
      </c>
      <c r="E41" s="167">
        <f>'[1]I-CS10 RCS'!$E$41</f>
        <v>16.56</v>
      </c>
      <c r="F41" s="167">
        <f>'[1]I-CS10 RCS'!$F$41</f>
        <v>29.95</v>
      </c>
      <c r="G41" s="167">
        <f>'[1]I-CS10 RCS'!$G$41</f>
        <v>6482.29</v>
      </c>
      <c r="H41" s="167">
        <f>'[1]I-CS10 RCS'!$J$41</f>
        <v>35310.81</v>
      </c>
      <c r="I41" s="167">
        <f>'[1]I-CS10 RCS'!$H$41</f>
        <v>0</v>
      </c>
      <c r="J41" s="167">
        <f>'[1]I-CS10 RCS'!$L$41</f>
        <v>0</v>
      </c>
      <c r="K41" s="167">
        <f>'[1]I-CS10 RCS'!$K$41</f>
        <v>58.21</v>
      </c>
      <c r="L41" s="167">
        <f>'[1]I-CS10 RCS'!$O$41</f>
        <v>1189</v>
      </c>
      <c r="M41" s="167">
        <f>'[1]I-CS10 RCS'!$P$41</f>
        <v>1435</v>
      </c>
      <c r="N41" s="167">
        <f>'[1]I-CS10 RCS'!$Q$41</f>
        <v>0</v>
      </c>
    </row>
    <row r="42" spans="1:14" ht="11.25">
      <c r="A42" s="58">
        <f t="shared" si="1"/>
        <v>33</v>
      </c>
      <c r="B42" s="67" t="s">
        <v>121</v>
      </c>
      <c r="C42" s="166">
        <f>'[1]I-RPW'!$D$49</f>
        <v>0</v>
      </c>
      <c r="D42" s="167">
        <f>'[1]I-CS10 RCS'!$D$42</f>
        <v>0</v>
      </c>
      <c r="E42" s="167">
        <f>'[1]I-CS10 RCS'!$E$42</f>
        <v>0</v>
      </c>
      <c r="F42" s="167">
        <f>'[1]I-CS10 RCS'!$F$42</f>
        <v>0</v>
      </c>
      <c r="G42" s="167">
        <f>'[1]I-CS10 RCS'!$G$42</f>
        <v>0</v>
      </c>
      <c r="H42" s="167">
        <f>'[1]I-CS10 RCS'!$J$42</f>
        <v>0</v>
      </c>
      <c r="I42" s="167">
        <f>'[1]I-CS10 RCS'!$H$42</f>
        <v>0</v>
      </c>
      <c r="J42" s="167">
        <f>'[1]I-CS10 RCS'!$L$42</f>
        <v>0</v>
      </c>
      <c r="K42" s="167">
        <f>'[1]I-CS10 RCS'!$K$42</f>
        <v>0</v>
      </c>
      <c r="L42" s="167">
        <f>'[1]I-CS10 RCS'!$O$42</f>
        <v>0</v>
      </c>
      <c r="M42" s="167">
        <f>'[1]I-CS10 RCS'!$P$42</f>
        <v>0</v>
      </c>
      <c r="N42" s="167">
        <f>'[1]I-CS10 RCS'!$Q$42</f>
        <v>0</v>
      </c>
    </row>
    <row r="43" spans="1:14" ht="11.25">
      <c r="A43" s="59">
        <f aca="true" t="shared" si="9" ref="A43:A61">A42+1</f>
        <v>34</v>
      </c>
      <c r="B43" s="227" t="s">
        <v>122</v>
      </c>
      <c r="C43" s="169">
        <f>'[1]I-RPW'!$D$52</f>
        <v>1165533.697</v>
      </c>
      <c r="D43" s="170">
        <f aca="true" t="shared" si="10" ref="D43:N43">SUM(D39:D42)</f>
        <v>326.9</v>
      </c>
      <c r="E43" s="170">
        <f t="shared" si="10"/>
        <v>93.67</v>
      </c>
      <c r="F43" s="170">
        <f t="shared" si="10"/>
        <v>729.21</v>
      </c>
      <c r="G43" s="170">
        <f t="shared" si="10"/>
        <v>83222.70999999999</v>
      </c>
      <c r="H43" s="170">
        <f t="shared" si="10"/>
        <v>218623.34</v>
      </c>
      <c r="I43" s="170">
        <f t="shared" si="10"/>
        <v>6977.03</v>
      </c>
      <c r="J43" s="170">
        <f t="shared" si="10"/>
        <v>0</v>
      </c>
      <c r="K43" s="170">
        <f t="shared" si="10"/>
        <v>396.88</v>
      </c>
      <c r="L43" s="170">
        <f t="shared" si="10"/>
        <v>2687</v>
      </c>
      <c r="M43" s="170">
        <f t="shared" si="10"/>
        <v>5117</v>
      </c>
      <c r="N43" s="170">
        <f t="shared" si="10"/>
        <v>0</v>
      </c>
    </row>
    <row r="44" spans="1:14" ht="11.25">
      <c r="A44" s="58">
        <f t="shared" si="9"/>
        <v>35</v>
      </c>
      <c r="B44" s="49" t="s">
        <v>123</v>
      </c>
      <c r="C44" s="166">
        <f>'[1]I-RPW'!$D$53</f>
        <v>621283.086</v>
      </c>
      <c r="D44" s="167">
        <f>'[1]I-CS10 RCS'!$D$44</f>
        <v>14807.09</v>
      </c>
      <c r="E44" s="167">
        <f>'[1]I-CS10 RCS'!$E$44</f>
        <v>1606.7</v>
      </c>
      <c r="F44" s="167">
        <f>'[1]I-CS10 RCS'!$F$44</f>
        <v>28263.29</v>
      </c>
      <c r="G44" s="167">
        <f>'[1]I-CS10 RCS'!$G$44</f>
        <v>3930.33</v>
      </c>
      <c r="H44" s="167">
        <f>'[1]I-CS10 RCS'!$J$44</f>
        <v>742.64</v>
      </c>
      <c r="I44" s="167">
        <f>'[1]I-CS10 RCS'!$H$44</f>
        <v>47791.29</v>
      </c>
      <c r="J44" s="167">
        <f>'[1]I-CS10 RCS'!$L$44</f>
        <v>30.7</v>
      </c>
      <c r="K44" s="167">
        <f>'[1]I-CS10 RCS'!$K$44</f>
        <v>827.88</v>
      </c>
      <c r="L44" s="167">
        <f>'[1]I-CS10 RCS'!$O$44</f>
        <v>963</v>
      </c>
      <c r="M44" s="167">
        <f>'[1]I-CS10 RCS'!$P$44</f>
        <v>17</v>
      </c>
      <c r="N44" s="167">
        <f>'[1]I-CS10 RCS'!$Q$44</f>
        <v>0</v>
      </c>
    </row>
    <row r="45" spans="1:14" s="18" customFormat="1" ht="11.25">
      <c r="A45" s="63">
        <f t="shared" si="9"/>
        <v>36</v>
      </c>
      <c r="B45" s="70" t="s">
        <v>124</v>
      </c>
      <c r="C45" s="173">
        <f>'[1]I-RPW'!$D$54</f>
        <v>81306</v>
      </c>
      <c r="D45" s="173">
        <f>'[1]I-CS10 RCS'!$D$45</f>
        <v>2115.2</v>
      </c>
      <c r="E45" s="173">
        <f>'[1]I-CS10 RCS'!$E$45</f>
        <v>0</v>
      </c>
      <c r="F45" s="173">
        <f>'[1]I-CS10 RCS'!$F$45</f>
        <v>3037.39</v>
      </c>
      <c r="G45" s="173">
        <f>'[1]I-CS10 RCS'!$G$45</f>
        <v>2696.52</v>
      </c>
      <c r="H45" s="173">
        <f>'[1]I-CS10 RCS'!$J$45</f>
        <v>3789.8</v>
      </c>
      <c r="I45" s="167">
        <f>'[1]I-CS10 RCS'!$H$45</f>
        <v>0</v>
      </c>
      <c r="J45" s="167">
        <f>'[1]I-CS10 RCS'!$L$45</f>
        <v>0</v>
      </c>
      <c r="K45" s="167">
        <f>'[1]I-CS10 RCS'!$K$45</f>
        <v>0</v>
      </c>
      <c r="L45" s="167">
        <f>'[1]I-CS10 RCS'!$O$45</f>
        <v>472</v>
      </c>
      <c r="M45" s="167">
        <f>'[1]I-CS10 RCS'!$P$45</f>
        <v>759</v>
      </c>
      <c r="N45" s="167">
        <f>'[1]I-CS10 RCS'!$Q$45</f>
        <v>0</v>
      </c>
    </row>
    <row r="46" spans="1:14" ht="11.25">
      <c r="A46" s="58">
        <f t="shared" si="9"/>
        <v>37</v>
      </c>
      <c r="B46" s="49" t="s">
        <v>125</v>
      </c>
      <c r="C46" s="166">
        <f>'[1]I-RPW'!$C$61+'[1]I-RPW'!$C$65+'[1]I-RPW'!$C$67+'[1]I-RPW'!$C$69</f>
        <v>734565.552</v>
      </c>
      <c r="D46" s="167">
        <f>'[1]I-CS10 RCS'!D$56</f>
        <v>32126.56</v>
      </c>
      <c r="E46" s="167">
        <f>'[1]I-CS10 RCS'!E$56</f>
        <v>337.59</v>
      </c>
      <c r="F46" s="167">
        <f>'[1]I-CS10 RCS'!F$56</f>
        <v>18849.499999999996</v>
      </c>
      <c r="G46" s="167">
        <f>'[1]I-CS10 RCS'!G$56</f>
        <v>11414.69</v>
      </c>
      <c r="H46" s="167">
        <f>'[1]I-CS10 RCS'!J$56</f>
        <v>3844.6900000000005</v>
      </c>
      <c r="I46" s="167">
        <f>'[1]I-CS10 RCS'!$H$56</f>
        <v>0</v>
      </c>
      <c r="J46" s="167">
        <f>'[1]I-CS10 RCS'!$L56+SUM('[1]I-CS10 RCS'!$D$53:$G$53,'[1]I-CS10 RCS'!$J$53,'[1]I-CS10 RCS'!$J$48,'[1]I-CS10 RCS'!$D$48:$G$48)</f>
        <v>6552.05</v>
      </c>
      <c r="K46" s="167">
        <f>'[1]I-CS10 RCS'!$K$56</f>
        <v>10.219999999999999</v>
      </c>
      <c r="L46" s="167">
        <f>'[1]I-CS10 RCS'!$O$56</f>
        <v>1268</v>
      </c>
      <c r="M46" s="167">
        <f>'[1]I-CS10 RCS'!$P$56</f>
        <v>102</v>
      </c>
      <c r="N46" s="167">
        <f>'[1]I-CS10 RCS'!$Q$56</f>
        <v>0</v>
      </c>
    </row>
    <row r="47" spans="1:14" ht="11.25">
      <c r="A47" s="58">
        <f t="shared" si="9"/>
        <v>38</v>
      </c>
      <c r="B47" s="49" t="s">
        <v>126</v>
      </c>
      <c r="C47" s="166"/>
      <c r="D47" s="167">
        <f>'[1]I-CS10 RCS'!$D$57</f>
        <v>0</v>
      </c>
      <c r="E47" s="167">
        <f>'[1]I-CS10 RCS'!$E$57</f>
        <v>0</v>
      </c>
      <c r="F47" s="167">
        <f>'[1]I-CS10 RCS'!$F$57</f>
        <v>0</v>
      </c>
      <c r="G47" s="167">
        <f>'[1]I-CS10 RCS'!$G$57</f>
        <v>0</v>
      </c>
      <c r="H47" s="167">
        <f>'[1]I-CS10 RCS'!$J$57</f>
        <v>0</v>
      </c>
      <c r="I47" s="167">
        <f>'[1]I-CS10 RCS'!$H$57</f>
        <v>0</v>
      </c>
      <c r="J47" s="167">
        <f>'[1]I-CS10 RCS'!$L$57</f>
        <v>0</v>
      </c>
      <c r="K47" s="167">
        <f>'[1]I-CS10 RCS'!$K$57</f>
        <v>0</v>
      </c>
      <c r="L47" s="167">
        <f>'[1]I-CS10 RCS'!$O$57</f>
        <v>0</v>
      </c>
      <c r="M47" s="167">
        <f>'[1]I-CS10 RCS'!$P$57</f>
        <v>0</v>
      </c>
      <c r="N47" s="167">
        <f>'[1]I-CS10 RCS'!$Q$57</f>
        <v>0</v>
      </c>
    </row>
    <row r="48" spans="1:14" ht="11.25">
      <c r="A48" s="59">
        <f t="shared" si="9"/>
        <v>39</v>
      </c>
      <c r="B48" s="50" t="s">
        <v>127</v>
      </c>
      <c r="C48" s="171">
        <f>'[1]I-RPW'!$D$76</f>
        <v>0</v>
      </c>
      <c r="D48" s="174"/>
      <c r="E48" s="174"/>
      <c r="F48" s="174"/>
      <c r="G48" s="174"/>
      <c r="H48" s="174"/>
      <c r="I48" s="174"/>
      <c r="J48" s="174"/>
      <c r="K48" s="174"/>
      <c r="L48" s="174"/>
      <c r="M48" s="174"/>
      <c r="N48" s="174"/>
    </row>
    <row r="49" spans="1:14" ht="11.25">
      <c r="A49" s="58">
        <f t="shared" si="9"/>
        <v>40</v>
      </c>
      <c r="B49" s="69" t="s">
        <v>128</v>
      </c>
      <c r="C49" s="166"/>
      <c r="D49" s="167"/>
      <c r="E49" s="167"/>
      <c r="F49" s="167"/>
      <c r="G49" s="167"/>
      <c r="H49" s="167"/>
      <c r="I49" s="167"/>
      <c r="J49" s="167"/>
      <c r="K49" s="167"/>
      <c r="L49" s="167"/>
      <c r="M49" s="167"/>
      <c r="N49" s="167"/>
    </row>
    <row r="50" spans="1:14" ht="11.25">
      <c r="A50" s="58">
        <f t="shared" si="9"/>
        <v>41</v>
      </c>
      <c r="B50" s="67" t="s">
        <v>129</v>
      </c>
      <c r="C50" s="166">
        <f>'[1]I-RPW'!$D$78</f>
        <v>5149.247</v>
      </c>
      <c r="D50" s="167"/>
      <c r="E50" s="167"/>
      <c r="F50" s="167"/>
      <c r="G50" s="167"/>
      <c r="H50" s="167"/>
      <c r="I50" s="167"/>
      <c r="J50" s="167">
        <f>'[1]I-CS10 RCS'!$L59</f>
        <v>812.2000000000003</v>
      </c>
      <c r="K50" s="167"/>
      <c r="L50" s="167"/>
      <c r="M50" s="167"/>
      <c r="N50" s="167">
        <f>'[1]I-CS10 RCS'!$Q59</f>
        <v>73</v>
      </c>
    </row>
    <row r="51" spans="1:14" ht="11.25">
      <c r="A51" s="58">
        <f t="shared" si="9"/>
        <v>42</v>
      </c>
      <c r="B51" s="67" t="s">
        <v>130</v>
      </c>
      <c r="C51" s="166">
        <f>'[1]I-RPW'!$D$81</f>
        <v>261144.424</v>
      </c>
      <c r="D51" s="167"/>
      <c r="E51" s="167"/>
      <c r="F51" s="167"/>
      <c r="G51" s="167"/>
      <c r="H51" s="167"/>
      <c r="I51" s="167"/>
      <c r="J51" s="167">
        <f>'[1]I-CS10 RCS'!$L60</f>
        <v>38101.469999999994</v>
      </c>
      <c r="K51" s="167"/>
      <c r="L51" s="167"/>
      <c r="M51" s="167"/>
      <c r="N51" s="167">
        <f>'[1]I-CS10 RCS'!$Q60</f>
        <v>2575</v>
      </c>
    </row>
    <row r="52" spans="1:14" ht="11.25">
      <c r="A52" s="58">
        <f t="shared" si="9"/>
        <v>43</v>
      </c>
      <c r="B52" s="67" t="s">
        <v>131</v>
      </c>
      <c r="C52" s="166">
        <f>'[1]I-RPW'!$D$79</f>
        <v>51565.326</v>
      </c>
      <c r="D52" s="167"/>
      <c r="E52" s="167"/>
      <c r="F52" s="167"/>
      <c r="G52" s="167"/>
      <c r="H52" s="167"/>
      <c r="I52" s="167"/>
      <c r="J52" s="167">
        <f>'[1]I-CS10 RCS'!$L61</f>
        <v>6325.74</v>
      </c>
      <c r="K52" s="167"/>
      <c r="L52" s="167"/>
      <c r="M52" s="167"/>
      <c r="N52" s="167">
        <f>'[1]I-CS10 RCS'!$Q61</f>
        <v>0</v>
      </c>
    </row>
    <row r="53" spans="1:14" ht="11.25">
      <c r="A53" s="58">
        <f t="shared" si="9"/>
        <v>44</v>
      </c>
      <c r="B53" s="67" t="s">
        <v>132</v>
      </c>
      <c r="C53" s="166">
        <f>'[1]I-RPW'!$D$80</f>
        <v>1499.369</v>
      </c>
      <c r="D53" s="167"/>
      <c r="E53" s="167"/>
      <c r="F53" s="167"/>
      <c r="G53" s="167"/>
      <c r="H53" s="167"/>
      <c r="I53" s="167"/>
      <c r="J53" s="167">
        <f>'[1]I-CS10 RCS'!$L62</f>
        <v>0</v>
      </c>
      <c r="K53" s="167"/>
      <c r="L53" s="167"/>
      <c r="M53" s="167"/>
      <c r="N53" s="167">
        <f>'[1]I-CS10 RCS'!$Q62</f>
        <v>0</v>
      </c>
    </row>
    <row r="54" spans="1:14" ht="11.25">
      <c r="A54" s="58">
        <f t="shared" si="9"/>
        <v>45</v>
      </c>
      <c r="B54" s="67" t="s">
        <v>133</v>
      </c>
      <c r="C54" s="166">
        <f>'[1]I-RPW'!$D$82</f>
        <v>180411.995</v>
      </c>
      <c r="D54" s="167"/>
      <c r="E54" s="167"/>
      <c r="F54" s="167"/>
      <c r="G54" s="167"/>
      <c r="H54" s="167"/>
      <c r="I54" s="167"/>
      <c r="J54" s="167"/>
      <c r="K54" s="167"/>
      <c r="L54" s="167"/>
      <c r="M54" s="167"/>
      <c r="N54" s="167"/>
    </row>
    <row r="55" spans="1:14" ht="11.25">
      <c r="A55" s="58">
        <f t="shared" si="9"/>
        <v>46</v>
      </c>
      <c r="B55" s="225" t="s">
        <v>134</v>
      </c>
      <c r="C55" s="166">
        <f>'[1]I-RPW'!$D$83</f>
        <v>0</v>
      </c>
      <c r="D55" s="167"/>
      <c r="E55" s="167"/>
      <c r="F55" s="167"/>
      <c r="G55" s="167"/>
      <c r="H55" s="167"/>
      <c r="I55" s="167"/>
      <c r="J55" s="167"/>
      <c r="K55" s="167"/>
      <c r="L55" s="167"/>
      <c r="M55" s="167"/>
      <c r="N55" s="167"/>
    </row>
    <row r="56" spans="1:14" ht="11.25">
      <c r="A56" s="58">
        <f t="shared" si="9"/>
        <v>47</v>
      </c>
      <c r="B56" s="225" t="s">
        <v>135</v>
      </c>
      <c r="C56" s="166">
        <f>'[1]I-RPW'!$D$84</f>
        <v>0</v>
      </c>
      <c r="D56" s="167"/>
      <c r="E56" s="167"/>
      <c r="F56" s="167"/>
      <c r="G56" s="167"/>
      <c r="H56" s="167"/>
      <c r="I56" s="167"/>
      <c r="J56" s="167"/>
      <c r="K56" s="167"/>
      <c r="L56" s="167"/>
      <c r="M56" s="167"/>
      <c r="N56" s="167"/>
    </row>
    <row r="57" spans="1:14" ht="11.25">
      <c r="A57" s="58">
        <f t="shared" si="9"/>
        <v>48</v>
      </c>
      <c r="B57" s="67" t="s">
        <v>136</v>
      </c>
      <c r="C57" s="166">
        <f>'[1]I-RPW'!$D$85</f>
        <v>0</v>
      </c>
      <c r="D57" s="167"/>
      <c r="E57" s="167"/>
      <c r="F57" s="167"/>
      <c r="G57" s="167"/>
      <c r="H57" s="167"/>
      <c r="I57" s="167"/>
      <c r="J57" s="167"/>
      <c r="K57" s="167"/>
      <c r="L57" s="167"/>
      <c r="M57" s="167"/>
      <c r="N57" s="167"/>
    </row>
    <row r="58" spans="1:14" ht="11.25">
      <c r="A58" s="58">
        <f t="shared" si="9"/>
        <v>49</v>
      </c>
      <c r="B58" s="67" t="s">
        <v>137</v>
      </c>
      <c r="C58" s="166">
        <f>'[1]I-RPW'!$D$86</f>
        <v>0</v>
      </c>
      <c r="D58" s="167"/>
      <c r="E58" s="167"/>
      <c r="F58" s="167"/>
      <c r="G58" s="167"/>
      <c r="H58" s="167"/>
      <c r="I58" s="167"/>
      <c r="J58" s="167"/>
      <c r="K58" s="167"/>
      <c r="L58" s="167"/>
      <c r="M58" s="167"/>
      <c r="N58" s="167"/>
    </row>
    <row r="59" spans="1:14" ht="11.25">
      <c r="A59" s="58">
        <f t="shared" si="9"/>
        <v>50</v>
      </c>
      <c r="B59" s="67" t="s">
        <v>138</v>
      </c>
      <c r="C59" s="166">
        <f>'[1]I-RPW'!$D$87</f>
        <v>0</v>
      </c>
      <c r="D59" s="167"/>
      <c r="E59" s="167"/>
      <c r="F59" s="167"/>
      <c r="G59" s="167"/>
      <c r="H59" s="167"/>
      <c r="I59" s="167"/>
      <c r="J59" s="167">
        <f>'[1]I-CS10 RCS'!$L$67</f>
        <v>1420.9</v>
      </c>
      <c r="K59" s="167"/>
      <c r="L59" s="167"/>
      <c r="M59" s="167"/>
      <c r="N59" s="167">
        <f>'[1]I-CS10 RCS'!$Q$64+'[1]I-CS10 RCS'!$Q$65</f>
        <v>0</v>
      </c>
    </row>
    <row r="60" spans="1:14" ht="11.25">
      <c r="A60" s="59">
        <f t="shared" si="9"/>
        <v>51</v>
      </c>
      <c r="B60" s="68" t="s">
        <v>139</v>
      </c>
      <c r="C60" s="171">
        <f>'[1]I-RPW'!$D$88</f>
        <v>0</v>
      </c>
      <c r="D60" s="170"/>
      <c r="E60" s="170"/>
      <c r="F60" s="170"/>
      <c r="G60" s="170"/>
      <c r="H60" s="170"/>
      <c r="I60" s="170"/>
      <c r="J60" s="170">
        <f>SUM(J50:J59)</f>
        <v>46660.30999999999</v>
      </c>
      <c r="K60" s="170"/>
      <c r="L60" s="170"/>
      <c r="M60" s="170"/>
      <c r="N60" s="170">
        <f>SUM(N50:N58)</f>
        <v>2648</v>
      </c>
    </row>
    <row r="61" spans="1:14" ht="11.25">
      <c r="A61" s="59">
        <f t="shared" si="9"/>
        <v>52</v>
      </c>
      <c r="B61" s="201" t="s">
        <v>140</v>
      </c>
      <c r="C61" s="169">
        <f>C48+C60</f>
        <v>0</v>
      </c>
      <c r="D61" s="170">
        <f aca="true" t="shared" si="11" ref="D61:I61">D17+D18+D19+D20+D27+D37+D43+D44+D45+D46</f>
        <v>27715977.989999995</v>
      </c>
      <c r="E61" s="170">
        <f t="shared" si="11"/>
        <v>540409.73</v>
      </c>
      <c r="F61" s="170">
        <f t="shared" si="11"/>
        <v>10468969.48</v>
      </c>
      <c r="G61" s="170">
        <f t="shared" si="11"/>
        <v>13960590.559999999</v>
      </c>
      <c r="H61" s="170">
        <f t="shared" si="11"/>
        <v>750789.2699999999</v>
      </c>
      <c r="I61" s="170">
        <f t="shared" si="11"/>
        <v>2110939.6</v>
      </c>
      <c r="J61" s="170">
        <f>J17+J18+J19+J20+J27+J37+J43+J44+J45+J46+J60</f>
        <v>58017.80999999999</v>
      </c>
      <c r="K61" s="170">
        <f>K17+K18+K19+K20+K27+K37+K43+K44+K45+K46</f>
        <v>7736.890000000001</v>
      </c>
      <c r="L61" s="170">
        <f>L17+L18+L19+L20+L27+L37+L43+L44+L45+L46</f>
        <v>3474599</v>
      </c>
      <c r="M61" s="170">
        <f>M17+M18+M19+M20+M27+M37+M43+M44+M45+M46</f>
        <v>20636</v>
      </c>
      <c r="N61" s="170">
        <f>SUM(N19+N60)</f>
        <v>2839</v>
      </c>
    </row>
    <row r="62" spans="3:8" ht="11.25">
      <c r="C62" s="48"/>
      <c r="H62" s="222"/>
    </row>
    <row r="63" spans="3:12" ht="11.25">
      <c r="C63" s="48"/>
      <c r="H63" s="10"/>
      <c r="J63" s="222"/>
      <c r="K63" s="9"/>
      <c r="L63" s="9"/>
    </row>
    <row r="64" ht="11.25">
      <c r="C64" s="48"/>
    </row>
    <row r="65" ht="11.25">
      <c r="C65" s="48"/>
    </row>
    <row r="66" ht="11.25">
      <c r="C66" s="48"/>
    </row>
    <row r="67" ht="11.25">
      <c r="C67" s="48"/>
    </row>
    <row r="68" ht="11.25">
      <c r="C68" s="48"/>
    </row>
    <row r="69" ht="11.25">
      <c r="C69" s="48"/>
    </row>
    <row r="70" ht="11.25">
      <c r="C70" s="48"/>
    </row>
    <row r="71" ht="11.25">
      <c r="C71" s="48"/>
    </row>
    <row r="72" ht="11.25">
      <c r="C72" s="48"/>
    </row>
    <row r="73" ht="11.25">
      <c r="C73" s="48"/>
    </row>
    <row r="74" ht="11.25">
      <c r="C74" s="48"/>
    </row>
    <row r="75" ht="11.25">
      <c r="C75" s="48"/>
    </row>
    <row r="76" ht="11.25">
      <c r="C76" s="48"/>
    </row>
    <row r="77" ht="11.25">
      <c r="C77" s="48"/>
    </row>
  </sheetData>
  <printOptions/>
  <pageMargins left="0.5" right="0.5" top="1" bottom="0.5" header="0.75" footer="0.25"/>
  <pageSetup horizontalDpi="300" verticalDpi="300" orientation="landscape" scale="75" r:id="rId3"/>
  <rowBreaks count="1" manualBreakCount="1">
    <brk id="37" max="65535" man="1"/>
  </rowBreaks>
  <legacyDrawing r:id="rId2"/>
</worksheet>
</file>

<file path=xl/worksheets/sheet4.xml><?xml version="1.0" encoding="utf-8"?>
<worksheet xmlns="http://schemas.openxmlformats.org/spreadsheetml/2006/main" xmlns:r="http://schemas.openxmlformats.org/officeDocument/2006/relationships">
  <sheetPr codeName="Sheet3"/>
  <dimension ref="A1:G17"/>
  <sheetViews>
    <sheetView workbookViewId="0" topLeftCell="A1">
      <selection activeCell="E9" sqref="E9"/>
    </sheetView>
  </sheetViews>
  <sheetFormatPr defaultColWidth="8.88671875" defaultRowHeight="15.75"/>
  <cols>
    <col min="1" max="1" width="4.3359375" style="2" customWidth="1"/>
    <col min="2" max="2" width="32.6640625" style="2" customWidth="1"/>
    <col min="3" max="4" width="11.77734375" style="2" customWidth="1"/>
    <col min="5" max="5" width="13.21484375" style="2" customWidth="1"/>
    <col min="6" max="6" width="11.21484375" style="2" customWidth="1"/>
    <col min="7" max="7" width="8.77734375" style="2" customWidth="1"/>
    <col min="8" max="16384" width="8.88671875" style="2" customWidth="1"/>
  </cols>
  <sheetData>
    <row r="1" s="1" customFormat="1" ht="12.75" customHeight="1">
      <c r="A1" s="107" t="str">
        <f>Doc!A1</f>
        <v>Base Year 2005 - USPS Version</v>
      </c>
    </row>
    <row r="2" s="1" customFormat="1" ht="12.75" customHeight="1">
      <c r="A2" s="107" t="str">
        <f>Doc!A2</f>
        <v>C/S 10 RURAL CARRIERS</v>
      </c>
    </row>
    <row r="3" s="1" customFormat="1" ht="12.75" customHeight="1">
      <c r="A3" s="110" t="str">
        <f>Doc!A10&amp;" "&amp;Doc!B10</f>
        <v>WS 10.0.1 EVALUATED AND OTHER ROUTES, ALLOCATION OF ACCRUED AND VVC</v>
      </c>
    </row>
    <row r="4" s="1" customFormat="1" ht="12.75" customHeight="1">
      <c r="A4" s="133"/>
    </row>
    <row r="5" spans="1:7" ht="22.5">
      <c r="A5" s="116" t="s">
        <v>28</v>
      </c>
      <c r="B5" s="135" t="s">
        <v>62</v>
      </c>
      <c r="C5" s="116" t="s">
        <v>63</v>
      </c>
      <c r="D5" s="118" t="str">
        <f>Inputs!C5</f>
        <v>ACCRUED COSTS P1-2</v>
      </c>
      <c r="E5" s="116" t="s">
        <v>64</v>
      </c>
      <c r="F5" s="116" t="s">
        <v>65</v>
      </c>
      <c r="G5" s="116" t="s">
        <v>66</v>
      </c>
    </row>
    <row r="6" spans="1:7" ht="11.25">
      <c r="A6" s="12"/>
      <c r="B6" s="209" t="s">
        <v>67</v>
      </c>
      <c r="C6" s="14">
        <v>-1</v>
      </c>
      <c r="D6" s="14">
        <f>C6-1</f>
        <v>-2</v>
      </c>
      <c r="E6" s="14">
        <f>D6-1</f>
        <v>-3</v>
      </c>
      <c r="F6" s="14">
        <f>E6-1</f>
        <v>-4</v>
      </c>
      <c r="G6" s="14">
        <f>F6-1</f>
        <v>-5</v>
      </c>
    </row>
    <row r="7" spans="1:7" ht="22.5">
      <c r="A7" s="12"/>
      <c r="B7" s="95" t="s">
        <v>68</v>
      </c>
      <c r="C7" s="72"/>
      <c r="D7" s="72" t="str">
        <f>"L"&amp;A12&amp;" dist on C"&amp;-C6&amp;"; L"&amp;A17&amp;"=L"&amp;A12&amp;"+L"&amp;A16</f>
        <v>L3 dist on C1; L8=L3+L7</v>
      </c>
      <c r="E7" s="72"/>
      <c r="F7" s="72" t="str">
        <f>"=C"&amp;-D6&amp;"xC"&amp;-E6</f>
        <v>=C2xC3</v>
      </c>
      <c r="G7" s="72" t="str">
        <f>"=C"&amp;-D6&amp;"-C"&amp;-F6</f>
        <v>=C2-C4</v>
      </c>
    </row>
    <row r="8" spans="1:7" ht="11.25">
      <c r="A8" s="71"/>
      <c r="B8" s="95" t="s">
        <v>29</v>
      </c>
      <c r="C8" s="72" t="s">
        <v>31</v>
      </c>
      <c r="D8" s="52" t="s">
        <v>30</v>
      </c>
      <c r="E8" s="73" t="s">
        <v>31</v>
      </c>
      <c r="F8" s="73" t="str">
        <f>D8</f>
        <v>$(000)</v>
      </c>
      <c r="G8" s="73" t="str">
        <f>F8</f>
        <v>$(000)</v>
      </c>
    </row>
    <row r="9" spans="1:7" ht="22.5">
      <c r="A9" s="13"/>
      <c r="B9" s="98" t="s">
        <v>69</v>
      </c>
      <c r="C9" s="91" t="str">
        <f>"L"&amp;A10&amp;","&amp;A11&amp;","&amp;A13&amp;","&amp;A14&amp;" from "&amp;Doc!A11&amp;" C"&amp;-'10.0.2'!E6&amp;"+C"&amp;-'10.0.2'!F6</f>
        <v>L1,2,4,5 from WS 10.0.2 C3+C4</v>
      </c>
      <c r="D9" s="91" t="str">
        <f>"L"&amp;A12&amp;","&amp;A15&amp;","&amp;A16&amp;" from "&amp;Inputs!C8</f>
        <v>L3,6,7 from Stmt of Rev &amp; Exp</v>
      </c>
      <c r="E9" s="77" t="str">
        <f>"L"&amp;A10&amp;"..L "&amp;A11&amp;" "&amp;Inputs!D8&amp;";
L"&amp;A13&amp;"..L"&amp;A14&amp;" "&amp;Inputs!F8</f>
        <v>L1..L 2 FY 2005 RMC;
L4..L5 FY 2005 RMC</v>
      </c>
      <c r="F9" s="91"/>
      <c r="G9" s="91"/>
    </row>
    <row r="10" spans="1:7" ht="11.25">
      <c r="A10" s="56">
        <f aca="true" t="shared" si="0" ref="A10:A17">A9+1</f>
        <v>1</v>
      </c>
      <c r="B10" s="231" t="s">
        <v>194</v>
      </c>
      <c r="C10" s="195">
        <f>'10.0.2'!E10</f>
        <v>0.9203806264711277</v>
      </c>
      <c r="D10" s="36">
        <f>D$12*C10</f>
        <v>2301262.4909726284</v>
      </c>
      <c r="E10" s="197">
        <f>Inputs!D11</f>
        <v>0.4239</v>
      </c>
      <c r="F10" s="28">
        <f>D10*E10</f>
        <v>975505.1699232971</v>
      </c>
      <c r="G10" s="28">
        <f>D10-F10</f>
        <v>1325757.3210493312</v>
      </c>
    </row>
    <row r="11" spans="1:7" ht="11.25">
      <c r="A11" s="56">
        <f t="shared" si="0"/>
        <v>2</v>
      </c>
      <c r="B11" s="231" t="s">
        <v>195</v>
      </c>
      <c r="C11" s="195">
        <f>'10.0.2'!F10</f>
        <v>0.07961937352887227</v>
      </c>
      <c r="D11" s="30">
        <f>D$12*C11</f>
        <v>199075.3309956601</v>
      </c>
      <c r="E11" s="37">
        <f>Inputs!D12</f>
        <v>0.4031</v>
      </c>
      <c r="F11" s="28">
        <f>D11*E11</f>
        <v>80247.26592435059</v>
      </c>
      <c r="G11" s="28">
        <f>D11-F11</f>
        <v>118828.06507130951</v>
      </c>
    </row>
    <row r="12" spans="1:7" ht="11.25">
      <c r="A12" s="56">
        <f t="shared" si="0"/>
        <v>3</v>
      </c>
      <c r="B12" s="49" t="s">
        <v>70</v>
      </c>
      <c r="C12" s="195">
        <f>SUM(C10:C11)</f>
        <v>1</v>
      </c>
      <c r="D12" s="30">
        <f>Inputs!C9-Inputs!E9</f>
        <v>2500337.8219682886</v>
      </c>
      <c r="E12" s="36"/>
      <c r="F12" s="34"/>
      <c r="G12" s="34"/>
    </row>
    <row r="13" spans="1:7" ht="11.25">
      <c r="A13" s="56">
        <f t="shared" si="0"/>
        <v>4</v>
      </c>
      <c r="B13" s="231" t="s">
        <v>196</v>
      </c>
      <c r="C13" s="195">
        <f>'10.0.2'!E11</f>
        <v>0.9122076201618411</v>
      </c>
      <c r="D13" s="36">
        <f>D$15*C13</f>
        <v>2416179.536118804</v>
      </c>
      <c r="E13" s="37">
        <f>Inputs!F11</f>
        <v>0.429</v>
      </c>
      <c r="F13" s="28">
        <f>D13*E13</f>
        <v>1036541.0209949668</v>
      </c>
      <c r="G13" s="28">
        <f>D13-F13</f>
        <v>1379638.5151238372</v>
      </c>
    </row>
    <row r="14" spans="1:7" ht="11.25">
      <c r="A14" s="56">
        <f t="shared" si="0"/>
        <v>5</v>
      </c>
      <c r="B14" s="231" t="s">
        <v>197</v>
      </c>
      <c r="C14" s="195">
        <f>'10.0.2'!F11</f>
        <v>0.08779237983815892</v>
      </c>
      <c r="D14" s="30">
        <f>D$15*C14</f>
        <v>232537.14056290674</v>
      </c>
      <c r="E14" s="37">
        <f>Inputs!F12</f>
        <v>0.4047</v>
      </c>
      <c r="F14" s="28">
        <f>D14*E14</f>
        <v>94107.78078580835</v>
      </c>
      <c r="G14" s="28">
        <f>D14-F14</f>
        <v>138429.3597770984</v>
      </c>
    </row>
    <row r="15" spans="1:7" ht="11.25">
      <c r="A15" s="56">
        <f t="shared" si="0"/>
        <v>6</v>
      </c>
      <c r="B15" s="49" t="s">
        <v>70</v>
      </c>
      <c r="C15" s="195">
        <f>SUM(C13:C14)</f>
        <v>1</v>
      </c>
      <c r="D15" s="30">
        <f>Inputs!E9</f>
        <v>2648716.676681711</v>
      </c>
      <c r="E15" s="37"/>
      <c r="F15" s="28"/>
      <c r="G15" s="28"/>
    </row>
    <row r="16" spans="1:7" ht="11.25">
      <c r="A16" s="56">
        <f t="shared" si="0"/>
        <v>7</v>
      </c>
      <c r="B16" s="22" t="s">
        <v>71</v>
      </c>
      <c r="C16" s="196"/>
      <c r="D16" s="30">
        <f>Inputs!C10</f>
        <v>449337.3992</v>
      </c>
      <c r="E16" s="37"/>
      <c r="F16" s="35"/>
      <c r="G16" s="35"/>
    </row>
    <row r="17" spans="1:7" ht="11.25">
      <c r="A17" s="57">
        <f t="shared" si="0"/>
        <v>8</v>
      </c>
      <c r="B17" s="50" t="s">
        <v>72</v>
      </c>
      <c r="C17" s="192"/>
      <c r="D17" s="193">
        <f>D12+D15+D16</f>
        <v>5598391.897849999</v>
      </c>
      <c r="E17" s="194"/>
      <c r="F17" s="180"/>
      <c r="G17" s="180"/>
    </row>
  </sheetData>
  <printOptions/>
  <pageMargins left="0.5" right="0.5" top="1" bottom="0.5" header="0.75" footer="0.2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Sheet5"/>
  <dimension ref="A1:F12"/>
  <sheetViews>
    <sheetView workbookViewId="0" topLeftCell="A1">
      <selection activeCell="A1" sqref="A1"/>
    </sheetView>
  </sheetViews>
  <sheetFormatPr defaultColWidth="8.88671875" defaultRowHeight="15.75"/>
  <cols>
    <col min="1" max="1" width="3.21484375" style="2" customWidth="1"/>
    <col min="2" max="2" width="15.3359375" style="2" customWidth="1"/>
    <col min="3" max="3" width="12.88671875" style="2" customWidth="1"/>
    <col min="4" max="4" width="12.5546875" style="2" customWidth="1"/>
    <col min="5" max="5" width="10.88671875" style="2" customWidth="1"/>
    <col min="6" max="6" width="10.77734375" style="2" customWidth="1"/>
    <col min="7" max="16384" width="8.88671875" style="2" customWidth="1"/>
  </cols>
  <sheetData>
    <row r="1" s="1" customFormat="1" ht="12.75" customHeight="1">
      <c r="A1" s="107" t="str">
        <f>Doc!A1</f>
        <v>Base Year 2005 - USPS Version</v>
      </c>
    </row>
    <row r="2" s="1" customFormat="1" ht="12.75" customHeight="1">
      <c r="A2" s="107" t="str">
        <f>Doc!A2</f>
        <v>C/S 10 RURAL CARRIERS</v>
      </c>
    </row>
    <row r="3" s="1" customFormat="1" ht="12.75" customHeight="1">
      <c r="A3" s="110" t="str">
        <f>Doc!A11&amp;" "&amp;Doc!B11</f>
        <v>WS 10.0.2 PAY DATA SPLIT FACTOR</v>
      </c>
    </row>
    <row r="4" s="1" customFormat="1" ht="12.75" customHeight="1"/>
    <row r="5" spans="1:6" ht="33.75">
      <c r="A5" s="116" t="s">
        <v>28</v>
      </c>
      <c r="B5" s="117" t="s">
        <v>141</v>
      </c>
      <c r="C5" s="121" t="str">
        <f>Inputs!C13</f>
        <v>EVALUATED
ROUTES (H, J, K)</v>
      </c>
      <c r="D5" s="118" t="str">
        <f>Inputs!E13</f>
        <v>OTHER ROUTES
(A, M)</v>
      </c>
      <c r="E5" s="198" t="s">
        <v>142</v>
      </c>
      <c r="F5" s="198" t="s">
        <v>143</v>
      </c>
    </row>
    <row r="6" spans="1:6" ht="12" customHeight="1">
      <c r="A6" s="20"/>
      <c r="B6" s="202" t="s">
        <v>67</v>
      </c>
      <c r="C6" s="14">
        <v>-1</v>
      </c>
      <c r="D6" s="14">
        <f>C6-1</f>
        <v>-2</v>
      </c>
      <c r="E6" s="14">
        <f>D6-1</f>
        <v>-3</v>
      </c>
      <c r="F6" s="14">
        <f>E6-1</f>
        <v>-4</v>
      </c>
    </row>
    <row r="7" spans="1:6" ht="11.25">
      <c r="A7" s="20"/>
      <c r="B7" s="202" t="s">
        <v>68</v>
      </c>
      <c r="C7" s="40"/>
      <c r="D7" s="20"/>
      <c r="E7" s="42" t="str">
        <f>"=C"&amp;-C6&amp;"/(C"&amp;-C6&amp;"+C"&amp;-D6&amp;")"</f>
        <v>=C1/(C1+C2)</v>
      </c>
      <c r="F7" s="42" t="str">
        <f>"=C"&amp;-D6&amp;"/(C"&amp;-C6&amp;"+C"&amp;-D6&amp;")"</f>
        <v>=C2/(C1+C2)</v>
      </c>
    </row>
    <row r="8" spans="1:6" ht="11.25">
      <c r="A8" s="20"/>
      <c r="B8" s="202" t="s">
        <v>29</v>
      </c>
      <c r="C8" s="41" t="str">
        <f>Inputs!C14</f>
        <v>$(000)</v>
      </c>
      <c r="D8" s="41" t="str">
        <f>Inputs!E14</f>
        <v>$(000)</v>
      </c>
      <c r="E8" s="41" t="s">
        <v>31</v>
      </c>
      <c r="F8" s="41" t="s">
        <v>31</v>
      </c>
    </row>
    <row r="9" spans="1:6" ht="33.75">
      <c r="A9" s="90"/>
      <c r="B9" s="185" t="s">
        <v>69</v>
      </c>
      <c r="C9" s="105" t="str">
        <f>Inputs!C16&amp;", "&amp;RIGHT(Inputs!D16,2)</f>
        <v>AAW202P1 - Rural Carrier Payroll Hours Summary Report, </v>
      </c>
      <c r="D9" s="105" t="str">
        <f>Inputs!E16&amp;", "&amp;RIGHT(Inputs!F16,2)</f>
        <v>AAW202P1 - Rural Carrier Payroll Hours Summary Report, </v>
      </c>
      <c r="E9" s="106"/>
      <c r="F9" s="106"/>
    </row>
    <row r="10" spans="1:6" ht="11.25">
      <c r="A10" s="58">
        <v>1</v>
      </c>
      <c r="B10" s="40" t="str">
        <f>Inputs!B17</f>
        <v>PQ 1-2</v>
      </c>
      <c r="C10" s="178">
        <f>SUM(Inputs!C17:D17)</f>
        <v>1619997506</v>
      </c>
      <c r="D10" s="178">
        <f>SUM(Inputs!E17:F17)</f>
        <v>140141136</v>
      </c>
      <c r="E10" s="232">
        <f>C10/(C10+D10)</f>
        <v>0.9203806264711277</v>
      </c>
      <c r="F10" s="232">
        <f>D10/(C10+D10)</f>
        <v>0.07961937352887227</v>
      </c>
    </row>
    <row r="11" spans="1:6" ht="11.25">
      <c r="A11" s="58">
        <f>A10+1</f>
        <v>2</v>
      </c>
      <c r="B11" s="40" t="str">
        <f>Inputs!B18</f>
        <v>PQ 3-4</v>
      </c>
      <c r="C11" s="178">
        <f>SUM(Inputs!C18:D18)</f>
        <v>1924913308</v>
      </c>
      <c r="D11" s="178">
        <f>SUM(Inputs!E18:F18)</f>
        <v>185256861</v>
      </c>
      <c r="E11" s="233">
        <f>C11/(C11+D11)</f>
        <v>0.9122076201618411</v>
      </c>
      <c r="F11" s="233">
        <f>D11/(C11+D11)</f>
        <v>0.08779237983815892</v>
      </c>
    </row>
    <row r="12" spans="1:6" ht="11.25">
      <c r="A12" s="186">
        <f>A11+1</f>
        <v>3</v>
      </c>
      <c r="B12" s="187" t="s">
        <v>144</v>
      </c>
      <c r="C12" s="188">
        <f>SUM(C10:C11)</f>
        <v>3544910814</v>
      </c>
      <c r="D12" s="188">
        <f>SUM(D10:D11)</f>
        <v>325397997</v>
      </c>
      <c r="E12" s="189">
        <f>C12/(C12+D12)</f>
        <v>0.9159245391284618</v>
      </c>
      <c r="F12" s="189">
        <f>D12/(C12+D12)</f>
        <v>0.0840754608715382</v>
      </c>
    </row>
  </sheetData>
  <printOptions/>
  <pageMargins left="0.5" right="0.5" top="1" bottom="0.5" header="0.75" footer="0.25"/>
  <pageSetup horizontalDpi="300" verticalDpi="300" orientation="landscape"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R31"/>
  <sheetViews>
    <sheetView workbookViewId="0" topLeftCell="A1">
      <selection activeCell="C9" sqref="C9"/>
    </sheetView>
  </sheetViews>
  <sheetFormatPr defaultColWidth="8.88671875" defaultRowHeight="15.75"/>
  <cols>
    <col min="1" max="1" width="3.21484375" style="2" customWidth="1"/>
    <col min="2" max="2" width="22.77734375" style="2" bestFit="1" customWidth="1"/>
    <col min="3" max="3" width="8.4453125" style="2" customWidth="1"/>
    <col min="4" max="4" width="9.3359375" style="2" customWidth="1"/>
    <col min="5" max="5" width="9.4453125" style="2" customWidth="1"/>
    <col min="6" max="7" width="8.77734375" style="2" customWidth="1"/>
    <col min="8" max="8" width="9.10546875" style="2" customWidth="1"/>
    <col min="9" max="9" width="9.88671875" style="2" customWidth="1"/>
    <col min="10" max="10" width="8.6640625" style="2" customWidth="1"/>
    <col min="11" max="11" width="8.77734375" style="2" customWidth="1"/>
    <col min="12" max="12" width="8.4453125" style="2" customWidth="1"/>
    <col min="13" max="13" width="4.99609375" style="2" customWidth="1"/>
    <col min="14" max="16384" width="8.88671875" style="2" customWidth="1"/>
  </cols>
  <sheetData>
    <row r="1" s="1" customFormat="1" ht="12.75" customHeight="1">
      <c r="A1" s="107" t="str">
        <f>Doc!A1</f>
        <v>Base Year 2005 - USPS Version</v>
      </c>
    </row>
    <row r="2" s="1" customFormat="1" ht="12.75" customHeight="1">
      <c r="A2" s="107" t="str">
        <f>Doc!A2</f>
        <v>C/S 10 RURAL CARRIERS</v>
      </c>
    </row>
    <row r="3" spans="1:2" s="1" customFormat="1" ht="12.75" customHeight="1">
      <c r="A3" s="110" t="str">
        <f>Doc!A12&amp;" "&amp;Doc!B12</f>
        <v>WS 10.1.1 DEVELOPMENT OF EVALUATED ROUTE VVC</v>
      </c>
      <c r="B3" s="111"/>
    </row>
    <row r="4" spans="1:2" s="1" customFormat="1" ht="12.75" customHeight="1">
      <c r="A4" s="133"/>
      <c r="B4" s="110" t="s">
        <v>185</v>
      </c>
    </row>
    <row r="5" spans="1:13" s="204" customFormat="1" ht="33.75">
      <c r="A5" s="116" t="s">
        <v>28</v>
      </c>
      <c r="B5" s="135" t="s">
        <v>145</v>
      </c>
      <c r="C5" s="118" t="s">
        <v>146</v>
      </c>
      <c r="D5" s="116" t="str">
        <f>Inputs!E19</f>
        <v>EVALUATION FACTOR PQ1-2</v>
      </c>
      <c r="E5" s="118" t="s">
        <v>147</v>
      </c>
      <c r="F5" s="116" t="s">
        <v>148</v>
      </c>
      <c r="G5" s="116" t="s">
        <v>149</v>
      </c>
      <c r="H5" s="118" t="s">
        <v>150</v>
      </c>
      <c r="I5" s="116" t="s">
        <v>24</v>
      </c>
      <c r="J5" s="116" t="s">
        <v>151</v>
      </c>
      <c r="K5" s="116" t="s">
        <v>152</v>
      </c>
      <c r="L5" s="116" t="s">
        <v>153</v>
      </c>
      <c r="M5" s="203"/>
    </row>
    <row r="6" spans="1:13" ht="11.25" customHeight="1">
      <c r="A6" s="12"/>
      <c r="B6" s="103" t="s">
        <v>67</v>
      </c>
      <c r="C6" s="14">
        <v>-1</v>
      </c>
      <c r="D6" s="14">
        <f>C6-1</f>
        <v>-2</v>
      </c>
      <c r="E6" s="14">
        <f aca="true" t="shared" si="0" ref="E6:L6">D6-1</f>
        <v>-3</v>
      </c>
      <c r="F6" s="14">
        <f t="shared" si="0"/>
        <v>-4</v>
      </c>
      <c r="G6" s="14">
        <f t="shared" si="0"/>
        <v>-5</v>
      </c>
      <c r="H6" s="14">
        <f t="shared" si="0"/>
        <v>-6</v>
      </c>
      <c r="I6" s="14">
        <f t="shared" si="0"/>
        <v>-7</v>
      </c>
      <c r="J6" s="14">
        <f t="shared" si="0"/>
        <v>-8</v>
      </c>
      <c r="K6" s="14">
        <f t="shared" si="0"/>
        <v>-9</v>
      </c>
      <c r="L6" s="14">
        <f t="shared" si="0"/>
        <v>-10</v>
      </c>
      <c r="M6" s="12"/>
    </row>
    <row r="7" spans="1:13" ht="45">
      <c r="A7" s="12"/>
      <c r="B7" s="95" t="s">
        <v>68</v>
      </c>
      <c r="C7" s="85"/>
      <c r="D7" s="85"/>
      <c r="E7" s="86" t="str">
        <f>"=C"&amp;-C6&amp;"xC"&amp;-D6</f>
        <v>=C1xC2</v>
      </c>
      <c r="F7" s="73" t="str">
        <f>"C"&amp;-E$6&amp;"L"&amp;A$25&amp;" dist on C"&amp;-E$6&amp;"L"&amp;A$11&amp;"...L"&amp;A$20</f>
        <v>C3L16 dist on C3L2...L11</v>
      </c>
      <c r="G7" s="73" t="str">
        <f>"C"&amp;-E$6&amp;"L"&amp;A$26&amp;" dist on C"&amp;-E$6&amp;"L"&amp;A$11&amp;"...L"&amp;A$20</f>
        <v>C3L17 dist on C3L2...L11</v>
      </c>
      <c r="H7" s="86" t="str">
        <f>"=C"&amp;-E6&amp;"...C"&amp;-G6</f>
        <v>=C3...C5</v>
      </c>
      <c r="I7" s="73" t="str">
        <f>"C"&amp;-I6&amp;"L"&amp;A27&amp;" dist on C"&amp;-H6&amp;"; C"&amp;-I6&amp;"L"&amp;A28&amp;"=C"&amp;-E6&amp;"L"&amp;A28&amp;"/C"&amp;-E6&amp;"L"&amp;A29&amp;"xC"&amp;-I6&amp;"L"&amp;A29</f>
        <v>C7L18 dist on C6; C7L19=C3L19/C3L20xC7L20</v>
      </c>
      <c r="J7" s="73"/>
      <c r="K7" s="73" t="str">
        <f>"-C"&amp;-K6&amp;"L"&amp;A13&amp;" dist on C"&amp;-I6&amp;"L"&amp;A11&amp;"...L"&amp;A12</f>
        <v>-C9L4 dist on C7L2...L3</v>
      </c>
      <c r="L7" s="86" t="str">
        <f>"=C"&amp;-I6&amp;"+C"&amp;-K6</f>
        <v>=C7+C9</v>
      </c>
      <c r="M7" s="12"/>
    </row>
    <row r="8" spans="1:13" ht="11.25">
      <c r="A8" s="12"/>
      <c r="B8" s="95" t="s">
        <v>29</v>
      </c>
      <c r="C8" s="73" t="str">
        <f>Inputs!C20</f>
        <v>Pieces/ Week</v>
      </c>
      <c r="D8" s="85" t="str">
        <f>Inputs!E20</f>
        <v>Minutes/ Piece</v>
      </c>
      <c r="E8" s="85" t="s">
        <v>154</v>
      </c>
      <c r="F8" s="85" t="str">
        <f>E8</f>
        <v>Minutes/ Week</v>
      </c>
      <c r="G8" s="85" t="str">
        <f>E8</f>
        <v>Minutes/ Week</v>
      </c>
      <c r="H8" s="85" t="str">
        <f>E8</f>
        <v>Minutes/ Week</v>
      </c>
      <c r="I8" s="86" t="s">
        <v>30</v>
      </c>
      <c r="J8" s="85" t="s">
        <v>31</v>
      </c>
      <c r="K8" s="86" t="s">
        <v>30</v>
      </c>
      <c r="L8" s="86" t="s">
        <v>30</v>
      </c>
      <c r="M8" s="12"/>
    </row>
    <row r="9" spans="1:13" ht="45">
      <c r="A9" s="13"/>
      <c r="B9" s="98" t="s">
        <v>69</v>
      </c>
      <c r="C9" s="82" t="str">
        <f>Inputs!C22</f>
        <v>2004 RMC</v>
      </c>
      <c r="D9" s="82" t="str">
        <f>Inputs!E22</f>
        <v>Agreements</v>
      </c>
      <c r="E9" s="74"/>
      <c r="F9" s="82" t="str">
        <f>"C"&amp;-F$6&amp;"L"&amp;A$25&amp;" =
-C"&amp;-E6&amp;"L"&amp;A$25</f>
        <v>C4L16 =
-C3L16</v>
      </c>
      <c r="G9" s="82" t="str">
        <f>"C"&amp;-G$6&amp;"L"&amp;A$26&amp;" =
-C"&amp;-E6&amp;"L"&amp;A$26</f>
        <v>C5L17 =
-C3L17</v>
      </c>
      <c r="H9" s="74"/>
      <c r="I9" s="82" t="str">
        <f>"C"&amp;-I6&amp;"L"&amp;A27&amp;" from "&amp;Doc!A10&amp;" C"&amp;-'10.0.1'!F6&amp;"L"&amp;'10.0.1'!A10&amp;"; C"&amp;-I6&amp;"L"&amp;A27&amp;" from "&amp;Doc!A10&amp;" C"&amp;-'10.0.1'!G6&amp;"L"&amp;'10.0.1'!A10</f>
        <v>C7L18 from WS 10.0.1 C4L1; C7L18 from WS 10.0.1 C5L1</v>
      </c>
      <c r="J9" s="82"/>
      <c r="K9" s="82" t="str">
        <f>"C"&amp;-K6&amp;"L"&amp;A13&amp;" =
-C"&amp;-I6&amp;"L"&amp;A13&amp;"xC"&amp;-J6&amp;"L"&amp;A13</f>
        <v>C9L4 =
-C7L4xC8L4</v>
      </c>
      <c r="L9" s="74"/>
      <c r="M9" s="12"/>
    </row>
    <row r="10" spans="1:13" ht="11.25">
      <c r="A10" s="62">
        <v>1</v>
      </c>
      <c r="B10" s="49" t="s">
        <v>155</v>
      </c>
      <c r="C10" s="28"/>
      <c r="D10" s="28"/>
      <c r="E10" s="28"/>
      <c r="F10" s="28"/>
      <c r="G10" s="28"/>
      <c r="H10" s="28"/>
      <c r="I10" s="28"/>
      <c r="J10" s="28"/>
      <c r="K10" s="28"/>
      <c r="L10" s="28"/>
      <c r="M10" s="12"/>
    </row>
    <row r="11" spans="1:18" ht="11.25">
      <c r="A11" s="62">
        <f aca="true" t="shared" si="1" ref="A11:A26">A10+1</f>
        <v>2</v>
      </c>
      <c r="B11" s="22" t="str">
        <f>Inputs!B23</f>
        <v> LETTERS DELIVERED</v>
      </c>
      <c r="C11" s="47">
        <f>Inputs!C23</f>
        <v>3801.14</v>
      </c>
      <c r="D11" s="136">
        <f>Inputs!E23</f>
        <v>0.06989999999999999</v>
      </c>
      <c r="E11" s="29">
        <f>C11*D11</f>
        <v>265.69968599999993</v>
      </c>
      <c r="F11" s="29">
        <f>$E$25*E11/SUM($E$11:$E$20)</f>
        <v>5.649619614511847</v>
      </c>
      <c r="G11" s="29">
        <f>$E$26*E11/SUM($E$11:$E$20)</f>
        <v>5.579751512201257</v>
      </c>
      <c r="H11" s="29">
        <f aca="true" t="shared" si="2" ref="H11:H24">SUM(E11:G11)</f>
        <v>276.929057126713</v>
      </c>
      <c r="I11" s="167">
        <f aca="true" t="shared" si="3" ref="I11:I24">IF($H$27=0,0,H11/$H$27*$I$27)</f>
        <v>213384.4664018648</v>
      </c>
      <c r="J11" s="28"/>
      <c r="K11" s="176">
        <f>-I11/SUM($I$11,$I$12)*$K$13</f>
        <v>0</v>
      </c>
      <c r="L11" s="176">
        <f>SUM(I11,K11)</f>
        <v>213384.4664018648</v>
      </c>
      <c r="M11" s="12"/>
      <c r="N11" s="222"/>
      <c r="P11" s="258"/>
      <c r="R11" s="258"/>
    </row>
    <row r="12" spans="1:18" ht="11.25">
      <c r="A12" s="62">
        <f t="shared" si="1"/>
        <v>3</v>
      </c>
      <c r="B12" s="22" t="str">
        <f>Inputs!B24</f>
        <v> FLATS DELIVERED</v>
      </c>
      <c r="C12" s="47">
        <f>Inputs!C24</f>
        <v>3585.9</v>
      </c>
      <c r="D12" s="136">
        <f>Inputs!E24</f>
        <v>0.11430000000000001</v>
      </c>
      <c r="E12" s="29">
        <f aca="true" t="shared" si="4" ref="E12:E26">C12*D12</f>
        <v>409.8683700000001</v>
      </c>
      <c r="F12" s="29">
        <f aca="true" t="shared" si="5" ref="F12:F20">$E$25*E12/SUM($E$11:$E$20)</f>
        <v>8.715103948297479</v>
      </c>
      <c r="G12" s="29">
        <f aca="true" t="shared" si="6" ref="G12:G20">$E$26*E12/SUM($E$11:$E$20)</f>
        <v>8.607325404633581</v>
      </c>
      <c r="H12" s="29">
        <f t="shared" si="2"/>
        <v>427.19079935293115</v>
      </c>
      <c r="I12" s="167">
        <f t="shared" si="3"/>
        <v>329166.90547933936</v>
      </c>
      <c r="J12" s="28"/>
      <c r="K12" s="176">
        <f>-I12/SUM($I$11,$I$12)*$K$13</f>
        <v>0</v>
      </c>
      <c r="L12" s="176">
        <f aca="true" t="shared" si="7" ref="L12:L24">SUM(I12,K12)</f>
        <v>329166.90547933936</v>
      </c>
      <c r="M12" s="12"/>
      <c r="N12" s="222"/>
      <c r="P12" s="258"/>
      <c r="R12" s="258"/>
    </row>
    <row r="13" spans="1:18" ht="11.25">
      <c r="A13" s="62">
        <f t="shared" si="1"/>
        <v>4</v>
      </c>
      <c r="B13" s="22" t="str">
        <f>Inputs!B25</f>
        <v> PARCELS DELIVERED</v>
      </c>
      <c r="C13" s="47">
        <f>Inputs!C25</f>
        <v>232.7732416</v>
      </c>
      <c r="D13" s="136">
        <f>Inputs!E25</f>
        <v>0.5</v>
      </c>
      <c r="E13" s="29">
        <f t="shared" si="4"/>
        <v>116.3866208</v>
      </c>
      <c r="F13" s="29">
        <f t="shared" si="5"/>
        <v>2.474749389573734</v>
      </c>
      <c r="G13" s="29">
        <f t="shared" si="6"/>
        <v>2.44414448953769</v>
      </c>
      <c r="H13" s="29">
        <f t="shared" si="2"/>
        <v>121.30551467911143</v>
      </c>
      <c r="I13" s="167">
        <f t="shared" si="3"/>
        <v>93470.55448053555</v>
      </c>
      <c r="J13" s="142">
        <v>0</v>
      </c>
      <c r="K13" s="176">
        <f>-I13*J13</f>
        <v>0</v>
      </c>
      <c r="L13" s="176">
        <f t="shared" si="7"/>
        <v>93470.55448053555</v>
      </c>
      <c r="M13" s="12"/>
      <c r="N13" s="222"/>
      <c r="P13" s="258"/>
      <c r="R13" s="258"/>
    </row>
    <row r="14" spans="1:18" ht="11.25">
      <c r="A14" s="62">
        <f t="shared" si="1"/>
        <v>5</v>
      </c>
      <c r="B14" s="22" t="str">
        <f>Inputs!B26</f>
        <v> BOXHOLDERS DELIVERED</v>
      </c>
      <c r="C14" s="47">
        <f>Inputs!C26</f>
        <v>916.4808666</v>
      </c>
      <c r="D14" s="136">
        <f>Inputs!E26</f>
        <v>0.04</v>
      </c>
      <c r="E14" s="29">
        <f t="shared" si="4"/>
        <v>36.659234664</v>
      </c>
      <c r="F14" s="29">
        <f t="shared" si="5"/>
        <v>0.7794918177311173</v>
      </c>
      <c r="G14" s="29">
        <f t="shared" si="6"/>
        <v>0.7698519449985154</v>
      </c>
      <c r="H14" s="29">
        <f t="shared" si="2"/>
        <v>38.20857842672964</v>
      </c>
      <c r="I14" s="167">
        <f t="shared" si="3"/>
        <v>29441.176033148902</v>
      </c>
      <c r="J14" s="28"/>
      <c r="K14" s="176"/>
      <c r="L14" s="176">
        <f t="shared" si="7"/>
        <v>29441.176033148902</v>
      </c>
      <c r="M14" s="12"/>
      <c r="N14" s="222"/>
      <c r="P14" s="258"/>
      <c r="R14" s="258"/>
    </row>
    <row r="15" spans="1:18" ht="11.25">
      <c r="A15" s="62">
        <f t="shared" si="1"/>
        <v>6</v>
      </c>
      <c r="B15" s="22" t="str">
        <f>Inputs!B27</f>
        <v> COD DELIVERED</v>
      </c>
      <c r="C15" s="47">
        <f>Inputs!C27</f>
        <v>0.1840647</v>
      </c>
      <c r="D15" s="136">
        <f>Inputs!E27</f>
        <v>5.967</v>
      </c>
      <c r="E15" s="29">
        <f t="shared" si="4"/>
        <v>1.0983140648999998</v>
      </c>
      <c r="F15" s="29">
        <f t="shared" si="5"/>
        <v>0.02335364703424331</v>
      </c>
      <c r="G15" s="29">
        <f t="shared" si="6"/>
        <v>0.023064835554595597</v>
      </c>
      <c r="H15" s="29">
        <f t="shared" si="2"/>
        <v>1.1447325474888386</v>
      </c>
      <c r="I15" s="167">
        <f t="shared" si="3"/>
        <v>882.0603599823208</v>
      </c>
      <c r="J15" s="28"/>
      <c r="K15" s="176"/>
      <c r="L15" s="176">
        <f t="shared" si="7"/>
        <v>882.0603599823208</v>
      </c>
      <c r="M15" s="12"/>
      <c r="N15" s="222"/>
      <c r="P15" s="258"/>
      <c r="R15" s="258"/>
    </row>
    <row r="16" spans="1:18" ht="11.25">
      <c r="A16" s="62">
        <f t="shared" si="1"/>
        <v>7</v>
      </c>
      <c r="B16" s="22" t="str">
        <f>Inputs!B28</f>
        <v> ACCOUNTABLES DELIVERED</v>
      </c>
      <c r="C16" s="47">
        <f>Inputs!C28</f>
        <v>18.5012282</v>
      </c>
      <c r="D16" s="136">
        <f>Inputs!E28</f>
        <v>4.467</v>
      </c>
      <c r="E16" s="29">
        <f t="shared" si="4"/>
        <v>82.64498636939999</v>
      </c>
      <c r="F16" s="29">
        <f t="shared" si="5"/>
        <v>1.7572950238022733</v>
      </c>
      <c r="G16" s="29">
        <f t="shared" si="6"/>
        <v>1.735562787494269</v>
      </c>
      <c r="H16" s="29">
        <f t="shared" si="2"/>
        <v>86.13784418069653</v>
      </c>
      <c r="I16" s="167">
        <f t="shared" si="3"/>
        <v>66372.51470904566</v>
      </c>
      <c r="J16" s="28"/>
      <c r="K16" s="176"/>
      <c r="L16" s="176">
        <f t="shared" si="7"/>
        <v>66372.51470904566</v>
      </c>
      <c r="M16" s="12"/>
      <c r="N16" s="222"/>
      <c r="P16" s="258"/>
      <c r="Q16" s="258"/>
      <c r="R16" s="258"/>
    </row>
    <row r="17" spans="1:18" ht="11.25">
      <c r="A17" s="62">
        <f t="shared" si="1"/>
        <v>8</v>
      </c>
      <c r="B17" s="22" t="str">
        <f>Inputs!B29</f>
        <v> DPS</v>
      </c>
      <c r="C17" s="47">
        <f>Inputs!C29</f>
        <v>7214.39</v>
      </c>
      <c r="D17" s="136">
        <f>Inputs!E29</f>
        <v>0.0333</v>
      </c>
      <c r="E17" s="29">
        <f t="shared" si="4"/>
        <v>240.23918700000004</v>
      </c>
      <c r="F17" s="29">
        <f t="shared" si="5"/>
        <v>5.108248502219081</v>
      </c>
      <c r="G17" s="29">
        <f t="shared" si="6"/>
        <v>5.045075465212448</v>
      </c>
      <c r="H17" s="29">
        <f t="shared" si="2"/>
        <v>250.39251096743158</v>
      </c>
      <c r="I17" s="167">
        <f t="shared" si="3"/>
        <v>192937.03917592452</v>
      </c>
      <c r="J17" s="28"/>
      <c r="K17" s="176"/>
      <c r="L17" s="176">
        <f t="shared" si="7"/>
        <v>192937.03917592452</v>
      </c>
      <c r="M17" s="12"/>
      <c r="N17" s="222"/>
      <c r="P17" s="258"/>
      <c r="R17" s="258"/>
    </row>
    <row r="18" spans="1:18" ht="11.25">
      <c r="A18" s="62">
        <f t="shared" si="1"/>
        <v>9</v>
      </c>
      <c r="B18" s="22" t="str">
        <f>Inputs!B30</f>
        <v> SECTOR SEGMENT</v>
      </c>
      <c r="C18" s="47">
        <f>Inputs!C30</f>
        <v>195.6634335</v>
      </c>
      <c r="D18" s="136">
        <f>Inputs!E30</f>
        <v>0.0587</v>
      </c>
      <c r="E18" s="29">
        <f t="shared" si="4"/>
        <v>11.48544354645</v>
      </c>
      <c r="F18" s="29">
        <f t="shared" si="5"/>
        <v>0.24421702606525647</v>
      </c>
      <c r="G18" s="29">
        <f t="shared" si="6"/>
        <v>0.24119682624166358</v>
      </c>
      <c r="H18" s="29">
        <f t="shared" si="2"/>
        <v>11.97085739875692</v>
      </c>
      <c r="I18" s="167">
        <f t="shared" si="3"/>
        <v>9224.005039087535</v>
      </c>
      <c r="J18" s="28"/>
      <c r="K18" s="176"/>
      <c r="L18" s="176">
        <f t="shared" si="7"/>
        <v>9224.005039087535</v>
      </c>
      <c r="M18" s="12"/>
      <c r="N18" s="222"/>
      <c r="P18" s="258"/>
      <c r="R18" s="258"/>
    </row>
    <row r="19" spans="1:18" ht="11.25">
      <c r="A19" s="62">
        <f t="shared" si="1"/>
        <v>10</v>
      </c>
      <c r="B19" s="22" t="str">
        <f>Inputs!B31</f>
        <v> POSTAGE DUE</v>
      </c>
      <c r="C19" s="47">
        <f>Inputs!C31</f>
        <v>1.7831589</v>
      </c>
      <c r="D19" s="136">
        <f>Inputs!E31</f>
        <v>0.2</v>
      </c>
      <c r="E19" s="29">
        <f t="shared" si="4"/>
        <v>0.35663178000000006</v>
      </c>
      <c r="F19" s="29">
        <f t="shared" si="5"/>
        <v>0.007583124879742142</v>
      </c>
      <c r="G19" s="29">
        <f t="shared" si="6"/>
        <v>0.007489345372256206</v>
      </c>
      <c r="H19" s="29">
        <f t="shared" si="2"/>
        <v>0.37170425025199844</v>
      </c>
      <c r="I19" s="167">
        <f t="shared" si="3"/>
        <v>286.41238995384924</v>
      </c>
      <c r="J19" s="28"/>
      <c r="K19" s="176"/>
      <c r="L19" s="176">
        <f t="shared" si="7"/>
        <v>286.41238995384924</v>
      </c>
      <c r="M19" s="12"/>
      <c r="N19" s="222"/>
      <c r="P19" s="258"/>
      <c r="R19" s="258"/>
    </row>
    <row r="20" spans="1:18" ht="11.25">
      <c r="A20" s="62">
        <f t="shared" si="1"/>
        <v>11</v>
      </c>
      <c r="B20" s="22" t="str">
        <f>Inputs!B32</f>
        <v> RETURN RECEIPTS</v>
      </c>
      <c r="C20" s="47">
        <f>Inputs!C32</f>
        <v>0.0578664</v>
      </c>
      <c r="D20" s="136">
        <f>Inputs!E32</f>
        <v>0.25</v>
      </c>
      <c r="E20" s="29">
        <f t="shared" si="4"/>
        <v>0.0144666</v>
      </c>
      <c r="F20" s="29">
        <f t="shared" si="5"/>
        <v>0.0003076058852222246</v>
      </c>
      <c r="G20" s="29">
        <f t="shared" si="6"/>
        <v>0.00030380176371909873</v>
      </c>
      <c r="H20" s="29">
        <f t="shared" si="2"/>
        <v>0.015078007648941323</v>
      </c>
      <c r="I20" s="167">
        <f t="shared" si="3"/>
        <v>11.6181835519716</v>
      </c>
      <c r="J20" s="28"/>
      <c r="K20" s="176"/>
      <c r="L20" s="176">
        <f t="shared" si="7"/>
        <v>11.6181835519716</v>
      </c>
      <c r="M20" s="12"/>
      <c r="N20" s="222"/>
      <c r="P20" s="258"/>
      <c r="R20" s="258"/>
    </row>
    <row r="21" spans="1:18" ht="11.25">
      <c r="A21" s="62">
        <f t="shared" si="1"/>
        <v>12</v>
      </c>
      <c r="B21" s="22" t="str">
        <f>Inputs!B33</f>
        <v> LETTERS/FLATS COLLECTED</v>
      </c>
      <c r="C21" s="47">
        <f>Inputs!C33</f>
        <v>930.0617156</v>
      </c>
      <c r="D21" s="136">
        <f>Inputs!E33</f>
        <v>0.04</v>
      </c>
      <c r="E21" s="29">
        <f t="shared" si="4"/>
        <v>37.202468624</v>
      </c>
      <c r="F21" s="29"/>
      <c r="G21" s="29"/>
      <c r="H21" s="29">
        <f t="shared" si="2"/>
        <v>37.202468624</v>
      </c>
      <c r="I21" s="167">
        <f t="shared" si="3"/>
        <v>28665.92981801838</v>
      </c>
      <c r="J21" s="28"/>
      <c r="K21" s="176"/>
      <c r="L21" s="176">
        <f t="shared" si="7"/>
        <v>28665.92981801838</v>
      </c>
      <c r="M21" s="12"/>
      <c r="N21" s="222"/>
      <c r="P21" s="258"/>
      <c r="R21" s="258"/>
    </row>
    <row r="22" spans="1:18" ht="11.25">
      <c r="A22" s="62">
        <f t="shared" si="1"/>
        <v>13</v>
      </c>
      <c r="B22" s="22" t="str">
        <f>Inputs!B34</f>
        <v> PARCELS ACCEPTED</v>
      </c>
      <c r="C22" s="47">
        <f>Inputs!C34</f>
        <v>3.2860747</v>
      </c>
      <c r="D22" s="136">
        <f>Inputs!E34</f>
        <v>4</v>
      </c>
      <c r="E22" s="29">
        <f t="shared" si="4"/>
        <v>13.1442988</v>
      </c>
      <c r="F22" s="29"/>
      <c r="G22" s="29"/>
      <c r="H22" s="29">
        <f t="shared" si="2"/>
        <v>13.1442988</v>
      </c>
      <c r="I22" s="167">
        <f t="shared" si="3"/>
        <v>10128.186672665768</v>
      </c>
      <c r="J22" s="28"/>
      <c r="K22" s="176"/>
      <c r="L22" s="176">
        <f t="shared" si="7"/>
        <v>10128.186672665768</v>
      </c>
      <c r="M22" s="12"/>
      <c r="N22" s="222"/>
      <c r="P22" s="258"/>
      <c r="R22" s="258"/>
    </row>
    <row r="23" spans="1:18" ht="11.25">
      <c r="A23" s="62">
        <f t="shared" si="1"/>
        <v>14</v>
      </c>
      <c r="B23" s="22" t="str">
        <f>Inputs!B35</f>
        <v> ACCOUNTABLES ACCEPTED</v>
      </c>
      <c r="C23" s="47">
        <f>Inputs!C35</f>
        <v>0.6124531</v>
      </c>
      <c r="D23" s="136">
        <f>Inputs!E35</f>
        <v>2</v>
      </c>
      <c r="E23" s="29">
        <f t="shared" si="4"/>
        <v>1.2249062</v>
      </c>
      <c r="F23" s="29"/>
      <c r="G23" s="29"/>
      <c r="H23" s="29">
        <f t="shared" si="2"/>
        <v>1.2249062</v>
      </c>
      <c r="I23" s="167">
        <f t="shared" si="3"/>
        <v>943.8372361183442</v>
      </c>
      <c r="J23" s="28"/>
      <c r="K23" s="176"/>
      <c r="L23" s="176">
        <f t="shared" si="7"/>
        <v>943.8372361183442</v>
      </c>
      <c r="M23" s="12"/>
      <c r="N23" s="222"/>
      <c r="P23" s="258"/>
      <c r="R23" s="258"/>
    </row>
    <row r="24" spans="1:18" ht="11.25">
      <c r="A24" s="62">
        <f t="shared" si="1"/>
        <v>15</v>
      </c>
      <c r="B24" s="22" t="str">
        <f>Inputs!B36</f>
        <v> MONEY ORDERS</v>
      </c>
      <c r="C24" s="47">
        <f>Inputs!C36</f>
        <v>0.218943</v>
      </c>
      <c r="D24" s="136">
        <f>Inputs!E36</f>
        <v>3.5</v>
      </c>
      <c r="E24" s="29">
        <f t="shared" si="4"/>
        <v>0.7663005</v>
      </c>
      <c r="F24" s="29"/>
      <c r="G24" s="29"/>
      <c r="H24" s="29">
        <f t="shared" si="2"/>
        <v>0.7663005</v>
      </c>
      <c r="I24" s="167">
        <f t="shared" si="3"/>
        <v>590.4639440604557</v>
      </c>
      <c r="J24" s="28"/>
      <c r="K24" s="176"/>
      <c r="L24" s="176">
        <f t="shared" si="7"/>
        <v>590.4639440604557</v>
      </c>
      <c r="M24" s="12"/>
      <c r="N24" s="222"/>
      <c r="P24" s="258"/>
      <c r="R24" s="258"/>
    </row>
    <row r="25" spans="1:13" ht="11.25">
      <c r="A25" s="62">
        <f t="shared" si="1"/>
        <v>16</v>
      </c>
      <c r="B25" s="22" t="str">
        <f>Inputs!B37</f>
        <v> VEHICLE LOADING</v>
      </c>
      <c r="C25" s="47">
        <f>Inputs!C37</f>
        <v>49.5199394</v>
      </c>
      <c r="D25" s="136">
        <f>Inputs!E37</f>
        <v>0.5</v>
      </c>
      <c r="E25" s="29">
        <f t="shared" si="4"/>
        <v>24.7599697</v>
      </c>
      <c r="F25" s="29">
        <f>-E25</f>
        <v>-24.7599697</v>
      </c>
      <c r="G25" s="29"/>
      <c r="H25" s="29"/>
      <c r="I25" s="167"/>
      <c r="J25" s="28"/>
      <c r="K25" s="176"/>
      <c r="L25" s="176"/>
      <c r="M25" s="12"/>
    </row>
    <row r="26" spans="1:13" ht="11.25">
      <c r="A26" s="62">
        <f t="shared" si="1"/>
        <v>17</v>
      </c>
      <c r="B26" s="22" t="str">
        <f>Inputs!B38</f>
        <v> MARKUPS</v>
      </c>
      <c r="C26" s="47">
        <f>Inputs!C38</f>
        <v>103.7495393</v>
      </c>
      <c r="D26" s="136">
        <f>Inputs!E38</f>
        <v>0.2357</v>
      </c>
      <c r="E26" s="29">
        <f t="shared" si="4"/>
        <v>24.453766413009998</v>
      </c>
      <c r="F26" s="29"/>
      <c r="G26" s="29">
        <f>-E26</f>
        <v>-24.453766413009998</v>
      </c>
      <c r="H26" s="29"/>
      <c r="I26" s="167"/>
      <c r="J26" s="28"/>
      <c r="K26" s="176"/>
      <c r="L26" s="176"/>
      <c r="M26" s="12"/>
    </row>
    <row r="27" spans="1:17" ht="11.25">
      <c r="A27" s="137">
        <f>A26+1</f>
        <v>18</v>
      </c>
      <c r="B27" s="138" t="s">
        <v>144</v>
      </c>
      <c r="C27" s="139">
        <f aca="true" t="shared" si="8" ref="C27:K27">SUM(C11:C26)</f>
        <v>17054.322525</v>
      </c>
      <c r="D27" s="140"/>
      <c r="E27" s="139">
        <f t="shared" si="8"/>
        <v>1266.0046510617601</v>
      </c>
      <c r="F27" s="139">
        <f t="shared" si="8"/>
        <v>0</v>
      </c>
      <c r="G27" s="139">
        <f t="shared" si="8"/>
        <v>0</v>
      </c>
      <c r="H27" s="139">
        <f t="shared" si="8"/>
        <v>1266.0046510617597</v>
      </c>
      <c r="I27" s="175">
        <f>'10.0.1'!F10</f>
        <v>975505.1699232971</v>
      </c>
      <c r="J27" s="141"/>
      <c r="K27" s="177">
        <f t="shared" si="8"/>
        <v>0</v>
      </c>
      <c r="L27" s="177">
        <f>SUM(I27,K27)</f>
        <v>975505.1699232971</v>
      </c>
      <c r="M27" s="12"/>
      <c r="Q27" s="258"/>
    </row>
    <row r="28" spans="1:12" ht="11.25">
      <c r="A28" s="240">
        <f>A27+1</f>
        <v>19</v>
      </c>
      <c r="B28" s="231" t="s">
        <v>178</v>
      </c>
      <c r="C28" s="253">
        <f>Inputs!C39</f>
        <v>47.94</v>
      </c>
      <c r="D28" s="254">
        <f>Inputs!E39</f>
        <v>0.3</v>
      </c>
      <c r="E28" s="253">
        <f>C28*D28</f>
        <v>14.382</v>
      </c>
      <c r="F28" s="241"/>
      <c r="G28" s="241"/>
      <c r="H28" s="241"/>
      <c r="I28" s="93">
        <f>E28/E$29*I$29</f>
        <v>11214.587572833478</v>
      </c>
      <c r="J28" s="20"/>
      <c r="K28" s="178"/>
      <c r="L28" s="93">
        <f>I28</f>
        <v>11214.587572833478</v>
      </c>
    </row>
    <row r="29" spans="1:12" ht="11.25">
      <c r="A29" s="242">
        <f>A28+1</f>
        <v>20</v>
      </c>
      <c r="B29" s="243" t="s">
        <v>179</v>
      </c>
      <c r="C29" s="255"/>
      <c r="D29" s="256"/>
      <c r="E29" s="255">
        <f>Inputs!C40</f>
        <v>1700.2</v>
      </c>
      <c r="F29" s="244"/>
      <c r="G29" s="244"/>
      <c r="H29" s="244"/>
      <c r="I29" s="245">
        <f>'10.0.1'!G10</f>
        <v>1325757.3210493312</v>
      </c>
      <c r="J29" s="246"/>
      <c r="K29" s="245"/>
      <c r="L29" s="245">
        <f>I29</f>
        <v>1325757.3210493312</v>
      </c>
    </row>
    <row r="30" spans="6:7" ht="11.25">
      <c r="F30" s="222"/>
      <c r="G30" s="222"/>
    </row>
    <row r="31" spans="6:9" ht="11.25">
      <c r="F31" s="222"/>
      <c r="H31" s="258"/>
      <c r="I31" s="258"/>
    </row>
  </sheetData>
  <printOptions/>
  <pageMargins left="0.5" right="0.5" top="1" bottom="0.5" header="0.75" footer="0.25"/>
  <pageSetup fitToHeight="1" fitToWidth="1" horizontalDpi="300" verticalDpi="300" orientation="landscape" scale="92"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N31"/>
  <sheetViews>
    <sheetView workbookViewId="0" topLeftCell="A1">
      <selection activeCell="A1" sqref="A1"/>
    </sheetView>
  </sheetViews>
  <sheetFormatPr defaultColWidth="8.88671875" defaultRowHeight="15.75"/>
  <cols>
    <col min="1" max="1" width="3.21484375" style="2" customWidth="1"/>
    <col min="2" max="2" width="19.4453125" style="2" bestFit="1" customWidth="1"/>
    <col min="3" max="3" width="8.4453125" style="2" customWidth="1"/>
    <col min="4" max="4" width="8.99609375" style="2" customWidth="1"/>
    <col min="5" max="5" width="9.4453125" style="2" customWidth="1"/>
    <col min="6" max="7" width="8.88671875" style="2" customWidth="1"/>
    <col min="8" max="8" width="9.10546875" style="2" customWidth="1"/>
    <col min="9" max="9" width="9.88671875" style="2" customWidth="1"/>
    <col min="10" max="10" width="8.6640625" style="2" customWidth="1"/>
    <col min="11" max="11" width="8.88671875" style="2" customWidth="1"/>
    <col min="12" max="12" width="8.4453125" style="2" customWidth="1"/>
    <col min="13" max="13" width="4.99609375" style="2" customWidth="1"/>
    <col min="14" max="16384" width="8.88671875" style="2" customWidth="1"/>
  </cols>
  <sheetData>
    <row r="1" s="1" customFormat="1" ht="12.75" customHeight="1">
      <c r="A1" s="107" t="str">
        <f>Doc!A1</f>
        <v>Base Year 2005 - USPS Version</v>
      </c>
    </row>
    <row r="2" s="1" customFormat="1" ht="12.75" customHeight="1">
      <c r="A2" s="107" t="str">
        <f>Doc!A2</f>
        <v>C/S 10 RURAL CARRIERS</v>
      </c>
    </row>
    <row r="3" spans="1:2" s="1" customFormat="1" ht="12.75" customHeight="1">
      <c r="A3" s="110" t="str">
        <f>Doc!A12&amp;" "&amp;Doc!B12</f>
        <v>WS 10.1.1 DEVELOPMENT OF EVALUATED ROUTE VVC</v>
      </c>
      <c r="B3" s="111"/>
    </row>
    <row r="4" spans="1:2" s="1" customFormat="1" ht="12.75" customHeight="1">
      <c r="A4" s="133"/>
      <c r="B4" s="108" t="s">
        <v>186</v>
      </c>
    </row>
    <row r="5" spans="1:13" s="204" customFormat="1" ht="33.75">
      <c r="A5" s="116" t="s">
        <v>28</v>
      </c>
      <c r="B5" s="135" t="s">
        <v>145</v>
      </c>
      <c r="C5" s="118" t="s">
        <v>146</v>
      </c>
      <c r="D5" s="116" t="str">
        <f>Inputs!H19</f>
        <v>EVALUATION FACTOR PQ3-4</v>
      </c>
      <c r="E5" s="118" t="s">
        <v>147</v>
      </c>
      <c r="F5" s="116" t="s">
        <v>148</v>
      </c>
      <c r="G5" s="116" t="s">
        <v>149</v>
      </c>
      <c r="H5" s="118" t="s">
        <v>150</v>
      </c>
      <c r="I5" s="116" t="s">
        <v>24</v>
      </c>
      <c r="J5" s="116" t="s">
        <v>151</v>
      </c>
      <c r="K5" s="116" t="s">
        <v>152</v>
      </c>
      <c r="L5" s="116" t="s">
        <v>153</v>
      </c>
      <c r="M5" s="203"/>
    </row>
    <row r="6" spans="1:13" ht="11.25" customHeight="1">
      <c r="A6" s="12"/>
      <c r="B6" s="103" t="s">
        <v>67</v>
      </c>
      <c r="C6" s="14">
        <v>-1</v>
      </c>
      <c r="D6" s="14">
        <f aca="true" t="shared" si="0" ref="D6:L6">C6-1</f>
        <v>-2</v>
      </c>
      <c r="E6" s="14">
        <f t="shared" si="0"/>
        <v>-3</v>
      </c>
      <c r="F6" s="14">
        <f t="shared" si="0"/>
        <v>-4</v>
      </c>
      <c r="G6" s="14">
        <f t="shared" si="0"/>
        <v>-5</v>
      </c>
      <c r="H6" s="14">
        <f t="shared" si="0"/>
        <v>-6</v>
      </c>
      <c r="I6" s="14">
        <f t="shared" si="0"/>
        <v>-7</v>
      </c>
      <c r="J6" s="14">
        <f t="shared" si="0"/>
        <v>-8</v>
      </c>
      <c r="K6" s="14">
        <f t="shared" si="0"/>
        <v>-9</v>
      </c>
      <c r="L6" s="14">
        <f t="shared" si="0"/>
        <v>-10</v>
      </c>
      <c r="M6" s="12"/>
    </row>
    <row r="7" spans="1:13" ht="45">
      <c r="A7" s="12"/>
      <c r="B7" s="95" t="s">
        <v>68</v>
      </c>
      <c r="C7" s="85"/>
      <c r="D7" s="85"/>
      <c r="E7" s="86" t="str">
        <f>"=C"&amp;-C6&amp;"xC"&amp;-D6</f>
        <v>=C1xC2</v>
      </c>
      <c r="F7" s="73" t="str">
        <f>"C"&amp;-E$6&amp;"L"&amp;A$25&amp;" dist on C"&amp;-E$6&amp;"L"&amp;A$11&amp;"...L"&amp;A$20</f>
        <v>C3L16 dist on C3L2...L11</v>
      </c>
      <c r="G7" s="73" t="str">
        <f>"C"&amp;-E$6&amp;"L"&amp;A$26&amp;" dist on C"&amp;-E$6&amp;"L"&amp;A$11&amp;"...L"&amp;A$20</f>
        <v>C3L17 dist on C3L2...L11</v>
      </c>
      <c r="H7" s="86" t="str">
        <f>"=C"&amp;-E6&amp;"...C"&amp;-G6</f>
        <v>=C3...C5</v>
      </c>
      <c r="I7" s="73" t="str">
        <f>"C"&amp;-I6&amp;"L"&amp;A27&amp;" dist on C"&amp;-H6&amp;"; C"&amp;-I6&amp;"L"&amp;A28&amp;"=C"&amp;-E6&amp;"L"&amp;A28&amp;"/C"&amp;-E6&amp;"L"&amp;A29&amp;"xC"&amp;-I6&amp;"L"&amp;A29</f>
        <v>C7L18 dist on C6; C7L19=C3L19/C3L20xC7L20</v>
      </c>
      <c r="J7" s="73"/>
      <c r="K7" s="73" t="str">
        <f>"-C"&amp;-K6&amp;"L"&amp;A13&amp;" dist on C"&amp;-I6&amp;"L"&amp;A11&amp;"...L"&amp;A12</f>
        <v>-C9L4 dist on C7L2...L3</v>
      </c>
      <c r="L7" s="86" t="str">
        <f>"=C"&amp;-I6&amp;"+C"&amp;-K6</f>
        <v>=C7+C9</v>
      </c>
      <c r="M7" s="12"/>
    </row>
    <row r="8" spans="1:13" ht="11.25">
      <c r="A8" s="12"/>
      <c r="B8" s="95" t="s">
        <v>29</v>
      </c>
      <c r="C8" s="73" t="str">
        <f>Inputs!C20</f>
        <v>Pieces/ Week</v>
      </c>
      <c r="D8" s="85" t="str">
        <f>Inputs!E20</f>
        <v>Minutes/ Piece</v>
      </c>
      <c r="E8" s="85" t="s">
        <v>154</v>
      </c>
      <c r="F8" s="85" t="str">
        <f>E8</f>
        <v>Minutes/ Week</v>
      </c>
      <c r="G8" s="85" t="str">
        <f>E8</f>
        <v>Minutes/ Week</v>
      </c>
      <c r="H8" s="85" t="str">
        <f>E8</f>
        <v>Minutes/ Week</v>
      </c>
      <c r="I8" s="86" t="s">
        <v>30</v>
      </c>
      <c r="J8" s="85" t="s">
        <v>31</v>
      </c>
      <c r="K8" s="86" t="s">
        <v>30</v>
      </c>
      <c r="L8" s="86" t="s">
        <v>30</v>
      </c>
      <c r="M8" s="12"/>
    </row>
    <row r="9" spans="1:13" ht="45">
      <c r="A9" s="13"/>
      <c r="B9" s="98" t="s">
        <v>69</v>
      </c>
      <c r="C9" s="82" t="str">
        <f>Inputs!F22</f>
        <v>2005 RMC</v>
      </c>
      <c r="D9" s="82" t="str">
        <f>Inputs!H22</f>
        <v>Agreements</v>
      </c>
      <c r="E9" s="74"/>
      <c r="F9" s="82" t="str">
        <f>"C"&amp;-F$6&amp;"L"&amp;A$25&amp;" =
-C"&amp;-E6&amp;"L"&amp;A$25</f>
        <v>C4L16 =
-C3L16</v>
      </c>
      <c r="G9" s="82" t="str">
        <f>"C"&amp;-G$6&amp;"L"&amp;A$26&amp;" =
-C"&amp;-E6&amp;"L"&amp;A$26</f>
        <v>C5L17 =
-C3L17</v>
      </c>
      <c r="H9" s="74"/>
      <c r="I9" s="82" t="str">
        <f>"C"&amp;-I6&amp;"L"&amp;A27&amp;" from "&amp;Doc!A10&amp;" C"&amp;-'10.0.1'!F6&amp;"L"&amp;'10.0.1'!A13&amp;"; C"&amp;-I6&amp;"L"&amp;A27&amp;" from "&amp;Doc!A10&amp;" C"&amp;-'10.0.1'!G6&amp;"L"&amp;'10.0.1'!A13</f>
        <v>C7L18 from WS 10.0.1 C4L4; C7L18 from WS 10.0.1 C5L4</v>
      </c>
      <c r="J9" s="82"/>
      <c r="K9" s="82" t="str">
        <f>"C"&amp;-K6&amp;"L"&amp;A13&amp;" =
-C"&amp;-I6&amp;"L"&amp;A13&amp;"xC"&amp;-J6&amp;"L"&amp;A13</f>
        <v>C9L4 =
-C7L4xC8L4</v>
      </c>
      <c r="L9" s="74"/>
      <c r="M9" s="12"/>
    </row>
    <row r="10" spans="1:13" ht="11.25">
      <c r="A10" s="62">
        <v>1</v>
      </c>
      <c r="B10" s="49" t="s">
        <v>155</v>
      </c>
      <c r="C10" s="28"/>
      <c r="D10" s="28"/>
      <c r="E10" s="28"/>
      <c r="F10" s="28"/>
      <c r="G10" s="28"/>
      <c r="H10" s="28"/>
      <c r="I10" s="28"/>
      <c r="J10" s="28"/>
      <c r="K10" s="28"/>
      <c r="L10" s="28"/>
      <c r="M10" s="12"/>
    </row>
    <row r="11" spans="1:14" ht="11.25">
      <c r="A11" s="62">
        <f aca="true" t="shared" si="1" ref="A11:A29">A10+1</f>
        <v>2</v>
      </c>
      <c r="B11" s="22" t="str">
        <f>Inputs!B23</f>
        <v> LETTERS DELIVERED</v>
      </c>
      <c r="C11" s="47">
        <f>Inputs!F23</f>
        <v>3728.43</v>
      </c>
      <c r="D11" s="136">
        <f>Inputs!H23</f>
        <v>0.06989999999999999</v>
      </c>
      <c r="E11" s="29">
        <f aca="true" t="shared" si="2" ref="E11:E26">C11*D11</f>
        <v>260.61725699999994</v>
      </c>
      <c r="F11" s="29">
        <f aca="true" t="shared" si="3" ref="F11:F20">$E$25*E11/SUM($E$11:$E$20)</f>
        <v>5.462632696514151</v>
      </c>
      <c r="G11" s="29">
        <f aca="true" t="shared" si="4" ref="G11:G20">$E$26*E11/SUM($E$11:$E$20)</f>
        <v>5.333472865792825</v>
      </c>
      <c r="H11" s="29">
        <f aca="true" t="shared" si="5" ref="H11:H24">SUM(E11:G11)</f>
        <v>271.41336256230693</v>
      </c>
      <c r="I11" s="167">
        <f aca="true" t="shared" si="6" ref="I11:I24">IF($H$27=0,0,H11/$H$27*$I$27)</f>
        <v>215254.86897767452</v>
      </c>
      <c r="J11" s="28"/>
      <c r="K11" s="176">
        <f>-I11/SUM($I$11,$I$12)*$K$13</f>
        <v>0</v>
      </c>
      <c r="L11" s="176">
        <f aca="true" t="shared" si="7" ref="L11:L24">SUM(I11,K11)</f>
        <v>215254.86897767452</v>
      </c>
      <c r="M11" s="12"/>
      <c r="N11" s="222"/>
    </row>
    <row r="12" spans="1:14" ht="11.25">
      <c r="A12" s="62">
        <f t="shared" si="1"/>
        <v>3</v>
      </c>
      <c r="B12" s="22" t="str">
        <f>Inputs!B24</f>
        <v> FLATS DELIVERED</v>
      </c>
      <c r="C12" s="47">
        <f>Inputs!F24</f>
        <v>3764.56</v>
      </c>
      <c r="D12" s="136">
        <f>Inputs!H24</f>
        <v>0.11430000000000001</v>
      </c>
      <c r="E12" s="29">
        <f t="shared" si="2"/>
        <v>430.28920800000003</v>
      </c>
      <c r="F12" s="29">
        <f t="shared" si="3"/>
        <v>9.01901863151748</v>
      </c>
      <c r="G12" s="29">
        <f t="shared" si="4"/>
        <v>8.805770737244334</v>
      </c>
      <c r="H12" s="29">
        <f t="shared" si="5"/>
        <v>448.1139973687619</v>
      </c>
      <c r="I12" s="167">
        <f t="shared" si="6"/>
        <v>355394.14448885625</v>
      </c>
      <c r="J12" s="28"/>
      <c r="K12" s="176">
        <f>-I12/SUM($I$11,$I$12)*$K$13</f>
        <v>0</v>
      </c>
      <c r="L12" s="176">
        <f t="shared" si="7"/>
        <v>355394.14448885625</v>
      </c>
      <c r="M12" s="12"/>
      <c r="N12" s="222"/>
    </row>
    <row r="13" spans="1:14" ht="11.25">
      <c r="A13" s="62">
        <f t="shared" si="1"/>
        <v>4</v>
      </c>
      <c r="B13" s="22" t="str">
        <f>Inputs!B25</f>
        <v> PARCELS DELIVERED</v>
      </c>
      <c r="C13" s="47">
        <f>Inputs!F25</f>
        <v>246.2618543</v>
      </c>
      <c r="D13" s="136">
        <f>Inputs!H25</f>
        <v>0.5</v>
      </c>
      <c r="E13" s="29">
        <f t="shared" si="2"/>
        <v>123.13092715</v>
      </c>
      <c r="F13" s="29">
        <f t="shared" si="3"/>
        <v>2.580869111832039</v>
      </c>
      <c r="G13" s="29">
        <f t="shared" si="4"/>
        <v>2.5198464079239327</v>
      </c>
      <c r="H13" s="29">
        <f t="shared" si="5"/>
        <v>128.23164266975598</v>
      </c>
      <c r="I13" s="167">
        <f t="shared" si="6"/>
        <v>101699.06588638849</v>
      </c>
      <c r="J13" s="142">
        <v>0</v>
      </c>
      <c r="K13" s="176">
        <f>-I13*J13</f>
        <v>0</v>
      </c>
      <c r="L13" s="176">
        <f t="shared" si="7"/>
        <v>101699.06588638849</v>
      </c>
      <c r="M13" s="12"/>
      <c r="N13" s="222"/>
    </row>
    <row r="14" spans="1:14" ht="11.25">
      <c r="A14" s="62">
        <f t="shared" si="1"/>
        <v>5</v>
      </c>
      <c r="B14" s="22" t="str">
        <f>Inputs!B26</f>
        <v> BOXHOLDERS DELIVERED</v>
      </c>
      <c r="C14" s="47">
        <f>Inputs!F26</f>
        <v>936.3507541</v>
      </c>
      <c r="D14" s="136">
        <f>Inputs!H26</f>
        <v>0.04</v>
      </c>
      <c r="E14" s="29">
        <f t="shared" si="2"/>
        <v>37.454030164</v>
      </c>
      <c r="F14" s="29">
        <f t="shared" si="3"/>
        <v>0.7850501234846998</v>
      </c>
      <c r="G14" s="29">
        <f t="shared" si="4"/>
        <v>0.7664882053235642</v>
      </c>
      <c r="H14" s="29">
        <f t="shared" si="5"/>
        <v>39.005568492808266</v>
      </c>
      <c r="I14" s="167">
        <f t="shared" si="6"/>
        <v>30934.875335740686</v>
      </c>
      <c r="J14" s="28"/>
      <c r="K14" s="176"/>
      <c r="L14" s="176">
        <f t="shared" si="7"/>
        <v>30934.875335740686</v>
      </c>
      <c r="M14" s="12"/>
      <c r="N14" s="222"/>
    </row>
    <row r="15" spans="1:14" ht="11.25">
      <c r="A15" s="62">
        <f t="shared" si="1"/>
        <v>6</v>
      </c>
      <c r="B15" s="22" t="str">
        <f>Inputs!B27</f>
        <v> COD DELIVERED</v>
      </c>
      <c r="C15" s="47">
        <f>Inputs!F27</f>
        <v>0.1641469</v>
      </c>
      <c r="D15" s="136">
        <f>Inputs!H27</f>
        <v>5.967</v>
      </c>
      <c r="E15" s="29">
        <f t="shared" si="2"/>
        <v>0.9794645523000001</v>
      </c>
      <c r="F15" s="29">
        <f t="shared" si="3"/>
        <v>0.020529934011509363</v>
      </c>
      <c r="G15" s="29">
        <f t="shared" si="4"/>
        <v>0.02004451920349223</v>
      </c>
      <c r="H15" s="29">
        <f t="shared" si="5"/>
        <v>1.0200390055150017</v>
      </c>
      <c r="I15" s="167">
        <f t="shared" si="6"/>
        <v>808.9814016944135</v>
      </c>
      <c r="J15" s="28"/>
      <c r="K15" s="176"/>
      <c r="L15" s="176">
        <f t="shared" si="7"/>
        <v>808.9814016944135</v>
      </c>
      <c r="M15" s="12"/>
      <c r="N15" s="222"/>
    </row>
    <row r="16" spans="1:14" ht="11.25">
      <c r="A16" s="62">
        <f t="shared" si="1"/>
        <v>7</v>
      </c>
      <c r="B16" s="22" t="str">
        <f>Inputs!B28</f>
        <v> ACCOUNTABLES DELIVERED</v>
      </c>
      <c r="C16" s="47">
        <f>Inputs!F28</f>
        <v>18.7128447</v>
      </c>
      <c r="D16" s="136">
        <f>Inputs!H28</f>
        <v>4.467</v>
      </c>
      <c r="E16" s="29">
        <f t="shared" si="2"/>
        <v>83.5902772749</v>
      </c>
      <c r="F16" s="29">
        <f t="shared" si="3"/>
        <v>1.7520826786714</v>
      </c>
      <c r="G16" s="29">
        <f t="shared" si="4"/>
        <v>1.7106560049850341</v>
      </c>
      <c r="H16" s="29">
        <f t="shared" si="5"/>
        <v>87.05301595855644</v>
      </c>
      <c r="I16" s="167">
        <f t="shared" si="6"/>
        <v>69040.76264840776</v>
      </c>
      <c r="J16" s="28"/>
      <c r="K16" s="176"/>
      <c r="L16" s="176">
        <f t="shared" si="7"/>
        <v>69040.76264840776</v>
      </c>
      <c r="M16" s="12"/>
      <c r="N16" s="222"/>
    </row>
    <row r="17" spans="1:14" ht="11.25">
      <c r="A17" s="62">
        <f t="shared" si="1"/>
        <v>8</v>
      </c>
      <c r="B17" s="22" t="str">
        <f>Inputs!B29</f>
        <v> DPS</v>
      </c>
      <c r="C17" s="47">
        <f>Inputs!F29</f>
        <v>7689.52</v>
      </c>
      <c r="D17" s="136">
        <f>Inputs!H29</f>
        <v>0.0333</v>
      </c>
      <c r="E17" s="29">
        <f t="shared" si="2"/>
        <v>256.06101600000005</v>
      </c>
      <c r="F17" s="29">
        <f t="shared" si="3"/>
        <v>5.367132224495149</v>
      </c>
      <c r="G17" s="29">
        <f t="shared" si="4"/>
        <v>5.240230430417519</v>
      </c>
      <c r="H17" s="29">
        <f t="shared" si="5"/>
        <v>266.6683786549127</v>
      </c>
      <c r="I17" s="167">
        <f t="shared" si="6"/>
        <v>211491.67589224622</v>
      </c>
      <c r="J17" s="28"/>
      <c r="K17" s="176"/>
      <c r="L17" s="176">
        <f t="shared" si="7"/>
        <v>211491.67589224622</v>
      </c>
      <c r="M17" s="12"/>
      <c r="N17" s="222"/>
    </row>
    <row r="18" spans="1:14" ht="11.25">
      <c r="A18" s="62">
        <f t="shared" si="1"/>
        <v>9</v>
      </c>
      <c r="B18" s="22" t="str">
        <f>Inputs!B30</f>
        <v> SECTOR SEGMENT</v>
      </c>
      <c r="C18" s="47">
        <f>Inputs!F30</f>
        <v>188.8551246</v>
      </c>
      <c r="D18" s="136">
        <f>Inputs!H30</f>
        <v>0.0587</v>
      </c>
      <c r="E18" s="29">
        <f t="shared" si="2"/>
        <v>11.08579581402</v>
      </c>
      <c r="F18" s="29">
        <f t="shared" si="3"/>
        <v>0.23236232081341177</v>
      </c>
      <c r="G18" s="29">
        <f t="shared" si="4"/>
        <v>0.2268682889629039</v>
      </c>
      <c r="H18" s="29">
        <f t="shared" si="5"/>
        <v>11.545026423796315</v>
      </c>
      <c r="I18" s="167">
        <f t="shared" si="6"/>
        <v>9156.229917116072</v>
      </c>
      <c r="J18" s="28"/>
      <c r="K18" s="176"/>
      <c r="L18" s="176">
        <f t="shared" si="7"/>
        <v>9156.229917116072</v>
      </c>
      <c r="M18" s="12"/>
      <c r="N18" s="222"/>
    </row>
    <row r="19" spans="1:14" ht="11.25">
      <c r="A19" s="62">
        <f t="shared" si="1"/>
        <v>10</v>
      </c>
      <c r="B19" s="22" t="str">
        <f>Inputs!B31</f>
        <v> POSTAGE DUE</v>
      </c>
      <c r="C19" s="47">
        <f>Inputs!F31</f>
        <v>1.7077021</v>
      </c>
      <c r="D19" s="136">
        <f>Inputs!H31</f>
        <v>0.2</v>
      </c>
      <c r="E19" s="29">
        <f t="shared" si="2"/>
        <v>0.34154042</v>
      </c>
      <c r="F19" s="29">
        <f t="shared" si="3"/>
        <v>0.0071588116878736705</v>
      </c>
      <c r="G19" s="29">
        <f t="shared" si="4"/>
        <v>0.00698954698399533</v>
      </c>
      <c r="H19" s="29">
        <f t="shared" si="5"/>
        <v>0.35568877867186904</v>
      </c>
      <c r="I19" s="167">
        <f t="shared" si="6"/>
        <v>282.0927485921623</v>
      </c>
      <c r="J19" s="28"/>
      <c r="K19" s="176"/>
      <c r="L19" s="176">
        <f t="shared" si="7"/>
        <v>282.0927485921623</v>
      </c>
      <c r="M19" s="12"/>
      <c r="N19" s="222"/>
    </row>
    <row r="20" spans="1:14" ht="11.25">
      <c r="A20" s="62">
        <f t="shared" si="1"/>
        <v>11</v>
      </c>
      <c r="B20" s="22" t="str">
        <f>Inputs!B32</f>
        <v> RETURN RECEIPTS</v>
      </c>
      <c r="C20" s="47">
        <f>Inputs!F32</f>
        <v>0.0440769</v>
      </c>
      <c r="D20" s="136">
        <f>Inputs!H32</f>
        <v>0.25</v>
      </c>
      <c r="E20" s="29">
        <f t="shared" si="2"/>
        <v>0.011019225</v>
      </c>
      <c r="F20" s="29">
        <f t="shared" si="3"/>
        <v>0.0002309669722878181</v>
      </c>
      <c r="G20" s="29">
        <f t="shared" si="4"/>
        <v>0.00022550593240096135</v>
      </c>
      <c r="H20" s="29">
        <f t="shared" si="5"/>
        <v>0.01147569790468878</v>
      </c>
      <c r="I20" s="167">
        <f t="shared" si="6"/>
        <v>9.10124625250935</v>
      </c>
      <c r="J20" s="28"/>
      <c r="K20" s="176"/>
      <c r="L20" s="176">
        <f t="shared" si="7"/>
        <v>9.10124625250935</v>
      </c>
      <c r="M20" s="12"/>
      <c r="N20" s="222"/>
    </row>
    <row r="21" spans="1:14" ht="11.25">
      <c r="A21" s="62">
        <f t="shared" si="1"/>
        <v>12</v>
      </c>
      <c r="B21" s="22" t="str">
        <f>Inputs!B33</f>
        <v> LETTERS/FLATS COLLECTED</v>
      </c>
      <c r="C21" s="47">
        <f>Inputs!F33</f>
        <v>925.6418613</v>
      </c>
      <c r="D21" s="136">
        <f>Inputs!H33</f>
        <v>0.04</v>
      </c>
      <c r="E21" s="29">
        <f t="shared" si="2"/>
        <v>37.025674452</v>
      </c>
      <c r="F21" s="29"/>
      <c r="G21" s="29"/>
      <c r="H21" s="29">
        <f t="shared" si="5"/>
        <v>37.025674452</v>
      </c>
      <c r="I21" s="167">
        <f t="shared" si="6"/>
        <v>29364.64375863465</v>
      </c>
      <c r="J21" s="28"/>
      <c r="K21" s="176"/>
      <c r="L21" s="176">
        <f t="shared" si="7"/>
        <v>29364.64375863465</v>
      </c>
      <c r="M21" s="12"/>
      <c r="N21" s="222"/>
    </row>
    <row r="22" spans="1:14" ht="11.25">
      <c r="A22" s="62">
        <f t="shared" si="1"/>
        <v>13</v>
      </c>
      <c r="B22" s="22" t="str">
        <f>Inputs!B34</f>
        <v> PARCELS ACCEPTED</v>
      </c>
      <c r="C22" s="47">
        <f>Inputs!F34</f>
        <v>3.6509401</v>
      </c>
      <c r="D22" s="136">
        <f>Inputs!H34</f>
        <v>4</v>
      </c>
      <c r="E22" s="29">
        <f t="shared" si="2"/>
        <v>14.6037604</v>
      </c>
      <c r="F22" s="29"/>
      <c r="G22" s="29"/>
      <c r="H22" s="29">
        <f t="shared" si="5"/>
        <v>14.6037604</v>
      </c>
      <c r="I22" s="167">
        <f t="shared" si="6"/>
        <v>11582.077248542646</v>
      </c>
      <c r="J22" s="28"/>
      <c r="K22" s="176"/>
      <c r="L22" s="176">
        <f t="shared" si="7"/>
        <v>11582.077248542646</v>
      </c>
      <c r="M22" s="12"/>
      <c r="N22" s="222"/>
    </row>
    <row r="23" spans="1:14" ht="11.25">
      <c r="A23" s="62">
        <f t="shared" si="1"/>
        <v>14</v>
      </c>
      <c r="B23" s="22" t="str">
        <f>Inputs!B35</f>
        <v> ACCOUNTABLES ACCEPTED</v>
      </c>
      <c r="C23" s="47">
        <f>Inputs!F35</f>
        <v>0.591301</v>
      </c>
      <c r="D23" s="136">
        <f>Inputs!H35</f>
        <v>2</v>
      </c>
      <c r="E23" s="29">
        <f t="shared" si="2"/>
        <v>1.182602</v>
      </c>
      <c r="F23" s="29"/>
      <c r="G23" s="29"/>
      <c r="H23" s="29">
        <f t="shared" si="5"/>
        <v>1.182602</v>
      </c>
      <c r="I23" s="167">
        <f t="shared" si="6"/>
        <v>937.9082745209262</v>
      </c>
      <c r="J23" s="28"/>
      <c r="K23" s="176"/>
      <c r="L23" s="176">
        <f t="shared" si="7"/>
        <v>937.9082745209262</v>
      </c>
      <c r="M23" s="12"/>
      <c r="N23" s="222"/>
    </row>
    <row r="24" spans="1:14" ht="11.25">
      <c r="A24" s="62">
        <f t="shared" si="1"/>
        <v>15</v>
      </c>
      <c r="B24" s="22" t="str">
        <f>Inputs!B36</f>
        <v> MONEY ORDERS</v>
      </c>
      <c r="C24" s="47">
        <f>Inputs!F36</f>
        <v>0.2106027</v>
      </c>
      <c r="D24" s="136">
        <f>Inputs!H36</f>
        <v>3.5</v>
      </c>
      <c r="E24" s="29">
        <f t="shared" si="2"/>
        <v>0.73710945</v>
      </c>
      <c r="F24" s="29"/>
      <c r="G24" s="29"/>
      <c r="H24" s="29">
        <f t="shared" si="5"/>
        <v>0.73710945</v>
      </c>
      <c r="I24" s="167">
        <f t="shared" si="6"/>
        <v>584.5931702995335</v>
      </c>
      <c r="J24" s="28"/>
      <c r="K24" s="176"/>
      <c r="L24" s="176">
        <f t="shared" si="7"/>
        <v>584.5931702995335</v>
      </c>
      <c r="M24" s="12"/>
      <c r="N24" s="222"/>
    </row>
    <row r="25" spans="1:13" ht="11.25">
      <c r="A25" s="62">
        <f t="shared" si="1"/>
        <v>16</v>
      </c>
      <c r="B25" s="22" t="str">
        <f>Inputs!B37</f>
        <v> VEHICLE LOADING</v>
      </c>
      <c r="C25" s="47">
        <f>Inputs!F37</f>
        <v>50.454135</v>
      </c>
      <c r="D25" s="136">
        <f>Inputs!H37</f>
        <v>0.5</v>
      </c>
      <c r="E25" s="29">
        <f t="shared" si="2"/>
        <v>25.2270675</v>
      </c>
      <c r="F25" s="29">
        <f>-E25</f>
        <v>-25.2270675</v>
      </c>
      <c r="G25" s="29"/>
      <c r="H25" s="29"/>
      <c r="I25" s="167"/>
      <c r="J25" s="28"/>
      <c r="K25" s="176"/>
      <c r="L25" s="176"/>
      <c r="M25" s="12"/>
    </row>
    <row r="26" spans="1:13" ht="11.25">
      <c r="A26" s="62">
        <f t="shared" si="1"/>
        <v>17</v>
      </c>
      <c r="B26" s="22" t="str">
        <f>Inputs!B38</f>
        <v> MARKUPS</v>
      </c>
      <c r="C26" s="47">
        <f>Inputs!F38</f>
        <v>104.4997561</v>
      </c>
      <c r="D26" s="136">
        <f>Inputs!H38</f>
        <v>0.2357</v>
      </c>
      <c r="E26" s="29">
        <f t="shared" si="2"/>
        <v>24.63059251277</v>
      </c>
      <c r="F26" s="29"/>
      <c r="G26" s="29">
        <f>-E26</f>
        <v>-24.63059251277</v>
      </c>
      <c r="H26" s="29"/>
      <c r="I26" s="167"/>
      <c r="J26" s="28"/>
      <c r="K26" s="176"/>
      <c r="L26" s="176"/>
      <c r="M26" s="12"/>
    </row>
    <row r="27" spans="1:13" ht="11.25">
      <c r="A27" s="137">
        <f t="shared" si="1"/>
        <v>18</v>
      </c>
      <c r="B27" s="138" t="s">
        <v>144</v>
      </c>
      <c r="C27" s="139">
        <f>SUM(C11:C26)</f>
        <v>17659.655099800002</v>
      </c>
      <c r="D27" s="140"/>
      <c r="E27" s="139">
        <f>SUM(E11:E26)</f>
        <v>1306.96734191499</v>
      </c>
      <c r="F27" s="139">
        <f>SUM(F11:F26)</f>
        <v>0</v>
      </c>
      <c r="G27" s="139">
        <f>SUM(G11:G26)</f>
        <v>0</v>
      </c>
      <c r="H27" s="139">
        <f>SUM(H11:H26)</f>
        <v>1306.9673419149901</v>
      </c>
      <c r="I27" s="175">
        <f>'10.0.1'!F13</f>
        <v>1036541.0209949668</v>
      </c>
      <c r="J27" s="141"/>
      <c r="K27" s="177">
        <f>SUM(K11:K26)</f>
        <v>0</v>
      </c>
      <c r="L27" s="177">
        <f>SUM(I27,K27)</f>
        <v>1036541.0209949668</v>
      </c>
      <c r="M27" s="12"/>
    </row>
    <row r="28" spans="1:12" ht="11.25">
      <c r="A28" s="60">
        <f>A27+1</f>
        <v>19</v>
      </c>
      <c r="B28" s="231" t="s">
        <v>180</v>
      </c>
      <c r="C28" s="253">
        <f>Inputs!F39</f>
        <v>50.9</v>
      </c>
      <c r="D28" s="254">
        <f>Inputs!H39</f>
        <v>0.3</v>
      </c>
      <c r="E28" s="253">
        <f>C28*D28</f>
        <v>15.27</v>
      </c>
      <c r="F28" s="241"/>
      <c r="G28" s="241"/>
      <c r="H28" s="241"/>
      <c r="I28" s="93">
        <f>E28/E$29*I$29</f>
        <v>12317.55282661299</v>
      </c>
      <c r="J28" s="20"/>
      <c r="K28" s="178"/>
      <c r="L28" s="93">
        <f>I28</f>
        <v>12317.55282661299</v>
      </c>
    </row>
    <row r="29" spans="1:12" ht="11.25">
      <c r="A29" s="61">
        <f t="shared" si="1"/>
        <v>20</v>
      </c>
      <c r="B29" s="50" t="s">
        <v>179</v>
      </c>
      <c r="C29" s="255"/>
      <c r="D29" s="256"/>
      <c r="E29" s="255">
        <f>Inputs!F40</f>
        <v>1710.33</v>
      </c>
      <c r="F29" s="244"/>
      <c r="G29" s="244"/>
      <c r="H29" s="244"/>
      <c r="I29" s="245">
        <f>'10.0.1'!G13</f>
        <v>1379638.5151238372</v>
      </c>
      <c r="J29" s="246"/>
      <c r="K29" s="245"/>
      <c r="L29" s="245">
        <f>I29</f>
        <v>1379638.5151238372</v>
      </c>
    </row>
    <row r="30" ht="11.25">
      <c r="F30" s="222"/>
    </row>
    <row r="31" spans="8:9" ht="11.25">
      <c r="H31" s="258"/>
      <c r="I31" s="258"/>
    </row>
  </sheetData>
  <printOptions/>
  <pageMargins left="0.5" right="0.5" top="1" bottom="0.5" header="0.75" footer="0.25"/>
  <pageSetup fitToHeight="1" fitToWidth="1" horizontalDpi="300" verticalDpi="300" orientation="landscape" scale="95" r:id="rId1"/>
</worksheet>
</file>

<file path=xl/worksheets/sheet8.xml><?xml version="1.0" encoding="utf-8"?>
<worksheet xmlns="http://schemas.openxmlformats.org/spreadsheetml/2006/main" xmlns:r="http://schemas.openxmlformats.org/officeDocument/2006/relationships">
  <sheetPr codeName="Sheet8"/>
  <dimension ref="A1:AG63"/>
  <sheetViews>
    <sheetView tabSelected="1" workbookViewId="0" topLeftCell="A1">
      <selection activeCell="A1" sqref="A1"/>
    </sheetView>
  </sheetViews>
  <sheetFormatPr defaultColWidth="8.88671875" defaultRowHeight="15.75"/>
  <cols>
    <col min="1" max="1" width="3.6640625" style="2" customWidth="1"/>
    <col min="2" max="2" width="19.77734375" style="2" customWidth="1"/>
    <col min="3" max="13" width="10.3359375" style="2" customWidth="1"/>
    <col min="14" max="14" width="7.88671875" style="2" customWidth="1"/>
    <col min="15" max="15" width="8.6640625" style="2" customWidth="1"/>
    <col min="16" max="16" width="3.88671875" style="2" customWidth="1"/>
    <col min="17" max="16384" width="8.88671875" style="2" customWidth="1"/>
  </cols>
  <sheetData>
    <row r="1" spans="1:2" s="1" customFormat="1" ht="12.75" customHeight="1">
      <c r="A1" s="107" t="str">
        <f>Doc!A1</f>
        <v>Base Year 2005 - USPS Version</v>
      </c>
      <c r="B1" s="107"/>
    </row>
    <row r="2" spans="1:2" s="1" customFormat="1" ht="12.75" customHeight="1">
      <c r="A2" s="107" t="str">
        <f>Doc!A2</f>
        <v>C/S 10 RURAL CARRIERS</v>
      </c>
      <c r="B2" s="107"/>
    </row>
    <row r="3" spans="1:2" s="1" customFormat="1" ht="12.75" customHeight="1">
      <c r="A3" s="110" t="str">
        <f>Doc!A16&amp;" "&amp;Doc!B16</f>
        <v>WS 10.1.2 DISTRIBUTION OF EVALUATED ROUTES VVC</v>
      </c>
      <c r="B3" s="112"/>
    </row>
    <row r="4" spans="1:2" s="1" customFormat="1" ht="12.75" customHeight="1">
      <c r="A4" s="107"/>
      <c r="B4" s="108"/>
    </row>
    <row r="5" spans="1:33" s="200" customFormat="1" ht="22.5">
      <c r="A5" s="116" t="s">
        <v>28</v>
      </c>
      <c r="B5" s="135" t="s">
        <v>73</v>
      </c>
      <c r="C5" s="116" t="s">
        <v>156</v>
      </c>
      <c r="D5" s="116" t="s">
        <v>78</v>
      </c>
      <c r="E5" s="116" t="s">
        <v>79</v>
      </c>
      <c r="F5" s="116" t="s">
        <v>80</v>
      </c>
      <c r="G5" s="116" t="s">
        <v>81</v>
      </c>
      <c r="H5" s="116" t="s">
        <v>157</v>
      </c>
      <c r="I5" s="116" t="s">
        <v>158</v>
      </c>
      <c r="J5" s="116" t="s">
        <v>82</v>
      </c>
      <c r="K5" s="116" t="s">
        <v>159</v>
      </c>
      <c r="L5" s="116" t="s">
        <v>84</v>
      </c>
      <c r="M5" s="116" t="s">
        <v>85</v>
      </c>
      <c r="N5" s="116" t="s">
        <v>160</v>
      </c>
      <c r="O5" s="116" t="s">
        <v>144</v>
      </c>
      <c r="P5" s="199"/>
      <c r="Q5" s="199"/>
      <c r="R5" s="199"/>
      <c r="S5" s="199"/>
      <c r="T5" s="199"/>
      <c r="U5" s="199"/>
      <c r="V5" s="199"/>
      <c r="W5" s="199"/>
      <c r="X5" s="199"/>
      <c r="Y5" s="199"/>
      <c r="Z5" s="199"/>
      <c r="AA5" s="199"/>
      <c r="AB5" s="199"/>
      <c r="AC5" s="199"/>
      <c r="AD5" s="199"/>
      <c r="AE5" s="199"/>
      <c r="AF5" s="199"/>
      <c r="AG5" s="199"/>
    </row>
    <row r="6" spans="1:15" ht="11.25">
      <c r="A6" s="39"/>
      <c r="B6" s="103" t="s">
        <v>67</v>
      </c>
      <c r="C6" s="14">
        <v>-1</v>
      </c>
      <c r="D6" s="14">
        <f aca="true" t="shared" si="0" ref="D6:O6">C6-1</f>
        <v>-2</v>
      </c>
      <c r="E6" s="14">
        <f t="shared" si="0"/>
        <v>-3</v>
      </c>
      <c r="F6" s="14">
        <f t="shared" si="0"/>
        <v>-4</v>
      </c>
      <c r="G6" s="14">
        <f t="shared" si="0"/>
        <v>-5</v>
      </c>
      <c r="H6" s="14">
        <f t="shared" si="0"/>
        <v>-6</v>
      </c>
      <c r="I6" s="14">
        <f t="shared" si="0"/>
        <v>-7</v>
      </c>
      <c r="J6" s="14">
        <f t="shared" si="0"/>
        <v>-8</v>
      </c>
      <c r="K6" s="14">
        <f t="shared" si="0"/>
        <v>-9</v>
      </c>
      <c r="L6" s="14">
        <f t="shared" si="0"/>
        <v>-10</v>
      </c>
      <c r="M6" s="14">
        <f t="shared" si="0"/>
        <v>-11</v>
      </c>
      <c r="N6" s="14">
        <f t="shared" si="0"/>
        <v>-12</v>
      </c>
      <c r="O6" s="14">
        <f t="shared" si="0"/>
        <v>-13</v>
      </c>
    </row>
    <row r="7" spans="1:15" s="18" customFormat="1" ht="22.5">
      <c r="A7" s="31"/>
      <c r="B7" s="95" t="s">
        <v>68</v>
      </c>
      <c r="C7" s="84" t="str">
        <f>"C"&amp;-C6&amp;"L"&amp;$A60&amp;" dist on "&amp;Doc!$A9&amp;", C"&amp;-'Inputs DK'!F6</f>
        <v>C1L51 dist on Inputs DK, C4</v>
      </c>
      <c r="D7" s="84" t="str">
        <f>"C"&amp;-D6&amp;"L"&amp;$A60&amp;" dist on "&amp;Doc!$A9&amp;", C"&amp;-'Inputs DK'!G6</f>
        <v>C2L51 dist on Inputs DK, C3</v>
      </c>
      <c r="E7" s="84" t="str">
        <f>"C"&amp;-E6&amp;"L"&amp;$A60&amp;" dist on "&amp;Doc!$A9&amp;", C"&amp;-'Inputs DK'!H6</f>
        <v>C3L51 dist on Inputs DK, C4</v>
      </c>
      <c r="F7" s="84" t="str">
        <f>"C"&amp;-F6&amp;"L"&amp;$A60&amp;" dist on "&amp;Doc!$A9&amp;", C"&amp;-'Inputs DK'!I6</f>
        <v>C4L51 dist on Inputs DK, C5</v>
      </c>
      <c r="G7" s="84" t="str">
        <f>"C"&amp;-G6&amp;"L"&amp;$A60&amp;" dist on "&amp;Doc!$A9&amp;", C"&amp;-'Inputs DK'!J6</f>
        <v>C5L51 dist on Inputs DK, C6</v>
      </c>
      <c r="H7" s="84" t="str">
        <f>"C"&amp;-H6&amp;"L"&amp;$A60&amp;" dist on "&amp;Doc!$A9&amp;", C"&amp;-'Inputs DK'!D6</f>
        <v>C6L51 dist on Inputs DK, C2</v>
      </c>
      <c r="I7" s="84" t="str">
        <f>"C"&amp;-I6&amp;"L"&amp;$A60&amp;" dist on "&amp;Doc!$A9&amp;", C"&amp;-'Inputs DK'!E6</f>
        <v>C7L51 dist on Inputs DK, C3</v>
      </c>
      <c r="J7" s="84" t="str">
        <f>"C"&amp;-J6&amp;"L"&amp;$A60&amp;" dist on "&amp;Doc!$A9&amp;", C"&amp;-'Inputs DK'!K6</f>
        <v>C8L51 dist on Inputs DK, C7</v>
      </c>
      <c r="K7" s="84" t="str">
        <f>"C"&amp;-K6&amp;"L"&amp;$A60&amp;" dist on "&amp;Doc!$A9&amp;", C"&amp;-'Inputs DK'!L6</f>
        <v>C9L51 dist on Inputs DK, C8</v>
      </c>
      <c r="L7" s="84" t="str">
        <f>"C"&amp;-L6&amp;"L"&amp;$A60&amp;" dist on "&amp;Doc!$A9&amp;", C"&amp;-'Inputs DK'!M6</f>
        <v>C10L51 dist on Inputs DK, C9</v>
      </c>
      <c r="M7" s="84" t="str">
        <f>"C"&amp;-M6&amp;"L"&amp;$A60&amp;" dist on "&amp;Doc!$A9&amp;", C"&amp;-'Inputs DK'!N6</f>
        <v>C11L51 dist on Inputs DK, C10</v>
      </c>
      <c r="N7" s="51"/>
      <c r="O7" s="73" t="str">
        <f>"=C"&amp;-C6&amp;"...C"&amp;-N6&amp;", "&amp;Endnotes!C9</f>
        <v>=C1...C12, [d]</v>
      </c>
    </row>
    <row r="8" spans="1:15" ht="11.25">
      <c r="A8" s="20"/>
      <c r="B8" s="95" t="s">
        <v>29</v>
      </c>
      <c r="C8" s="27" t="s">
        <v>30</v>
      </c>
      <c r="D8" s="27" t="s">
        <v>30</v>
      </c>
      <c r="E8" s="27" t="s">
        <v>30</v>
      </c>
      <c r="F8" s="27" t="s">
        <v>30</v>
      </c>
      <c r="G8" s="27" t="s">
        <v>30</v>
      </c>
      <c r="H8" s="27" t="s">
        <v>30</v>
      </c>
      <c r="I8" s="27"/>
      <c r="J8" s="27" t="s">
        <v>30</v>
      </c>
      <c r="K8" s="27" t="s">
        <v>30</v>
      </c>
      <c r="L8" s="27" t="s">
        <v>30</v>
      </c>
      <c r="M8" s="27" t="s">
        <v>30</v>
      </c>
      <c r="N8" s="27" t="s">
        <v>30</v>
      </c>
      <c r="O8" s="27" t="s">
        <v>30</v>
      </c>
    </row>
    <row r="9" spans="1:15" s="78" customFormat="1" ht="33.75">
      <c r="A9" s="74"/>
      <c r="B9" s="210" t="s">
        <v>69</v>
      </c>
      <c r="C9" s="75" t="str">
        <f>"C"&amp;-C6&amp;"L"&amp;A60&amp;" from "&amp;Doc!A12&amp;" C"&amp;-'10.1.1 PQ3-4'!L6&amp;"L"&amp;'10.1.1 PQ3-4'!A11</f>
        <v>C1L51 from WS 10.1.1 C10L2</v>
      </c>
      <c r="D9" s="75" t="str">
        <f>"C"&amp;-D6&amp;"L"&amp;A60&amp;" from "&amp;Doc!A12&amp;" C"&amp;-'10.1.1 PQ3-4'!L6&amp;"L"&amp;'10.1.1 PQ3-4'!A12</f>
        <v>C2L51 from WS 10.1.1 C10L3</v>
      </c>
      <c r="E9" s="75" t="str">
        <f>"C"&amp;-E6&amp;"L"&amp;A60&amp;" from "&amp;Doc!A12&amp;" C"&amp;-'10.1.1 PQ3-4'!L6&amp;"L"&amp;'10.1.1 PQ3-4'!A13&amp;"; "&amp;Endnotes!C6</f>
        <v>C3L51 from WS 10.1.1 C10L4; [a]</v>
      </c>
      <c r="F9" s="75" t="str">
        <f>"C"&amp;-F6&amp;"L"&amp;A60&amp;" from "&amp;Doc!A12&amp;" C"&amp;-'10.1.1 PQ3-4'!L6&amp;"L"&amp;'10.1.1 PQ3-4'!A14</f>
        <v>C4L51 from WS 10.1.1 C10L5</v>
      </c>
      <c r="G9" s="75" t="str">
        <f>"C"&amp;-G6&amp;"L"&amp;A60&amp;" from "&amp;Doc!A12&amp;" C"&amp;-'10.1.1 PQ3-4'!L6&amp;"L"&amp;'10.1.1 PQ3-4'!A16</f>
        <v>C5L51 from WS 10.1.1 C10L7</v>
      </c>
      <c r="H9" s="75" t="str">
        <f>"C"&amp;-H6&amp;"L"&amp;$A60&amp;" = "&amp;Doc!$A12&amp;" C"&amp;-'10.2.1 PQ1-2'!L6&amp;"L"&amp;'10.2.1 PQ1-2'!$A17</f>
        <v>C6L51 = WS 10.1.1 C10L8</v>
      </c>
      <c r="I9" s="75" t="str">
        <f>"C"&amp;-I6&amp;"L"&amp;$A60&amp;" = "&amp;Doc!$A12&amp;" C"&amp;-'10.2.1 PQ1-2'!L6&amp;"L"&amp;'10.2.1 PQ1-2'!$A18</f>
        <v>C7L51 = WS 10.1.1 C10L9</v>
      </c>
      <c r="J9" s="75" t="str">
        <f>"C"&amp;-J6&amp;"L"&amp;A60&amp;" from "&amp;Doc!A12&amp;" C"&amp;-'10.1.1 PQ3-4'!L6&amp;"L"&amp;'10.1.1 PQ3-4'!A19&amp;"; "&amp;Endnotes!C6</f>
        <v>C8L51 from WS 10.1.1 C10L10; [a]</v>
      </c>
      <c r="K9" s="75" t="str">
        <f>"C"&amp;-K6&amp;"L"&amp;A60&amp;" from "&amp;Doc!A12&amp;" C"&amp;-'10.1.1 PQ3-4'!L6&amp;"L"&amp;'10.1.1 PQ3-4'!A21&amp;"; "&amp;Endnotes!C6</f>
        <v>C9L51 from WS 10.1.1 C10L12; [a]</v>
      </c>
      <c r="L9" s="75" t="str">
        <f>"C"&amp;-L6&amp;"L"&amp;A60&amp;" from "&amp;Doc!A12&amp;" C"&amp;-'10.1.1 PQ3-4'!L6&amp;"L"&amp;'10.1.1 PQ3-4'!A22</f>
        <v>C10L51 from WS 10.1.1 C10L13</v>
      </c>
      <c r="M9" s="75" t="str">
        <f>"C"&amp;-M6&amp;"L"&amp;A60&amp;" from "&amp;Doc!A12&amp;" C"&amp;-'10.1.1 PQ3-4'!L6&amp;"L"&amp;'10.1.1 PQ3-4'!A23&amp;"; "&amp;Endnotes!C7</f>
        <v>C11L51 from WS 10.1.1 C10L14; [b]</v>
      </c>
      <c r="N9" s="76" t="str">
        <f>Endnotes!C8</f>
        <v>[c]</v>
      </c>
      <c r="O9" s="77"/>
    </row>
    <row r="10" spans="1:15" ht="11.25">
      <c r="A10" s="60">
        <v>1</v>
      </c>
      <c r="B10" s="66" t="s">
        <v>89</v>
      </c>
      <c r="C10" s="20"/>
      <c r="D10" s="20"/>
      <c r="E10" s="20"/>
      <c r="F10" s="20"/>
      <c r="G10" s="20"/>
      <c r="H10" s="20"/>
      <c r="I10" s="20"/>
      <c r="J10" s="20"/>
      <c r="K10" s="20"/>
      <c r="L10" s="20"/>
      <c r="M10" s="20"/>
      <c r="N10" s="20"/>
      <c r="O10" s="20"/>
    </row>
    <row r="11" spans="1:15" ht="11.25">
      <c r="A11" s="60">
        <f aca="true" t="shared" si="1" ref="A11:A42">A10+1</f>
        <v>2</v>
      </c>
      <c r="B11" s="22" t="s">
        <v>90</v>
      </c>
      <c r="C11" s="178">
        <f>IF('Inputs DK'!$F$61=0,0,'Inputs DK'!F11/'Inputs DK'!$F$61*C$60)</f>
        <v>81397.1389133818</v>
      </c>
      <c r="D11" s="178">
        <f>IF('Inputs DK'!$G$61=0,0,'Inputs DK'!G11/'Inputs DK'!$G$61*D$60)</f>
        <v>31471.657127908595</v>
      </c>
      <c r="E11" s="178">
        <f>IF('Inputs DK'!$H$61=0,0,'Inputs DK'!H11/'Inputs DK'!$H$61*E$60)</f>
        <v>33301.02984582255</v>
      </c>
      <c r="F11" s="178">
        <f>IF('Inputs DK'!$I$61=0,0,'Inputs DK'!I11/'Inputs DK'!$I$61*F$60)</f>
        <v>9.632129133159918</v>
      </c>
      <c r="G11" s="178">
        <f>IF('Inputs DK'!$J$61=0,0,'Inputs DK'!J11/'Inputs DK'!$J$61*G$60)</f>
        <v>0</v>
      </c>
      <c r="H11" s="178">
        <f>IF('Inputs DK'!D$61=0,0,'Inputs DK'!D11/'Inputs DK'!D$61*H$60)</f>
        <v>71298.68328141441</v>
      </c>
      <c r="I11" s="178">
        <f>IF('Inputs DK'!E$61=0,0,'Inputs DK'!E11/'Inputs DK'!E$61*I$60)</f>
        <v>3533.201873575519</v>
      </c>
      <c r="J11" s="178">
        <f>IF('Inputs DK'!K$61=0,0,'Inputs DK'!K11/'Inputs DK'!K$61*J$60)</f>
        <v>407.04870632637727</v>
      </c>
      <c r="K11" s="178">
        <f>IF('Inputs DK'!L$61=0,0,'Inputs DK'!L11/'Inputs DK'!L$61*K$60)</f>
        <v>57831.9441487544</v>
      </c>
      <c r="L11" s="178">
        <f>IF('Inputs DK'!M$61=0,0,'Inputs DK'!M11/'Inputs DK'!M$61*L$60)</f>
        <v>9575.829725278105</v>
      </c>
      <c r="M11" s="178">
        <f>IF('Inputs DK'!N$61=0,0,'Inputs DK'!N11/'Inputs DK'!N$61*M$60)</f>
        <v>0</v>
      </c>
      <c r="N11" s="178"/>
      <c r="O11" s="178">
        <f>SUM(C11:N11)</f>
        <v>288826.16575159493</v>
      </c>
    </row>
    <row r="12" spans="1:15" ht="11.25">
      <c r="A12" s="60">
        <f t="shared" si="1"/>
        <v>3</v>
      </c>
      <c r="B12" s="22" t="s">
        <v>91</v>
      </c>
      <c r="C12" s="178">
        <f>IF('Inputs DK'!$F$61=0,0,'Inputs DK'!F12/'Inputs DK'!$F$61*C$60)</f>
        <v>106949.08794565563</v>
      </c>
      <c r="D12" s="178">
        <f>IF('Inputs DK'!$G$61=0,0,'Inputs DK'!G12/'Inputs DK'!$G$61*D$60)</f>
        <v>11051.740218817135</v>
      </c>
      <c r="E12" s="178">
        <f>IF('Inputs DK'!$H$61=0,0,'Inputs DK'!H12/'Inputs DK'!$H$61*E$60)</f>
        <v>887.3403905118201</v>
      </c>
      <c r="F12" s="178">
        <f>IF('Inputs DK'!$I$61=0,0,'Inputs DK'!I12/'Inputs DK'!$I$61*F$60)</f>
        <v>132.07975202034976</v>
      </c>
      <c r="G12" s="178">
        <f>IF('Inputs DK'!$J$61=0,0,'Inputs DK'!J12/'Inputs DK'!$J$61*G$60)</f>
        <v>0</v>
      </c>
      <c r="H12" s="178">
        <f>IF('Inputs DK'!D$61=0,0,'Inputs DK'!D12/'Inputs DK'!D$61*H$60)</f>
        <v>151154.13416152602</v>
      </c>
      <c r="I12" s="178">
        <f>IF('Inputs DK'!E$61=0,0,'Inputs DK'!E12/'Inputs DK'!E$61*I$60)</f>
        <v>6761.188503044723</v>
      </c>
      <c r="J12" s="178">
        <f>IF('Inputs DK'!K$61=0,0,'Inputs DK'!K12/'Inputs DK'!K$61*J$60)</f>
        <v>15.060420039110095</v>
      </c>
      <c r="K12" s="178">
        <f>IF('Inputs DK'!L$61=0,0,'Inputs DK'!L12/'Inputs DK'!L$61*K$60)</f>
        <v>0</v>
      </c>
      <c r="L12" s="178">
        <f>IF('Inputs DK'!M$61=0,0,'Inputs DK'!M12/'Inputs DK'!M$61*L$60)</f>
        <v>0</v>
      </c>
      <c r="M12" s="178">
        <f>IF('Inputs DK'!N$61=0,0,'Inputs DK'!N12/'Inputs DK'!N$61*M$60)</f>
        <v>0</v>
      </c>
      <c r="N12" s="178"/>
      <c r="O12" s="178">
        <f>SUM(C12:N12)</f>
        <v>276950.6313916148</v>
      </c>
    </row>
    <row r="13" spans="1:15" ht="11.25">
      <c r="A13" s="60">
        <f t="shared" si="1"/>
        <v>4</v>
      </c>
      <c r="B13" s="22" t="s">
        <v>92</v>
      </c>
      <c r="C13" s="178">
        <f aca="true" t="shared" si="2" ref="C13:M13">SUM(C11:C12)</f>
        <v>188346.22685903742</v>
      </c>
      <c r="D13" s="178">
        <f t="shared" si="2"/>
        <v>42523.39734672573</v>
      </c>
      <c r="E13" s="178">
        <f t="shared" si="2"/>
        <v>34188.37023633437</v>
      </c>
      <c r="F13" s="178">
        <f t="shared" si="2"/>
        <v>141.71188115350967</v>
      </c>
      <c r="G13" s="178">
        <f t="shared" si="2"/>
        <v>0</v>
      </c>
      <c r="H13" s="178">
        <f t="shared" si="2"/>
        <v>222452.81744294043</v>
      </c>
      <c r="I13" s="178">
        <f t="shared" si="2"/>
        <v>10294.390376620242</v>
      </c>
      <c r="J13" s="178">
        <f t="shared" si="2"/>
        <v>422.1091263654874</v>
      </c>
      <c r="K13" s="178">
        <f t="shared" si="2"/>
        <v>57831.9441487544</v>
      </c>
      <c r="L13" s="178">
        <f t="shared" si="2"/>
        <v>9575.829725278105</v>
      </c>
      <c r="M13" s="178">
        <f t="shared" si="2"/>
        <v>0</v>
      </c>
      <c r="N13" s="178"/>
      <c r="O13" s="178">
        <f>SUM(O11:O12)</f>
        <v>565776.7971432097</v>
      </c>
    </row>
    <row r="14" spans="1:15" ht="11.25">
      <c r="A14" s="60">
        <f t="shared" si="1"/>
        <v>5</v>
      </c>
      <c r="B14" s="22" t="s">
        <v>93</v>
      </c>
      <c r="C14" s="178">
        <f>IF('Inputs DK'!$F$61=0,0,'Inputs DK'!F14/'Inputs DK'!$F$61*C$60)</f>
        <v>12744.117992080188</v>
      </c>
      <c r="D14" s="178">
        <f>IF('Inputs DK'!$G$61=0,0,'Inputs DK'!G14/'Inputs DK'!$G$61*D$60)</f>
        <v>0</v>
      </c>
      <c r="E14" s="178">
        <f>IF('Inputs DK'!$H$61=0,0,'Inputs DK'!H14/'Inputs DK'!$H$61*E$60)</f>
        <v>11.453511413884051</v>
      </c>
      <c r="F14" s="178">
        <f>IF('Inputs DK'!$I$61=0,0,'Inputs DK'!I14/'Inputs DK'!$I$61*F$60)</f>
        <v>69.54484754749436</v>
      </c>
      <c r="G14" s="178">
        <f>IF('Inputs DK'!$J$61=0,0,'Inputs DK'!J14/'Inputs DK'!$J$61*G$60)</f>
        <v>0</v>
      </c>
      <c r="H14" s="178">
        <f>IF('Inputs DK'!D$61=0,0,'Inputs DK'!D14/'Inputs DK'!D$61*H$60)</f>
        <v>5924.244504708717</v>
      </c>
      <c r="I14" s="178">
        <f>IF('Inputs DK'!E$61=0,0,'Inputs DK'!E14/'Inputs DK'!E$61*I$60)</f>
        <v>293.24109715918166</v>
      </c>
      <c r="J14" s="178">
        <f>IF('Inputs DK'!K$61=0,0,'Inputs DK'!K14/'Inputs DK'!K$61*J$60)</f>
        <v>22.370190655282382</v>
      </c>
      <c r="K14" s="178">
        <f>IF('Inputs DK'!L$61=0,0,'Inputs DK'!L14/'Inputs DK'!L$61*K$60)</f>
        <v>0</v>
      </c>
      <c r="L14" s="178">
        <f>IF('Inputs DK'!M$61=0,0,'Inputs DK'!M14/'Inputs DK'!M$61*L$60)</f>
        <v>0</v>
      </c>
      <c r="M14" s="178">
        <f>IF('Inputs DK'!N$61=0,0,'Inputs DK'!N14/'Inputs DK'!N$61*M$60)</f>
        <v>0</v>
      </c>
      <c r="N14" s="178"/>
      <c r="O14" s="178">
        <f>SUM(C14:N14)</f>
        <v>19064.972143564744</v>
      </c>
    </row>
    <row r="15" spans="1:15" ht="11.25">
      <c r="A15" s="60">
        <f t="shared" si="1"/>
        <v>6</v>
      </c>
      <c r="B15" s="22" t="s">
        <v>94</v>
      </c>
      <c r="C15" s="178">
        <f>IF('Inputs DK'!$F$61=0,0,'Inputs DK'!F15/'Inputs DK'!$F$61*C$60)</f>
        <v>8333.016587669328</v>
      </c>
      <c r="D15" s="178">
        <f>IF('Inputs DK'!$G$61=0,0,'Inputs DK'!G15/'Inputs DK'!$G$61*D$60)</f>
        <v>0.8463484171153186</v>
      </c>
      <c r="E15" s="178">
        <f>IF('Inputs DK'!$H$61=0,0,'Inputs DK'!H15/'Inputs DK'!$H$61*E$60)</f>
        <v>1.7546800282278108</v>
      </c>
      <c r="F15" s="178">
        <f>IF('Inputs DK'!$I$61=0,0,'Inputs DK'!I15/'Inputs DK'!$I$61*F$60)</f>
        <v>0</v>
      </c>
      <c r="G15" s="178">
        <f>IF('Inputs DK'!$J$61=0,0,'Inputs DK'!J15/'Inputs DK'!$J$61*G$60)</f>
        <v>0</v>
      </c>
      <c r="H15" s="178">
        <f>IF('Inputs DK'!D$61=0,0,'Inputs DK'!D15/'Inputs DK'!D$61*H$60)</f>
        <v>7747.028175605352</v>
      </c>
      <c r="I15" s="178">
        <f>IF('Inputs DK'!E$61=0,0,'Inputs DK'!E15/'Inputs DK'!E$61*I$60)</f>
        <v>350.7980182925866</v>
      </c>
      <c r="J15" s="178">
        <f>IF('Inputs DK'!K$61=0,0,'Inputs DK'!K15/'Inputs DK'!K$61*J$60)</f>
        <v>0</v>
      </c>
      <c r="K15" s="178">
        <f>IF('Inputs DK'!L$61=0,0,'Inputs DK'!L15/'Inputs DK'!L$61*K$60)</f>
        <v>0</v>
      </c>
      <c r="L15" s="178">
        <f>IF('Inputs DK'!M$61=0,0,'Inputs DK'!M15/'Inputs DK'!M$61*L$60)</f>
        <v>0</v>
      </c>
      <c r="M15" s="178">
        <f>IF('Inputs DK'!N$61=0,0,'Inputs DK'!N15/'Inputs DK'!N$61*M$60)</f>
        <v>0</v>
      </c>
      <c r="N15" s="178"/>
      <c r="O15" s="178">
        <f>SUM(C15:N15)</f>
        <v>16433.44381001261</v>
      </c>
    </row>
    <row r="16" spans="1:15" ht="11.25">
      <c r="A16" s="60">
        <f t="shared" si="1"/>
        <v>7</v>
      </c>
      <c r="B16" s="22" t="s">
        <v>95</v>
      </c>
      <c r="C16" s="178">
        <f aca="true" t="shared" si="3" ref="C16:M16">SUM(C14:C15)</f>
        <v>21077.134579749516</v>
      </c>
      <c r="D16" s="178">
        <f t="shared" si="3"/>
        <v>0.8463484171153186</v>
      </c>
      <c r="E16" s="178">
        <f t="shared" si="3"/>
        <v>13.208191442111861</v>
      </c>
      <c r="F16" s="178">
        <f t="shared" si="3"/>
        <v>69.54484754749436</v>
      </c>
      <c r="G16" s="178">
        <f t="shared" si="3"/>
        <v>0</v>
      </c>
      <c r="H16" s="178">
        <f t="shared" si="3"/>
        <v>13671.272680314069</v>
      </c>
      <c r="I16" s="178">
        <f t="shared" si="3"/>
        <v>644.0391154517683</v>
      </c>
      <c r="J16" s="178">
        <f t="shared" si="3"/>
        <v>22.370190655282382</v>
      </c>
      <c r="K16" s="178">
        <f t="shared" si="3"/>
        <v>0</v>
      </c>
      <c r="L16" s="178">
        <f t="shared" si="3"/>
        <v>0</v>
      </c>
      <c r="M16" s="178">
        <f t="shared" si="3"/>
        <v>0</v>
      </c>
      <c r="N16" s="178"/>
      <c r="O16" s="178">
        <f>SUM(O14:O15)</f>
        <v>35498.41595357735</v>
      </c>
    </row>
    <row r="17" spans="1:15" ht="11.25">
      <c r="A17" s="61">
        <f t="shared" si="1"/>
        <v>8</v>
      </c>
      <c r="B17" s="50" t="s">
        <v>96</v>
      </c>
      <c r="C17" s="181">
        <f aca="true" t="shared" si="4" ref="C17:M17">SUM(C13,C16)</f>
        <v>209423.36143878693</v>
      </c>
      <c r="D17" s="181">
        <f t="shared" si="4"/>
        <v>42524.243695142846</v>
      </c>
      <c r="E17" s="181">
        <f t="shared" si="4"/>
        <v>34201.57842777648</v>
      </c>
      <c r="F17" s="181">
        <f t="shared" si="4"/>
        <v>211.25672870100402</v>
      </c>
      <c r="G17" s="181">
        <f t="shared" si="4"/>
        <v>0</v>
      </c>
      <c r="H17" s="181">
        <f t="shared" si="4"/>
        <v>236124.09012325451</v>
      </c>
      <c r="I17" s="181">
        <f t="shared" si="4"/>
        <v>10938.42949207201</v>
      </c>
      <c r="J17" s="181">
        <f t="shared" si="4"/>
        <v>444.47931702076977</v>
      </c>
      <c r="K17" s="181">
        <f t="shared" si="4"/>
        <v>57831.9441487544</v>
      </c>
      <c r="L17" s="181">
        <f t="shared" si="4"/>
        <v>9575.829725278105</v>
      </c>
      <c r="M17" s="181">
        <f t="shared" si="4"/>
        <v>0</v>
      </c>
      <c r="N17" s="181"/>
      <c r="O17" s="181">
        <f>SUM(O13,O16)</f>
        <v>601275.2130967871</v>
      </c>
    </row>
    <row r="18" spans="1:15" ht="11.25">
      <c r="A18" s="60">
        <f t="shared" si="1"/>
        <v>9</v>
      </c>
      <c r="B18" s="49" t="s">
        <v>97</v>
      </c>
      <c r="C18" s="178">
        <f>IF('Inputs DK'!$F$61=0,0,'Inputs DK'!F18/'Inputs DK'!$F$61*C$60)</f>
        <v>109.43703066011379</v>
      </c>
      <c r="D18" s="178">
        <f>IF('Inputs DK'!$G$61=0,0,'Inputs DK'!G18/'Inputs DK'!$G$61*D$60)</f>
        <v>2136.394256374591</v>
      </c>
      <c r="E18" s="178">
        <f>IF('Inputs DK'!$H$61=0,0,'Inputs DK'!H18/'Inputs DK'!$H$61*E$60)</f>
        <v>34179.0353385842</v>
      </c>
      <c r="F18" s="178">
        <f>IF('Inputs DK'!$I$61=0,0,'Inputs DK'!I18/'Inputs DK'!$I$61*F$60)</f>
        <v>0</v>
      </c>
      <c r="G18" s="178">
        <f>IF('Inputs DK'!$J$61=0,0,'Inputs DK'!J18/'Inputs DK'!$J$61*G$60)</f>
        <v>0</v>
      </c>
      <c r="H18" s="178">
        <f>IF('Inputs DK'!D$61=0,0,'Inputs DK'!D18/'Inputs DK'!D$61*H$60)</f>
        <v>24.052554548973333</v>
      </c>
      <c r="I18" s="178">
        <f>IF('Inputs DK'!E$61=0,0,'Inputs DK'!E18/'Inputs DK'!E$61*I$60)</f>
        <v>1.1706815256500438</v>
      </c>
      <c r="J18" s="178">
        <f>IF('Inputs DK'!K$61=0,0,'Inputs DK'!K18/'Inputs DK'!K$61*J$60)</f>
        <v>9.721377689179672</v>
      </c>
      <c r="K18" s="178">
        <f>IF('Inputs DK'!L$61=0,0,'Inputs DK'!L18/'Inputs DK'!L$61*K$60)</f>
        <v>108.60902796811219</v>
      </c>
      <c r="L18" s="178">
        <f>IF('Inputs DK'!M$61=0,0,'Inputs DK'!M18/'Inputs DK'!M$61*L$60)</f>
        <v>5827.34792884151</v>
      </c>
      <c r="M18" s="178">
        <f>IF('Inputs DK'!N$61=0,0,'Inputs DK'!N18/'Inputs DK'!N$61*M$60)</f>
        <v>0</v>
      </c>
      <c r="N18" s="178"/>
      <c r="O18" s="178">
        <f>SUM(C18:N18)</f>
        <v>42395.76819619234</v>
      </c>
    </row>
    <row r="19" spans="1:15" ht="11.25">
      <c r="A19" s="60">
        <f t="shared" si="1"/>
        <v>10</v>
      </c>
      <c r="B19" s="49" t="s">
        <v>98</v>
      </c>
      <c r="C19" s="178">
        <f>IF('Inputs DK'!$F$61=0,0,'Inputs DK'!F19/'Inputs DK'!$F$61*C$60)</f>
        <v>0</v>
      </c>
      <c r="D19" s="178">
        <f>IF('Inputs DK'!$G$61=0,0,'Inputs DK'!G19/'Inputs DK'!$G$61*D$60)</f>
        <v>0</v>
      </c>
      <c r="E19" s="178">
        <f>IF('Inputs DK'!$H$61=0,0,'Inputs DK'!H19/'Inputs DK'!$H$61*E$60)</f>
        <v>0</v>
      </c>
      <c r="F19" s="178">
        <f>IF('Inputs DK'!$I$61=0,0,'Inputs DK'!I19/'Inputs DK'!$I$61*F$60)</f>
        <v>0</v>
      </c>
      <c r="G19" s="178">
        <f>IF('Inputs DK'!$J$61=0,0,'Inputs DK'!J19/'Inputs DK'!$J$61*G$60)</f>
        <v>11144.242536257416</v>
      </c>
      <c r="H19" s="178">
        <f>IF('Inputs DK'!D$61=0,0,'Inputs DK'!D19/'Inputs DK'!D$61*H$60)</f>
        <v>0</v>
      </c>
      <c r="I19" s="178">
        <f>IF('Inputs DK'!E$61=0,0,'Inputs DK'!E19/'Inputs DK'!E$61*I$60)</f>
        <v>0</v>
      </c>
      <c r="J19" s="178">
        <f>IF('Inputs DK'!K$61=0,0,'Inputs DK'!K19/'Inputs DK'!K$61*J$60)</f>
        <v>0</v>
      </c>
      <c r="K19" s="178">
        <f>IF('Inputs DK'!L$61=0,0,'Inputs DK'!L19/'Inputs DK'!L$61*K$60)</f>
        <v>0</v>
      </c>
      <c r="L19" s="178">
        <f>IF('Inputs DK'!M$61=0,0,'Inputs DK'!M19/'Inputs DK'!M$61*L$60)</f>
        <v>0</v>
      </c>
      <c r="M19" s="178">
        <f>IF('Inputs DK'!N$61=0,0,'Inputs DK'!N19/'Inputs DK'!N$61*M$60)</f>
        <v>126.59858842271949</v>
      </c>
      <c r="N19" s="178"/>
      <c r="O19" s="178">
        <f>SUM(C19:N19)</f>
        <v>11270.841124680135</v>
      </c>
    </row>
    <row r="20" spans="1:15" ht="11.25">
      <c r="A20" s="61">
        <f t="shared" si="1"/>
        <v>11</v>
      </c>
      <c r="B20" s="50" t="s">
        <v>99</v>
      </c>
      <c r="C20" s="181">
        <f>IF('Inputs DK'!$F$61=0,0,'Inputs DK'!F20/'Inputs DK'!$F$61*C$60)</f>
        <v>1.3875851967821944</v>
      </c>
      <c r="D20" s="181">
        <f>IF('Inputs DK'!$G$61=0,0,'Inputs DK'!G20/'Inputs DK'!$G$61*D$60)</f>
        <v>0</v>
      </c>
      <c r="E20" s="181">
        <f>IF('Inputs DK'!$H$61=0,0,'Inputs DK'!H20/'Inputs DK'!$H$61*E$60)</f>
        <v>0</v>
      </c>
      <c r="F20" s="181">
        <f>IF('Inputs DK'!$I$61=0,0,'Inputs DK'!I20/'Inputs DK'!$I$61*F$60)</f>
        <v>0</v>
      </c>
      <c r="G20" s="181">
        <f>IF('Inputs DK'!$J$61=0,0,'Inputs DK'!J20/'Inputs DK'!$J$61*G$60)</f>
        <v>0</v>
      </c>
      <c r="H20" s="181">
        <f>IF('Inputs DK'!D$61=0,0,'Inputs DK'!D20/'Inputs DK'!D$61*H$60)</f>
        <v>0</v>
      </c>
      <c r="I20" s="181">
        <f>IF('Inputs DK'!E$61=0,0,'Inputs DK'!E20/'Inputs DK'!E$61*I$60)</f>
        <v>0</v>
      </c>
      <c r="J20" s="181">
        <f>IF('Inputs DK'!K$61=0,0,'Inputs DK'!K20/'Inputs DK'!K$61*J$60)</f>
        <v>0</v>
      </c>
      <c r="K20" s="181">
        <f>IF('Inputs DK'!L$61=0,0,'Inputs DK'!L20/'Inputs DK'!L$61*K$60)</f>
        <v>0</v>
      </c>
      <c r="L20" s="181">
        <f>IF('Inputs DK'!M$61=0,0,'Inputs DK'!M20/'Inputs DK'!M$61*L$60)</f>
        <v>0</v>
      </c>
      <c r="M20" s="181">
        <f>IF('Inputs DK'!N$61=0,0,'Inputs DK'!N20/'Inputs DK'!N$61*M$60)</f>
        <v>0</v>
      </c>
      <c r="N20" s="179"/>
      <c r="O20" s="179">
        <f>SUM(C20:N20)</f>
        <v>1.3875851967821944</v>
      </c>
    </row>
    <row r="21" spans="1:15" ht="11.25">
      <c r="A21" s="60">
        <f t="shared" si="1"/>
        <v>12</v>
      </c>
      <c r="B21" s="66" t="s">
        <v>100</v>
      </c>
      <c r="C21" s="178"/>
      <c r="D21" s="178"/>
      <c r="E21" s="178"/>
      <c r="F21" s="178"/>
      <c r="G21" s="178"/>
      <c r="H21" s="178"/>
      <c r="I21" s="178"/>
      <c r="J21" s="178"/>
      <c r="K21" s="178"/>
      <c r="L21" s="178"/>
      <c r="M21" s="178"/>
      <c r="N21" s="178"/>
      <c r="O21" s="178"/>
    </row>
    <row r="22" spans="1:15" ht="11.25">
      <c r="A22" s="60">
        <f t="shared" si="1"/>
        <v>13</v>
      </c>
      <c r="B22" s="22" t="s">
        <v>101</v>
      </c>
      <c r="C22" s="182"/>
      <c r="D22" s="182"/>
      <c r="E22" s="182"/>
      <c r="F22" s="182"/>
      <c r="G22" s="182"/>
      <c r="H22" s="182"/>
      <c r="I22" s="182"/>
      <c r="J22" s="182"/>
      <c r="K22" s="182"/>
      <c r="L22" s="182"/>
      <c r="M22" s="182"/>
      <c r="N22" s="178"/>
      <c r="O22" s="178">
        <f>'Inputs DK'!C22/'Inputs DK'!C$27*O$27</f>
        <v>11720.445516704443</v>
      </c>
    </row>
    <row r="23" spans="1:15" ht="11.25">
      <c r="A23" s="60">
        <f t="shared" si="1"/>
        <v>14</v>
      </c>
      <c r="B23" s="22" t="s">
        <v>102</v>
      </c>
      <c r="C23" s="178"/>
      <c r="D23" s="178"/>
      <c r="E23" s="178"/>
      <c r="F23" s="178"/>
      <c r="G23" s="178"/>
      <c r="H23" s="178"/>
      <c r="I23" s="178"/>
      <c r="J23" s="178"/>
      <c r="K23" s="178"/>
      <c r="L23" s="178"/>
      <c r="M23" s="178"/>
      <c r="N23" s="178"/>
      <c r="O23" s="178"/>
    </row>
    <row r="24" spans="1:15" ht="11.25">
      <c r="A24" s="60">
        <f t="shared" si="1"/>
        <v>15</v>
      </c>
      <c r="B24" s="22" t="s">
        <v>103</v>
      </c>
      <c r="C24" s="182"/>
      <c r="D24" s="182"/>
      <c r="E24" s="182"/>
      <c r="F24" s="182"/>
      <c r="G24" s="182"/>
      <c r="H24" s="182"/>
      <c r="I24" s="182"/>
      <c r="J24" s="182"/>
      <c r="K24" s="182"/>
      <c r="L24" s="182"/>
      <c r="M24" s="182"/>
      <c r="N24" s="178"/>
      <c r="O24" s="178">
        <f>'Inputs DK'!C24/'Inputs DK'!C$27*O$27</f>
        <v>127663.56202985976</v>
      </c>
    </row>
    <row r="25" spans="1:15" ht="11.25">
      <c r="A25" s="60">
        <f t="shared" si="1"/>
        <v>16</v>
      </c>
      <c r="B25" s="22" t="s">
        <v>104</v>
      </c>
      <c r="C25" s="182"/>
      <c r="D25" s="182"/>
      <c r="E25" s="182"/>
      <c r="F25" s="182"/>
      <c r="G25" s="182"/>
      <c r="H25" s="182"/>
      <c r="I25" s="182"/>
      <c r="J25" s="182"/>
      <c r="K25" s="182"/>
      <c r="L25" s="182"/>
      <c r="M25" s="182"/>
      <c r="N25" s="178"/>
      <c r="O25" s="178">
        <f>'Inputs DK'!C25/'Inputs DK'!C$27*O$27</f>
        <v>0</v>
      </c>
    </row>
    <row r="26" spans="1:15" ht="11.25">
      <c r="A26" s="60">
        <f t="shared" si="1"/>
        <v>17</v>
      </c>
      <c r="B26" s="22" t="s">
        <v>105</v>
      </c>
      <c r="C26" s="182"/>
      <c r="D26" s="182"/>
      <c r="E26" s="182"/>
      <c r="F26" s="182"/>
      <c r="G26" s="182"/>
      <c r="H26" s="182"/>
      <c r="I26" s="182"/>
      <c r="J26" s="182"/>
      <c r="K26" s="182"/>
      <c r="L26" s="182"/>
      <c r="M26" s="182"/>
      <c r="N26" s="178"/>
      <c r="O26" s="178">
        <f>'Inputs DK'!C26/'Inputs DK'!C$27*O$27</f>
        <v>0</v>
      </c>
    </row>
    <row r="27" spans="1:15" ht="11.25">
      <c r="A27" s="61">
        <f t="shared" si="1"/>
        <v>18</v>
      </c>
      <c r="B27" s="50" t="s">
        <v>106</v>
      </c>
      <c r="C27" s="183">
        <f>IF('Inputs DK'!$F$61=0,0,'Inputs DK'!F27/'Inputs DK'!$F$61*C$60)</f>
        <v>4083.0462111463594</v>
      </c>
      <c r="D27" s="183">
        <f>IF('Inputs DK'!$G$61=0,0,'Inputs DK'!G27/'Inputs DK'!$G$61*D$60)</f>
        <v>133425.69230183712</v>
      </c>
      <c r="E27" s="183">
        <f>IF('Inputs DK'!$H$61=0,0,'Inputs DK'!H27/'Inputs DK'!$H$61*E$60)</f>
        <v>1412.6525980737106</v>
      </c>
      <c r="F27" s="183">
        <f>IF('Inputs DK'!$I$61=0,0,'Inputs DK'!I27/'Inputs DK'!$I$61*F$60)</f>
        <v>170.42521891539633</v>
      </c>
      <c r="G27" s="183">
        <f>IF('Inputs DK'!$J$61=0,0,'Inputs DK'!J27/'Inputs DK'!$J$61*G$60)</f>
        <v>0</v>
      </c>
      <c r="H27" s="183">
        <f>IF('Inputs DK'!D$61=0,0,'Inputs DK'!D27/'Inputs DK'!D$61*H$60)</f>
        <v>227.66731116873976</v>
      </c>
      <c r="I27" s="183">
        <f>IF('Inputs DK'!E$61=0,0,'Inputs DK'!E27/'Inputs DK'!E$61*I$60)</f>
        <v>64.28068728116085</v>
      </c>
      <c r="J27" s="183">
        <f>IF('Inputs DK'!K$61=0,0,'Inputs DK'!K27/'Inputs DK'!K$61*J$60)</f>
        <v>0.24321814173231077</v>
      </c>
      <c r="K27" s="183">
        <f>IF('Inputs DK'!L$61=0,0,'Inputs DK'!L27/'Inputs DK'!L$61*K$60)</f>
        <v>0</v>
      </c>
      <c r="L27" s="183">
        <f>IF('Inputs DK'!M$61=0,0,'Inputs DK'!M27/'Inputs DK'!M$61*L$60)</f>
        <v>0</v>
      </c>
      <c r="M27" s="183">
        <f>IF('Inputs DK'!N$61=0,0,'Inputs DK'!N27/'Inputs DK'!N$61*M$60)</f>
        <v>0</v>
      </c>
      <c r="N27" s="183"/>
      <c r="O27" s="183">
        <f>SUM(C27:N27)</f>
        <v>139384.00754656421</v>
      </c>
    </row>
    <row r="28" spans="1:15" ht="11.25">
      <c r="A28" s="60">
        <f t="shared" si="1"/>
        <v>19</v>
      </c>
      <c r="B28" s="226" t="s">
        <v>107</v>
      </c>
      <c r="C28" s="178"/>
      <c r="D28" s="178"/>
      <c r="E28" s="178"/>
      <c r="F28" s="178"/>
      <c r="G28" s="178"/>
      <c r="H28" s="178"/>
      <c r="I28" s="178"/>
      <c r="J28" s="178"/>
      <c r="K28" s="178"/>
      <c r="L28" s="178"/>
      <c r="M28" s="178"/>
      <c r="N28" s="178"/>
      <c r="O28" s="178"/>
    </row>
    <row r="29" spans="1:15" ht="11.25">
      <c r="A29" s="60">
        <f t="shared" si="1"/>
        <v>20</v>
      </c>
      <c r="B29" s="22" t="s">
        <v>108</v>
      </c>
      <c r="C29" s="178"/>
      <c r="D29" s="178"/>
      <c r="E29" s="178"/>
      <c r="F29" s="178"/>
      <c r="G29" s="178"/>
      <c r="H29" s="178"/>
      <c r="I29" s="178"/>
      <c r="J29" s="178"/>
      <c r="K29" s="178"/>
      <c r="L29" s="178"/>
      <c r="M29" s="178"/>
      <c r="N29" s="178"/>
      <c r="O29" s="178"/>
    </row>
    <row r="30" spans="1:15" ht="11.25">
      <c r="A30" s="60">
        <f t="shared" si="1"/>
        <v>21</v>
      </c>
      <c r="B30" s="22" t="s">
        <v>109</v>
      </c>
      <c r="C30" s="178">
        <f>IF('Inputs DK'!$F$61=0,0,'Inputs DK'!F30/'Inputs DK'!$F$61*C$60)</f>
        <v>86249.09648387623</v>
      </c>
      <c r="D30" s="178">
        <f>IF('Inputs DK'!$G$61=0,0,'Inputs DK'!G30/'Inputs DK'!$G$61*D$60)</f>
        <v>316029.317497037</v>
      </c>
      <c r="E30" s="178">
        <f>IF('Inputs DK'!$H$61=0,0,'Inputs DK'!H30/'Inputs DK'!$H$61*E$60)</f>
        <v>4774.450562970292</v>
      </c>
      <c r="F30" s="178">
        <f>IF('Inputs DK'!$I$61=0,0,'Inputs DK'!I30/'Inputs DK'!$I$61*F$60)</f>
        <v>50906.81067183222</v>
      </c>
      <c r="G30" s="178">
        <f>IF('Inputs DK'!$J$61=0,0,'Inputs DK'!J30/'Inputs DK'!$J$61*G$60)</f>
        <v>0</v>
      </c>
      <c r="H30" s="178">
        <f>IF('Inputs DK'!D$61=0,0,'Inputs DK'!D30/'Inputs DK'!D$61*H$60)</f>
        <v>18258.176474470827</v>
      </c>
      <c r="I30" s="178">
        <f>IF('Inputs DK'!E$61=0,0,'Inputs DK'!E30/'Inputs DK'!E$61*I$60)</f>
        <v>1631.63142433329</v>
      </c>
      <c r="J30" s="178">
        <f>IF('Inputs DK'!K$61=0,0,'Inputs DK'!K30/'Inputs DK'!K$61*J$60)</f>
        <v>0</v>
      </c>
      <c r="K30" s="178">
        <f>IF('Inputs DK'!L$61=0,0,'Inputs DK'!L30/'Inputs DK'!L$61*K$60)</f>
        <v>0</v>
      </c>
      <c r="L30" s="178">
        <f>IF('Inputs DK'!M$61=0,0,'Inputs DK'!M30/'Inputs DK'!M$61*L$60)</f>
        <v>0</v>
      </c>
      <c r="M30" s="178">
        <f>IF('Inputs DK'!N$61=0,0,'Inputs DK'!N30/'Inputs DK'!N$61*M$60)</f>
        <v>0</v>
      </c>
      <c r="N30" s="178"/>
      <c r="O30" s="178">
        <f>SUM(C30:N30)</f>
        <v>477849.4831145199</v>
      </c>
    </row>
    <row r="31" spans="1:15" ht="11.25">
      <c r="A31" s="60">
        <f t="shared" si="1"/>
        <v>22</v>
      </c>
      <c r="B31" s="22" t="s">
        <v>110</v>
      </c>
      <c r="C31" s="178">
        <f>IF('Inputs DK'!$F$61=0,0,'Inputs DK'!F31/'Inputs DK'!$F$61*C$60)</f>
        <v>126689.81133966014</v>
      </c>
      <c r="D31" s="178">
        <f>IF('Inputs DK'!$G$61=0,0,'Inputs DK'!G31/'Inputs DK'!$G$61*D$60)</f>
        <v>185479.8843905811</v>
      </c>
      <c r="E31" s="178">
        <f>IF('Inputs DK'!$H$61=0,0,'Inputs DK'!H31/'Inputs DK'!$H$61*E$60)</f>
        <v>61592.54179398955</v>
      </c>
      <c r="F31" s="178">
        <f>IF('Inputs DK'!$I$61=0,0,'Inputs DK'!I31/'Inputs DK'!$I$61*F$60)</f>
        <v>7521.1023232562475</v>
      </c>
      <c r="G31" s="178">
        <f>IF('Inputs DK'!$J$61=0,0,'Inputs DK'!J31/'Inputs DK'!$J$61*G$60)</f>
        <v>0</v>
      </c>
      <c r="H31" s="178">
        <f>IF('Inputs DK'!D$61=0,0,'Inputs DK'!D31/'Inputs DK'!D$61*H$60)</f>
        <v>149074.2427126105</v>
      </c>
      <c r="I31" s="178">
        <f>IF('Inputs DK'!E$61=0,0,'Inputs DK'!E31/'Inputs DK'!E$61*I$60)</f>
        <v>5675.408257220032</v>
      </c>
      <c r="J31" s="178">
        <f>IF('Inputs DK'!K$61=0,0,'Inputs DK'!K31/'Inputs DK'!K$61*J$60)</f>
        <v>23.315140897783145</v>
      </c>
      <c r="K31" s="178">
        <f>IF('Inputs DK'!L$61=0,0,'Inputs DK'!L31/'Inputs DK'!L$61*K$60)</f>
        <v>0</v>
      </c>
      <c r="L31" s="178">
        <f>IF('Inputs DK'!M$61=0,0,'Inputs DK'!M31/'Inputs DK'!M$61*L$60)</f>
        <v>0</v>
      </c>
      <c r="M31" s="178">
        <f>IF('Inputs DK'!N$61=0,0,'Inputs DK'!N31/'Inputs DK'!N$61*M$60)</f>
        <v>0</v>
      </c>
      <c r="N31" s="178"/>
      <c r="O31" s="178">
        <f>SUM(C31:N31)</f>
        <v>536056.3059582154</v>
      </c>
    </row>
    <row r="32" spans="1:15" ht="11.25">
      <c r="A32" s="60">
        <f t="shared" si="1"/>
        <v>23</v>
      </c>
      <c r="B32" s="22" t="s">
        <v>111</v>
      </c>
      <c r="C32" s="184">
        <f aca="true" t="shared" si="5" ref="C32:M32">SUM(C30:C31)</f>
        <v>212938.90782353637</v>
      </c>
      <c r="D32" s="184">
        <f t="shared" si="5"/>
        <v>501509.2018876181</v>
      </c>
      <c r="E32" s="184">
        <f t="shared" si="5"/>
        <v>66366.99235695985</v>
      </c>
      <c r="F32" s="184">
        <f t="shared" si="5"/>
        <v>58427.91299508847</v>
      </c>
      <c r="G32" s="184">
        <f t="shared" si="5"/>
        <v>0</v>
      </c>
      <c r="H32" s="184">
        <f t="shared" si="5"/>
        <v>167332.4191870813</v>
      </c>
      <c r="I32" s="184">
        <f t="shared" si="5"/>
        <v>7307.039681553322</v>
      </c>
      <c r="J32" s="184">
        <f t="shared" si="5"/>
        <v>23.315140897783145</v>
      </c>
      <c r="K32" s="184">
        <f t="shared" si="5"/>
        <v>0</v>
      </c>
      <c r="L32" s="184">
        <f t="shared" si="5"/>
        <v>0</v>
      </c>
      <c r="M32" s="184">
        <f t="shared" si="5"/>
        <v>0</v>
      </c>
      <c r="N32" s="184"/>
      <c r="O32" s="184">
        <f>SUM(O30:O31)</f>
        <v>1013905.7890727352</v>
      </c>
    </row>
    <row r="33" spans="1:15" ht="11.25">
      <c r="A33" s="60">
        <f t="shared" si="1"/>
        <v>24</v>
      </c>
      <c r="B33" s="22" t="s">
        <v>112</v>
      </c>
      <c r="C33" s="178"/>
      <c r="D33" s="178"/>
      <c r="E33" s="178"/>
      <c r="F33" s="178"/>
      <c r="G33" s="178"/>
      <c r="H33" s="178"/>
      <c r="I33" s="178"/>
      <c r="J33" s="178"/>
      <c r="K33" s="178"/>
      <c r="L33" s="178"/>
      <c r="M33" s="178"/>
      <c r="N33" s="178"/>
      <c r="O33" s="178"/>
    </row>
    <row r="34" spans="1:15" ht="11.25">
      <c r="A34" s="60">
        <f t="shared" si="1"/>
        <v>25</v>
      </c>
      <c r="B34" s="22" t="s">
        <v>113</v>
      </c>
      <c r="C34" s="178">
        <f>IF('Inputs DK'!$F$61=0,0,'Inputs DK'!F34/'Inputs DK'!$F$61*C$60)</f>
        <v>0</v>
      </c>
      <c r="D34" s="178">
        <f>IF('Inputs DK'!$G$61=0,0,'Inputs DK'!G34/'Inputs DK'!$G$61*D$60)</f>
        <v>0</v>
      </c>
      <c r="E34" s="178">
        <f>IF('Inputs DK'!$H$61=0,0,'Inputs DK'!H34/'Inputs DK'!$H$61*E$60)</f>
        <v>0</v>
      </c>
      <c r="F34" s="178">
        <f>IF('Inputs DK'!$I$61=0,0,'Inputs DK'!I34/'Inputs DK'!$I$61*F$60)</f>
        <v>0</v>
      </c>
      <c r="G34" s="178">
        <f>IF('Inputs DK'!$J$61=0,0,'Inputs DK'!J34/'Inputs DK'!$J$61*G$60)</f>
        <v>0</v>
      </c>
      <c r="H34" s="178">
        <f>IF('Inputs DK'!D$61=0,0,'Inputs DK'!D34/'Inputs DK'!D$61*H$60)</f>
        <v>0</v>
      </c>
      <c r="I34" s="178">
        <f>IF('Inputs DK'!E$61=0,0,'Inputs DK'!E34/'Inputs DK'!E$61*I$60)</f>
        <v>0</v>
      </c>
      <c r="J34" s="178">
        <f>IF('Inputs DK'!K$61=0,0,'Inputs DK'!K34/'Inputs DK'!K$61*J$60)</f>
        <v>0</v>
      </c>
      <c r="K34" s="178">
        <f>IF('Inputs DK'!L$61=0,0,'Inputs DK'!L34/'Inputs DK'!L$61*K$60)</f>
        <v>0</v>
      </c>
      <c r="L34" s="178">
        <f>IF('Inputs DK'!M$61=0,0,'Inputs DK'!M34/'Inputs DK'!M$61*L$60)</f>
        <v>0</v>
      </c>
      <c r="M34" s="178">
        <f>IF('Inputs DK'!N$61=0,0,'Inputs DK'!N34/'Inputs DK'!N$61*M$60)</f>
        <v>0</v>
      </c>
      <c r="N34" s="178"/>
      <c r="O34" s="178">
        <f>SUM(C34:N34)</f>
        <v>0</v>
      </c>
    </row>
    <row r="35" spans="1:15" ht="11.25">
      <c r="A35" s="60">
        <f t="shared" si="1"/>
        <v>26</v>
      </c>
      <c r="B35" s="22" t="s">
        <v>114</v>
      </c>
      <c r="C35" s="178">
        <f>IF('Inputs DK'!$F$61=0,0,'Inputs DK'!F35/'Inputs DK'!$F$61*C$60)</f>
        <v>0</v>
      </c>
      <c r="D35" s="178">
        <f>IF('Inputs DK'!$G$61=0,0,'Inputs DK'!G35/'Inputs DK'!$G$61*D$60)</f>
        <v>0</v>
      </c>
      <c r="E35" s="178">
        <f>IF('Inputs DK'!$H$61=0,0,'Inputs DK'!H35/'Inputs DK'!$H$61*E$60)</f>
        <v>0</v>
      </c>
      <c r="F35" s="178">
        <f>IF('Inputs DK'!$I$61=0,0,'Inputs DK'!I35/'Inputs DK'!$I$61*F$60)</f>
        <v>0</v>
      </c>
      <c r="G35" s="178">
        <f>IF('Inputs DK'!$J$61=0,0,'Inputs DK'!J35/'Inputs DK'!$J$61*G$60)</f>
        <v>0</v>
      </c>
      <c r="H35" s="178">
        <f>IF('Inputs DK'!D$61=0,0,'Inputs DK'!D35/'Inputs DK'!D$61*H$60)</f>
        <v>0</v>
      </c>
      <c r="I35" s="178">
        <f>IF('Inputs DK'!E$61=0,0,'Inputs DK'!E35/'Inputs DK'!E$61*I$60)</f>
        <v>0</v>
      </c>
      <c r="J35" s="178">
        <f>IF('Inputs DK'!K$61=0,0,'Inputs DK'!K35/'Inputs DK'!K$61*J$60)</f>
        <v>0</v>
      </c>
      <c r="K35" s="178">
        <f>IF('Inputs DK'!L$61=0,0,'Inputs DK'!L35/'Inputs DK'!L$61*K$60)</f>
        <v>0</v>
      </c>
      <c r="L35" s="178">
        <f>IF('Inputs DK'!M$61=0,0,'Inputs DK'!M35/'Inputs DK'!M$61*L$60)</f>
        <v>0</v>
      </c>
      <c r="M35" s="178">
        <f>IF('Inputs DK'!N$61=0,0,'Inputs DK'!N35/'Inputs DK'!N$61*M$60)</f>
        <v>0</v>
      </c>
      <c r="N35" s="178"/>
      <c r="O35" s="178">
        <f>SUM(C35:N35)</f>
        <v>0</v>
      </c>
    </row>
    <row r="36" spans="1:15" ht="11.25">
      <c r="A36" s="60">
        <f t="shared" si="1"/>
        <v>27</v>
      </c>
      <c r="B36" s="22" t="s">
        <v>115</v>
      </c>
      <c r="C36" s="184">
        <f aca="true" t="shared" si="6" ref="C36:M36">SUM(C34:C35)</f>
        <v>0</v>
      </c>
      <c r="D36" s="184">
        <f t="shared" si="6"/>
        <v>0</v>
      </c>
      <c r="E36" s="184">
        <f t="shared" si="6"/>
        <v>0</v>
      </c>
      <c r="F36" s="184">
        <f>IF('Inputs DK'!$I$61=0,0,'Inputs DK'!I36/'Inputs DK'!$I$61*F$60)</f>
        <v>0</v>
      </c>
      <c r="G36" s="184">
        <f t="shared" si="6"/>
        <v>0</v>
      </c>
      <c r="H36" s="184">
        <f t="shared" si="6"/>
        <v>0</v>
      </c>
      <c r="I36" s="184">
        <f t="shared" si="6"/>
        <v>0</v>
      </c>
      <c r="J36" s="184">
        <f t="shared" si="6"/>
        <v>0</v>
      </c>
      <c r="K36" s="184">
        <f t="shared" si="6"/>
        <v>0</v>
      </c>
      <c r="L36" s="184">
        <f t="shared" si="6"/>
        <v>0</v>
      </c>
      <c r="M36" s="184">
        <f t="shared" si="6"/>
        <v>0</v>
      </c>
      <c r="N36" s="184"/>
      <c r="O36" s="184">
        <f>SUM(O34:O35)</f>
        <v>0</v>
      </c>
    </row>
    <row r="37" spans="1:15" ht="11.25">
      <c r="A37" s="61">
        <f t="shared" si="1"/>
        <v>28</v>
      </c>
      <c r="B37" s="227" t="s">
        <v>116</v>
      </c>
      <c r="C37" s="183">
        <f aca="true" t="shared" si="7" ref="C37:M37">SUM(C32,C36)</f>
        <v>212938.90782353637</v>
      </c>
      <c r="D37" s="183">
        <f t="shared" si="7"/>
        <v>501509.2018876181</v>
      </c>
      <c r="E37" s="183">
        <f t="shared" si="7"/>
        <v>66366.99235695985</v>
      </c>
      <c r="F37" s="183">
        <f t="shared" si="7"/>
        <v>58427.91299508847</v>
      </c>
      <c r="G37" s="183">
        <f t="shared" si="7"/>
        <v>0</v>
      </c>
      <c r="H37" s="183">
        <f t="shared" si="7"/>
        <v>167332.4191870813</v>
      </c>
      <c r="I37" s="183">
        <f t="shared" si="7"/>
        <v>7307.039681553322</v>
      </c>
      <c r="J37" s="183">
        <f t="shared" si="7"/>
        <v>23.315140897783145</v>
      </c>
      <c r="K37" s="183">
        <f t="shared" si="7"/>
        <v>0</v>
      </c>
      <c r="L37" s="183">
        <f t="shared" si="7"/>
        <v>0</v>
      </c>
      <c r="M37" s="183">
        <f t="shared" si="7"/>
        <v>0</v>
      </c>
      <c r="N37" s="183"/>
      <c r="O37" s="183">
        <f>SUM(O32,O36)</f>
        <v>1013905.7890727352</v>
      </c>
    </row>
    <row r="38" spans="1:15" ht="11.25">
      <c r="A38" s="60">
        <f t="shared" si="1"/>
        <v>29</v>
      </c>
      <c r="B38" s="226" t="s">
        <v>117</v>
      </c>
      <c r="C38" s="178"/>
      <c r="D38" s="178"/>
      <c r="E38" s="178"/>
      <c r="F38" s="178"/>
      <c r="G38" s="178"/>
      <c r="H38" s="178"/>
      <c r="I38" s="178"/>
      <c r="J38" s="178"/>
      <c r="K38" s="178"/>
      <c r="L38" s="178"/>
      <c r="M38" s="178"/>
      <c r="N38" s="178"/>
      <c r="O38" s="178"/>
    </row>
    <row r="39" spans="1:15" ht="11.25">
      <c r="A39" s="60">
        <f t="shared" si="1"/>
        <v>30</v>
      </c>
      <c r="B39" s="67" t="s">
        <v>118</v>
      </c>
      <c r="C39" s="178">
        <f>IF('Inputs DK'!$F$61=0,0,'Inputs DK'!F39/'Inputs DK'!$F$61*C$60)</f>
        <v>1.62219313946623</v>
      </c>
      <c r="D39" s="178">
        <f>IF('Inputs DK'!$G$61=0,0,'Inputs DK'!G39/'Inputs DK'!$G$61*D$60)</f>
        <v>63.79584111444795</v>
      </c>
      <c r="E39" s="178">
        <f>IF('Inputs DK'!$H$61=0,0,'Inputs DK'!H39/'Inputs DK'!$H$61*E$60)</f>
        <v>28558.758814806977</v>
      </c>
      <c r="F39" s="178">
        <f>IF('Inputs DK'!$I$61=0,0,'Inputs DK'!I39/'Inputs DK'!$I$61*F$60)</f>
        <v>0</v>
      </c>
      <c r="G39" s="178">
        <f>IF('Inputs DK'!$J$61=0,0,'Inputs DK'!J39/'Inputs DK'!$J$61*G$60)</f>
        <v>0</v>
      </c>
      <c r="H39" s="178">
        <f>IF('Inputs DK'!D$61=0,0,'Inputs DK'!D39/'Inputs DK'!D$61*H$60)</f>
        <v>1.4018436105923306</v>
      </c>
      <c r="I39" s="178">
        <f>IF('Inputs DK'!E$61=0,0,'Inputs DK'!E39/'Inputs DK'!E$61*I$60)</f>
        <v>1.2478880062783295</v>
      </c>
      <c r="J39" s="178">
        <f>IF('Inputs DK'!K$61=0,0,'Inputs DK'!K39/'Inputs DK'!K$61*J$60)</f>
        <v>17.959198193593373</v>
      </c>
      <c r="K39" s="178">
        <f>IF('Inputs DK'!L$61=0,0,'Inputs DK'!L39/'Inputs DK'!L$61*K$60)</f>
        <v>22.012409482080862</v>
      </c>
      <c r="L39" s="178">
        <f>IF('Inputs DK'!M$61=0,0,'Inputs DK'!M39/'Inputs DK'!M$61*L$60)</f>
        <v>3658.0048291355715</v>
      </c>
      <c r="M39" s="178">
        <f>IF('Inputs DK'!N$61=0,0,'Inputs DK'!N39/'Inputs DK'!N$61*M$60)</f>
        <v>0</v>
      </c>
      <c r="N39" s="178"/>
      <c r="O39" s="178">
        <f>SUM(C39:N39)</f>
        <v>32324.803017489005</v>
      </c>
    </row>
    <row r="40" spans="1:15" ht="11.25">
      <c r="A40" s="60">
        <f t="shared" si="1"/>
        <v>31</v>
      </c>
      <c r="B40" s="67" t="s">
        <v>119</v>
      </c>
      <c r="C40" s="178">
        <f>IF('Inputs DK'!$F$61=0,0,'Inputs DK'!F40/'Inputs DK'!$F$61*C$60)</f>
        <v>27.008164626893084</v>
      </c>
      <c r="D40" s="178">
        <f>IF('Inputs DK'!$G$61=0,0,'Inputs DK'!G40/'Inputs DK'!$G$61*D$60)</f>
        <v>3699.1898480955592</v>
      </c>
      <c r="E40" s="178">
        <f>IF('Inputs DK'!$H$61=0,0,'Inputs DK'!H40/'Inputs DK'!$H$61*E$60)</f>
        <v>19093.809379994713</v>
      </c>
      <c r="F40" s="178">
        <f>IF('Inputs DK'!$I$61=0,0,'Inputs DK'!I40/'Inputs DK'!$I$61*F$60)</f>
        <v>199.55356452751357</v>
      </c>
      <c r="G40" s="178">
        <f>IF('Inputs DK'!$J$61=0,0,'Inputs DK'!J40/'Inputs DK'!$J$61*G$60)</f>
        <v>0</v>
      </c>
      <c r="H40" s="178">
        <f>IF('Inputs DK'!D$61=0,0,'Inputs DK'!D40/'Inputs DK'!D$61*H$60)</f>
        <v>2.3450638769469503</v>
      </c>
      <c r="I40" s="178">
        <f>IF('Inputs DK'!E$61=0,0,'Inputs DK'!E40/'Inputs DK'!E$61*I$60)</f>
        <v>1.3747515185001384</v>
      </c>
      <c r="J40" s="178">
        <f>IF('Inputs DK'!K$61=0,0,'Inputs DK'!K40/'Inputs DK'!K$61*J$60)</f>
        <v>6.926206054286288</v>
      </c>
      <c r="K40" s="178">
        <f>IF('Inputs DK'!L$61=0,0,'Inputs DK'!L40/'Inputs DK'!L$61*K$60)</f>
        <v>3.00624712198373</v>
      </c>
      <c r="L40" s="178">
        <f>IF('Inputs DK'!M$61=0,0,'Inputs DK'!M40/'Inputs DK'!M$61*L$60)</f>
        <v>215.67184065941677</v>
      </c>
      <c r="M40" s="178">
        <f>IF('Inputs DK'!N$61=0,0,'Inputs DK'!N40/'Inputs DK'!N$61*M$60)</f>
        <v>0</v>
      </c>
      <c r="N40" s="178"/>
      <c r="O40" s="178">
        <f>SUM(C40:N40)</f>
        <v>23248.885066475807</v>
      </c>
    </row>
    <row r="41" spans="1:15" ht="11.25">
      <c r="A41" s="60">
        <f t="shared" si="1"/>
        <v>32</v>
      </c>
      <c r="B41" s="225" t="s">
        <v>120</v>
      </c>
      <c r="C41" s="178">
        <f>IF('Inputs DK'!$F$61=0,0,'Inputs DK'!F41/'Inputs DK'!$F$61*C$60)</f>
        <v>1.2262666463153353</v>
      </c>
      <c r="D41" s="178">
        <f>IF('Inputs DK'!$G$61=0,0,'Inputs DK'!G41/'Inputs DK'!$G$61*D$60)</f>
        <v>317.86071151694426</v>
      </c>
      <c r="E41" s="178">
        <f>IF('Inputs DK'!$H$61=0,0,'Inputs DK'!H41/'Inputs DK'!$H$61*E$60)</f>
        <v>9179.136753710645</v>
      </c>
      <c r="F41" s="178">
        <f>IF('Inputs DK'!$I$61=0,0,'Inputs DK'!I41/'Inputs DK'!$I$61*F$60)</f>
        <v>0</v>
      </c>
      <c r="G41" s="178">
        <f>IF('Inputs DK'!$J$61=0,0,'Inputs DK'!J41/'Inputs DK'!$J$61*G$60)</f>
        <v>0</v>
      </c>
      <c r="H41" s="178">
        <f>IF('Inputs DK'!D$61=0,0,'Inputs DK'!D41/'Inputs DK'!D$61*H$60)</f>
        <v>1.0231838656680987</v>
      </c>
      <c r="I41" s="178">
        <f>IF('Inputs DK'!E$61=0,0,'Inputs DK'!E41/'Inputs DK'!E$61*I$60)</f>
        <v>0.5632331802662616</v>
      </c>
      <c r="J41" s="178">
        <f>IF('Inputs DK'!K$61=0,0,'Inputs DK'!K41/'Inputs DK'!K$61*J$60)</f>
        <v>4.2772592236368006</v>
      </c>
      <c r="K41" s="178">
        <f>IF('Inputs DK'!L$61=0,0,'Inputs DK'!L41/'Inputs DK'!L$61*K$60)</f>
        <v>19.857932377992526</v>
      </c>
      <c r="L41" s="178">
        <f>IF('Inputs DK'!M$61=0,0,'Inputs DK'!M41/'Inputs DK'!M$61*L$60)</f>
        <v>1509.7028846159176</v>
      </c>
      <c r="M41" s="178">
        <f>IF('Inputs DK'!N$61=0,0,'Inputs DK'!N41/'Inputs DK'!N$61*M$60)</f>
        <v>0</v>
      </c>
      <c r="N41" s="178"/>
      <c r="O41" s="178">
        <f>SUM(C41:N41)</f>
        <v>11033.648225137384</v>
      </c>
    </row>
    <row r="42" spans="1:15" ht="11.25">
      <c r="A42" s="60">
        <f t="shared" si="1"/>
        <v>33</v>
      </c>
      <c r="B42" s="67" t="s">
        <v>121</v>
      </c>
      <c r="C42" s="178">
        <f>IF('Inputs DK'!$F$61=0,0,'Inputs DK'!F42/'Inputs DK'!$F$61*C$60)</f>
        <v>0</v>
      </c>
      <c r="D42" s="178">
        <f>IF('Inputs DK'!$G$61=0,0,'Inputs DK'!G42/'Inputs DK'!$G$61*D$60)</f>
        <v>0</v>
      </c>
      <c r="E42" s="178">
        <f>IF('Inputs DK'!$H$61=0,0,'Inputs DK'!H42/'Inputs DK'!$H$61*E$60)</f>
        <v>0</v>
      </c>
      <c r="F42" s="178">
        <f>IF('Inputs DK'!$I$61=0,0,'Inputs DK'!I42/'Inputs DK'!$I$61*F$60)</f>
        <v>0</v>
      </c>
      <c r="G42" s="178">
        <f>IF('Inputs DK'!$J$61=0,0,'Inputs DK'!J42/'Inputs DK'!$J$61*G$60)</f>
        <v>0</v>
      </c>
      <c r="H42" s="178">
        <f>IF('Inputs DK'!D$61=0,0,'Inputs DK'!D42/'Inputs DK'!D$61*H$60)</f>
        <v>0</v>
      </c>
      <c r="I42" s="178">
        <f>IF('Inputs DK'!E$61=0,0,'Inputs DK'!E42/'Inputs DK'!E$61*I$60)</f>
        <v>0</v>
      </c>
      <c r="J42" s="178">
        <f>IF('Inputs DK'!K$61=0,0,'Inputs DK'!K42/'Inputs DK'!K$61*J$60)</f>
        <v>0</v>
      </c>
      <c r="K42" s="178">
        <f>IF('Inputs DK'!L$61=0,0,'Inputs DK'!L42/'Inputs DK'!L$61*K$60)</f>
        <v>0</v>
      </c>
      <c r="L42" s="178">
        <f>IF('Inputs DK'!M$61=0,0,'Inputs DK'!M42/'Inputs DK'!M$61*L$60)</f>
        <v>0</v>
      </c>
      <c r="M42" s="178">
        <f>IF('Inputs DK'!N$61=0,0,'Inputs DK'!N42/'Inputs DK'!N$61*M$60)</f>
        <v>0</v>
      </c>
      <c r="N42" s="178"/>
      <c r="O42" s="178">
        <f>SUM(C42:N42)</f>
        <v>0</v>
      </c>
    </row>
    <row r="43" spans="1:15" ht="11.25">
      <c r="A43" s="61">
        <f aca="true" t="shared" si="8" ref="A43:A62">A42+1</f>
        <v>34</v>
      </c>
      <c r="B43" s="227" t="s">
        <v>122</v>
      </c>
      <c r="C43" s="183">
        <f aca="true" t="shared" si="9" ref="C43:M43">SUM(C39:C42)</f>
        <v>29.85662441267465</v>
      </c>
      <c r="D43" s="183">
        <f t="shared" si="9"/>
        <v>4080.8464007269513</v>
      </c>
      <c r="E43" s="183">
        <f t="shared" si="9"/>
        <v>56831.70494851233</v>
      </c>
      <c r="F43" s="183">
        <f t="shared" si="9"/>
        <v>199.55356452751357</v>
      </c>
      <c r="G43" s="183">
        <f t="shared" si="9"/>
        <v>0</v>
      </c>
      <c r="H43" s="183">
        <f t="shared" si="9"/>
        <v>4.77009135320738</v>
      </c>
      <c r="I43" s="183">
        <f t="shared" si="9"/>
        <v>3.18587270504473</v>
      </c>
      <c r="J43" s="183">
        <f t="shared" si="9"/>
        <v>29.162663471516463</v>
      </c>
      <c r="K43" s="183">
        <f t="shared" si="9"/>
        <v>44.876588982057115</v>
      </c>
      <c r="L43" s="183">
        <f t="shared" si="9"/>
        <v>5383.379554410906</v>
      </c>
      <c r="M43" s="183">
        <f t="shared" si="9"/>
        <v>0</v>
      </c>
      <c r="N43" s="183"/>
      <c r="O43" s="183">
        <f>SUM(O39:O42)</f>
        <v>66607.33630910219</v>
      </c>
    </row>
    <row r="44" spans="1:15" ht="11.25">
      <c r="A44" s="60">
        <f t="shared" si="8"/>
        <v>35</v>
      </c>
      <c r="B44" s="49" t="s">
        <v>123</v>
      </c>
      <c r="C44" s="178">
        <f>IF('Inputs DK'!$F$61=0,0,'Inputs DK'!F44/'Inputs DK'!$F$61*C$60)</f>
        <v>1157.2063386356513</v>
      </c>
      <c r="D44" s="178">
        <f>IF('Inputs DK'!$G$61=0,0,'Inputs DK'!G44/'Inputs DK'!$G$61*D$60)</f>
        <v>192.72471461418596</v>
      </c>
      <c r="E44" s="178">
        <f>IF('Inputs DK'!$H$61=0,0,'Inputs DK'!H44/'Inputs DK'!$H$61*E$60)</f>
        <v>193.0511964686076</v>
      </c>
      <c r="F44" s="178">
        <f>IF('Inputs DK'!$I$61=0,0,'Inputs DK'!I44/'Inputs DK'!$I$61*F$60)</f>
        <v>1366.9028616571973</v>
      </c>
      <c r="G44" s="178">
        <f>IF('Inputs DK'!$J$61=0,0,'Inputs DK'!J44/'Inputs DK'!$J$61*G$60)</f>
        <v>71.65364592137863</v>
      </c>
      <c r="H44" s="178">
        <f>IF('Inputs DK'!D$61=0,0,'Inputs DK'!D44/'Inputs DK'!D$61*H$60)</f>
        <v>216.06354229172055</v>
      </c>
      <c r="I44" s="178">
        <f>IF('Inputs DK'!E$61=0,0,'Inputs DK'!E44/'Inputs DK'!E$61*I$60)</f>
        <v>54.64654291870787</v>
      </c>
      <c r="J44" s="178">
        <f>IF('Inputs DK'!K$61=0,0,'Inputs DK'!K44/'Inputs DK'!K$61*J$60)</f>
        <v>60.83245775750617</v>
      </c>
      <c r="K44" s="178">
        <f>IF('Inputs DK'!L$61=0,0,'Inputs DK'!L44/'Inputs DK'!L$61*K$60)</f>
        <v>16.083422102612953</v>
      </c>
      <c r="L44" s="178">
        <f>IF('Inputs DK'!M$61=0,0,'Inputs DK'!M44/'Inputs DK'!M$61*L$60)</f>
        <v>17.88498190834188</v>
      </c>
      <c r="M44" s="178">
        <f>IF('Inputs DK'!N$61=0,0,'Inputs DK'!N44/'Inputs DK'!N$61*M$60)</f>
        <v>0</v>
      </c>
      <c r="N44" s="178"/>
      <c r="O44" s="178">
        <f>SUM(C44:N44)</f>
        <v>3347.0497042759107</v>
      </c>
    </row>
    <row r="45" spans="1:15" ht="11.25">
      <c r="A45" s="60">
        <f t="shared" si="8"/>
        <v>36</v>
      </c>
      <c r="B45" s="70" t="s">
        <v>124</v>
      </c>
      <c r="C45" s="178">
        <f>IF('Inputs DK'!$F$61=0,0,'Inputs DK'!F45/'Inputs DK'!$F$61*C$60)</f>
        <v>124.36227208186098</v>
      </c>
      <c r="D45" s="178">
        <f>IF('Inputs DK'!$G$61=0,0,'Inputs DK'!G45/'Inputs DK'!$G$61*D$60)</f>
        <v>132.224532660475</v>
      </c>
      <c r="E45" s="178">
        <f>IF('Inputs DK'!$H$61=0,0,'Inputs DK'!H45/'Inputs DK'!$H$61*E$60)</f>
        <v>985.1683512559641</v>
      </c>
      <c r="F45" s="178">
        <f>IF('Inputs DK'!$I$61=0,0,'Inputs DK'!I45/'Inputs DK'!$I$61*F$60)</f>
        <v>0</v>
      </c>
      <c r="G45" s="178">
        <f>IF('Inputs DK'!$J$61=0,0,'Inputs DK'!J45/'Inputs DK'!$J$61*G$60)</f>
        <v>0</v>
      </c>
      <c r="H45" s="178">
        <f>IF('Inputs DK'!D$61=0,0,'Inputs DK'!D45/'Inputs DK'!D$61*H$60)</f>
        <v>30.864781983188276</v>
      </c>
      <c r="I45" s="178">
        <f>IF('Inputs DK'!E$61=0,0,'Inputs DK'!E45/'Inputs DK'!E$61*I$60)</f>
        <v>0</v>
      </c>
      <c r="J45" s="178">
        <f>IF('Inputs DK'!K$61=0,0,'Inputs DK'!K45/'Inputs DK'!K$61*J$60)</f>
        <v>0</v>
      </c>
      <c r="K45" s="178">
        <f>IF('Inputs DK'!L$61=0,0,'Inputs DK'!L45/'Inputs DK'!L$61*K$60)</f>
        <v>7.883048008757336</v>
      </c>
      <c r="L45" s="178">
        <f>IF('Inputs DK'!M$61=0,0,'Inputs DK'!M45/'Inputs DK'!M$61*L$60)</f>
        <v>798.5118393194991</v>
      </c>
      <c r="M45" s="178">
        <f>IF('Inputs DK'!N$61=0,0,'Inputs DK'!N45/'Inputs DK'!N$61*M$60)</f>
        <v>0</v>
      </c>
      <c r="N45" s="178"/>
      <c r="O45" s="178">
        <f>SUM(C45:N45)</f>
        <v>2079.014825309745</v>
      </c>
    </row>
    <row r="46" spans="1:15" ht="11.25">
      <c r="A46" s="60">
        <f t="shared" si="8"/>
        <v>37</v>
      </c>
      <c r="B46" s="49" t="s">
        <v>125</v>
      </c>
      <c r="C46" s="178">
        <f>IF('Inputs DK'!$F$61=0,0,'Inputs DK'!F46/'Inputs DK'!$F$61*C$60)</f>
        <v>771.7700550825011</v>
      </c>
      <c r="D46" s="178">
        <f>IF('Inputs DK'!$G$61=0,0,'Inputs DK'!G46/'Inputs DK'!$G$61*D$60)</f>
        <v>559.72217922144</v>
      </c>
      <c r="E46" s="178">
        <f>IF('Inputs DK'!$H$61=0,0,'Inputs DK'!H46/'Inputs DK'!$H$61*E$60)</f>
        <v>999.4371492929159</v>
      </c>
      <c r="F46" s="178">
        <f>IF('Inputs DK'!$I$61=0,0,'Inputs DK'!I46/'Inputs DK'!$I$61*F$60)</f>
        <v>0</v>
      </c>
      <c r="G46" s="178">
        <f>IF('Inputs DK'!$J$61=0,0,'Inputs DK'!J46/'Inputs DK'!$J$61*G$60)</f>
        <v>15292.451816259572</v>
      </c>
      <c r="H46" s="178">
        <f>IF('Inputs DK'!D$61=0,0,'Inputs DK'!D46/'Inputs DK'!D$61*H$60)</f>
        <v>468.7874764891346</v>
      </c>
      <c r="I46" s="178">
        <f>IF('Inputs DK'!E$61=0,0,'Inputs DK'!E46/'Inputs DK'!E$61*I$60)</f>
        <v>11.481998147710582</v>
      </c>
      <c r="J46" s="178">
        <f>IF('Inputs DK'!K$61=0,0,'Inputs DK'!K46/'Inputs DK'!K$61*J$60)</f>
        <v>0.7509635675239321</v>
      </c>
      <c r="K46" s="178">
        <f>IF('Inputs DK'!L$61=0,0,'Inputs DK'!L46/'Inputs DK'!L$61*K$60)</f>
        <v>21.177340837085385</v>
      </c>
      <c r="L46" s="178">
        <f>IF('Inputs DK'!M$61=0,0,'Inputs DK'!M46/'Inputs DK'!M$61*L$60)</f>
        <v>107.30989145005128</v>
      </c>
      <c r="M46" s="178">
        <f>IF('Inputs DK'!N$61=0,0,'Inputs DK'!N46/'Inputs DK'!N$61*M$60)</f>
        <v>0</v>
      </c>
      <c r="N46" s="178"/>
      <c r="O46" s="178">
        <f>SUM(C46:N46)</f>
        <v>18232.88887034794</v>
      </c>
    </row>
    <row r="47" spans="1:15" ht="11.25">
      <c r="A47" s="61">
        <f t="shared" si="8"/>
        <v>38</v>
      </c>
      <c r="B47" s="50" t="s">
        <v>161</v>
      </c>
      <c r="C47" s="183">
        <f aca="true" t="shared" si="10" ref="C47:M47">SUM(C17:C20,C27,C37,C43:C46)</f>
        <v>428639.33537953923</v>
      </c>
      <c r="D47" s="183">
        <f t="shared" si="10"/>
        <v>684561.0499681957</v>
      </c>
      <c r="E47" s="183">
        <f t="shared" si="10"/>
        <v>195169.62036692403</v>
      </c>
      <c r="F47" s="183">
        <f t="shared" si="10"/>
        <v>60376.05136888958</v>
      </c>
      <c r="G47" s="183">
        <f t="shared" si="10"/>
        <v>26508.347998438367</v>
      </c>
      <c r="H47" s="183">
        <f t="shared" si="10"/>
        <v>404428.7150681708</v>
      </c>
      <c r="I47" s="183">
        <f t="shared" si="10"/>
        <v>18380.234956203607</v>
      </c>
      <c r="J47" s="183">
        <f t="shared" si="10"/>
        <v>568.5051385460115</v>
      </c>
      <c r="K47" s="183">
        <f t="shared" si="10"/>
        <v>58030.573576653034</v>
      </c>
      <c r="L47" s="183">
        <f t="shared" si="10"/>
        <v>21710.263921208414</v>
      </c>
      <c r="M47" s="183">
        <f t="shared" si="10"/>
        <v>126.59858842271949</v>
      </c>
      <c r="N47" s="183"/>
      <c r="O47" s="183">
        <f>SUM(O17:O20,O27,O37,O43:O46)</f>
        <v>1898499.2963311917</v>
      </c>
    </row>
    <row r="48" spans="1:15" ht="11.25">
      <c r="A48" s="60">
        <f t="shared" si="8"/>
        <v>39</v>
      </c>
      <c r="B48" s="66" t="s">
        <v>160</v>
      </c>
      <c r="C48" s="178"/>
      <c r="D48" s="178"/>
      <c r="E48" s="178"/>
      <c r="F48" s="178"/>
      <c r="G48" s="178"/>
      <c r="H48" s="178"/>
      <c r="I48" s="178"/>
      <c r="J48" s="178"/>
      <c r="K48" s="178"/>
      <c r="L48" s="178"/>
      <c r="M48" s="178"/>
      <c r="N48" s="178"/>
      <c r="O48" s="178"/>
    </row>
    <row r="49" spans="1:15" ht="11.25">
      <c r="A49" s="58">
        <f t="shared" si="8"/>
        <v>40</v>
      </c>
      <c r="B49" s="67" t="s">
        <v>129</v>
      </c>
      <c r="C49" s="178">
        <f>IF('Inputs DK'!$F$61=0,0,'Inputs DK'!F50/'Inputs DK'!$F$61*C$60)</f>
        <v>0</v>
      </c>
      <c r="D49" s="178">
        <f>IF('Inputs DK'!$G$61=0,0,'Inputs DK'!G50/'Inputs DK'!$G$61*D$60)</f>
        <v>0</v>
      </c>
      <c r="E49" s="178">
        <f>IF('Inputs DK'!$G$61=0,0,'Inputs DK'!H50/'Inputs DK'!$G$61*E$60)</f>
        <v>0</v>
      </c>
      <c r="F49" s="178">
        <f>IF('Inputs DK'!$I$61=0,0,'Inputs DK'!I50/'Inputs DK'!$I$61*F$60)</f>
        <v>0</v>
      </c>
      <c r="G49" s="178">
        <f>IF('Inputs DK'!$J$61=0,0,'Inputs DK'!J50/'Inputs DK'!$J$61*G$60)</f>
        <v>1895.6707236919788</v>
      </c>
      <c r="H49" s="178">
        <f>IF('Inputs DK'!D$61=0,0,'Inputs DK'!D50/'Inputs DK'!D$61*H$60)</f>
        <v>0</v>
      </c>
      <c r="I49" s="178">
        <f>IF('Inputs DK'!E$61=0,0,'Inputs DK'!E50/'Inputs DK'!E$61*I$60)</f>
        <v>0</v>
      </c>
      <c r="J49" s="178">
        <f>IF('Inputs DK'!K$61=0,0,'Inputs DK'!K50/'Inputs DK'!K$61*J$60)</f>
        <v>0</v>
      </c>
      <c r="K49" s="178">
        <f>IF('Inputs DK'!L$61=0,0,'Inputs DK'!L50/'Inputs DK'!L$61*K$60)</f>
        <v>0</v>
      </c>
      <c r="L49" s="178">
        <f>IF('Inputs DK'!M$61=0,0,'Inputs DK'!M50/'Inputs DK'!M$61*L$60)</f>
        <v>0</v>
      </c>
      <c r="M49" s="178">
        <f>IF('Inputs DK'!N$61=0,0,'Inputs DK'!N50/'Inputs DK'!N$61*M$60)</f>
        <v>48.38584793119645</v>
      </c>
      <c r="N49" s="178"/>
      <c r="O49" s="178">
        <f aca="true" t="shared" si="11" ref="O49:O58">SUM(C49:N49)</f>
        <v>1944.0565716231752</v>
      </c>
    </row>
    <row r="50" spans="1:15" ht="11.25">
      <c r="A50" s="58">
        <f t="shared" si="8"/>
        <v>41</v>
      </c>
      <c r="B50" s="67" t="s">
        <v>130</v>
      </c>
      <c r="C50" s="178">
        <f>IF('Inputs DK'!$F$61=0,0,'Inputs DK'!F51/'Inputs DK'!$F$61*C$60)</f>
        <v>0</v>
      </c>
      <c r="D50" s="178">
        <f>IF('Inputs DK'!$G$61=0,0,'Inputs DK'!G51/'Inputs DK'!$G$61*D$60)</f>
        <v>0</v>
      </c>
      <c r="E50" s="178">
        <f>IF('Inputs DK'!$G$61=0,0,'Inputs DK'!H51/'Inputs DK'!$G$61*E$60)</f>
        <v>0</v>
      </c>
      <c r="F50" s="178">
        <f>IF('Inputs DK'!$I$61=0,0,'Inputs DK'!I51/'Inputs DK'!$I$61*F$60)</f>
        <v>0</v>
      </c>
      <c r="G50" s="178">
        <f>IF('Inputs DK'!$J$61=0,0,'Inputs DK'!J51/'Inputs DK'!$J$61*G$60)</f>
        <v>88928.63975452867</v>
      </c>
      <c r="H50" s="178">
        <f>IF('Inputs DK'!D$61=0,0,'Inputs DK'!D51/'Inputs DK'!D$61*H$60)</f>
        <v>0</v>
      </c>
      <c r="I50" s="178">
        <f>IF('Inputs DK'!E$61=0,0,'Inputs DK'!E51/'Inputs DK'!E$61*I$60)</f>
        <v>0</v>
      </c>
      <c r="J50" s="178">
        <f>IF('Inputs DK'!K$61=0,0,'Inputs DK'!K51/'Inputs DK'!K$61*J$60)</f>
        <v>0</v>
      </c>
      <c r="K50" s="178">
        <f>IF('Inputs DK'!L$61=0,0,'Inputs DK'!L51/'Inputs DK'!L$61*K$60)</f>
        <v>0</v>
      </c>
      <c r="L50" s="178">
        <f>IF('Inputs DK'!M$61=0,0,'Inputs DK'!M51/'Inputs DK'!M$61*L$60)</f>
        <v>0</v>
      </c>
      <c r="M50" s="178">
        <f>IF('Inputs DK'!N$61=0,0,'Inputs DK'!N51/'Inputs DK'!N$61*M$60)</f>
        <v>1706.7610742853544</v>
      </c>
      <c r="N50" s="178"/>
      <c r="O50" s="178">
        <f t="shared" si="11"/>
        <v>90635.40082881403</v>
      </c>
    </row>
    <row r="51" spans="1:15" ht="11.25">
      <c r="A51" s="58">
        <f t="shared" si="8"/>
        <v>42</v>
      </c>
      <c r="B51" s="67" t="s">
        <v>131</v>
      </c>
      <c r="C51" s="178">
        <f>IF('Inputs DK'!$F$61=0,0,'Inputs DK'!F52/'Inputs DK'!$F$61*C$60)</f>
        <v>0</v>
      </c>
      <c r="D51" s="178">
        <f>IF('Inputs DK'!$G$61=0,0,'Inputs DK'!G52/'Inputs DK'!$G$61*D$60)</f>
        <v>0</v>
      </c>
      <c r="E51" s="178">
        <f>IF('Inputs DK'!$G$61=0,0,'Inputs DK'!H52/'Inputs DK'!$G$61*E$60)</f>
        <v>0</v>
      </c>
      <c r="F51" s="178">
        <f>IF('Inputs DK'!$I$61=0,0,'Inputs DK'!I52/'Inputs DK'!$I$61*F$60)</f>
        <v>0</v>
      </c>
      <c r="G51" s="178">
        <f>IF('Inputs DK'!$J$61=0,0,'Inputs DK'!J52/'Inputs DK'!$J$61*G$60)</f>
        <v>14764.245412074974</v>
      </c>
      <c r="H51" s="178">
        <f>IF('Inputs DK'!D$61=0,0,'Inputs DK'!D52/'Inputs DK'!D$61*H$60)</f>
        <v>0</v>
      </c>
      <c r="I51" s="178">
        <f>IF('Inputs DK'!E$61=0,0,'Inputs DK'!E52/'Inputs DK'!E$61*I$60)</f>
        <v>0</v>
      </c>
      <c r="J51" s="178">
        <f>IF('Inputs DK'!K$61=0,0,'Inputs DK'!K52/'Inputs DK'!K$61*J$60)</f>
        <v>0</v>
      </c>
      <c r="K51" s="178">
        <f>IF('Inputs DK'!L$61=0,0,'Inputs DK'!L52/'Inputs DK'!L$61*K$60)</f>
        <v>0</v>
      </c>
      <c r="L51" s="178">
        <f>IF('Inputs DK'!M$61=0,0,'Inputs DK'!M52/'Inputs DK'!M$61*L$60)</f>
        <v>0</v>
      </c>
      <c r="M51" s="178">
        <f>IF('Inputs DK'!N$61=0,0,'Inputs DK'!N52/'Inputs DK'!N$61*M$60)</f>
        <v>0</v>
      </c>
      <c r="N51" s="178"/>
      <c r="O51" s="178">
        <f t="shared" si="11"/>
        <v>14764.245412074974</v>
      </c>
    </row>
    <row r="52" spans="1:15" ht="11.25">
      <c r="A52" s="58">
        <f t="shared" si="8"/>
        <v>43</v>
      </c>
      <c r="B52" s="67" t="s">
        <v>132</v>
      </c>
      <c r="C52" s="178">
        <f>IF('Inputs DK'!$F$61=0,0,'Inputs DK'!F53/'Inputs DK'!$F$61*C$60)</f>
        <v>0</v>
      </c>
      <c r="D52" s="178">
        <f>IF('Inputs DK'!$G$61=0,0,'Inputs DK'!G53/'Inputs DK'!$G$61*D$60)</f>
        <v>0</v>
      </c>
      <c r="E52" s="178">
        <f>IF('Inputs DK'!$G$61=0,0,'Inputs DK'!H53/'Inputs DK'!$G$61*E$60)</f>
        <v>0</v>
      </c>
      <c r="F52" s="178">
        <f>IF('Inputs DK'!$I$61=0,0,'Inputs DK'!I53/'Inputs DK'!$I$61*F$60)</f>
        <v>0</v>
      </c>
      <c r="G52" s="178">
        <f>IF('Inputs DK'!$J$61=0,0,'Inputs DK'!J53/'Inputs DK'!$J$61*G$60)</f>
        <v>0</v>
      </c>
      <c r="H52" s="178">
        <f>IF('Inputs DK'!D$61=0,0,'Inputs DK'!D53/'Inputs DK'!D$61*H$60)</f>
        <v>0</v>
      </c>
      <c r="I52" s="178">
        <f>IF('Inputs DK'!E$61=0,0,'Inputs DK'!E53/'Inputs DK'!E$61*I$60)</f>
        <v>0</v>
      </c>
      <c r="J52" s="178">
        <f>IF('Inputs DK'!K$61=0,0,'Inputs DK'!K53/'Inputs DK'!K$61*J$60)</f>
        <v>0</v>
      </c>
      <c r="K52" s="178">
        <f>IF('Inputs DK'!L$61=0,0,'Inputs DK'!L53/'Inputs DK'!L$61*K$60)</f>
        <v>0</v>
      </c>
      <c r="L52" s="178">
        <f>IF('Inputs DK'!M$61=0,0,'Inputs DK'!M53/'Inputs DK'!M$61*L$60)</f>
        <v>0</v>
      </c>
      <c r="M52" s="178">
        <f>IF('Inputs DK'!N$61=0,0,'Inputs DK'!N53/'Inputs DK'!N$61*M$60)</f>
        <v>0</v>
      </c>
      <c r="N52" s="178">
        <f>'10.1.1 PQ3-4'!L15+'10.1.1 PQ1-2'!L15</f>
        <v>1691.0417616767345</v>
      </c>
      <c r="O52" s="178">
        <f t="shared" si="11"/>
        <v>1691.0417616767345</v>
      </c>
    </row>
    <row r="53" spans="1:15" ht="11.25">
      <c r="A53" s="58">
        <f t="shared" si="8"/>
        <v>44</v>
      </c>
      <c r="B53" s="67" t="s">
        <v>133</v>
      </c>
      <c r="C53" s="178">
        <f>IF('Inputs DK'!$F$61=0,0,'Inputs DK'!F54/'Inputs DK'!$F$61*C$60)</f>
        <v>0</v>
      </c>
      <c r="D53" s="178">
        <f>IF('Inputs DK'!$G$61=0,0,'Inputs DK'!G54/'Inputs DK'!$G$61*D$60)</f>
        <v>0</v>
      </c>
      <c r="E53" s="178">
        <f>IF('Inputs DK'!$G$61=0,0,'Inputs DK'!H54/'Inputs DK'!$G$61*E$60)</f>
        <v>0</v>
      </c>
      <c r="F53" s="178">
        <f>IF('Inputs DK'!$I$61=0,0,'Inputs DK'!I54/'Inputs DK'!$I$61*F$60)</f>
        <v>0</v>
      </c>
      <c r="G53" s="178">
        <f>IF('Inputs DK'!$J$61=0,0,'Inputs DK'!J54/'Inputs DK'!$J$61*G$60)</f>
        <v>0</v>
      </c>
      <c r="H53" s="178">
        <f>IF('Inputs DK'!D$61=0,0,'Inputs DK'!D54/'Inputs DK'!D$61*H$60)</f>
        <v>0</v>
      </c>
      <c r="I53" s="178">
        <f>IF('Inputs DK'!E$61=0,0,'Inputs DK'!E54/'Inputs DK'!E$61*I$60)</f>
        <v>0</v>
      </c>
      <c r="J53" s="178">
        <f>IF('Inputs DK'!K$61=0,0,'Inputs DK'!K54/'Inputs DK'!K$61*J$60)</f>
        <v>0</v>
      </c>
      <c r="K53" s="178">
        <f>IF('Inputs DK'!L$61=0,0,'Inputs DK'!L54/'Inputs DK'!L$61*K$60)</f>
        <v>0</v>
      </c>
      <c r="L53" s="178">
        <f>IF('Inputs DK'!M$61=0,0,'Inputs DK'!M54/'Inputs DK'!M$61*L$60)</f>
        <v>0</v>
      </c>
      <c r="M53" s="178">
        <f>IF('Inputs DK'!N$61=0,0,'Inputs DK'!N54/'Inputs DK'!N$61*M$60)</f>
        <v>0</v>
      </c>
      <c r="N53" s="178">
        <f>'10.1.1 PQ3-4'!L24+'10.1.1 PQ1-2'!L24</f>
        <v>1175.057114359989</v>
      </c>
      <c r="O53" s="178">
        <f t="shared" si="11"/>
        <v>1175.057114359989</v>
      </c>
    </row>
    <row r="54" spans="1:15" ht="11.25">
      <c r="A54" s="58">
        <f t="shared" si="8"/>
        <v>45</v>
      </c>
      <c r="B54" s="225" t="s">
        <v>134</v>
      </c>
      <c r="C54" s="178">
        <f>IF('Inputs DK'!$F$61=0,0,'Inputs DK'!F55/'Inputs DK'!$F$61*C$60)</f>
        <v>0</v>
      </c>
      <c r="D54" s="178">
        <f>IF('Inputs DK'!$G$61=0,0,'Inputs DK'!G55/'Inputs DK'!$G$61*D$60)</f>
        <v>0</v>
      </c>
      <c r="E54" s="178">
        <f>IF('Inputs DK'!$G$61=0,0,'Inputs DK'!H55/'Inputs DK'!$G$61*E$60)</f>
        <v>0</v>
      </c>
      <c r="F54" s="178">
        <f>IF('Inputs DK'!$I$61=0,0,'Inputs DK'!I55/'Inputs DK'!$I$61*F$60)</f>
        <v>0</v>
      </c>
      <c r="G54" s="178">
        <f>IF('Inputs DK'!$J$61=0,0,'Inputs DK'!J55/'Inputs DK'!$J$61*G$60)</f>
        <v>0</v>
      </c>
      <c r="H54" s="178">
        <f>IF('Inputs DK'!D$61=0,0,'Inputs DK'!D55/'Inputs DK'!D$61*H$60)</f>
        <v>0</v>
      </c>
      <c r="I54" s="178">
        <f>IF('Inputs DK'!E$61=0,0,'Inputs DK'!E55/'Inputs DK'!E$61*I$60)</f>
        <v>0</v>
      </c>
      <c r="J54" s="178">
        <f>IF('Inputs DK'!K$61=0,0,'Inputs DK'!K55/'Inputs DK'!K$61*J$60)</f>
        <v>0</v>
      </c>
      <c r="K54" s="178">
        <f>IF('Inputs DK'!L$61=0,0,'Inputs DK'!L55/'Inputs DK'!L$61*K$60)</f>
        <v>0</v>
      </c>
      <c r="L54" s="178">
        <f>IF('Inputs DK'!M$61=0,0,'Inputs DK'!M55/'Inputs DK'!M$61*L$60)</f>
        <v>0</v>
      </c>
      <c r="M54" s="178">
        <f>IF('Inputs DK'!N$61=0,0,'Inputs DK'!N55/'Inputs DK'!N$61*M$60)</f>
        <v>0</v>
      </c>
      <c r="N54" s="178"/>
      <c r="O54" s="178">
        <f t="shared" si="11"/>
        <v>0</v>
      </c>
    </row>
    <row r="55" spans="1:15" ht="11.25">
      <c r="A55" s="58">
        <f t="shared" si="8"/>
        <v>46</v>
      </c>
      <c r="B55" s="225" t="s">
        <v>135</v>
      </c>
      <c r="C55" s="178">
        <f>IF('Inputs DK'!$F$61=0,0,'Inputs DK'!F56/'Inputs DK'!$F$61*C$60)</f>
        <v>0</v>
      </c>
      <c r="D55" s="178">
        <f>IF('Inputs DK'!$G$61=0,0,'Inputs DK'!G56/'Inputs DK'!$G$61*D$60)</f>
        <v>0</v>
      </c>
      <c r="E55" s="178">
        <f>IF('Inputs DK'!$G$61=0,0,'Inputs DK'!H56/'Inputs DK'!$G$61*E$60)</f>
        <v>0</v>
      </c>
      <c r="F55" s="178">
        <f>IF('Inputs DK'!$I$61=0,0,'Inputs DK'!I56/'Inputs DK'!$I$61*F$60)</f>
        <v>0</v>
      </c>
      <c r="G55" s="178">
        <f>IF('Inputs DK'!$J$61=0,0,'Inputs DK'!J56/'Inputs DK'!$J$61*G$60)</f>
        <v>0</v>
      </c>
      <c r="H55" s="178">
        <f>IF('Inputs DK'!D$61=0,0,'Inputs DK'!D56/'Inputs DK'!D$61*H$60)</f>
        <v>0</v>
      </c>
      <c r="I55" s="178">
        <f>IF('Inputs DK'!E$61=0,0,'Inputs DK'!E56/'Inputs DK'!E$61*I$60)</f>
        <v>0</v>
      </c>
      <c r="J55" s="178">
        <f>IF('Inputs DK'!K$61=0,0,'Inputs DK'!K56/'Inputs DK'!K$61*J$60)</f>
        <v>0</v>
      </c>
      <c r="K55" s="178">
        <f>IF('Inputs DK'!L$61=0,0,'Inputs DK'!L56/'Inputs DK'!L$61*K$60)</f>
        <v>0</v>
      </c>
      <c r="L55" s="178">
        <f>IF('Inputs DK'!M$61=0,0,'Inputs DK'!M56/'Inputs DK'!M$61*L$60)</f>
        <v>0</v>
      </c>
      <c r="M55" s="178">
        <f>IF('Inputs DK'!N$61=0,0,'Inputs DK'!N56/'Inputs DK'!N$61*M$60)</f>
        <v>0</v>
      </c>
      <c r="N55" s="178"/>
      <c r="O55" s="178">
        <f t="shared" si="11"/>
        <v>0</v>
      </c>
    </row>
    <row r="56" spans="1:15" ht="11.25">
      <c r="A56" s="58">
        <f t="shared" si="8"/>
        <v>47</v>
      </c>
      <c r="B56" s="67" t="s">
        <v>136</v>
      </c>
      <c r="C56" s="178">
        <f>IF('Inputs DK'!$F$61=0,0,'Inputs DK'!F57/'Inputs DK'!$F$61*C$60)</f>
        <v>0</v>
      </c>
      <c r="D56" s="178">
        <f>IF('Inputs DK'!$G$61=0,0,'Inputs DK'!G57/'Inputs DK'!$G$61*D$60)</f>
        <v>0</v>
      </c>
      <c r="E56" s="178">
        <f>IF('Inputs DK'!$G$61=0,0,'Inputs DK'!H57/'Inputs DK'!$G$61*E$60)</f>
        <v>0</v>
      </c>
      <c r="F56" s="178">
        <f>IF('Inputs DK'!$I$61=0,0,'Inputs DK'!I57/'Inputs DK'!$I$61*F$60)</f>
        <v>0</v>
      </c>
      <c r="G56" s="178">
        <f>IF('Inputs DK'!$J$61=0,0,'Inputs DK'!J57/'Inputs DK'!$J$61*G$60)</f>
        <v>0</v>
      </c>
      <c r="H56" s="178">
        <f>IF('Inputs DK'!D$61=0,0,'Inputs DK'!D57/'Inputs DK'!D$61*H$60)</f>
        <v>0</v>
      </c>
      <c r="I56" s="178">
        <f>IF('Inputs DK'!E$61=0,0,'Inputs DK'!E57/'Inputs DK'!E$61*I$60)</f>
        <v>0</v>
      </c>
      <c r="J56" s="178">
        <f>IF('Inputs DK'!K$61=0,0,'Inputs DK'!K57/'Inputs DK'!K$61*J$60)</f>
        <v>0</v>
      </c>
      <c r="K56" s="178">
        <f>IF('Inputs DK'!L$61=0,0,'Inputs DK'!L57/'Inputs DK'!L$61*K$60)</f>
        <v>0</v>
      </c>
      <c r="L56" s="178">
        <f>IF('Inputs DK'!M$61=0,0,'Inputs DK'!M57/'Inputs DK'!M$61*L$60)</f>
        <v>0</v>
      </c>
      <c r="M56" s="178">
        <f>IF('Inputs DK'!N$61=0,0,'Inputs DK'!N57/'Inputs DK'!N$61*M$60)</f>
        <v>0</v>
      </c>
      <c r="N56" s="178"/>
      <c r="O56" s="178">
        <f t="shared" si="11"/>
        <v>0</v>
      </c>
    </row>
    <row r="57" spans="1:15" ht="11.25">
      <c r="A57" s="58">
        <f t="shared" si="8"/>
        <v>48</v>
      </c>
      <c r="B57" s="67" t="s">
        <v>137</v>
      </c>
      <c r="C57" s="178">
        <f>IF('Inputs DK'!$F$61=0,0,'Inputs DK'!F58/'Inputs DK'!$F$61*C$60)</f>
        <v>0</v>
      </c>
      <c r="D57" s="178">
        <f>IF('Inputs DK'!$G$61=0,0,'Inputs DK'!G58/'Inputs DK'!$G$61*D$60)</f>
        <v>0</v>
      </c>
      <c r="E57" s="178">
        <f>IF('Inputs DK'!$G$61=0,0,'Inputs DK'!H58/'Inputs DK'!$G$61*E$60)</f>
        <v>0</v>
      </c>
      <c r="F57" s="178">
        <f>IF('Inputs DK'!$I$61=0,0,'Inputs DK'!I58/'Inputs DK'!$I$61*F$60)</f>
        <v>0</v>
      </c>
      <c r="G57" s="178">
        <f>IF('Inputs DK'!$J$61=0,0,'Inputs DK'!J58/'Inputs DK'!$J$61*G$60)</f>
        <v>0</v>
      </c>
      <c r="H57" s="178">
        <f>IF('Inputs DK'!D$61=0,0,'Inputs DK'!D58/'Inputs DK'!D$61*H$60)</f>
        <v>0</v>
      </c>
      <c r="I57" s="178">
        <f>IF('Inputs DK'!E$61=0,0,'Inputs DK'!E58/'Inputs DK'!E$61*I$60)</f>
        <v>0</v>
      </c>
      <c r="J57" s="178">
        <f>IF('Inputs DK'!K$61=0,0,'Inputs DK'!K58/'Inputs DK'!K$61*J$60)</f>
        <v>0</v>
      </c>
      <c r="K57" s="178">
        <f>IF('Inputs DK'!L$61=0,0,'Inputs DK'!L58/'Inputs DK'!L$61*K$60)</f>
        <v>0</v>
      </c>
      <c r="L57" s="178">
        <f>IF('Inputs DK'!M$61=0,0,'Inputs DK'!M58/'Inputs DK'!M$61*L$60)</f>
        <v>0</v>
      </c>
      <c r="M57" s="178">
        <f>IF('Inputs DK'!N$61=0,0,'Inputs DK'!N58/'Inputs DK'!N$61*M$60)</f>
        <v>0</v>
      </c>
      <c r="N57" s="178"/>
      <c r="O57" s="178">
        <f t="shared" si="11"/>
        <v>0</v>
      </c>
    </row>
    <row r="58" spans="1:15" ht="11.25">
      <c r="A58" s="58">
        <f t="shared" si="8"/>
        <v>49</v>
      </c>
      <c r="B58" s="67" t="s">
        <v>138</v>
      </c>
      <c r="C58" s="178">
        <f>IF('Inputs DK'!$F$61=0,0,'Inputs DK'!F59/'Inputs DK'!$F$61*C$60)</f>
        <v>0</v>
      </c>
      <c r="D58" s="178">
        <f>IF('Inputs DK'!$G$61=0,0,'Inputs DK'!G59/'Inputs DK'!$G$61*D$60)</f>
        <v>0</v>
      </c>
      <c r="E58" s="178">
        <f>IF('Inputs DK'!$G$61=0,0,'Inputs DK'!H59/'Inputs DK'!$G$61*E$60)</f>
        <v>0</v>
      </c>
      <c r="F58" s="178">
        <f>IF('Inputs DK'!$I$61=0,0,'Inputs DK'!I59/'Inputs DK'!$I$61*F$60)</f>
        <v>0</v>
      </c>
      <c r="G58" s="178">
        <f>IF('Inputs DK'!$J$61=0,0,'Inputs DK'!J59/'Inputs DK'!$J$61*G$60)</f>
        <v>3316.3734687194433</v>
      </c>
      <c r="H58" s="178">
        <f>IF('Inputs DK'!D$61=0,0,'Inputs DK'!D59/'Inputs DK'!D$61*H$60)</f>
        <v>0</v>
      </c>
      <c r="I58" s="178">
        <f>IF('Inputs DK'!E$61=0,0,'Inputs DK'!E59/'Inputs DK'!E$61*I$60)</f>
        <v>0</v>
      </c>
      <c r="J58" s="178">
        <f>IF('Inputs DK'!K$61=0,0,'Inputs DK'!K59/'Inputs DK'!K$61*J$60)</f>
        <v>0</v>
      </c>
      <c r="K58" s="178">
        <f>IF('Inputs DK'!L$61=0,0,'Inputs DK'!L59/'Inputs DK'!L$61*K$60)</f>
        <v>0</v>
      </c>
      <c r="L58" s="178">
        <f>IF('Inputs DK'!M$61=0,0,'Inputs DK'!M59/'Inputs DK'!M$61*L$60)</f>
        <v>0</v>
      </c>
      <c r="M58" s="178">
        <f>IF('Inputs DK'!N$61=0,0,'Inputs DK'!N59/'Inputs DK'!N$61*M$60)</f>
        <v>0</v>
      </c>
      <c r="N58" s="178">
        <f>'10.1.1 PQ3-4'!L20+'10.1.1 PQ1-2'!L20+'10.1.1 PQ1-2'!L28+'10.1.1 PQ3-4'!L28</f>
        <v>23552.85982925095</v>
      </c>
      <c r="O58" s="178">
        <f t="shared" si="11"/>
        <v>26869.233297970393</v>
      </c>
    </row>
    <row r="59" spans="1:15" ht="11.25">
      <c r="A59" s="61">
        <f t="shared" si="8"/>
        <v>50</v>
      </c>
      <c r="B59" s="26" t="s">
        <v>139</v>
      </c>
      <c r="C59" s="179">
        <f aca="true" t="shared" si="12" ref="C59:O59">SUM(C49:C58)</f>
        <v>0</v>
      </c>
      <c r="D59" s="179">
        <f t="shared" si="12"/>
        <v>0</v>
      </c>
      <c r="E59" s="179">
        <f t="shared" si="12"/>
        <v>0</v>
      </c>
      <c r="F59" s="179">
        <f t="shared" si="12"/>
        <v>0</v>
      </c>
      <c r="G59" s="179">
        <f t="shared" si="12"/>
        <v>108904.92935901506</v>
      </c>
      <c r="H59" s="179">
        <f t="shared" si="12"/>
        <v>0</v>
      </c>
      <c r="I59" s="179">
        <f t="shared" si="12"/>
        <v>0</v>
      </c>
      <c r="J59" s="179">
        <f t="shared" si="12"/>
        <v>0</v>
      </c>
      <c r="K59" s="179">
        <f t="shared" si="12"/>
        <v>0</v>
      </c>
      <c r="L59" s="179">
        <f t="shared" si="12"/>
        <v>0</v>
      </c>
      <c r="M59" s="179">
        <f t="shared" si="12"/>
        <v>1755.1469222165508</v>
      </c>
      <c r="N59" s="179">
        <f t="shared" si="12"/>
        <v>26418.958705287674</v>
      </c>
      <c r="O59" s="179">
        <f t="shared" si="12"/>
        <v>137079.0349865193</v>
      </c>
    </row>
    <row r="60" spans="1:15" ht="11.25">
      <c r="A60" s="58">
        <f t="shared" si="8"/>
        <v>51</v>
      </c>
      <c r="B60" s="24" t="str">
        <f>"TOTAL VOLUME VARIABLE"</f>
        <v>TOTAL VOLUME VARIABLE</v>
      </c>
      <c r="C60" s="184">
        <f>'10.1.1 PQ3-4'!L11+'10.1.1 PQ1-2'!L11</f>
        <v>428639.3353795393</v>
      </c>
      <c r="D60" s="184">
        <f>'10.1.1 PQ3-4'!L12+'10.1.1 PQ1-2'!L12</f>
        <v>684561.0499681956</v>
      </c>
      <c r="E60" s="184">
        <f>'10.1.1 PQ3-4'!L13+'10.1.1 PQ1-2'!L13</f>
        <v>195169.62036692403</v>
      </c>
      <c r="F60" s="184">
        <f>'10.1.1 PQ3-4'!L14+'10.1.1 PQ1-2'!L14</f>
        <v>60376.05136888959</v>
      </c>
      <c r="G60" s="184">
        <f>'10.1.1 PQ3-4'!L16+'10.1.1 PQ1-2'!L16</f>
        <v>135413.27735745342</v>
      </c>
      <c r="H60" s="184">
        <f>'10.1.1 PQ3-4'!L17+'10.1.1 PQ1-2'!L17</f>
        <v>404428.71506817074</v>
      </c>
      <c r="I60" s="184">
        <f>'10.1.1 PQ3-4'!$L18+'10.1.1 PQ1-2'!$L18</f>
        <v>18380.234956203607</v>
      </c>
      <c r="J60" s="184">
        <f>'10.1.1 PQ3-4'!L19+'10.1.1 PQ1-2'!L19</f>
        <v>568.5051385460115</v>
      </c>
      <c r="K60" s="184">
        <f>'10.1.1 PQ3-4'!L21+'10.1.1 PQ1-2'!L21</f>
        <v>58030.57357665303</v>
      </c>
      <c r="L60" s="184">
        <f>'10.1.1 PQ3-4'!L22+'10.1.1 PQ1-2'!L22</f>
        <v>21710.263921208414</v>
      </c>
      <c r="M60" s="184">
        <f>'10.1.1 PQ3-4'!L23+'10.1.1 PQ1-2'!L23</f>
        <v>1881.7455106392704</v>
      </c>
      <c r="N60" s="184">
        <f>N47+N59</f>
        <v>26418.958705287674</v>
      </c>
      <c r="O60" s="184">
        <f>SUM(C60:N60)</f>
        <v>2035578.3313177107</v>
      </c>
    </row>
    <row r="61" spans="1:15" ht="11.25">
      <c r="A61" s="58">
        <f t="shared" si="8"/>
        <v>52</v>
      </c>
      <c r="B61" s="23" t="s">
        <v>162</v>
      </c>
      <c r="C61" s="178"/>
      <c r="D61" s="178"/>
      <c r="E61" s="178"/>
      <c r="F61" s="178"/>
      <c r="G61" s="178"/>
      <c r="H61" s="178"/>
      <c r="I61" s="178"/>
      <c r="J61" s="178"/>
      <c r="K61" s="178"/>
      <c r="L61" s="178"/>
      <c r="M61" s="178"/>
      <c r="N61" s="178"/>
      <c r="O61" s="178">
        <f>'10.0.1'!G13+'10.0.1'!G10-'10.1.1 PQ1-2'!L28-'10.1.1 PQ3-4'!L28</f>
        <v>2681863.6957737217</v>
      </c>
    </row>
    <row r="62" spans="1:15" ht="11.25">
      <c r="A62" s="58">
        <f t="shared" si="8"/>
        <v>53</v>
      </c>
      <c r="B62" s="25" t="s">
        <v>163</v>
      </c>
      <c r="C62" s="179"/>
      <c r="D62" s="179"/>
      <c r="E62" s="179"/>
      <c r="F62" s="179"/>
      <c r="G62" s="179"/>
      <c r="H62" s="179"/>
      <c r="I62" s="179"/>
      <c r="J62" s="179"/>
      <c r="K62" s="179"/>
      <c r="L62" s="179"/>
      <c r="M62" s="179"/>
      <c r="N62" s="179"/>
      <c r="O62" s="179">
        <f>O60+O61</f>
        <v>4717442.027091432</v>
      </c>
    </row>
    <row r="63" spans="1:15" ht="11.25">
      <c r="A63" s="38"/>
      <c r="B63" s="38"/>
      <c r="C63" s="38"/>
      <c r="D63" s="38"/>
      <c r="E63" s="38"/>
      <c r="F63" s="38"/>
      <c r="G63" s="38"/>
      <c r="H63" s="38"/>
      <c r="I63" s="38"/>
      <c r="J63" s="38"/>
      <c r="K63" s="38"/>
      <c r="L63" s="38"/>
      <c r="M63" s="38"/>
      <c r="N63" s="38"/>
      <c r="O63" s="38"/>
    </row>
  </sheetData>
  <printOptions/>
  <pageMargins left="0.5" right="0.5" top="1" bottom="0.5" header="0.75" footer="0.25"/>
  <pageSetup horizontalDpi="300" verticalDpi="300" orientation="landscape" scale="85" r:id="rId1"/>
  <rowBreaks count="1" manualBreakCount="1">
    <brk id="37" max="6553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M31"/>
  <sheetViews>
    <sheetView workbookViewId="0" topLeftCell="A1">
      <selection activeCell="D9" sqref="D9"/>
    </sheetView>
  </sheetViews>
  <sheetFormatPr defaultColWidth="8.88671875" defaultRowHeight="15.75"/>
  <cols>
    <col min="1" max="1" width="3.21484375" style="2" customWidth="1"/>
    <col min="2" max="2" width="17.77734375" style="2" customWidth="1"/>
    <col min="3" max="3" width="11.10546875" style="2" customWidth="1"/>
    <col min="4" max="4" width="9.4453125" style="2" customWidth="1"/>
    <col min="5" max="5" width="9.3359375" style="2" customWidth="1"/>
    <col min="6" max="7" width="8.77734375" style="2" customWidth="1"/>
    <col min="8" max="8" width="9.10546875" style="2" customWidth="1"/>
    <col min="9" max="9" width="9.88671875" style="2" customWidth="1"/>
    <col min="10" max="10" width="8.6640625" style="2" customWidth="1"/>
    <col min="11" max="11" width="8.77734375" style="2" customWidth="1"/>
    <col min="12" max="12" width="8.4453125" style="2" customWidth="1"/>
    <col min="13" max="13" width="4.99609375" style="2" customWidth="1"/>
    <col min="14" max="16384" width="8.88671875" style="2" customWidth="1"/>
  </cols>
  <sheetData>
    <row r="1" s="1" customFormat="1" ht="12.75" customHeight="1">
      <c r="A1" s="107" t="s">
        <v>198</v>
      </c>
    </row>
    <row r="2" s="1" customFormat="1" ht="12.75" customHeight="1">
      <c r="A2" s="107" t="str">
        <f>Doc!A2</f>
        <v>C/S 10 RURAL CARRIERS</v>
      </c>
    </row>
    <row r="3" spans="1:2" s="1" customFormat="1" ht="12.75" customHeight="1">
      <c r="A3" s="110" t="str">
        <f>Doc!A14&amp;" "&amp;Doc!B14</f>
        <v>WS 10.2.1 DEVELOPMENT OF OTHER ROUTE VVC</v>
      </c>
      <c r="B3" s="111"/>
    </row>
    <row r="4" spans="1:2" s="1" customFormat="1" ht="12.75" customHeight="1">
      <c r="A4" s="133"/>
      <c r="B4" s="234" t="s">
        <v>185</v>
      </c>
    </row>
    <row r="5" spans="1:13" s="204" customFormat="1" ht="33.75">
      <c r="A5" s="116" t="s">
        <v>28</v>
      </c>
      <c r="B5" s="135" t="s">
        <v>145</v>
      </c>
      <c r="C5" s="118" t="s">
        <v>146</v>
      </c>
      <c r="D5" s="116" t="str">
        <f>Inputs!E19</f>
        <v>EVALUATION FACTOR PQ1-2</v>
      </c>
      <c r="E5" s="118" t="s">
        <v>147</v>
      </c>
      <c r="F5" s="116" t="s">
        <v>148</v>
      </c>
      <c r="G5" s="116" t="s">
        <v>149</v>
      </c>
      <c r="H5" s="118" t="s">
        <v>150</v>
      </c>
      <c r="I5" s="116" t="s">
        <v>25</v>
      </c>
      <c r="J5" s="116" t="s">
        <v>151</v>
      </c>
      <c r="K5" s="116" t="s">
        <v>152</v>
      </c>
      <c r="L5" s="116" t="s">
        <v>153</v>
      </c>
      <c r="M5" s="203"/>
    </row>
    <row r="6" spans="1:13" ht="11.25" customHeight="1">
      <c r="A6" s="12"/>
      <c r="B6" s="103" t="s">
        <v>67</v>
      </c>
      <c r="C6" s="14">
        <v>-1</v>
      </c>
      <c r="D6" s="14">
        <f aca="true" t="shared" si="0" ref="D6:L6">C6-1</f>
        <v>-2</v>
      </c>
      <c r="E6" s="14">
        <f t="shared" si="0"/>
        <v>-3</v>
      </c>
      <c r="F6" s="14">
        <f t="shared" si="0"/>
        <v>-4</v>
      </c>
      <c r="G6" s="14">
        <f t="shared" si="0"/>
        <v>-5</v>
      </c>
      <c r="H6" s="14">
        <f t="shared" si="0"/>
        <v>-6</v>
      </c>
      <c r="I6" s="14">
        <f t="shared" si="0"/>
        <v>-7</v>
      </c>
      <c r="J6" s="14">
        <f t="shared" si="0"/>
        <v>-8</v>
      </c>
      <c r="K6" s="14">
        <f t="shared" si="0"/>
        <v>-9</v>
      </c>
      <c r="L6" s="14">
        <f t="shared" si="0"/>
        <v>-10</v>
      </c>
      <c r="M6" s="12"/>
    </row>
    <row r="7" spans="1:13" ht="45">
      <c r="A7" s="12"/>
      <c r="B7" s="95" t="s">
        <v>68</v>
      </c>
      <c r="C7" s="85"/>
      <c r="D7" s="85"/>
      <c r="E7" s="86" t="str">
        <f>"=C"&amp;-C6&amp;"xC"&amp;-D6</f>
        <v>=C1xC2</v>
      </c>
      <c r="F7" s="73" t="str">
        <f>"C"&amp;-E$6&amp;"L"&amp;A$25&amp;" dist on C"&amp;-E$6&amp;"L"&amp;A$11&amp;"...L"&amp;A$20</f>
        <v>C3L16 dist on C3L2...L11</v>
      </c>
      <c r="G7" s="73" t="str">
        <f>"C"&amp;-E$6&amp;"L"&amp;A$26&amp;" dist on C"&amp;-E$6&amp;"L"&amp;A$11&amp;"...L"&amp;A$20</f>
        <v>C3L17 dist on C3L2...L11</v>
      </c>
      <c r="H7" s="86" t="str">
        <f>"=C"&amp;-E6&amp;"...C"&amp;-G6</f>
        <v>=C3...C5</v>
      </c>
      <c r="I7" s="73" t="str">
        <f>"C"&amp;-I6&amp;"L"&amp;A27&amp;" dist on C"&amp;-H6&amp;"; C"&amp;-I6&amp;"L"&amp;A28&amp;"=C"&amp;-E6&amp;"L"&amp;A28&amp;"/C"&amp;-E6&amp;"L"&amp;A29&amp;"xC"&amp;-I6&amp;"L"&amp;A29</f>
        <v>C7L18 dist on C6; C7L19=C3L19/C3L20xC7L20</v>
      </c>
      <c r="J7" s="73"/>
      <c r="K7" s="73" t="str">
        <f>"-C"&amp;-K6&amp;"L"&amp;A13&amp;" dist on C"&amp;-I6&amp;"L"&amp;A11&amp;"..L"&amp;A12</f>
        <v>-C9L4 dist on C7L2..L3</v>
      </c>
      <c r="L7" s="86" t="str">
        <f>"=C"&amp;-I6&amp;"+C"&amp;-K6</f>
        <v>=C7+C9</v>
      </c>
      <c r="M7" s="12"/>
    </row>
    <row r="8" spans="1:13" ht="11.25">
      <c r="A8" s="12"/>
      <c r="B8" s="95" t="s">
        <v>29</v>
      </c>
      <c r="C8" s="73" t="str">
        <f>Inputs!C20</f>
        <v>Pieces/ Week</v>
      </c>
      <c r="D8" s="73" t="str">
        <f>Inputs!E20</f>
        <v>Minutes/ Piece</v>
      </c>
      <c r="E8" s="73" t="s">
        <v>154</v>
      </c>
      <c r="F8" s="73" t="str">
        <f>E8</f>
        <v>Minutes/ Week</v>
      </c>
      <c r="G8" s="73" t="str">
        <f>E8</f>
        <v>Minutes/ Week</v>
      </c>
      <c r="H8" s="73" t="str">
        <f>E8</f>
        <v>Minutes/ Week</v>
      </c>
      <c r="I8" s="84" t="s">
        <v>30</v>
      </c>
      <c r="J8" s="73" t="s">
        <v>31</v>
      </c>
      <c r="K8" s="84" t="s">
        <v>30</v>
      </c>
      <c r="L8" s="84" t="s">
        <v>30</v>
      </c>
      <c r="M8" s="12"/>
    </row>
    <row r="9" spans="1:13" ht="45">
      <c r="A9" s="13"/>
      <c r="B9" s="98" t="s">
        <v>69</v>
      </c>
      <c r="C9" s="44" t="str">
        <f>Inputs!D22</f>
        <v>2004 RMC</v>
      </c>
      <c r="D9" s="44" t="str">
        <f>Inputs!E22</f>
        <v>Agreements</v>
      </c>
      <c r="E9" s="205"/>
      <c r="F9" s="44" t="str">
        <f>"C"&amp;-F$6&amp;"L"&amp;A$25&amp;" =
-C"&amp;-E6&amp;"L"&amp;A$25</f>
        <v>C4L16 =
-C3L16</v>
      </c>
      <c r="G9" s="44" t="str">
        <f>"C"&amp;-G$6&amp;"L"&amp;A$26&amp;" =
-C"&amp;-E6&amp;"L"&amp;A$26</f>
        <v>C5L17 =
-C3L17</v>
      </c>
      <c r="H9" s="205"/>
      <c r="I9" s="44" t="str">
        <f>"C"&amp;-I6&amp;"L"&amp;A27&amp;" from "&amp;Doc!A10&amp;" C"&amp;-'10.0.1'!F6&amp;"L"&amp;'10.0.1'!A11&amp;"; C"&amp;-I6&amp;"L"&amp;A29&amp;" from "&amp;Doc!A10&amp;" C"&amp;-'10.0.1'!G6&amp;"L"&amp;'10.0.1'!A11</f>
        <v>C7L18 from WS 10.0.1 C4L2; C7L20 from WS 10.0.1 C5L2</v>
      </c>
      <c r="J9" s="44"/>
      <c r="K9" s="44" t="str">
        <f>"C"&amp;-K6&amp;"L"&amp;A13&amp;" =
-C"&amp;-I6&amp;"L"&amp;A13&amp;"xC"&amp;-J6&amp;"L"&amp;A13</f>
        <v>C9L4 =
-C7L4xC8L4</v>
      </c>
      <c r="L9" s="205"/>
      <c r="M9" s="12"/>
    </row>
    <row r="10" spans="1:13" ht="11.25">
      <c r="A10" s="62">
        <v>1</v>
      </c>
      <c r="B10" s="49" t="s">
        <v>155</v>
      </c>
      <c r="C10" s="28"/>
      <c r="D10" s="28"/>
      <c r="E10" s="28"/>
      <c r="F10" s="28"/>
      <c r="G10" s="28"/>
      <c r="H10" s="28"/>
      <c r="I10" s="28"/>
      <c r="J10" s="28"/>
      <c r="K10" s="28"/>
      <c r="L10" s="28"/>
      <c r="M10" s="12"/>
    </row>
    <row r="11" spans="1:13" ht="11.25">
      <c r="A11" s="62">
        <f aca="true" t="shared" si="1" ref="A11:A29">A10+1</f>
        <v>2</v>
      </c>
      <c r="B11" s="22" t="str">
        <f>Inputs!B23</f>
        <v> LETTERS DELIVERED</v>
      </c>
      <c r="C11" s="47">
        <f>Inputs!D23</f>
        <v>2099.38</v>
      </c>
      <c r="D11" s="136">
        <f>Inputs!E23</f>
        <v>0.06989999999999999</v>
      </c>
      <c r="E11" s="29">
        <f aca="true" t="shared" si="2" ref="E11:E26">C11*D11</f>
        <v>146.746662</v>
      </c>
      <c r="F11" s="29">
        <f aca="true" t="shared" si="3" ref="F11:F20">$E$25*E11/SUM($E$11:$E$20)</f>
        <v>4.065039125563251</v>
      </c>
      <c r="G11" s="29">
        <f aca="true" t="shared" si="4" ref="G11:G20">$E$26*E11/SUM($E$11:$E$20)</f>
        <v>3.8700895691097585</v>
      </c>
      <c r="H11" s="29">
        <f aca="true" t="shared" si="5" ref="H11:H24">SUM(E11:G11)</f>
        <v>154.681790694673</v>
      </c>
      <c r="I11" s="176">
        <f aca="true" t="shared" si="6" ref="I11:I24">IF($H$27=0,0,H11/$H$27*$I$27)</f>
        <v>20389.634103103137</v>
      </c>
      <c r="J11" s="28"/>
      <c r="K11" s="176">
        <f>-I11/SUM($I$11,$I$12)*$K$13</f>
        <v>0</v>
      </c>
      <c r="L11" s="176">
        <f>SUM(I11,K11)</f>
        <v>20389.634103103137</v>
      </c>
      <c r="M11" s="12"/>
    </row>
    <row r="12" spans="1:13" ht="11.25">
      <c r="A12" s="62">
        <f t="shared" si="1"/>
        <v>3</v>
      </c>
      <c r="B12" s="22" t="str">
        <f>Inputs!B24</f>
        <v> FLATS DELIVERED</v>
      </c>
      <c r="C12" s="47">
        <f>Inputs!D24</f>
        <v>1585.06</v>
      </c>
      <c r="D12" s="136">
        <f>Inputs!E24</f>
        <v>0.11430000000000001</v>
      </c>
      <c r="E12" s="29">
        <f t="shared" si="2"/>
        <v>181.172358</v>
      </c>
      <c r="F12" s="29">
        <f t="shared" si="3"/>
        <v>5.018667639203626</v>
      </c>
      <c r="G12" s="29">
        <f t="shared" si="4"/>
        <v>4.777984339479006</v>
      </c>
      <c r="H12" s="29">
        <f t="shared" si="5"/>
        <v>190.96900997868264</v>
      </c>
      <c r="I12" s="176">
        <f t="shared" si="6"/>
        <v>25172.893467358124</v>
      </c>
      <c r="J12" s="28"/>
      <c r="K12" s="176">
        <f>-I12/SUM($I$11,$I$12)*$K$13</f>
        <v>0</v>
      </c>
      <c r="L12" s="176">
        <f aca="true" t="shared" si="7" ref="L12:L24">SUM(I12,K12)</f>
        <v>25172.893467358124</v>
      </c>
      <c r="M12" s="12"/>
    </row>
    <row r="13" spans="1:13" ht="11.25">
      <c r="A13" s="62">
        <f t="shared" si="1"/>
        <v>4</v>
      </c>
      <c r="B13" s="22" t="str">
        <f>Inputs!B25</f>
        <v> PARCELS DELIVERED</v>
      </c>
      <c r="C13" s="47">
        <f>Inputs!D25</f>
        <v>112.7256234</v>
      </c>
      <c r="D13" s="136">
        <f>Inputs!E25</f>
        <v>0.5</v>
      </c>
      <c r="E13" s="29">
        <f t="shared" si="2"/>
        <v>56.3628117</v>
      </c>
      <c r="F13" s="29">
        <f t="shared" si="3"/>
        <v>1.5613100268492255</v>
      </c>
      <c r="G13" s="29">
        <f t="shared" si="4"/>
        <v>1.4864333312458409</v>
      </c>
      <c r="H13" s="29">
        <f t="shared" si="5"/>
        <v>59.41055505809507</v>
      </c>
      <c r="I13" s="176">
        <f t="shared" si="6"/>
        <v>7831.2998191747665</v>
      </c>
      <c r="J13" s="142">
        <v>0</v>
      </c>
      <c r="K13" s="176">
        <f>-I13*J13</f>
        <v>0</v>
      </c>
      <c r="L13" s="176">
        <f t="shared" si="7"/>
        <v>7831.2998191747665</v>
      </c>
      <c r="M13" s="12"/>
    </row>
    <row r="14" spans="1:13" ht="11.25">
      <c r="A14" s="62">
        <f t="shared" si="1"/>
        <v>5</v>
      </c>
      <c r="B14" s="22" t="str">
        <f>Inputs!B26</f>
        <v> BOXHOLDERS DELIVERED</v>
      </c>
      <c r="C14" s="47">
        <f>Inputs!D26</f>
        <v>425.4761504</v>
      </c>
      <c r="D14" s="136">
        <f>Inputs!E26</f>
        <v>0.04</v>
      </c>
      <c r="E14" s="29">
        <f t="shared" si="2"/>
        <v>17.019046016</v>
      </c>
      <c r="F14" s="29">
        <f t="shared" si="3"/>
        <v>0.47144573506415693</v>
      </c>
      <c r="G14" s="29">
        <f t="shared" si="4"/>
        <v>0.44883632489521696</v>
      </c>
      <c r="H14" s="29">
        <f t="shared" si="5"/>
        <v>17.939328075959377</v>
      </c>
      <c r="I14" s="176">
        <f t="shared" si="6"/>
        <v>2364.7019722337213</v>
      </c>
      <c r="J14" s="28"/>
      <c r="K14" s="176"/>
      <c r="L14" s="176">
        <f t="shared" si="7"/>
        <v>2364.7019722337213</v>
      </c>
      <c r="M14" s="12"/>
    </row>
    <row r="15" spans="1:13" ht="11.25">
      <c r="A15" s="62">
        <f t="shared" si="1"/>
        <v>6</v>
      </c>
      <c r="B15" s="22" t="str">
        <f>Inputs!B27</f>
        <v> COD DELIVERED</v>
      </c>
      <c r="C15" s="47">
        <f>Inputs!D27</f>
        <v>0.0897695</v>
      </c>
      <c r="D15" s="136">
        <f>Inputs!E27</f>
        <v>5.967</v>
      </c>
      <c r="E15" s="29">
        <f t="shared" si="2"/>
        <v>0.5356546065</v>
      </c>
      <c r="F15" s="29">
        <f t="shared" si="3"/>
        <v>0.014838204178100401</v>
      </c>
      <c r="G15" s="29">
        <f t="shared" si="4"/>
        <v>0.014126599385689892</v>
      </c>
      <c r="H15" s="29">
        <f t="shared" si="5"/>
        <v>0.5646194100637904</v>
      </c>
      <c r="I15" s="176">
        <f t="shared" si="6"/>
        <v>74.42623418702834</v>
      </c>
      <c r="J15" s="28"/>
      <c r="K15" s="176"/>
      <c r="L15" s="176">
        <f t="shared" si="7"/>
        <v>74.42623418702834</v>
      </c>
      <c r="M15" s="12"/>
    </row>
    <row r="16" spans="1:13" ht="11.25">
      <c r="A16" s="62">
        <f t="shared" si="1"/>
        <v>7</v>
      </c>
      <c r="B16" s="22" t="str">
        <f>Inputs!B28</f>
        <v> ACCOUNTABLES DELIVERED</v>
      </c>
      <c r="C16" s="47">
        <f>Inputs!D28</f>
        <v>9.6317165</v>
      </c>
      <c r="D16" s="136">
        <f>Inputs!E28</f>
        <v>4.467</v>
      </c>
      <c r="E16" s="29">
        <f t="shared" si="2"/>
        <v>43.024877605499995</v>
      </c>
      <c r="F16" s="29">
        <f t="shared" si="3"/>
        <v>1.1918350199947145</v>
      </c>
      <c r="G16" s="29">
        <f t="shared" si="4"/>
        <v>1.1346774622598883</v>
      </c>
      <c r="H16" s="29">
        <f t="shared" si="5"/>
        <v>45.351390087754595</v>
      </c>
      <c r="I16" s="176">
        <f t="shared" si="6"/>
        <v>5978.067914805048</v>
      </c>
      <c r="J16" s="28"/>
      <c r="K16" s="176"/>
      <c r="L16" s="176">
        <f t="shared" si="7"/>
        <v>5978.067914805048</v>
      </c>
      <c r="M16" s="12"/>
    </row>
    <row r="17" spans="1:13" ht="11.25">
      <c r="A17" s="62">
        <f t="shared" si="1"/>
        <v>8</v>
      </c>
      <c r="B17" s="22" t="str">
        <f>Inputs!B29</f>
        <v> DPS</v>
      </c>
      <c r="C17" s="47">
        <f>Inputs!D29</f>
        <v>2678.08</v>
      </c>
      <c r="D17" s="136">
        <f>Inputs!E29</f>
        <v>0.0333</v>
      </c>
      <c r="E17" s="29">
        <f t="shared" si="2"/>
        <v>89.180064</v>
      </c>
      <c r="F17" s="29">
        <f t="shared" si="3"/>
        <v>2.47038293368632</v>
      </c>
      <c r="G17" s="29">
        <f t="shared" si="4"/>
        <v>2.3519092751761583</v>
      </c>
      <c r="H17" s="29">
        <f t="shared" si="5"/>
        <v>94.00235620886248</v>
      </c>
      <c r="I17" s="176">
        <f t="shared" si="6"/>
        <v>12391.07485968792</v>
      </c>
      <c r="J17" s="28"/>
      <c r="K17" s="176"/>
      <c r="L17" s="176">
        <f t="shared" si="7"/>
        <v>12391.07485968792</v>
      </c>
      <c r="M17" s="12"/>
    </row>
    <row r="18" spans="1:13" ht="11.25">
      <c r="A18" s="62">
        <f t="shared" si="1"/>
        <v>9</v>
      </c>
      <c r="B18" s="22" t="str">
        <f>Inputs!B30</f>
        <v> SECTOR SEGMENT</v>
      </c>
      <c r="C18" s="47">
        <f>Inputs!D30</f>
        <v>327.1257176</v>
      </c>
      <c r="D18" s="136">
        <f>Inputs!E30</f>
        <v>0.0587</v>
      </c>
      <c r="E18" s="29">
        <f t="shared" si="2"/>
        <v>19.20227962312</v>
      </c>
      <c r="F18" s="29">
        <f t="shared" si="3"/>
        <v>0.5319236356326031</v>
      </c>
      <c r="G18" s="29">
        <f t="shared" si="4"/>
        <v>0.506413849962499</v>
      </c>
      <c r="H18" s="29">
        <f t="shared" si="5"/>
        <v>20.2406171087151</v>
      </c>
      <c r="I18" s="176">
        <f t="shared" si="6"/>
        <v>2668.0501629460573</v>
      </c>
      <c r="J18" s="28"/>
      <c r="K18" s="176"/>
      <c r="L18" s="176">
        <f t="shared" si="7"/>
        <v>2668.0501629460573</v>
      </c>
      <c r="M18" s="12"/>
    </row>
    <row r="19" spans="1:13" ht="11.25">
      <c r="A19" s="62">
        <f t="shared" si="1"/>
        <v>10</v>
      </c>
      <c r="B19" s="22" t="str">
        <f>Inputs!B31</f>
        <v> POSTAGE DUE</v>
      </c>
      <c r="C19" s="47">
        <f>Inputs!D31</f>
        <v>0.9370627</v>
      </c>
      <c r="D19" s="136">
        <f>Inputs!E31</f>
        <v>0.2</v>
      </c>
      <c r="E19" s="29">
        <f t="shared" si="2"/>
        <v>0.18741254000000002</v>
      </c>
      <c r="F19" s="29">
        <f t="shared" si="3"/>
        <v>0.005191527339280726</v>
      </c>
      <c r="G19" s="29">
        <f t="shared" si="4"/>
        <v>0.004942554101669212</v>
      </c>
      <c r="H19" s="29">
        <f t="shared" si="5"/>
        <v>0.19754662144094995</v>
      </c>
      <c r="I19" s="176">
        <f t="shared" si="6"/>
        <v>26.03993211738732</v>
      </c>
      <c r="J19" s="28"/>
      <c r="K19" s="176"/>
      <c r="L19" s="176">
        <f t="shared" si="7"/>
        <v>26.03993211738732</v>
      </c>
      <c r="M19" s="12"/>
    </row>
    <row r="20" spans="1:13" ht="11.25">
      <c r="A20" s="62">
        <f t="shared" si="1"/>
        <v>11</v>
      </c>
      <c r="B20" s="22" t="str">
        <f>Inputs!B32</f>
        <v> RETURN RECEIPTS</v>
      </c>
      <c r="C20" s="47">
        <f>Inputs!D32</f>
        <v>0.0327861</v>
      </c>
      <c r="D20" s="136">
        <f>Inputs!E32</f>
        <v>0.25</v>
      </c>
      <c r="E20" s="29">
        <f t="shared" si="2"/>
        <v>0.008196525</v>
      </c>
      <c r="F20" s="29">
        <f t="shared" si="3"/>
        <v>0.00022705248872139475</v>
      </c>
      <c r="G20" s="29">
        <f t="shared" si="4"/>
        <v>0.00021616359427274306</v>
      </c>
      <c r="H20" s="29">
        <f t="shared" si="5"/>
        <v>0.008639741082994137</v>
      </c>
      <c r="I20" s="176">
        <f t="shared" si="6"/>
        <v>1.1388616503381688</v>
      </c>
      <c r="J20" s="28"/>
      <c r="K20" s="176"/>
      <c r="L20" s="176">
        <f t="shared" si="7"/>
        <v>1.1388616503381688</v>
      </c>
      <c r="M20" s="12"/>
    </row>
    <row r="21" spans="1:13" ht="11.25">
      <c r="A21" s="62">
        <f t="shared" si="1"/>
        <v>12</v>
      </c>
      <c r="B21" s="22" t="str">
        <f>Inputs!B33</f>
        <v> LETTERS/FLATS COLLECTED</v>
      </c>
      <c r="C21" s="47">
        <f>Inputs!D33</f>
        <v>416.3331315</v>
      </c>
      <c r="D21" s="136">
        <f>Inputs!E33</f>
        <v>0.04</v>
      </c>
      <c r="E21" s="29">
        <f t="shared" si="2"/>
        <v>16.65332526</v>
      </c>
      <c r="F21" s="29"/>
      <c r="G21" s="29"/>
      <c r="H21" s="29">
        <f t="shared" si="5"/>
        <v>16.65332526</v>
      </c>
      <c r="I21" s="176">
        <f t="shared" si="6"/>
        <v>2195.1854004691104</v>
      </c>
      <c r="J21" s="28"/>
      <c r="K21" s="176"/>
      <c r="L21" s="176">
        <f t="shared" si="7"/>
        <v>2195.1854004691104</v>
      </c>
      <c r="M21" s="12"/>
    </row>
    <row r="22" spans="1:13" ht="11.25">
      <c r="A22" s="62">
        <f t="shared" si="1"/>
        <v>13</v>
      </c>
      <c r="B22" s="22" t="str">
        <f>Inputs!B34</f>
        <v> PARCELS ACCEPTED</v>
      </c>
      <c r="C22" s="47">
        <f>Inputs!D34</f>
        <v>1.9446874</v>
      </c>
      <c r="D22" s="136">
        <f>Inputs!E34</f>
        <v>4</v>
      </c>
      <c r="E22" s="29">
        <f t="shared" si="2"/>
        <v>7.7787496</v>
      </c>
      <c r="F22" s="29"/>
      <c r="G22" s="29"/>
      <c r="H22" s="29">
        <f t="shared" si="5"/>
        <v>7.7787496</v>
      </c>
      <c r="I22" s="176">
        <f t="shared" si="6"/>
        <v>1025.368644954031</v>
      </c>
      <c r="J22" s="28"/>
      <c r="K22" s="176"/>
      <c r="L22" s="176">
        <f t="shared" si="7"/>
        <v>1025.368644954031</v>
      </c>
      <c r="M22" s="12"/>
    </row>
    <row r="23" spans="1:13" ht="11.25">
      <c r="A23" s="62">
        <f t="shared" si="1"/>
        <v>14</v>
      </c>
      <c r="B23" s="22" t="str">
        <f>Inputs!B35</f>
        <v> ACCOUNTABLES ACCEPTED</v>
      </c>
      <c r="C23" s="47">
        <f>Inputs!D35</f>
        <v>0.2900184</v>
      </c>
      <c r="D23" s="136">
        <f>Inputs!E35</f>
        <v>2</v>
      </c>
      <c r="E23" s="29">
        <f t="shared" si="2"/>
        <v>0.5800368</v>
      </c>
      <c r="F23" s="29"/>
      <c r="G23" s="29"/>
      <c r="H23" s="29">
        <f t="shared" si="5"/>
        <v>0.5800368</v>
      </c>
      <c r="I23" s="176">
        <f t="shared" si="6"/>
        <v>76.45850274438352</v>
      </c>
      <c r="J23" s="28"/>
      <c r="K23" s="176"/>
      <c r="L23" s="176">
        <f t="shared" si="7"/>
        <v>76.45850274438352</v>
      </c>
      <c r="M23" s="12"/>
    </row>
    <row r="24" spans="1:13" ht="11.25">
      <c r="A24" s="62">
        <f t="shared" si="1"/>
        <v>15</v>
      </c>
      <c r="B24" s="22" t="str">
        <f>Inputs!B36</f>
        <v> MONEY ORDERS</v>
      </c>
      <c r="C24" s="47">
        <f>Inputs!D36</f>
        <v>0.1147179</v>
      </c>
      <c r="D24" s="136">
        <f>Inputs!E36</f>
        <v>3.5</v>
      </c>
      <c r="E24" s="29">
        <f t="shared" si="2"/>
        <v>0.40151264999999997</v>
      </c>
      <c r="F24" s="29"/>
      <c r="G24" s="29"/>
      <c r="H24" s="29">
        <f t="shared" si="5"/>
        <v>0.40151264999999997</v>
      </c>
      <c r="I24" s="176">
        <f t="shared" si="6"/>
        <v>52.92604891953356</v>
      </c>
      <c r="J24" s="28"/>
      <c r="K24" s="176"/>
      <c r="L24" s="176">
        <f t="shared" si="7"/>
        <v>52.92604891953356</v>
      </c>
      <c r="M24" s="12"/>
    </row>
    <row r="25" spans="1:13" ht="11.25">
      <c r="A25" s="62">
        <f t="shared" si="1"/>
        <v>16</v>
      </c>
      <c r="B25" s="22" t="str">
        <f>Inputs!B37</f>
        <v> VEHICLE LOADING</v>
      </c>
      <c r="C25" s="47">
        <f>Inputs!D37</f>
        <v>30.6617218</v>
      </c>
      <c r="D25" s="136">
        <f>Inputs!E37</f>
        <v>0.5</v>
      </c>
      <c r="E25" s="29">
        <f t="shared" si="2"/>
        <v>15.3308609</v>
      </c>
      <c r="F25" s="29">
        <f>-E25</f>
        <v>-15.3308609</v>
      </c>
      <c r="G25" s="29"/>
      <c r="H25" s="29"/>
      <c r="I25" s="176"/>
      <c r="J25" s="28"/>
      <c r="K25" s="176"/>
      <c r="L25" s="176"/>
      <c r="M25" s="12"/>
    </row>
    <row r="26" spans="1:13" ht="11.25">
      <c r="A26" s="62">
        <f t="shared" si="1"/>
        <v>17</v>
      </c>
      <c r="B26" s="22" t="str">
        <f>Inputs!B38</f>
        <v> MARKUPS</v>
      </c>
      <c r="C26" s="47">
        <f>Inputs!D38</f>
        <v>61.9246053</v>
      </c>
      <c r="D26" s="136">
        <f>Inputs!E38</f>
        <v>0.2357</v>
      </c>
      <c r="E26" s="29">
        <f t="shared" si="2"/>
        <v>14.59562946921</v>
      </c>
      <c r="F26" s="29"/>
      <c r="G26" s="29">
        <f>-E26</f>
        <v>-14.59562946921</v>
      </c>
      <c r="H26" s="29"/>
      <c r="I26" s="176"/>
      <c r="J26" s="28"/>
      <c r="K26" s="176"/>
      <c r="L26" s="176"/>
      <c r="M26" s="12"/>
    </row>
    <row r="27" spans="1:13" ht="11.25">
      <c r="A27" s="137">
        <f t="shared" si="1"/>
        <v>18</v>
      </c>
      <c r="B27" s="138" t="s">
        <v>164</v>
      </c>
      <c r="C27" s="139">
        <f>SUM(C11:C26)</f>
        <v>7749.807708499999</v>
      </c>
      <c r="D27" s="140"/>
      <c r="E27" s="139">
        <f>SUM(E11:E26)</f>
        <v>608.7794772953299</v>
      </c>
      <c r="F27" s="139">
        <f>SUM(F11:F26)</f>
        <v>0</v>
      </c>
      <c r="G27" s="139">
        <f>SUM(G11:G26)</f>
        <v>0</v>
      </c>
      <c r="H27" s="139">
        <f>SUM(H11:H26)</f>
        <v>608.77947729533</v>
      </c>
      <c r="I27" s="177">
        <f>'10.0.1'!F11</f>
        <v>80247.26592435059</v>
      </c>
      <c r="J27" s="141"/>
      <c r="K27" s="177">
        <f>SUM(K11:K26)</f>
        <v>0</v>
      </c>
      <c r="L27" s="177">
        <f>SUM(I27,K27)</f>
        <v>80247.26592435059</v>
      </c>
      <c r="M27" s="12"/>
    </row>
    <row r="28" spans="1:12" ht="11.25">
      <c r="A28" s="60">
        <f t="shared" si="1"/>
        <v>19</v>
      </c>
      <c r="B28" s="231" t="s">
        <v>178</v>
      </c>
      <c r="C28" s="253">
        <f>Inputs!D39</f>
        <v>47.94</v>
      </c>
      <c r="D28" s="254">
        <f>Inputs!E39</f>
        <v>0.3</v>
      </c>
      <c r="E28" s="253">
        <f>C28*D28</f>
        <v>14.382</v>
      </c>
      <c r="F28" s="241"/>
      <c r="G28" s="241"/>
      <c r="H28" s="241"/>
      <c r="I28" s="93">
        <f>E28/E$29*I$29</f>
        <v>1845.556405891548</v>
      </c>
      <c r="J28" s="20"/>
      <c r="K28" s="178"/>
      <c r="L28" s="93">
        <f>I28</f>
        <v>1845.556405891548</v>
      </c>
    </row>
    <row r="29" spans="1:12" ht="11.25">
      <c r="A29" s="61">
        <f t="shared" si="1"/>
        <v>20</v>
      </c>
      <c r="B29" s="50" t="s">
        <v>179</v>
      </c>
      <c r="C29" s="255"/>
      <c r="D29" s="256"/>
      <c r="E29" s="255">
        <f>Inputs!D40</f>
        <v>926</v>
      </c>
      <c r="F29" s="244"/>
      <c r="G29" s="244"/>
      <c r="H29" s="244"/>
      <c r="I29" s="245">
        <f>'10.0.1'!G11</f>
        <v>118828.06507130951</v>
      </c>
      <c r="J29" s="246"/>
      <c r="K29" s="245"/>
      <c r="L29" s="245">
        <f>I29</f>
        <v>118828.06507130951</v>
      </c>
    </row>
    <row r="31" spans="8:9" ht="11.25">
      <c r="H31" s="258"/>
      <c r="I31" s="258"/>
    </row>
  </sheetData>
  <printOptions/>
  <pageMargins left="0.5" right="0.5" top="1" bottom="0.5" header="0.75" footer="0.25"/>
  <pageSetup fitToHeight="1" fitToWidth="1" horizontalDpi="300" verticalDpi="3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Chang</dc:creator>
  <cp:keywords/>
  <dc:description>8 minutes to update links</dc:description>
  <cp:lastModifiedBy>Larry Fenster</cp:lastModifiedBy>
  <cp:lastPrinted>2006-03-09T17:41:46Z</cp:lastPrinted>
  <dcterms:created xsi:type="dcterms:W3CDTF">1998-08-06T16:19:44Z</dcterms:created>
  <dcterms:modified xsi:type="dcterms:W3CDTF">2007-03-27T14:49:54Z</dcterms:modified>
  <cp:category/>
  <cp:version/>
  <cp:contentType/>
  <cp:contentStatus/>
</cp:coreProperties>
</file>